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DANE\ENTREGA DE CARGO OPLAN\2_PLANES_INSTITUCIONALES\2_PLAN_DE_ACCION\2021\Seguimiento PAI\III Trimestre 2021\Informe\"/>
    </mc:Choice>
  </mc:AlternateContent>
  <xr:revisionPtr revIDLastSave="0" documentId="13_ncr:1_{44C2697D-A08F-48A9-AC53-C84A5BCDE912}" xr6:coauthVersionLast="47" xr6:coauthVersionMax="47" xr10:uidLastSave="{00000000-0000-0000-0000-000000000000}"/>
  <bookViews>
    <workbookView xWindow="-120" yWindow="-120" windowWidth="20730" windowHeight="11040" xr2:uid="{00000000-000D-0000-FFFF-FFFF00000000}"/>
  </bookViews>
  <sheets>
    <sheet name="Plan de Acción Institucional" sheetId="3" r:id="rId1"/>
    <sheet name="Plan Operativo"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454" i="3" l="1"/>
  <c r="BS454" i="3"/>
  <c r="BR453" i="3"/>
  <c r="BS453" i="3"/>
  <c r="AU453" i="3"/>
  <c r="AV453" i="3"/>
  <c r="AU454" i="3"/>
  <c r="AV454" i="3"/>
  <c r="Y454" i="3"/>
  <c r="Z454" i="3"/>
  <c r="Y453" i="3"/>
  <c r="Z453" i="3"/>
  <c r="AB5" i="3"/>
  <c r="BS159" i="4" l="1"/>
  <c r="BT42" i="4"/>
  <c r="BU42" i="4" s="1"/>
  <c r="BS42" i="4"/>
  <c r="BV42" i="4" s="1"/>
  <c r="BQ42" i="4"/>
  <c r="BP42" i="4"/>
  <c r="AX42" i="4"/>
  <c r="AY42" i="4" s="1"/>
  <c r="AW42" i="4"/>
  <c r="AZ42" i="4" s="1"/>
  <c r="AU42" i="4"/>
  <c r="AT42" i="4"/>
  <c r="AB42" i="4"/>
  <c r="AC42" i="4" s="1"/>
  <c r="AA42" i="4"/>
  <c r="AD42" i="4" s="1"/>
  <c r="Y42" i="4"/>
  <c r="X42" i="4"/>
  <c r="BT41" i="4"/>
  <c r="BU41" i="4" s="1"/>
  <c r="BS41" i="4"/>
  <c r="BV41" i="4" s="1"/>
  <c r="BQ41" i="4"/>
  <c r="BP41" i="4"/>
  <c r="AX41" i="4"/>
  <c r="AY41" i="4" s="1"/>
  <c r="AW41" i="4"/>
  <c r="AZ41" i="4" s="1"/>
  <c r="AU41" i="4"/>
  <c r="AT41" i="4"/>
  <c r="AB41" i="4"/>
  <c r="AC41" i="4" s="1"/>
  <c r="AA41" i="4"/>
  <c r="AD41" i="4" s="1"/>
  <c r="Y41" i="4"/>
  <c r="X41" i="4"/>
  <c r="BS324" i="3" l="1"/>
  <c r="BR324" i="3"/>
  <c r="AV324" i="3"/>
  <c r="AU324" i="3"/>
  <c r="Z324" i="3"/>
  <c r="Y324" i="3"/>
  <c r="BV323" i="3"/>
  <c r="BW323" i="3" s="1"/>
  <c r="BU323" i="3"/>
  <c r="BX323" i="3" s="1"/>
  <c r="BS323" i="3"/>
  <c r="BR323" i="3"/>
  <c r="AY323" i="3"/>
  <c r="AZ323" i="3" s="1"/>
  <c r="AX323" i="3"/>
  <c r="BA323" i="3" s="1"/>
  <c r="AV323" i="3"/>
  <c r="AU323" i="3"/>
  <c r="AQ323" i="3"/>
  <c r="AC323" i="3"/>
  <c r="AD323" i="3" s="1"/>
  <c r="AB323" i="3"/>
  <c r="AE323" i="3" s="1"/>
  <c r="Z323" i="3"/>
  <c r="Y323" i="3"/>
  <c r="BS322" i="3"/>
  <c r="BR322" i="3"/>
  <c r="AV322" i="3"/>
  <c r="AU322" i="3"/>
  <c r="Z322" i="3"/>
  <c r="Y322" i="3"/>
  <c r="BS321" i="3"/>
  <c r="BR321" i="3"/>
  <c r="AV321" i="3"/>
  <c r="AU321" i="3"/>
  <c r="Z321" i="3"/>
  <c r="Y321" i="3"/>
  <c r="BV320" i="3"/>
  <c r="BW320" i="3" s="1"/>
  <c r="BU320" i="3"/>
  <c r="BX320" i="3" s="1"/>
  <c r="BS320" i="3"/>
  <c r="BR320" i="3"/>
  <c r="AY320" i="3"/>
  <c r="AZ320" i="3" s="1"/>
  <c r="AX320" i="3"/>
  <c r="BA320" i="3" s="1"/>
  <c r="AV320" i="3"/>
  <c r="AU320" i="3"/>
  <c r="AQ320" i="3"/>
  <c r="AC320" i="3"/>
  <c r="AD320" i="3" s="1"/>
  <c r="AB320" i="3"/>
  <c r="AE320" i="3" s="1"/>
  <c r="Z320" i="3"/>
  <c r="Y320" i="3"/>
  <c r="BS319" i="3"/>
  <c r="BR319" i="3"/>
  <c r="AV319" i="3"/>
  <c r="AU319" i="3"/>
  <c r="Z319" i="3"/>
  <c r="Y319" i="3"/>
  <c r="BS318" i="3"/>
  <c r="BR318" i="3"/>
  <c r="AV318" i="3"/>
  <c r="AU318" i="3"/>
  <c r="Z318" i="3"/>
  <c r="Y318" i="3"/>
  <c r="BV317" i="3"/>
  <c r="BW317" i="3" s="1"/>
  <c r="BU317" i="3"/>
  <c r="BX317" i="3" s="1"/>
  <c r="BS317" i="3"/>
  <c r="BR317" i="3"/>
  <c r="AY317" i="3"/>
  <c r="AZ317" i="3" s="1"/>
  <c r="AX317" i="3"/>
  <c r="BA317" i="3" s="1"/>
  <c r="AV317" i="3"/>
  <c r="AU317" i="3"/>
  <c r="AQ317" i="3"/>
  <c r="AC317" i="3"/>
  <c r="AD317" i="3" s="1"/>
  <c r="AB317" i="3"/>
  <c r="AE317" i="3" s="1"/>
  <c r="Z317" i="3"/>
  <c r="Y317" i="3"/>
  <c r="BS316" i="3"/>
  <c r="BR316" i="3"/>
  <c r="AV316" i="3"/>
  <c r="AU316" i="3"/>
  <c r="Z316" i="3"/>
  <c r="Y316" i="3"/>
  <c r="BS315" i="3"/>
  <c r="BR315" i="3"/>
  <c r="AV315" i="3"/>
  <c r="AU315" i="3"/>
  <c r="Z315" i="3"/>
  <c r="Y315" i="3"/>
  <c r="BV314" i="3"/>
  <c r="BW314" i="3" s="1"/>
  <c r="BU314" i="3"/>
  <c r="BX314" i="3" s="1"/>
  <c r="BS314" i="3"/>
  <c r="BR314" i="3"/>
  <c r="AY314" i="3"/>
  <c r="AZ314" i="3" s="1"/>
  <c r="AX314" i="3"/>
  <c r="BA314" i="3" s="1"/>
  <c r="AV314" i="3"/>
  <c r="AU314" i="3"/>
  <c r="AQ314" i="3"/>
  <c r="AC314" i="3"/>
  <c r="AD314" i="3" s="1"/>
  <c r="AB314" i="3"/>
  <c r="AE314" i="3" s="1"/>
  <c r="Z314" i="3"/>
  <c r="Y314" i="3"/>
  <c r="BS313" i="3"/>
  <c r="BR313" i="3"/>
  <c r="AV313" i="3"/>
  <c r="AU313" i="3"/>
  <c r="Z313" i="3"/>
  <c r="Y313" i="3"/>
  <c r="BS312" i="3"/>
  <c r="BR312" i="3"/>
  <c r="AV312" i="3"/>
  <c r="AU312" i="3"/>
  <c r="Z312" i="3"/>
  <c r="Y312" i="3"/>
  <c r="BS311" i="3"/>
  <c r="BR311" i="3"/>
  <c r="AV311" i="3"/>
  <c r="AU311" i="3"/>
  <c r="Z311" i="3"/>
  <c r="Y311" i="3"/>
  <c r="BV310" i="3"/>
  <c r="BW310" i="3" s="1"/>
  <c r="BU310" i="3"/>
  <c r="BX310" i="3" s="1"/>
  <c r="BS310" i="3"/>
  <c r="BR310" i="3"/>
  <c r="AY310" i="3"/>
  <c r="AZ310" i="3" s="1"/>
  <c r="AX310" i="3"/>
  <c r="BA310" i="3" s="1"/>
  <c r="AV310" i="3"/>
  <c r="AU310" i="3"/>
  <c r="AQ310" i="3"/>
  <c r="AC310" i="3"/>
  <c r="AD310" i="3" s="1"/>
  <c r="AB310" i="3"/>
  <c r="AE310" i="3" s="1"/>
  <c r="Z310" i="3"/>
  <c r="Y310" i="3"/>
  <c r="BV309" i="3"/>
  <c r="BW309" i="3" s="1"/>
  <c r="BU309" i="3"/>
  <c r="BX309" i="3" s="1"/>
  <c r="BS309" i="3"/>
  <c r="BR309" i="3"/>
  <c r="AY309" i="3"/>
  <c r="AZ309" i="3" s="1"/>
  <c r="AX309" i="3"/>
  <c r="BA309" i="3" s="1"/>
  <c r="AV309" i="3"/>
  <c r="AU309" i="3"/>
  <c r="AQ309" i="3"/>
  <c r="AC309" i="3"/>
  <c r="AD309" i="3" s="1"/>
  <c r="AB309" i="3"/>
  <c r="AE309" i="3" s="1"/>
  <c r="Z309" i="3"/>
  <c r="Y309" i="3"/>
  <c r="BS308" i="3"/>
  <c r="BR308" i="3"/>
  <c r="AV308" i="3"/>
  <c r="AU308" i="3"/>
  <c r="Z308" i="3"/>
  <c r="Y308" i="3"/>
  <c r="BV307" i="3"/>
  <c r="BW307" i="3" s="1"/>
  <c r="BU307" i="3"/>
  <c r="BX307" i="3" s="1"/>
  <c r="BS307" i="3"/>
  <c r="BR307" i="3"/>
  <c r="AY307" i="3"/>
  <c r="AZ307" i="3" s="1"/>
  <c r="AX307" i="3"/>
  <c r="BA307" i="3" s="1"/>
  <c r="AV307" i="3"/>
  <c r="AU307" i="3"/>
  <c r="AQ307" i="3"/>
  <c r="AC307" i="3"/>
  <c r="AD307" i="3" s="1"/>
  <c r="AB307" i="3"/>
  <c r="AE307" i="3" s="1"/>
  <c r="Z307" i="3"/>
  <c r="Y307" i="3"/>
  <c r="BS306" i="3"/>
  <c r="BR306" i="3"/>
  <c r="AV306" i="3"/>
  <c r="AU306" i="3"/>
  <c r="Z306" i="3"/>
  <c r="Y306" i="3"/>
  <c r="BV305" i="3"/>
  <c r="BW305" i="3" s="1"/>
  <c r="BU305" i="3"/>
  <c r="BX305" i="3" s="1"/>
  <c r="BS305" i="3"/>
  <c r="BR305" i="3"/>
  <c r="AY305" i="3"/>
  <c r="AZ305" i="3" s="1"/>
  <c r="AX305" i="3"/>
  <c r="BA305" i="3" s="1"/>
  <c r="AV305" i="3"/>
  <c r="AU305" i="3"/>
  <c r="AQ305" i="3"/>
  <c r="AC305" i="3"/>
  <c r="AD305" i="3" s="1"/>
  <c r="AB305" i="3"/>
  <c r="AE305" i="3" s="1"/>
  <c r="Z305" i="3"/>
  <c r="Y305" i="3"/>
  <c r="BV303" i="3" l="1"/>
  <c r="BV300" i="3"/>
  <c r="BV298" i="3"/>
  <c r="BW298" i="3" s="1"/>
  <c r="BV295" i="3"/>
  <c r="BW295" i="3" s="1"/>
  <c r="BV293" i="3"/>
  <c r="BV291" i="3"/>
  <c r="BW291" i="3" s="1"/>
  <c r="BV287" i="3"/>
  <c r="BW287" i="3" s="1"/>
  <c r="BV285" i="3"/>
  <c r="BW285" i="3" s="1"/>
  <c r="BV281" i="3"/>
  <c r="BV278" i="3"/>
  <c r="BV276" i="3"/>
  <c r="BW276" i="3" s="1"/>
  <c r="BV272" i="3"/>
  <c r="BW272" i="3" s="1"/>
  <c r="BV267" i="3"/>
  <c r="BW267" i="3" s="1"/>
  <c r="BV264" i="3"/>
  <c r="BW264" i="3" s="1"/>
  <c r="BV257" i="3"/>
  <c r="BW257" i="3" s="1"/>
  <c r="BV253" i="3"/>
  <c r="BW253" i="3" s="1"/>
  <c r="BU303" i="3"/>
  <c r="BU300" i="3"/>
  <c r="BX300" i="3" s="1"/>
  <c r="BU298" i="3"/>
  <c r="BX298" i="3" s="1"/>
  <c r="BU295" i="3"/>
  <c r="BX295" i="3" s="1"/>
  <c r="BU293" i="3"/>
  <c r="BX293" i="3" s="1"/>
  <c r="BU291" i="3"/>
  <c r="BX291" i="3" s="1"/>
  <c r="BU287" i="3"/>
  <c r="BX287" i="3" s="1"/>
  <c r="BU285" i="3"/>
  <c r="BX285" i="3" s="1"/>
  <c r="BU281" i="3"/>
  <c r="BX281" i="3" s="1"/>
  <c r="BU278" i="3"/>
  <c r="BX278" i="3" s="1"/>
  <c r="BU276" i="3"/>
  <c r="BX276" i="3" s="1"/>
  <c r="BU272" i="3"/>
  <c r="BX272" i="3" s="1"/>
  <c r="BU267" i="3"/>
  <c r="BX267" i="3" s="1"/>
  <c r="BU264" i="3"/>
  <c r="BU257" i="3"/>
  <c r="BX257" i="3" s="1"/>
  <c r="BU253" i="3"/>
  <c r="BX253" i="3" s="1"/>
  <c r="BV249" i="3"/>
  <c r="BU249" i="3"/>
  <c r="BV242" i="3"/>
  <c r="BU242" i="3"/>
  <c r="BX242" i="3" s="1"/>
  <c r="BS304" i="3"/>
  <c r="BR304" i="3"/>
  <c r="CD303" i="3"/>
  <c r="BX303" i="3"/>
  <c r="BW303" i="3"/>
  <c r="BS303" i="3"/>
  <c r="BR303" i="3"/>
  <c r="BS302" i="3"/>
  <c r="BR302" i="3"/>
  <c r="BS301" i="3"/>
  <c r="BR301" i="3"/>
  <c r="CD300" i="3"/>
  <c r="BW300" i="3"/>
  <c r="BS300" i="3"/>
  <c r="BR300" i="3"/>
  <c r="BR299" i="3"/>
  <c r="BR298" i="3"/>
  <c r="BR297" i="3"/>
  <c r="BR296" i="3"/>
  <c r="CD295" i="3"/>
  <c r="BR295" i="3"/>
  <c r="BS294" i="3"/>
  <c r="BR294" i="3"/>
  <c r="CD293" i="3"/>
  <c r="BW293" i="3"/>
  <c r="BS293" i="3"/>
  <c r="BR293" i="3"/>
  <c r="BS292" i="3"/>
  <c r="BR292" i="3"/>
  <c r="CD291" i="3"/>
  <c r="BS291" i="3"/>
  <c r="BR291" i="3"/>
  <c r="BS290" i="3"/>
  <c r="BR290" i="3"/>
  <c r="BS289" i="3"/>
  <c r="BR289" i="3"/>
  <c r="BS288" i="3"/>
  <c r="BR288" i="3"/>
  <c r="CD287" i="3"/>
  <c r="BS287" i="3"/>
  <c r="BR287" i="3"/>
  <c r="BS286" i="3"/>
  <c r="BR286" i="3"/>
  <c r="CE285" i="3"/>
  <c r="CD285" i="3"/>
  <c r="BS285" i="3"/>
  <c r="BR285" i="3"/>
  <c r="BS284" i="3"/>
  <c r="BR284" i="3"/>
  <c r="BS283" i="3"/>
  <c r="BR283" i="3"/>
  <c r="BS282" i="3"/>
  <c r="BR282" i="3"/>
  <c r="CD281" i="3"/>
  <c r="BW281" i="3"/>
  <c r="BS281" i="3"/>
  <c r="BR281" i="3"/>
  <c r="BS280" i="3"/>
  <c r="BR280" i="3"/>
  <c r="BS279" i="3"/>
  <c r="BR279" i="3"/>
  <c r="CD278" i="3"/>
  <c r="BW278" i="3"/>
  <c r="BS278" i="3"/>
  <c r="BR278" i="3"/>
  <c r="BS277" i="3"/>
  <c r="BR277" i="3"/>
  <c r="CD276" i="3"/>
  <c r="BS276" i="3"/>
  <c r="BR276" i="3"/>
  <c r="BS275" i="3"/>
  <c r="BR275" i="3"/>
  <c r="BS274" i="3"/>
  <c r="BR274" i="3"/>
  <c r="BS273" i="3"/>
  <c r="BR273" i="3"/>
  <c r="CD272" i="3"/>
  <c r="BS272" i="3"/>
  <c r="BR272" i="3"/>
  <c r="BS271" i="3"/>
  <c r="BR271" i="3"/>
  <c r="BS270" i="3"/>
  <c r="BR270" i="3"/>
  <c r="BS269" i="3"/>
  <c r="BR269" i="3"/>
  <c r="BS268" i="3"/>
  <c r="BR268" i="3"/>
  <c r="BS267" i="3"/>
  <c r="BR267" i="3"/>
  <c r="BS266" i="3"/>
  <c r="BR266" i="3"/>
  <c r="BS265" i="3"/>
  <c r="BR265" i="3"/>
  <c r="CB264" i="3"/>
  <c r="CA264" i="3"/>
  <c r="BX264" i="3"/>
  <c r="BS264" i="3"/>
  <c r="BR264" i="3"/>
  <c r="BS263" i="3"/>
  <c r="BR263" i="3"/>
  <c r="BS262" i="3"/>
  <c r="BR262" i="3"/>
  <c r="CD261" i="3"/>
  <c r="BS261" i="3"/>
  <c r="BR261" i="3"/>
  <c r="BS260" i="3"/>
  <c r="BR260" i="3"/>
  <c r="BS259" i="3"/>
  <c r="BR259" i="3"/>
  <c r="BS258" i="3"/>
  <c r="BR258" i="3"/>
  <c r="CD257" i="3"/>
  <c r="BS257" i="3"/>
  <c r="BR257" i="3"/>
  <c r="BS256" i="3"/>
  <c r="BR256" i="3"/>
  <c r="BS255" i="3"/>
  <c r="BR255" i="3"/>
  <c r="BS254" i="3"/>
  <c r="BR254" i="3"/>
  <c r="CD253" i="3"/>
  <c r="BS253" i="3"/>
  <c r="BR253" i="3"/>
  <c r="BS252" i="3"/>
  <c r="BR252" i="3"/>
  <c r="BS251" i="3"/>
  <c r="BR251" i="3"/>
  <c r="BS250" i="3"/>
  <c r="BR250" i="3"/>
  <c r="CD249" i="3"/>
  <c r="BX249" i="3"/>
  <c r="BW249" i="3"/>
  <c r="BS249" i="3"/>
  <c r="BR249" i="3"/>
  <c r="BS248" i="3"/>
  <c r="BR248" i="3"/>
  <c r="BS247" i="3"/>
  <c r="BR247" i="3"/>
  <c r="BS246" i="3"/>
  <c r="BR246" i="3"/>
  <c r="BS245" i="3"/>
  <c r="BR245" i="3"/>
  <c r="BS244" i="3"/>
  <c r="BR244" i="3"/>
  <c r="BS243" i="3"/>
  <c r="BR243" i="3"/>
  <c r="CD242" i="3"/>
  <c r="CC242" i="3"/>
  <c r="BW242" i="3"/>
  <c r="BS242" i="3"/>
  <c r="BR242" i="3"/>
  <c r="AV304" i="3"/>
  <c r="AU304" i="3"/>
  <c r="AQ304" i="3"/>
  <c r="Z304" i="3"/>
  <c r="Y304" i="3"/>
  <c r="AY303" i="3"/>
  <c r="AZ303" i="3" s="1"/>
  <c r="AX303" i="3"/>
  <c r="BA303" i="3" s="1"/>
  <c r="AV303" i="3"/>
  <c r="AU303" i="3"/>
  <c r="AQ303" i="3"/>
  <c r="AC303" i="3"/>
  <c r="AD303" i="3" s="1"/>
  <c r="AB303" i="3"/>
  <c r="AE303" i="3" s="1"/>
  <c r="Z303" i="3"/>
  <c r="Y303" i="3"/>
  <c r="AV302" i="3"/>
  <c r="AU302" i="3"/>
  <c r="Z302" i="3"/>
  <c r="Y302" i="3"/>
  <c r="AV301" i="3"/>
  <c r="AU301" i="3"/>
  <c r="Z301" i="3"/>
  <c r="Y301" i="3"/>
  <c r="AY300" i="3"/>
  <c r="AZ300" i="3" s="1"/>
  <c r="AX300" i="3"/>
  <c r="BA300" i="3" s="1"/>
  <c r="AV300" i="3"/>
  <c r="AU300" i="3"/>
  <c r="AQ300" i="3"/>
  <c r="AJ300" i="3" s="1"/>
  <c r="AC300" i="3"/>
  <c r="AD300" i="3" s="1"/>
  <c r="AB300" i="3"/>
  <c r="AE300" i="3" s="1"/>
  <c r="Z300" i="3"/>
  <c r="Y300" i="3"/>
  <c r="AV299" i="3"/>
  <c r="AU299" i="3"/>
  <c r="Z299" i="3"/>
  <c r="Y299" i="3"/>
  <c r="AY298" i="3"/>
  <c r="AZ298" i="3" s="1"/>
  <c r="AX298" i="3"/>
  <c r="BA298" i="3" s="1"/>
  <c r="AV298" i="3"/>
  <c r="AU298" i="3"/>
  <c r="AQ298" i="3"/>
  <c r="AJ298" i="3" s="1"/>
  <c r="AC298" i="3"/>
  <c r="AD298" i="3" s="1"/>
  <c r="AB298" i="3"/>
  <c r="AE298" i="3" s="1"/>
  <c r="Z298" i="3"/>
  <c r="Y298" i="3"/>
  <c r="AV297" i="3"/>
  <c r="AU297" i="3"/>
  <c r="Z297" i="3"/>
  <c r="Y297" i="3"/>
  <c r="AV296" i="3"/>
  <c r="AU296" i="3"/>
  <c r="Z296" i="3"/>
  <c r="Y296" i="3"/>
  <c r="AY295" i="3"/>
  <c r="AZ295" i="3" s="1"/>
  <c r="AX295" i="3"/>
  <c r="BA295" i="3" s="1"/>
  <c r="AV295" i="3"/>
  <c r="AU295" i="3"/>
  <c r="AQ295" i="3"/>
  <c r="AJ295" i="3" s="1"/>
  <c r="AC295" i="3"/>
  <c r="AD295" i="3" s="1"/>
  <c r="AB295" i="3"/>
  <c r="AE295" i="3" s="1"/>
  <c r="Z295" i="3"/>
  <c r="Y295" i="3"/>
  <c r="AV294" i="3"/>
  <c r="AU294" i="3"/>
  <c r="Z294" i="3"/>
  <c r="Y294" i="3"/>
  <c r="AY293" i="3"/>
  <c r="AZ293" i="3" s="1"/>
  <c r="AX293" i="3"/>
  <c r="BA293" i="3" s="1"/>
  <c r="AV293" i="3"/>
  <c r="AU293" i="3"/>
  <c r="AQ293" i="3"/>
  <c r="AJ293" i="3" s="1"/>
  <c r="AC293" i="3"/>
  <c r="AD293" i="3" s="1"/>
  <c r="AB293" i="3"/>
  <c r="AE293" i="3" s="1"/>
  <c r="Z293" i="3"/>
  <c r="Y293" i="3"/>
  <c r="AV292" i="3"/>
  <c r="AU292" i="3"/>
  <c r="Z292" i="3"/>
  <c r="Y292" i="3"/>
  <c r="AY291" i="3"/>
  <c r="AZ291" i="3" s="1"/>
  <c r="AX291" i="3"/>
  <c r="BA291" i="3" s="1"/>
  <c r="AV291" i="3"/>
  <c r="AU291" i="3"/>
  <c r="AQ291" i="3"/>
  <c r="AJ291" i="3" s="1"/>
  <c r="AC291" i="3"/>
  <c r="AD291" i="3" s="1"/>
  <c r="AB291" i="3"/>
  <c r="AE291" i="3" s="1"/>
  <c r="Z291" i="3"/>
  <c r="Y291" i="3"/>
  <c r="AV290" i="3"/>
  <c r="AU290" i="3"/>
  <c r="Z290" i="3"/>
  <c r="Y290" i="3"/>
  <c r="AV289" i="3"/>
  <c r="AU289" i="3"/>
  <c r="AQ289" i="3"/>
  <c r="Z289" i="3"/>
  <c r="Y289" i="3"/>
  <c r="AV288" i="3"/>
  <c r="AU288" i="3"/>
  <c r="Z288" i="3"/>
  <c r="Y288" i="3"/>
  <c r="AY287" i="3"/>
  <c r="AZ287" i="3" s="1"/>
  <c r="AX287" i="3"/>
  <c r="BA287" i="3" s="1"/>
  <c r="AV287" i="3"/>
  <c r="AU287" i="3"/>
  <c r="AQ287" i="3"/>
  <c r="AC287" i="3"/>
  <c r="AD287" i="3" s="1"/>
  <c r="AB287" i="3"/>
  <c r="AE287" i="3" s="1"/>
  <c r="Z287" i="3"/>
  <c r="Y287" i="3"/>
  <c r="AV286" i="3"/>
  <c r="AU286" i="3"/>
  <c r="Z286" i="3"/>
  <c r="Y286" i="3"/>
  <c r="AY285" i="3"/>
  <c r="AZ285" i="3" s="1"/>
  <c r="AX285" i="3"/>
  <c r="BA285" i="3" s="1"/>
  <c r="AV285" i="3"/>
  <c r="AU285" i="3"/>
  <c r="AQ285" i="3"/>
  <c r="AC285" i="3"/>
  <c r="AD285" i="3" s="1"/>
  <c r="AB285" i="3"/>
  <c r="AE285" i="3" s="1"/>
  <c r="Z285" i="3"/>
  <c r="Y285" i="3"/>
  <c r="AV284" i="3"/>
  <c r="AU284" i="3"/>
  <c r="Z284" i="3"/>
  <c r="Y284" i="3"/>
  <c r="AV283" i="3"/>
  <c r="AU283" i="3"/>
  <c r="Z283" i="3"/>
  <c r="Y283" i="3"/>
  <c r="AV282" i="3"/>
  <c r="AU282" i="3"/>
  <c r="Z282" i="3"/>
  <c r="Y282" i="3"/>
  <c r="AY281" i="3"/>
  <c r="AZ281" i="3" s="1"/>
  <c r="AX281" i="3"/>
  <c r="BA281" i="3" s="1"/>
  <c r="AV281" i="3"/>
  <c r="AU281" i="3"/>
  <c r="AQ281" i="3"/>
  <c r="AJ281" i="3" s="1"/>
  <c r="AC281" i="3"/>
  <c r="AD281" i="3" s="1"/>
  <c r="AB281" i="3"/>
  <c r="AE281" i="3" s="1"/>
  <c r="Z281" i="3"/>
  <c r="Y281" i="3"/>
  <c r="AV280" i="3"/>
  <c r="AU280" i="3"/>
  <c r="Z280" i="3"/>
  <c r="Y280" i="3"/>
  <c r="AV279" i="3"/>
  <c r="AU279" i="3"/>
  <c r="Z279" i="3"/>
  <c r="Y279" i="3"/>
  <c r="AY278" i="3"/>
  <c r="AZ278" i="3" s="1"/>
  <c r="AX278" i="3"/>
  <c r="BA278" i="3" s="1"/>
  <c r="AV278" i="3"/>
  <c r="AU278" i="3"/>
  <c r="AQ278" i="3"/>
  <c r="AC278" i="3"/>
  <c r="AD278" i="3" s="1"/>
  <c r="AB278" i="3"/>
  <c r="AE278" i="3" s="1"/>
  <c r="Z278" i="3"/>
  <c r="Y278" i="3"/>
  <c r="AV277" i="3"/>
  <c r="AU277" i="3"/>
  <c r="Z277" i="3"/>
  <c r="Y277" i="3"/>
  <c r="AY276" i="3"/>
  <c r="AZ276" i="3" s="1"/>
  <c r="AX276" i="3"/>
  <c r="BA276" i="3" s="1"/>
  <c r="AV276" i="3"/>
  <c r="AU276" i="3"/>
  <c r="AJ276" i="3"/>
  <c r="AC276" i="3"/>
  <c r="AD276" i="3" s="1"/>
  <c r="AB276" i="3"/>
  <c r="AE276" i="3" s="1"/>
  <c r="Z276" i="3"/>
  <c r="Y276" i="3"/>
  <c r="AV275" i="3"/>
  <c r="AU275" i="3"/>
  <c r="Z275" i="3"/>
  <c r="Y275" i="3"/>
  <c r="AV274" i="3"/>
  <c r="AU274" i="3"/>
  <c r="Z274" i="3"/>
  <c r="Y274" i="3"/>
  <c r="AV273" i="3"/>
  <c r="AU273" i="3"/>
  <c r="Z273" i="3"/>
  <c r="Y273" i="3"/>
  <c r="AY272" i="3"/>
  <c r="AZ272" i="3" s="1"/>
  <c r="AX272" i="3"/>
  <c r="BA272" i="3" s="1"/>
  <c r="AV272" i="3"/>
  <c r="AU272" i="3"/>
  <c r="AJ272" i="3"/>
  <c r="AC272" i="3"/>
  <c r="AD272" i="3" s="1"/>
  <c r="AB272" i="3"/>
  <c r="AE272" i="3" s="1"/>
  <c r="Z272" i="3"/>
  <c r="Y272" i="3"/>
  <c r="AV271" i="3"/>
  <c r="AU271" i="3"/>
  <c r="Z271" i="3"/>
  <c r="Y271" i="3"/>
  <c r="AV270" i="3"/>
  <c r="AU270" i="3"/>
  <c r="Z270" i="3"/>
  <c r="Y270" i="3"/>
  <c r="AV269" i="3"/>
  <c r="AU269" i="3"/>
  <c r="AQ269" i="3"/>
  <c r="Z269" i="3"/>
  <c r="Y269" i="3"/>
  <c r="AV268" i="3"/>
  <c r="AU268" i="3"/>
  <c r="Z268" i="3"/>
  <c r="Y268" i="3"/>
  <c r="AY267" i="3"/>
  <c r="AZ267" i="3" s="1"/>
  <c r="AX267" i="3"/>
  <c r="BA267" i="3" s="1"/>
  <c r="AV267" i="3"/>
  <c r="AU267" i="3"/>
  <c r="AQ267" i="3"/>
  <c r="AC267" i="3"/>
  <c r="AD267" i="3" s="1"/>
  <c r="AB267" i="3"/>
  <c r="AE267" i="3" s="1"/>
  <c r="Z267" i="3"/>
  <c r="Y267" i="3"/>
  <c r="AV266" i="3"/>
  <c r="AU266" i="3"/>
  <c r="AQ266" i="3"/>
  <c r="Z266" i="3"/>
  <c r="Y266" i="3"/>
  <c r="AV265" i="3"/>
  <c r="AU265" i="3"/>
  <c r="Z265" i="3"/>
  <c r="Y265" i="3"/>
  <c r="AY264" i="3"/>
  <c r="AZ264" i="3" s="1"/>
  <c r="AX264" i="3"/>
  <c r="BA264" i="3" s="1"/>
  <c r="AV264" i="3"/>
  <c r="AU264" i="3"/>
  <c r="AQ264" i="3"/>
  <c r="AC264" i="3"/>
  <c r="AD264" i="3" s="1"/>
  <c r="AB264" i="3"/>
  <c r="AE264" i="3" s="1"/>
  <c r="Z264" i="3"/>
  <c r="Y264" i="3"/>
  <c r="AV263" i="3"/>
  <c r="AU263" i="3"/>
  <c r="Z263" i="3"/>
  <c r="Y263" i="3"/>
  <c r="AV262" i="3"/>
  <c r="AU262" i="3"/>
  <c r="Z262" i="3"/>
  <c r="Y262" i="3"/>
  <c r="AV261" i="3"/>
  <c r="AU261" i="3"/>
  <c r="AQ261" i="3"/>
  <c r="Z261" i="3"/>
  <c r="Y261" i="3"/>
  <c r="AV260" i="3"/>
  <c r="AU260" i="3"/>
  <c r="Z260" i="3"/>
  <c r="Y260" i="3"/>
  <c r="AV259" i="3"/>
  <c r="AU259" i="3"/>
  <c r="Z259" i="3"/>
  <c r="Y259" i="3"/>
  <c r="AV258" i="3"/>
  <c r="AU258" i="3"/>
  <c r="Z258" i="3"/>
  <c r="Y258" i="3"/>
  <c r="AY257" i="3"/>
  <c r="AZ257" i="3" s="1"/>
  <c r="AX257" i="3"/>
  <c r="BA257" i="3" s="1"/>
  <c r="AV257" i="3"/>
  <c r="AU257" i="3"/>
  <c r="AQ257" i="3"/>
  <c r="AI257" i="3"/>
  <c r="AC257" i="3"/>
  <c r="AD257" i="3" s="1"/>
  <c r="AB257" i="3"/>
  <c r="AE257" i="3" s="1"/>
  <c r="Z257" i="3"/>
  <c r="Y257" i="3"/>
  <c r="AV256" i="3"/>
  <c r="AU256" i="3"/>
  <c r="Z256" i="3"/>
  <c r="Y256" i="3"/>
  <c r="AV255" i="3"/>
  <c r="AU255" i="3"/>
  <c r="Z255" i="3"/>
  <c r="Y255" i="3"/>
  <c r="AV254" i="3"/>
  <c r="AU254" i="3"/>
  <c r="Z254" i="3"/>
  <c r="Y254" i="3"/>
  <c r="AY253" i="3"/>
  <c r="AZ253" i="3" s="1"/>
  <c r="AX253" i="3"/>
  <c r="BA253" i="3" s="1"/>
  <c r="AV253" i="3"/>
  <c r="AU253" i="3"/>
  <c r="AJ253" i="3"/>
  <c r="AC253" i="3"/>
  <c r="AD253" i="3" s="1"/>
  <c r="AB253" i="3"/>
  <c r="AE253" i="3" s="1"/>
  <c r="Z253" i="3"/>
  <c r="Y253" i="3"/>
  <c r="AV252" i="3"/>
  <c r="AU252" i="3"/>
  <c r="Z252" i="3"/>
  <c r="Y252" i="3"/>
  <c r="AV251" i="3"/>
  <c r="AU251" i="3"/>
  <c r="Z251" i="3"/>
  <c r="Y251" i="3"/>
  <c r="AV250" i="3"/>
  <c r="AU250" i="3"/>
  <c r="Z250" i="3"/>
  <c r="Y250" i="3"/>
  <c r="AY249" i="3"/>
  <c r="AZ249" i="3" s="1"/>
  <c r="AX249" i="3"/>
  <c r="BA249" i="3" s="1"/>
  <c r="AV249" i="3"/>
  <c r="AU249" i="3"/>
  <c r="AQ249" i="3"/>
  <c r="AC249" i="3"/>
  <c r="AD249" i="3" s="1"/>
  <c r="AB249" i="3"/>
  <c r="AE249" i="3" s="1"/>
  <c r="Z249" i="3"/>
  <c r="Y249" i="3"/>
  <c r="AV248" i="3"/>
  <c r="AU248" i="3"/>
  <c r="Z248" i="3"/>
  <c r="Y248" i="3"/>
  <c r="AV247" i="3"/>
  <c r="AU247" i="3"/>
  <c r="Z247" i="3"/>
  <c r="Y247" i="3"/>
  <c r="AV246" i="3"/>
  <c r="AU246" i="3"/>
  <c r="Z246" i="3"/>
  <c r="Y246" i="3"/>
  <c r="AV245" i="3"/>
  <c r="AU245" i="3"/>
  <c r="Z245" i="3"/>
  <c r="Y245" i="3"/>
  <c r="AV244" i="3"/>
  <c r="AU244" i="3"/>
  <c r="Z244" i="3"/>
  <c r="Y244" i="3"/>
  <c r="AV243" i="3"/>
  <c r="AU243" i="3"/>
  <c r="Z243" i="3"/>
  <c r="Y243" i="3"/>
  <c r="AY242" i="3"/>
  <c r="AZ242" i="3" s="1"/>
  <c r="AX242" i="3"/>
  <c r="BA242" i="3" s="1"/>
  <c r="AV242" i="3"/>
  <c r="AU242" i="3"/>
  <c r="AC242" i="3"/>
  <c r="AD242" i="3" s="1"/>
  <c r="AB242" i="3"/>
  <c r="AE242" i="3" s="1"/>
  <c r="Z242" i="3"/>
  <c r="Y242" i="3"/>
  <c r="AJ267" i="3" l="1"/>
  <c r="AJ264" i="3"/>
  <c r="BT39" i="4"/>
  <c r="BU39" i="4" s="1"/>
  <c r="BS39" i="4"/>
  <c r="BV39" i="4" s="1"/>
  <c r="BT37" i="4"/>
  <c r="BU37" i="4" s="1"/>
  <c r="BT38" i="4"/>
  <c r="BU38" i="4" s="1"/>
  <c r="BS38" i="4"/>
  <c r="BV38" i="4" s="1"/>
  <c r="BS37" i="4"/>
  <c r="BV37" i="4" s="1"/>
  <c r="BQ40" i="4"/>
  <c r="BP40" i="4"/>
  <c r="CA39" i="4"/>
  <c r="BQ39" i="4"/>
  <c r="BP39" i="4"/>
  <c r="BQ38" i="4"/>
  <c r="BP38" i="4"/>
  <c r="BQ37" i="4"/>
  <c r="BP37" i="4"/>
  <c r="AU40" i="4"/>
  <c r="AT40" i="4"/>
  <c r="Y40" i="4"/>
  <c r="X40" i="4"/>
  <c r="AX39" i="4"/>
  <c r="AY39" i="4" s="1"/>
  <c r="AW39" i="4"/>
  <c r="AZ39" i="4" s="1"/>
  <c r="AU39" i="4"/>
  <c r="AT39" i="4"/>
  <c r="AP39" i="4"/>
  <c r="AI39" i="4" s="1"/>
  <c r="AB39" i="4"/>
  <c r="AC39" i="4" s="1"/>
  <c r="AA39" i="4"/>
  <c r="AD39" i="4" s="1"/>
  <c r="Y39" i="4"/>
  <c r="X39" i="4"/>
  <c r="AX38" i="4"/>
  <c r="AY38" i="4" s="1"/>
  <c r="AW38" i="4"/>
  <c r="AZ38" i="4" s="1"/>
  <c r="AU38" i="4"/>
  <c r="AT38" i="4"/>
  <c r="AP38" i="4"/>
  <c r="AI38" i="4" s="1"/>
  <c r="AH38" i="4"/>
  <c r="AB38" i="4"/>
  <c r="AC38" i="4" s="1"/>
  <c r="AA38" i="4"/>
  <c r="AD38" i="4" s="1"/>
  <c r="Y38" i="4"/>
  <c r="X38" i="4"/>
  <c r="AX37" i="4"/>
  <c r="AY37" i="4" s="1"/>
  <c r="AW37" i="4"/>
  <c r="AZ37" i="4" s="1"/>
  <c r="AU37" i="4"/>
  <c r="AT37" i="4"/>
  <c r="AP37" i="4"/>
  <c r="AI37" i="4"/>
  <c r="AB37" i="4"/>
  <c r="AC37" i="4" s="1"/>
  <c r="AA37" i="4"/>
  <c r="AD37" i="4" s="1"/>
  <c r="Y37" i="4"/>
  <c r="X37" i="4"/>
  <c r="BQ222" i="4" l="1"/>
  <c r="BP222" i="4"/>
  <c r="AU222" i="4"/>
  <c r="AT222" i="4"/>
  <c r="Y222" i="4"/>
  <c r="X222" i="4"/>
  <c r="BQ221" i="4"/>
  <c r="BP221" i="4"/>
  <c r="AU221" i="4"/>
  <c r="AT221" i="4"/>
  <c r="Y221" i="4"/>
  <c r="X221" i="4"/>
  <c r="BQ220" i="4"/>
  <c r="BP220" i="4"/>
  <c r="AU220" i="4"/>
  <c r="AT220" i="4"/>
  <c r="Y220" i="4"/>
  <c r="X220" i="4"/>
  <c r="BQ219" i="4"/>
  <c r="BP219" i="4"/>
  <c r="AU219" i="4"/>
  <c r="AT219" i="4"/>
  <c r="Y219" i="4"/>
  <c r="X219" i="4"/>
  <c r="BQ218" i="4"/>
  <c r="BP218" i="4"/>
  <c r="AU218" i="4"/>
  <c r="AT218" i="4"/>
  <c r="Y218" i="4"/>
  <c r="X218" i="4"/>
  <c r="CD217" i="4"/>
  <c r="CB217" i="4"/>
  <c r="BT217" i="4"/>
  <c r="BU217" i="4" s="1"/>
  <c r="BS217" i="4"/>
  <c r="BV217" i="4" s="1"/>
  <c r="BQ217" i="4"/>
  <c r="BP217" i="4"/>
  <c r="BG217" i="4"/>
  <c r="BF217" i="4"/>
  <c r="BE217" i="4"/>
  <c r="AX217" i="4"/>
  <c r="AY217" i="4" s="1"/>
  <c r="AW217" i="4"/>
  <c r="AZ217" i="4" s="1"/>
  <c r="AU217" i="4"/>
  <c r="AT217" i="4"/>
  <c r="AK217" i="4"/>
  <c r="AI217" i="4"/>
  <c r="AB217" i="4"/>
  <c r="AC217" i="4" s="1"/>
  <c r="AA217" i="4"/>
  <c r="AD217" i="4" s="1"/>
  <c r="Y217" i="4"/>
  <c r="X217" i="4"/>
  <c r="BQ216" i="4"/>
  <c r="BP216" i="4"/>
  <c r="AU216" i="4"/>
  <c r="AT216" i="4"/>
  <c r="Y216" i="4"/>
  <c r="X216" i="4"/>
  <c r="BQ215" i="4"/>
  <c r="BP215" i="4"/>
  <c r="AU215" i="4"/>
  <c r="AT215" i="4"/>
  <c r="Y215" i="4"/>
  <c r="X215" i="4"/>
  <c r="BQ214" i="4"/>
  <c r="BP214" i="4"/>
  <c r="AU214" i="4"/>
  <c r="AT214" i="4"/>
  <c r="Y214" i="4"/>
  <c r="X214" i="4"/>
  <c r="BQ213" i="4"/>
  <c r="BP213" i="4"/>
  <c r="AU213" i="4"/>
  <c r="AT213" i="4"/>
  <c r="Y213" i="4"/>
  <c r="X213" i="4"/>
  <c r="BQ212" i="4"/>
  <c r="BP212" i="4"/>
  <c r="AU212" i="4"/>
  <c r="AT212" i="4"/>
  <c r="Y212" i="4"/>
  <c r="X212" i="4"/>
  <c r="CD211" i="4"/>
  <c r="CB211" i="4"/>
  <c r="BT211" i="4"/>
  <c r="BU211" i="4" s="1"/>
  <c r="BS211" i="4"/>
  <c r="BV211" i="4" s="1"/>
  <c r="BQ211" i="4"/>
  <c r="BP211" i="4"/>
  <c r="BG211" i="4"/>
  <c r="BF211" i="4"/>
  <c r="BE211" i="4"/>
  <c r="AX211" i="4"/>
  <c r="AY211" i="4" s="1"/>
  <c r="AW211" i="4"/>
  <c r="AZ211" i="4" s="1"/>
  <c r="AU211" i="4"/>
  <c r="AT211" i="4"/>
  <c r="AK211" i="4"/>
  <c r="AI211" i="4"/>
  <c r="AB211" i="4"/>
  <c r="AC211" i="4" s="1"/>
  <c r="AA211" i="4"/>
  <c r="AD211" i="4" s="1"/>
  <c r="Y211" i="4"/>
  <c r="X211" i="4"/>
  <c r="BQ210" i="4"/>
  <c r="BP210" i="4"/>
  <c r="AU210" i="4"/>
  <c r="AT210" i="4"/>
  <c r="Y210" i="4"/>
  <c r="X210" i="4"/>
  <c r="BQ209" i="4"/>
  <c r="BP209" i="4"/>
  <c r="AU209" i="4"/>
  <c r="AT209" i="4"/>
  <c r="Y209" i="4"/>
  <c r="X209" i="4"/>
  <c r="BQ208" i="4"/>
  <c r="BP208" i="4"/>
  <c r="AU208" i="4"/>
  <c r="AT208" i="4"/>
  <c r="Y208" i="4"/>
  <c r="X208" i="4"/>
  <c r="BQ207" i="4"/>
  <c r="BP207" i="4"/>
  <c r="AU207" i="4"/>
  <c r="AT207" i="4"/>
  <c r="Y207" i="4"/>
  <c r="X207" i="4"/>
  <c r="CD206" i="4"/>
  <c r="CB206" i="4"/>
  <c r="CA206" i="4"/>
  <c r="BZ206" i="4"/>
  <c r="BY206" i="4"/>
  <c r="BT206" i="4"/>
  <c r="BU206" i="4" s="1"/>
  <c r="BS206" i="4"/>
  <c r="BV206" i="4" s="1"/>
  <c r="BQ206" i="4"/>
  <c r="BP206" i="4"/>
  <c r="BG206" i="4"/>
  <c r="BF206" i="4"/>
  <c r="BE206" i="4"/>
  <c r="BC206" i="4"/>
  <c r="BB206" i="4"/>
  <c r="AX206" i="4"/>
  <c r="AY206" i="4" s="1"/>
  <c r="AW206" i="4"/>
  <c r="AZ206" i="4" s="1"/>
  <c r="AU206" i="4"/>
  <c r="AT206" i="4"/>
  <c r="AK206" i="4"/>
  <c r="AI206" i="4"/>
  <c r="AH206" i="4"/>
  <c r="AF206" i="4"/>
  <c r="AB206" i="4"/>
  <c r="AC206" i="4" s="1"/>
  <c r="AA206" i="4"/>
  <c r="AD206" i="4" s="1"/>
  <c r="Y206" i="4"/>
  <c r="X206" i="4"/>
  <c r="BQ205" i="4"/>
  <c r="BP205" i="4"/>
  <c r="AU205" i="4"/>
  <c r="AT205" i="4"/>
  <c r="Y205" i="4"/>
  <c r="X205" i="4"/>
  <c r="BQ204" i="4"/>
  <c r="BP204" i="4"/>
  <c r="AU204" i="4"/>
  <c r="AT204" i="4"/>
  <c r="Y204" i="4"/>
  <c r="X204" i="4"/>
  <c r="BQ203" i="4"/>
  <c r="BP203" i="4"/>
  <c r="AU203" i="4"/>
  <c r="AT203" i="4"/>
  <c r="Y203" i="4"/>
  <c r="X203" i="4"/>
  <c r="BQ202" i="4"/>
  <c r="BP202" i="4"/>
  <c r="AU202" i="4"/>
  <c r="AT202" i="4"/>
  <c r="Y202" i="4"/>
  <c r="X202" i="4"/>
  <c r="BQ201" i="4"/>
  <c r="BP201" i="4"/>
  <c r="AU201" i="4"/>
  <c r="AT201" i="4"/>
  <c r="Y201" i="4"/>
  <c r="X201" i="4"/>
  <c r="CD200" i="4"/>
  <c r="CB200" i="4"/>
  <c r="BT200" i="4"/>
  <c r="BU200" i="4" s="1"/>
  <c r="BS200" i="4"/>
  <c r="BV200" i="4" s="1"/>
  <c r="BQ200" i="4"/>
  <c r="BP200" i="4"/>
  <c r="BG200" i="4"/>
  <c r="BF200" i="4"/>
  <c r="BE200" i="4"/>
  <c r="AX200" i="4"/>
  <c r="AY200" i="4" s="1"/>
  <c r="AW200" i="4"/>
  <c r="AZ200" i="4" s="1"/>
  <c r="AU200" i="4"/>
  <c r="AT200" i="4"/>
  <c r="AK200" i="4"/>
  <c r="AI200" i="4"/>
  <c r="AB200" i="4"/>
  <c r="AC200" i="4" s="1"/>
  <c r="AA200" i="4"/>
  <c r="AD200" i="4" s="1"/>
  <c r="Y200" i="4"/>
  <c r="X200" i="4"/>
  <c r="BQ199" i="4"/>
  <c r="BP199" i="4"/>
  <c r="AU199" i="4"/>
  <c r="AT199" i="4"/>
  <c r="Y199" i="4"/>
  <c r="X199" i="4"/>
  <c r="BQ198" i="4"/>
  <c r="BP198" i="4"/>
  <c r="AU198" i="4"/>
  <c r="AT198" i="4"/>
  <c r="Y198" i="4"/>
  <c r="X198" i="4"/>
  <c r="BQ197" i="4"/>
  <c r="BP197" i="4"/>
  <c r="AU197" i="4"/>
  <c r="AT197" i="4"/>
  <c r="Y197" i="4"/>
  <c r="X197" i="4"/>
  <c r="BQ196" i="4"/>
  <c r="BP196" i="4"/>
  <c r="AU196" i="4"/>
  <c r="AT196" i="4"/>
  <c r="Y196" i="4"/>
  <c r="X196" i="4"/>
  <c r="BQ195" i="4"/>
  <c r="BP195" i="4"/>
  <c r="AU195" i="4"/>
  <c r="AT195" i="4"/>
  <c r="Y195" i="4"/>
  <c r="X195" i="4"/>
  <c r="CD194" i="4"/>
  <c r="CB194" i="4"/>
  <c r="BT194" i="4"/>
  <c r="BU194" i="4" s="1"/>
  <c r="BS194" i="4"/>
  <c r="BV194" i="4" s="1"/>
  <c r="BQ194" i="4"/>
  <c r="BP194" i="4"/>
  <c r="BG194" i="4"/>
  <c r="BF194" i="4"/>
  <c r="BE194" i="4"/>
  <c r="AX194" i="4"/>
  <c r="AY194" i="4" s="1"/>
  <c r="AW194" i="4"/>
  <c r="AZ194" i="4" s="1"/>
  <c r="AU194" i="4"/>
  <c r="AT194" i="4"/>
  <c r="AK194" i="4"/>
  <c r="AI194" i="4"/>
  <c r="AB194" i="4"/>
  <c r="AC194" i="4" s="1"/>
  <c r="AA194" i="4"/>
  <c r="AD194" i="4" s="1"/>
  <c r="Y194" i="4"/>
  <c r="X194" i="4"/>
  <c r="BQ193" i="4"/>
  <c r="BP193" i="4"/>
  <c r="AU193" i="4"/>
  <c r="AT193" i="4"/>
  <c r="Y193" i="4"/>
  <c r="X193" i="4"/>
  <c r="BQ192" i="4"/>
  <c r="BP192" i="4"/>
  <c r="AU192" i="4"/>
  <c r="AT192" i="4"/>
  <c r="Y192" i="4"/>
  <c r="X192" i="4"/>
  <c r="BQ191" i="4"/>
  <c r="BP191" i="4"/>
  <c r="AU191" i="4"/>
  <c r="AT191" i="4"/>
  <c r="Y191" i="4"/>
  <c r="X191" i="4"/>
  <c r="BQ190" i="4"/>
  <c r="BP190" i="4"/>
  <c r="AU190" i="4"/>
  <c r="AT190" i="4"/>
  <c r="Y190" i="4"/>
  <c r="X190" i="4"/>
  <c r="BQ189" i="4"/>
  <c r="BP189" i="4"/>
  <c r="AU189" i="4"/>
  <c r="AT189" i="4"/>
  <c r="Y189" i="4"/>
  <c r="X189" i="4"/>
  <c r="CD188" i="4"/>
  <c r="CB188" i="4"/>
  <c r="CA188" i="4"/>
  <c r="BZ188" i="4"/>
  <c r="BY188" i="4"/>
  <c r="BT188" i="4"/>
  <c r="BU188" i="4" s="1"/>
  <c r="BS188" i="4"/>
  <c r="BV188" i="4" s="1"/>
  <c r="BQ188" i="4"/>
  <c r="BP188" i="4"/>
  <c r="BG188" i="4"/>
  <c r="BF188" i="4"/>
  <c r="BE188" i="4"/>
  <c r="BC188" i="4"/>
  <c r="BB188" i="4"/>
  <c r="AX188" i="4"/>
  <c r="AY188" i="4" s="1"/>
  <c r="AW188" i="4"/>
  <c r="AZ188" i="4" s="1"/>
  <c r="AU188" i="4"/>
  <c r="AT188" i="4"/>
  <c r="AK188" i="4"/>
  <c r="AI188" i="4"/>
  <c r="AH188" i="4"/>
  <c r="AF188" i="4"/>
  <c r="AB188" i="4"/>
  <c r="AC188" i="4" s="1"/>
  <c r="AA188" i="4"/>
  <c r="AD188" i="4" s="1"/>
  <c r="Y188" i="4"/>
  <c r="X188" i="4"/>
  <c r="BQ187" i="4"/>
  <c r="BP187" i="4"/>
  <c r="AU187" i="4"/>
  <c r="AT187" i="4"/>
  <c r="Y187" i="4"/>
  <c r="X187" i="4"/>
  <c r="BQ186" i="4"/>
  <c r="BP186" i="4"/>
  <c r="AU186" i="4"/>
  <c r="AT186" i="4"/>
  <c r="Y186" i="4"/>
  <c r="X186" i="4"/>
  <c r="BQ185" i="4"/>
  <c r="BP185" i="4"/>
  <c r="AU185" i="4"/>
  <c r="AT185" i="4"/>
  <c r="Y185" i="4"/>
  <c r="X185" i="4"/>
  <c r="BQ184" i="4"/>
  <c r="BP184" i="4"/>
  <c r="AU184" i="4"/>
  <c r="AT184" i="4"/>
  <c r="Y184" i="4"/>
  <c r="X184" i="4"/>
  <c r="BQ183" i="4"/>
  <c r="BP183" i="4"/>
  <c r="AU183" i="4"/>
  <c r="AT183" i="4"/>
  <c r="Y183" i="4"/>
  <c r="X183" i="4"/>
  <c r="CC182" i="4"/>
  <c r="CB182" i="4"/>
  <c r="BT182" i="4"/>
  <c r="BU182" i="4" s="1"/>
  <c r="BS182" i="4"/>
  <c r="BV182" i="4" s="1"/>
  <c r="BQ182" i="4"/>
  <c r="BP182" i="4"/>
  <c r="BF182" i="4"/>
  <c r="BE182" i="4"/>
  <c r="AX182" i="4"/>
  <c r="AY182" i="4" s="1"/>
  <c r="AW182" i="4"/>
  <c r="AZ182" i="4" s="1"/>
  <c r="AU182" i="4"/>
  <c r="AT182" i="4"/>
  <c r="AI182" i="4"/>
  <c r="AB182" i="4"/>
  <c r="AC182" i="4" s="1"/>
  <c r="AA182" i="4"/>
  <c r="AD182" i="4" s="1"/>
  <c r="Y182" i="4"/>
  <c r="X182" i="4"/>
  <c r="BQ181" i="4"/>
  <c r="BP181" i="4"/>
  <c r="AU181" i="4"/>
  <c r="AT181" i="4"/>
  <c r="Y181" i="4"/>
  <c r="X181" i="4"/>
  <c r="BQ180" i="4"/>
  <c r="BP180" i="4"/>
  <c r="AU180" i="4"/>
  <c r="AT180" i="4"/>
  <c r="Y180" i="4"/>
  <c r="X180" i="4"/>
  <c r="BQ179" i="4"/>
  <c r="BP179" i="4"/>
  <c r="AU179" i="4"/>
  <c r="AT179" i="4"/>
  <c r="Y179" i="4"/>
  <c r="X179" i="4"/>
  <c r="CD178" i="4"/>
  <c r="CB178" i="4"/>
  <c r="BT178" i="4"/>
  <c r="BU178" i="4" s="1"/>
  <c r="BS178" i="4"/>
  <c r="BV178" i="4" s="1"/>
  <c r="BQ178" i="4"/>
  <c r="BP178" i="4"/>
  <c r="BG178" i="4"/>
  <c r="BF178" i="4"/>
  <c r="BE178" i="4"/>
  <c r="AX178" i="4"/>
  <c r="AY178" i="4" s="1"/>
  <c r="AW178" i="4"/>
  <c r="AZ178" i="4" s="1"/>
  <c r="AU178" i="4"/>
  <c r="AT178" i="4"/>
  <c r="AK178" i="4"/>
  <c r="AI178" i="4"/>
  <c r="AB178" i="4"/>
  <c r="AC178" i="4" s="1"/>
  <c r="AA178" i="4"/>
  <c r="AD178" i="4" s="1"/>
  <c r="Y178" i="4"/>
  <c r="X178" i="4"/>
  <c r="BQ177" i="4"/>
  <c r="BP177" i="4"/>
  <c r="AU177" i="4"/>
  <c r="AT177" i="4"/>
  <c r="Y177" i="4"/>
  <c r="X177" i="4"/>
  <c r="BQ176" i="4"/>
  <c r="BP176" i="4"/>
  <c r="AU176" i="4"/>
  <c r="AT176" i="4"/>
  <c r="Y176" i="4"/>
  <c r="X176" i="4"/>
  <c r="BQ175" i="4"/>
  <c r="BP175" i="4"/>
  <c r="AU175" i="4"/>
  <c r="AT175" i="4"/>
  <c r="Y175" i="4"/>
  <c r="X175" i="4"/>
  <c r="BQ174" i="4"/>
  <c r="BP174" i="4"/>
  <c r="AU174" i="4"/>
  <c r="AT174" i="4"/>
  <c r="Y174" i="4"/>
  <c r="X174" i="4"/>
  <c r="CD173" i="4"/>
  <c r="CB173" i="4"/>
  <c r="BT173" i="4"/>
  <c r="BU173" i="4" s="1"/>
  <c r="BS173" i="4"/>
  <c r="BV173" i="4" s="1"/>
  <c r="BQ173" i="4"/>
  <c r="BP173" i="4"/>
  <c r="BG173" i="4"/>
  <c r="BF173" i="4"/>
  <c r="BE173" i="4"/>
  <c r="AX173" i="4"/>
  <c r="AY173" i="4" s="1"/>
  <c r="AW173" i="4"/>
  <c r="AZ173" i="4" s="1"/>
  <c r="AU173" i="4"/>
  <c r="AT173" i="4"/>
  <c r="AK173" i="4"/>
  <c r="AI173" i="4"/>
  <c r="AB173" i="4"/>
  <c r="AC173" i="4" s="1"/>
  <c r="AA173" i="4"/>
  <c r="AD173" i="4" s="1"/>
  <c r="Y173" i="4"/>
  <c r="X173" i="4"/>
  <c r="BQ172" i="4"/>
  <c r="BP172" i="4"/>
  <c r="AU172" i="4"/>
  <c r="AT172" i="4"/>
  <c r="Y172" i="4"/>
  <c r="X172" i="4"/>
  <c r="BQ171" i="4"/>
  <c r="BP171" i="4"/>
  <c r="AU171" i="4"/>
  <c r="AT171" i="4"/>
  <c r="Y171" i="4"/>
  <c r="X171" i="4"/>
  <c r="BQ170" i="4"/>
  <c r="BP170" i="4"/>
  <c r="AU170" i="4"/>
  <c r="AT170" i="4"/>
  <c r="Y170" i="4"/>
  <c r="X170" i="4"/>
  <c r="BQ169" i="4"/>
  <c r="BP169" i="4"/>
  <c r="AU169" i="4"/>
  <c r="AT169" i="4"/>
  <c r="Y169" i="4"/>
  <c r="X169" i="4"/>
  <c r="BQ168" i="4"/>
  <c r="BP168" i="4"/>
  <c r="AU168" i="4"/>
  <c r="AT168" i="4"/>
  <c r="Y168" i="4"/>
  <c r="X168" i="4"/>
  <c r="CD167" i="4"/>
  <c r="CB167" i="4"/>
  <c r="BT167" i="4"/>
  <c r="BU167" i="4" s="1"/>
  <c r="BS167" i="4"/>
  <c r="BV167" i="4" s="1"/>
  <c r="BQ167" i="4"/>
  <c r="BP167" i="4"/>
  <c r="BG167" i="4"/>
  <c r="BF167" i="4"/>
  <c r="BE167" i="4"/>
  <c r="AX167" i="4"/>
  <c r="AY167" i="4" s="1"/>
  <c r="AW167" i="4"/>
  <c r="AZ167" i="4" s="1"/>
  <c r="AU167" i="4"/>
  <c r="AT167" i="4"/>
  <c r="AK167" i="4"/>
  <c r="AI167" i="4"/>
  <c r="AB167" i="4"/>
  <c r="AC167" i="4" s="1"/>
  <c r="AA167" i="4"/>
  <c r="AD167" i="4" s="1"/>
  <c r="Y167" i="4"/>
  <c r="X167" i="4"/>
  <c r="BQ166" i="4"/>
  <c r="BP166" i="4"/>
  <c r="AU166" i="4"/>
  <c r="AT166" i="4"/>
  <c r="Y166" i="4"/>
  <c r="X166" i="4"/>
  <c r="BQ165" i="4"/>
  <c r="BP165" i="4"/>
  <c r="AU165" i="4"/>
  <c r="AT165" i="4"/>
  <c r="Y165" i="4"/>
  <c r="X165" i="4"/>
  <c r="BQ164" i="4"/>
  <c r="BP164" i="4"/>
  <c r="AU164" i="4"/>
  <c r="AT164" i="4"/>
  <c r="Y164" i="4"/>
  <c r="X164" i="4"/>
  <c r="BQ163" i="4"/>
  <c r="BP163" i="4"/>
  <c r="AU163" i="4"/>
  <c r="AT163" i="4"/>
  <c r="Y163" i="4"/>
  <c r="X163" i="4"/>
  <c r="BQ162" i="4"/>
  <c r="BP162" i="4"/>
  <c r="AU162" i="4"/>
  <c r="AT162" i="4"/>
  <c r="Y162" i="4"/>
  <c r="X162" i="4"/>
  <c r="CD161" i="4"/>
  <c r="CB161" i="4"/>
  <c r="CA161" i="4"/>
  <c r="BZ161" i="4"/>
  <c r="BY161" i="4"/>
  <c r="BT161" i="4"/>
  <c r="BU161" i="4" s="1"/>
  <c r="BS161" i="4"/>
  <c r="BV161" i="4" s="1"/>
  <c r="BQ161" i="4"/>
  <c r="BP161" i="4"/>
  <c r="BG161" i="4"/>
  <c r="BF161" i="4"/>
  <c r="BE161" i="4"/>
  <c r="BC161" i="4"/>
  <c r="BB161" i="4"/>
  <c r="AX161" i="4"/>
  <c r="AY161" i="4" s="1"/>
  <c r="AW161" i="4"/>
  <c r="AZ161" i="4" s="1"/>
  <c r="AU161" i="4"/>
  <c r="AT161" i="4"/>
  <c r="AK161" i="4"/>
  <c r="AI161" i="4"/>
  <c r="AH161" i="4"/>
  <c r="AF161" i="4"/>
  <c r="AB161" i="4"/>
  <c r="AC161" i="4" s="1"/>
  <c r="AA161" i="4"/>
  <c r="AD161" i="4" s="1"/>
  <c r="Y161" i="4"/>
  <c r="X161" i="4"/>
  <c r="BQ160" i="4"/>
  <c r="BP160" i="4"/>
  <c r="AU160" i="4"/>
  <c r="AT160" i="4"/>
  <c r="Y160" i="4"/>
  <c r="X160" i="4"/>
  <c r="CB159" i="4"/>
  <c r="BT159" i="4"/>
  <c r="BU159" i="4" s="1"/>
  <c r="BV159" i="4"/>
  <c r="BQ159" i="4"/>
  <c r="BP159" i="4"/>
  <c r="BG159" i="4"/>
  <c r="BF159" i="4"/>
  <c r="BE159" i="4"/>
  <c r="AX159" i="4"/>
  <c r="AY159" i="4" s="1"/>
  <c r="AW159" i="4"/>
  <c r="AZ159" i="4" s="1"/>
  <c r="AU159" i="4"/>
  <c r="AT159" i="4"/>
  <c r="AK159" i="4"/>
  <c r="AI159" i="4"/>
  <c r="AB159" i="4"/>
  <c r="AC159" i="4" s="1"/>
  <c r="AA159" i="4"/>
  <c r="AD159" i="4" s="1"/>
  <c r="Y159" i="4"/>
  <c r="X159" i="4"/>
  <c r="BQ158" i="4"/>
  <c r="BP158" i="4"/>
  <c r="AU158" i="4"/>
  <c r="AT158" i="4"/>
  <c r="Y158" i="4"/>
  <c r="X158" i="4"/>
  <c r="BQ157" i="4"/>
  <c r="BP157" i="4"/>
  <c r="AU157" i="4"/>
  <c r="AT157" i="4"/>
  <c r="Y157" i="4"/>
  <c r="X157" i="4"/>
  <c r="BQ156" i="4"/>
  <c r="BP156" i="4"/>
  <c r="AU156" i="4"/>
  <c r="AT156" i="4"/>
  <c r="Y156" i="4"/>
  <c r="X156" i="4"/>
  <c r="CD155" i="4"/>
  <c r="CB155" i="4"/>
  <c r="BT155" i="4"/>
  <c r="BU155" i="4" s="1"/>
  <c r="BS155" i="4"/>
  <c r="BV155" i="4" s="1"/>
  <c r="BQ155" i="4"/>
  <c r="BP155" i="4"/>
  <c r="BF155" i="4"/>
  <c r="BE155" i="4"/>
  <c r="AX155" i="4"/>
  <c r="AY155" i="4" s="1"/>
  <c r="AW155" i="4"/>
  <c r="AZ155" i="4" s="1"/>
  <c r="AU155" i="4"/>
  <c r="AT155" i="4"/>
  <c r="AK155" i="4"/>
  <c r="AI155" i="4"/>
  <c r="AB155" i="4"/>
  <c r="AC155" i="4" s="1"/>
  <c r="AA155" i="4"/>
  <c r="AD155" i="4" s="1"/>
  <c r="Y155" i="4"/>
  <c r="X155" i="4"/>
  <c r="BQ154" i="4"/>
  <c r="BP154" i="4"/>
  <c r="AU154" i="4"/>
  <c r="AT154" i="4"/>
  <c r="Y154" i="4"/>
  <c r="X154" i="4"/>
  <c r="BQ153" i="4"/>
  <c r="BP153" i="4"/>
  <c r="AU153" i="4"/>
  <c r="AT153" i="4"/>
  <c r="Y153" i="4"/>
  <c r="X153" i="4"/>
  <c r="BQ152" i="4"/>
  <c r="BP152" i="4"/>
  <c r="AU152" i="4"/>
  <c r="AT152" i="4"/>
  <c r="Y152" i="4"/>
  <c r="X152" i="4"/>
  <c r="BQ151" i="4"/>
  <c r="BP151" i="4"/>
  <c r="AU151" i="4"/>
  <c r="AT151" i="4"/>
  <c r="Y151" i="4"/>
  <c r="X151" i="4"/>
  <c r="BQ150" i="4"/>
  <c r="BP150" i="4"/>
  <c r="AU150" i="4"/>
  <c r="AT150" i="4"/>
  <c r="Y150" i="4"/>
  <c r="X150" i="4"/>
  <c r="CD149" i="4"/>
  <c r="CC149" i="4"/>
  <c r="CB149" i="4"/>
  <c r="BT149" i="4"/>
  <c r="BU149" i="4" s="1"/>
  <c r="BS149" i="4"/>
  <c r="BV149" i="4" s="1"/>
  <c r="BQ149" i="4"/>
  <c r="BP149" i="4"/>
  <c r="BG149" i="4"/>
  <c r="BF149" i="4"/>
  <c r="BE149" i="4"/>
  <c r="AX149" i="4"/>
  <c r="AY149" i="4" s="1"/>
  <c r="AW149" i="4"/>
  <c r="AZ149" i="4" s="1"/>
  <c r="AU149" i="4"/>
  <c r="AT149" i="4"/>
  <c r="AK149" i="4"/>
  <c r="AI149" i="4"/>
  <c r="AB149" i="4"/>
  <c r="AC149" i="4" s="1"/>
  <c r="AA149" i="4"/>
  <c r="AD149" i="4" s="1"/>
  <c r="Y149" i="4"/>
  <c r="X149" i="4"/>
  <c r="BQ148" i="4"/>
  <c r="BP148" i="4"/>
  <c r="AU148" i="4"/>
  <c r="AT148" i="4"/>
  <c r="Y148" i="4"/>
  <c r="X148" i="4"/>
  <c r="BQ147" i="4"/>
  <c r="BP147" i="4"/>
  <c r="AU147" i="4"/>
  <c r="AT147" i="4"/>
  <c r="Y147" i="4"/>
  <c r="X147" i="4"/>
  <c r="BQ146" i="4"/>
  <c r="BP146" i="4"/>
  <c r="AU146" i="4"/>
  <c r="AT146" i="4"/>
  <c r="Y146" i="4"/>
  <c r="X146" i="4"/>
  <c r="BQ145" i="4"/>
  <c r="BP145" i="4"/>
  <c r="AU145" i="4"/>
  <c r="AT145" i="4"/>
  <c r="Y145" i="4"/>
  <c r="X145" i="4"/>
  <c r="BQ144" i="4"/>
  <c r="BP144" i="4"/>
  <c r="AU144" i="4"/>
  <c r="AT144" i="4"/>
  <c r="Y144" i="4"/>
  <c r="X144" i="4"/>
  <c r="CD143" i="4"/>
  <c r="CB143" i="4"/>
  <c r="BT143" i="4"/>
  <c r="BU143" i="4" s="1"/>
  <c r="BS143" i="4"/>
  <c r="BV143" i="4" s="1"/>
  <c r="BQ143" i="4"/>
  <c r="BP143" i="4"/>
  <c r="BG143" i="4"/>
  <c r="BF143" i="4"/>
  <c r="BE143" i="4"/>
  <c r="AX143" i="4"/>
  <c r="AY143" i="4" s="1"/>
  <c r="AW143" i="4"/>
  <c r="AZ143" i="4" s="1"/>
  <c r="AU143" i="4"/>
  <c r="AT143" i="4"/>
  <c r="AK143" i="4"/>
  <c r="AI143" i="4"/>
  <c r="AB143" i="4"/>
  <c r="AC143" i="4" s="1"/>
  <c r="AA143" i="4"/>
  <c r="AD143" i="4" s="1"/>
  <c r="Y143" i="4"/>
  <c r="X143" i="4"/>
  <c r="BQ142" i="4"/>
  <c r="BP142" i="4"/>
  <c r="AU142" i="4"/>
  <c r="AT142" i="4"/>
  <c r="Y142" i="4"/>
  <c r="X142" i="4"/>
  <c r="BQ141" i="4"/>
  <c r="BP141" i="4"/>
  <c r="AU141" i="4"/>
  <c r="AT141" i="4"/>
  <c r="Y141" i="4"/>
  <c r="X141" i="4"/>
  <c r="BQ140" i="4"/>
  <c r="BP140" i="4"/>
  <c r="AU140" i="4"/>
  <c r="AT140" i="4"/>
  <c r="Y140" i="4"/>
  <c r="X140" i="4"/>
  <c r="BQ139" i="4"/>
  <c r="BP139" i="4"/>
  <c r="AU139" i="4"/>
  <c r="AT139" i="4"/>
  <c r="Y139" i="4"/>
  <c r="X139" i="4"/>
  <c r="CD138" i="4"/>
  <c r="CC138" i="4"/>
  <c r="BT138" i="4"/>
  <c r="BU138" i="4" s="1"/>
  <c r="BS138" i="4"/>
  <c r="BV138" i="4" s="1"/>
  <c r="BQ138" i="4"/>
  <c r="BP138" i="4"/>
  <c r="BG138" i="4"/>
  <c r="BF138" i="4"/>
  <c r="AX138" i="4"/>
  <c r="AY138" i="4" s="1"/>
  <c r="AW138" i="4"/>
  <c r="AZ138" i="4" s="1"/>
  <c r="AU138" i="4"/>
  <c r="AT138" i="4"/>
  <c r="AB138" i="4"/>
  <c r="AC138" i="4" s="1"/>
  <c r="AA138" i="4"/>
  <c r="AD138" i="4" s="1"/>
  <c r="Y138" i="4"/>
  <c r="X138" i="4"/>
  <c r="BQ137" i="4"/>
  <c r="BP137" i="4"/>
  <c r="AU137" i="4"/>
  <c r="AT137" i="4"/>
  <c r="Y137" i="4"/>
  <c r="X137" i="4"/>
  <c r="BQ136" i="4"/>
  <c r="BP136" i="4"/>
  <c r="AU136" i="4"/>
  <c r="AT136" i="4"/>
  <c r="Y136" i="4"/>
  <c r="X136" i="4"/>
  <c r="BQ135" i="4"/>
  <c r="BP135" i="4"/>
  <c r="AU135" i="4"/>
  <c r="AT135" i="4"/>
  <c r="Y135" i="4"/>
  <c r="X135" i="4"/>
  <c r="BQ134" i="4"/>
  <c r="BP134" i="4"/>
  <c r="AU134" i="4"/>
  <c r="AT134" i="4"/>
  <c r="Y134" i="4"/>
  <c r="X134" i="4"/>
  <c r="BQ133" i="4"/>
  <c r="BP133" i="4"/>
  <c r="AU133" i="4"/>
  <c r="AT133" i="4"/>
  <c r="Y133" i="4"/>
  <c r="X133" i="4"/>
  <c r="CD132" i="4"/>
  <c r="CC132" i="4"/>
  <c r="BT132" i="4"/>
  <c r="BU132" i="4" s="1"/>
  <c r="BS132" i="4"/>
  <c r="BV132" i="4" s="1"/>
  <c r="BQ132" i="4"/>
  <c r="BP132" i="4"/>
  <c r="BG132" i="4"/>
  <c r="AX132" i="4"/>
  <c r="AY132" i="4" s="1"/>
  <c r="AW132" i="4"/>
  <c r="AZ132" i="4" s="1"/>
  <c r="AU132" i="4"/>
  <c r="AT132" i="4"/>
  <c r="AB132" i="4"/>
  <c r="AC132" i="4" s="1"/>
  <c r="AA132" i="4"/>
  <c r="AD132" i="4" s="1"/>
  <c r="Y132" i="4"/>
  <c r="X132" i="4"/>
  <c r="BQ131" i="4"/>
  <c r="BP131" i="4"/>
  <c r="AU131" i="4"/>
  <c r="AT131" i="4"/>
  <c r="Y131" i="4"/>
  <c r="X131" i="4"/>
  <c r="BQ130" i="4"/>
  <c r="BP130" i="4"/>
  <c r="AU130" i="4"/>
  <c r="AT130" i="4"/>
  <c r="Y130" i="4"/>
  <c r="X130" i="4"/>
  <c r="BT129" i="4"/>
  <c r="BU129" i="4" s="1"/>
  <c r="BS129" i="4"/>
  <c r="CA129" i="4" s="1"/>
  <c r="BQ129" i="4"/>
  <c r="BP129" i="4"/>
  <c r="AX129" i="4"/>
  <c r="AY129" i="4" s="1"/>
  <c r="AW129" i="4"/>
  <c r="AZ129" i="4" s="1"/>
  <c r="AU129" i="4"/>
  <c r="AT129" i="4"/>
  <c r="AP129" i="4"/>
  <c r="AB129" i="4"/>
  <c r="AC129" i="4" s="1"/>
  <c r="AA129" i="4"/>
  <c r="AD129" i="4" s="1"/>
  <c r="Y129" i="4"/>
  <c r="X129" i="4"/>
  <c r="BQ128" i="4"/>
  <c r="BP128" i="4"/>
  <c r="AU128" i="4"/>
  <c r="AT128" i="4"/>
  <c r="Y128" i="4"/>
  <c r="X128" i="4"/>
  <c r="BQ127" i="4"/>
  <c r="BP127" i="4"/>
  <c r="AU127" i="4"/>
  <c r="AT127" i="4"/>
  <c r="Y127" i="4"/>
  <c r="X127" i="4"/>
  <c r="BT126" i="4"/>
  <c r="BU126" i="4" s="1"/>
  <c r="BS126" i="4"/>
  <c r="CA126" i="4" s="1"/>
  <c r="BQ126" i="4"/>
  <c r="BP126" i="4"/>
  <c r="AX126" i="4"/>
  <c r="AY126" i="4" s="1"/>
  <c r="AW126" i="4"/>
  <c r="AZ126" i="4" s="1"/>
  <c r="AU126" i="4"/>
  <c r="AT126" i="4"/>
  <c r="AP126" i="4"/>
  <c r="AB126" i="4"/>
  <c r="AC126" i="4" s="1"/>
  <c r="AA126" i="4"/>
  <c r="AD126" i="4" s="1"/>
  <c r="Y126" i="4"/>
  <c r="X126" i="4"/>
  <c r="BQ125" i="4"/>
  <c r="BP125" i="4"/>
  <c r="AU125" i="4"/>
  <c r="AT125" i="4"/>
  <c r="Y125" i="4"/>
  <c r="X125" i="4"/>
  <c r="BQ124" i="4"/>
  <c r="BP124" i="4"/>
  <c r="AU124" i="4"/>
  <c r="AT124" i="4"/>
  <c r="Y124" i="4"/>
  <c r="X124" i="4"/>
  <c r="BT123" i="4"/>
  <c r="BU123" i="4" s="1"/>
  <c r="BS123" i="4"/>
  <c r="CA123" i="4" s="1"/>
  <c r="BQ123" i="4"/>
  <c r="BP123" i="4"/>
  <c r="AX123" i="4"/>
  <c r="AY123" i="4" s="1"/>
  <c r="AW123" i="4"/>
  <c r="AZ123" i="4" s="1"/>
  <c r="AU123" i="4"/>
  <c r="AT123" i="4"/>
  <c r="AP123" i="4"/>
  <c r="AB123" i="4"/>
  <c r="AC123" i="4" s="1"/>
  <c r="AA123" i="4"/>
  <c r="AD123" i="4" s="1"/>
  <c r="Y123" i="4"/>
  <c r="X123" i="4"/>
  <c r="BQ122" i="4"/>
  <c r="BP122" i="4"/>
  <c r="AU122" i="4"/>
  <c r="AT122" i="4"/>
  <c r="Y122" i="4"/>
  <c r="X122" i="4"/>
  <c r="BQ121" i="4"/>
  <c r="BP121" i="4"/>
  <c r="AU121" i="4"/>
  <c r="AT121" i="4"/>
  <c r="Y121" i="4"/>
  <c r="X121" i="4"/>
  <c r="BT120" i="4"/>
  <c r="BU120" i="4" s="1"/>
  <c r="BS120" i="4"/>
  <c r="CA120" i="4" s="1"/>
  <c r="BQ120" i="4"/>
  <c r="BP120" i="4"/>
  <c r="AX120" i="4"/>
  <c r="AY120" i="4" s="1"/>
  <c r="AW120" i="4"/>
  <c r="AZ120" i="4" s="1"/>
  <c r="AU120" i="4"/>
  <c r="AT120" i="4"/>
  <c r="AP120" i="4"/>
  <c r="AB120" i="4"/>
  <c r="AC120" i="4" s="1"/>
  <c r="AA120" i="4"/>
  <c r="AD120" i="4" s="1"/>
  <c r="Y120" i="4"/>
  <c r="X120" i="4"/>
  <c r="BQ119" i="4"/>
  <c r="BP119" i="4"/>
  <c r="AU119" i="4"/>
  <c r="AT119" i="4"/>
  <c r="Y119" i="4"/>
  <c r="X119" i="4"/>
  <c r="BQ118" i="4"/>
  <c r="BP118" i="4"/>
  <c r="AU118" i="4"/>
  <c r="AT118" i="4"/>
  <c r="Y118" i="4"/>
  <c r="X118" i="4"/>
  <c r="BT117" i="4"/>
  <c r="BU117" i="4" s="1"/>
  <c r="BS117" i="4"/>
  <c r="CA117" i="4" s="1"/>
  <c r="BQ117" i="4"/>
  <c r="BP117" i="4"/>
  <c r="AX117" i="4"/>
  <c r="AY117" i="4" s="1"/>
  <c r="AW117" i="4"/>
  <c r="AZ117" i="4" s="1"/>
  <c r="AU117" i="4"/>
  <c r="AT117" i="4"/>
  <c r="AP117" i="4"/>
  <c r="AB117" i="4"/>
  <c r="AC117" i="4" s="1"/>
  <c r="AA117" i="4"/>
  <c r="AD117" i="4" s="1"/>
  <c r="Y117" i="4"/>
  <c r="X117" i="4"/>
  <c r="BQ116" i="4"/>
  <c r="BP116" i="4"/>
  <c r="AU116" i="4"/>
  <c r="AT116" i="4"/>
  <c r="Y116" i="4"/>
  <c r="X116" i="4"/>
  <c r="BQ115" i="4"/>
  <c r="BP115" i="4"/>
  <c r="AU115" i="4"/>
  <c r="AT115" i="4"/>
  <c r="Y115" i="4"/>
  <c r="X115" i="4"/>
  <c r="BT114" i="4"/>
  <c r="BU114" i="4" s="1"/>
  <c r="BS114" i="4"/>
  <c r="CA114" i="4" s="1"/>
  <c r="BQ114" i="4"/>
  <c r="BP114" i="4"/>
  <c r="AX114" i="4"/>
  <c r="AY114" i="4" s="1"/>
  <c r="AW114" i="4"/>
  <c r="AZ114" i="4" s="1"/>
  <c r="AU114" i="4"/>
  <c r="AT114" i="4"/>
  <c r="AP114" i="4"/>
  <c r="AB114" i="4"/>
  <c r="AC114" i="4" s="1"/>
  <c r="AA114" i="4"/>
  <c r="AD114" i="4" s="1"/>
  <c r="Y114" i="4"/>
  <c r="X114" i="4"/>
  <c r="BQ113" i="4"/>
  <c r="BP113" i="4"/>
  <c r="AU113" i="4"/>
  <c r="AT113" i="4"/>
  <c r="Y113" i="4"/>
  <c r="X113" i="4"/>
  <c r="BQ112" i="4"/>
  <c r="BP112" i="4"/>
  <c r="AU112" i="4"/>
  <c r="AT112" i="4"/>
  <c r="Y112" i="4"/>
  <c r="X112" i="4"/>
  <c r="BT111" i="4"/>
  <c r="BU111" i="4" s="1"/>
  <c r="BS111" i="4"/>
  <c r="CA111" i="4" s="1"/>
  <c r="BQ111" i="4"/>
  <c r="BP111" i="4"/>
  <c r="AX111" i="4"/>
  <c r="AY111" i="4" s="1"/>
  <c r="AW111" i="4"/>
  <c r="AZ111" i="4" s="1"/>
  <c r="AU111" i="4"/>
  <c r="AT111" i="4"/>
  <c r="AP111" i="4"/>
  <c r="AB111" i="4"/>
  <c r="AC111" i="4" s="1"/>
  <c r="AA111" i="4"/>
  <c r="AD111" i="4" s="1"/>
  <c r="Y111" i="4"/>
  <c r="X111" i="4"/>
  <c r="BQ110" i="4"/>
  <c r="BP110" i="4"/>
  <c r="AU110" i="4"/>
  <c r="AT110" i="4"/>
  <c r="Y110" i="4"/>
  <c r="X110" i="4"/>
  <c r="BQ109" i="4"/>
  <c r="BP109" i="4"/>
  <c r="AU109" i="4"/>
  <c r="AT109" i="4"/>
  <c r="Y109" i="4"/>
  <c r="X109" i="4"/>
  <c r="BT108" i="4"/>
  <c r="BU108" i="4" s="1"/>
  <c r="BS108" i="4"/>
  <c r="CA108" i="4" s="1"/>
  <c r="BQ108" i="4"/>
  <c r="BP108" i="4"/>
  <c r="AX108" i="4"/>
  <c r="AY108" i="4" s="1"/>
  <c r="AW108" i="4"/>
  <c r="AZ108" i="4" s="1"/>
  <c r="AU108" i="4"/>
  <c r="AT108" i="4"/>
  <c r="AP108" i="4"/>
  <c r="AB108" i="4"/>
  <c r="AC108" i="4" s="1"/>
  <c r="AA108" i="4"/>
  <c r="AD108" i="4" s="1"/>
  <c r="Y108" i="4"/>
  <c r="X108" i="4"/>
  <c r="BQ107" i="4"/>
  <c r="BP107" i="4"/>
  <c r="AU107" i="4"/>
  <c r="AT107" i="4"/>
  <c r="Y107" i="4"/>
  <c r="X107" i="4"/>
  <c r="BQ106" i="4"/>
  <c r="BP106" i="4"/>
  <c r="AU106" i="4"/>
  <c r="AT106" i="4"/>
  <c r="Y106" i="4"/>
  <c r="X106" i="4"/>
  <c r="BT105" i="4"/>
  <c r="BU105" i="4" s="1"/>
  <c r="BS105" i="4"/>
  <c r="CA105" i="4" s="1"/>
  <c r="BQ105" i="4"/>
  <c r="BP105" i="4"/>
  <c r="AX105" i="4"/>
  <c r="AY105" i="4" s="1"/>
  <c r="AW105" i="4"/>
  <c r="AZ105" i="4" s="1"/>
  <c r="AU105" i="4"/>
  <c r="AT105" i="4"/>
  <c r="AP105" i="4"/>
  <c r="AB105" i="4"/>
  <c r="AC105" i="4" s="1"/>
  <c r="AA105" i="4"/>
  <c r="AD105" i="4" s="1"/>
  <c r="Y105" i="4"/>
  <c r="X105" i="4"/>
  <c r="BQ104" i="4"/>
  <c r="BP104" i="4"/>
  <c r="AU104" i="4"/>
  <c r="AT104" i="4"/>
  <c r="Y104" i="4"/>
  <c r="X104" i="4"/>
  <c r="BQ103" i="4"/>
  <c r="BP103" i="4"/>
  <c r="AU103" i="4"/>
  <c r="AT103" i="4"/>
  <c r="Y103" i="4"/>
  <c r="X103" i="4"/>
  <c r="BT102" i="4"/>
  <c r="BU102" i="4" s="1"/>
  <c r="BS102" i="4"/>
  <c r="CA102" i="4" s="1"/>
  <c r="BQ102" i="4"/>
  <c r="BP102" i="4"/>
  <c r="AX102" i="4"/>
  <c r="AY102" i="4" s="1"/>
  <c r="AW102" i="4"/>
  <c r="AZ102" i="4" s="1"/>
  <c r="AU102" i="4"/>
  <c r="AT102" i="4"/>
  <c r="AP102" i="4"/>
  <c r="AB102" i="4"/>
  <c r="AC102" i="4" s="1"/>
  <c r="AA102" i="4"/>
  <c r="AD102" i="4" s="1"/>
  <c r="Y102" i="4"/>
  <c r="X102" i="4"/>
  <c r="BQ101" i="4"/>
  <c r="BP101" i="4"/>
  <c r="AU101" i="4"/>
  <c r="AT101" i="4"/>
  <c r="Y101" i="4"/>
  <c r="X101" i="4"/>
  <c r="BT100" i="4"/>
  <c r="BU100" i="4" s="1"/>
  <c r="BS100" i="4"/>
  <c r="BV100" i="4" s="1"/>
  <c r="BQ100" i="4"/>
  <c r="BP100" i="4"/>
  <c r="AX100" i="4"/>
  <c r="AY100" i="4" s="1"/>
  <c r="AW100" i="4"/>
  <c r="AZ100" i="4" s="1"/>
  <c r="AU100" i="4"/>
  <c r="AT100" i="4"/>
  <c r="AP100" i="4"/>
  <c r="AB100" i="4"/>
  <c r="AC100" i="4" s="1"/>
  <c r="AA100" i="4"/>
  <c r="AD100" i="4" s="1"/>
  <c r="Y100" i="4"/>
  <c r="X100" i="4"/>
  <c r="BT99" i="4"/>
  <c r="BS99" i="4"/>
  <c r="BQ99" i="4"/>
  <c r="BP99" i="4"/>
  <c r="AX99" i="4"/>
  <c r="AW99" i="4"/>
  <c r="AU99" i="4"/>
  <c r="AT99" i="4"/>
  <c r="Y99" i="4"/>
  <c r="X99" i="4"/>
  <c r="BQ98" i="4"/>
  <c r="BP98" i="4"/>
  <c r="AU98" i="4"/>
  <c r="AT98" i="4"/>
  <c r="Y98" i="4"/>
  <c r="X98" i="4"/>
  <c r="BQ97" i="4"/>
  <c r="BP97" i="4"/>
  <c r="AU97" i="4"/>
  <c r="AT97" i="4"/>
  <c r="Y97" i="4"/>
  <c r="X97" i="4"/>
  <c r="BT96" i="4"/>
  <c r="BU96" i="4" s="1"/>
  <c r="BS96" i="4"/>
  <c r="CA96" i="4" s="1"/>
  <c r="BQ96" i="4"/>
  <c r="BP96" i="4"/>
  <c r="AX96" i="4"/>
  <c r="AY96" i="4" s="1"/>
  <c r="AW96" i="4"/>
  <c r="AZ96" i="4" s="1"/>
  <c r="AU96" i="4"/>
  <c r="AT96" i="4"/>
  <c r="AP96" i="4"/>
  <c r="AB96" i="4"/>
  <c r="AC96" i="4" s="1"/>
  <c r="AA96" i="4"/>
  <c r="AD96" i="4" s="1"/>
  <c r="Y96" i="4"/>
  <c r="X96" i="4"/>
  <c r="BQ95" i="4"/>
  <c r="BP95" i="4"/>
  <c r="AU95" i="4"/>
  <c r="AT95" i="4"/>
  <c r="Y95" i="4"/>
  <c r="X95" i="4"/>
  <c r="BQ94" i="4"/>
  <c r="BP94" i="4"/>
  <c r="AU94" i="4"/>
  <c r="AT94" i="4"/>
  <c r="Y94" i="4"/>
  <c r="X94" i="4"/>
  <c r="BT93" i="4"/>
  <c r="BU93" i="4" s="1"/>
  <c r="BS93" i="4"/>
  <c r="CA93" i="4" s="1"/>
  <c r="BQ93" i="4"/>
  <c r="BP93" i="4"/>
  <c r="AX93" i="4"/>
  <c r="AY93" i="4" s="1"/>
  <c r="AW93" i="4"/>
  <c r="AZ93" i="4" s="1"/>
  <c r="AU93" i="4"/>
  <c r="AT93" i="4"/>
  <c r="AP93" i="4"/>
  <c r="AB93" i="4"/>
  <c r="AC93" i="4" s="1"/>
  <c r="AA93" i="4"/>
  <c r="AD93" i="4" s="1"/>
  <c r="Y93" i="4"/>
  <c r="X93" i="4"/>
  <c r="BQ92" i="4"/>
  <c r="BP92" i="4"/>
  <c r="AU92" i="4"/>
  <c r="AT92" i="4"/>
  <c r="Y92" i="4"/>
  <c r="X92" i="4"/>
  <c r="BQ91" i="4"/>
  <c r="BP91" i="4"/>
  <c r="AU91" i="4"/>
  <c r="AT91" i="4"/>
  <c r="Y91" i="4"/>
  <c r="X91" i="4"/>
  <c r="BT90" i="4"/>
  <c r="BU90" i="4" s="1"/>
  <c r="BS90" i="4"/>
  <c r="CA90" i="4" s="1"/>
  <c r="BQ90" i="4"/>
  <c r="BP90" i="4"/>
  <c r="AX90" i="4"/>
  <c r="AY90" i="4" s="1"/>
  <c r="AW90" i="4"/>
  <c r="AZ90" i="4" s="1"/>
  <c r="AU90" i="4"/>
  <c r="AT90" i="4"/>
  <c r="AP90" i="4"/>
  <c r="AB90" i="4"/>
  <c r="AC90" i="4" s="1"/>
  <c r="AA90" i="4"/>
  <c r="AD90" i="4" s="1"/>
  <c r="Y90" i="4"/>
  <c r="X90" i="4"/>
  <c r="BQ89" i="4"/>
  <c r="BP89" i="4"/>
  <c r="AU89" i="4"/>
  <c r="AT89" i="4"/>
  <c r="Y89" i="4"/>
  <c r="X89" i="4"/>
  <c r="BQ88" i="4"/>
  <c r="BP88" i="4"/>
  <c r="AU88" i="4"/>
  <c r="AT88" i="4"/>
  <c r="Y88" i="4"/>
  <c r="X88" i="4"/>
  <c r="BT87" i="4"/>
  <c r="BU87" i="4" s="1"/>
  <c r="BS87" i="4"/>
  <c r="CA87" i="4" s="1"/>
  <c r="BQ87" i="4"/>
  <c r="BP87" i="4"/>
  <c r="AX87" i="4"/>
  <c r="AY87" i="4" s="1"/>
  <c r="AW87" i="4"/>
  <c r="AZ87" i="4" s="1"/>
  <c r="AU87" i="4"/>
  <c r="AT87" i="4"/>
  <c r="AP87" i="4"/>
  <c r="AB87" i="4"/>
  <c r="AC87" i="4" s="1"/>
  <c r="AA87" i="4"/>
  <c r="AD87" i="4" s="1"/>
  <c r="Y87" i="4"/>
  <c r="X87" i="4"/>
  <c r="BQ86" i="4"/>
  <c r="BP86" i="4"/>
  <c r="AU86" i="4"/>
  <c r="AT86" i="4"/>
  <c r="Y86" i="4"/>
  <c r="X86" i="4"/>
  <c r="BQ85" i="4"/>
  <c r="BP85" i="4"/>
  <c r="AU85" i="4"/>
  <c r="AT85" i="4"/>
  <c r="Y85" i="4"/>
  <c r="X85" i="4"/>
  <c r="BT84" i="4"/>
  <c r="BU84" i="4" s="1"/>
  <c r="BS84" i="4"/>
  <c r="CA84" i="4" s="1"/>
  <c r="BQ84" i="4"/>
  <c r="BP84" i="4"/>
  <c r="AX84" i="4"/>
  <c r="AY84" i="4" s="1"/>
  <c r="AW84" i="4"/>
  <c r="AZ84" i="4" s="1"/>
  <c r="AU84" i="4"/>
  <c r="AT84" i="4"/>
  <c r="AP84" i="4"/>
  <c r="AB84" i="4"/>
  <c r="AC84" i="4" s="1"/>
  <c r="AA84" i="4"/>
  <c r="AD84" i="4" s="1"/>
  <c r="Y84" i="4"/>
  <c r="X84" i="4"/>
  <c r="BQ83" i="4"/>
  <c r="BP83" i="4"/>
  <c r="AU83" i="4"/>
  <c r="AT83" i="4"/>
  <c r="Y83" i="4"/>
  <c r="X83" i="4"/>
  <c r="BQ82" i="4"/>
  <c r="BP82" i="4"/>
  <c r="AU82" i="4"/>
  <c r="AT82" i="4"/>
  <c r="Y82" i="4"/>
  <c r="X82" i="4"/>
  <c r="BT81" i="4"/>
  <c r="BU81" i="4" s="1"/>
  <c r="BS81" i="4"/>
  <c r="CA81" i="4" s="1"/>
  <c r="BQ81" i="4"/>
  <c r="BP81" i="4"/>
  <c r="AX81" i="4"/>
  <c r="AY81" i="4" s="1"/>
  <c r="AW81" i="4"/>
  <c r="AZ81" i="4" s="1"/>
  <c r="AU81" i="4"/>
  <c r="AT81" i="4"/>
  <c r="AP81" i="4"/>
  <c r="AB81" i="4"/>
  <c r="AC81" i="4" s="1"/>
  <c r="AA81" i="4"/>
  <c r="AD81" i="4" s="1"/>
  <c r="Y81" i="4"/>
  <c r="X81" i="4"/>
  <c r="BQ80" i="4"/>
  <c r="BP80" i="4"/>
  <c r="AU80" i="4"/>
  <c r="AT80" i="4"/>
  <c r="Y80" i="4"/>
  <c r="X80" i="4"/>
  <c r="BQ79" i="4"/>
  <c r="BP79" i="4"/>
  <c r="AU79" i="4"/>
  <c r="AT79" i="4"/>
  <c r="Y79" i="4"/>
  <c r="X79" i="4"/>
  <c r="BT78" i="4"/>
  <c r="BU78" i="4" s="1"/>
  <c r="BS78" i="4"/>
  <c r="CA78" i="4" s="1"/>
  <c r="BQ78" i="4"/>
  <c r="BP78" i="4"/>
  <c r="AX78" i="4"/>
  <c r="AY78" i="4" s="1"/>
  <c r="AW78" i="4"/>
  <c r="AZ78" i="4" s="1"/>
  <c r="AU78" i="4"/>
  <c r="AT78" i="4"/>
  <c r="AP78" i="4"/>
  <c r="AB78" i="4"/>
  <c r="AC78" i="4" s="1"/>
  <c r="AA78" i="4"/>
  <c r="AD78" i="4" s="1"/>
  <c r="Y78" i="4"/>
  <c r="X78" i="4"/>
  <c r="BQ77" i="4"/>
  <c r="BP77" i="4"/>
  <c r="AU77" i="4"/>
  <c r="AT77" i="4"/>
  <c r="Y77" i="4"/>
  <c r="X77" i="4"/>
  <c r="BQ76" i="4"/>
  <c r="BP76" i="4"/>
  <c r="AU76" i="4"/>
  <c r="AT76" i="4"/>
  <c r="Y76" i="4"/>
  <c r="X76" i="4"/>
  <c r="BT75" i="4"/>
  <c r="BU75" i="4" s="1"/>
  <c r="BS75" i="4"/>
  <c r="CA75" i="4" s="1"/>
  <c r="BQ75" i="4"/>
  <c r="BP75" i="4"/>
  <c r="AX75" i="4"/>
  <c r="AY75" i="4" s="1"/>
  <c r="AW75" i="4"/>
  <c r="AZ75" i="4" s="1"/>
  <c r="AU75" i="4"/>
  <c r="AT75" i="4"/>
  <c r="AP75" i="4"/>
  <c r="AB75" i="4"/>
  <c r="AC75" i="4" s="1"/>
  <c r="AA75" i="4"/>
  <c r="AD75" i="4" s="1"/>
  <c r="Y75" i="4"/>
  <c r="X75" i="4"/>
  <c r="BQ74" i="4"/>
  <c r="BP74" i="4"/>
  <c r="AU74" i="4"/>
  <c r="AT74" i="4"/>
  <c r="Y74" i="4"/>
  <c r="X74" i="4"/>
  <c r="BQ73" i="4"/>
  <c r="BP73" i="4"/>
  <c r="AU73" i="4"/>
  <c r="AT73" i="4"/>
  <c r="Y73" i="4"/>
  <c r="X73" i="4"/>
  <c r="BT72" i="4"/>
  <c r="BU72" i="4" s="1"/>
  <c r="BS72" i="4"/>
  <c r="CA72" i="4" s="1"/>
  <c r="BQ72" i="4"/>
  <c r="BP72" i="4"/>
  <c r="AX72" i="4"/>
  <c r="AY72" i="4" s="1"/>
  <c r="AW72" i="4"/>
  <c r="AZ72" i="4" s="1"/>
  <c r="AU72" i="4"/>
  <c r="AT72" i="4"/>
  <c r="AP72" i="4"/>
  <c r="AB72" i="4"/>
  <c r="AC72" i="4" s="1"/>
  <c r="AA72" i="4"/>
  <c r="AD72" i="4" s="1"/>
  <c r="Y72" i="4"/>
  <c r="X72" i="4"/>
  <c r="BQ71" i="4"/>
  <c r="BP71" i="4"/>
  <c r="AU71" i="4"/>
  <c r="AT71" i="4"/>
  <c r="Y71" i="4"/>
  <c r="X71" i="4"/>
  <c r="BQ70" i="4"/>
  <c r="BP70" i="4"/>
  <c r="AU70" i="4"/>
  <c r="AT70" i="4"/>
  <c r="Y70" i="4"/>
  <c r="X70" i="4"/>
  <c r="BT69" i="4"/>
  <c r="BU69" i="4" s="1"/>
  <c r="BS69" i="4"/>
  <c r="BV69" i="4" s="1"/>
  <c r="BQ69" i="4"/>
  <c r="BP69" i="4"/>
  <c r="AX69" i="4"/>
  <c r="AY69" i="4" s="1"/>
  <c r="AW69" i="4"/>
  <c r="AZ69" i="4" s="1"/>
  <c r="AU69" i="4"/>
  <c r="AT69" i="4"/>
  <c r="AP69" i="4"/>
  <c r="AB69" i="4"/>
  <c r="AC69" i="4" s="1"/>
  <c r="AA69" i="4"/>
  <c r="AD69" i="4" s="1"/>
  <c r="Y69" i="4"/>
  <c r="X69" i="4"/>
  <c r="BQ68" i="4"/>
  <c r="BP68" i="4"/>
  <c r="AU68" i="4"/>
  <c r="AT68" i="4"/>
  <c r="Y68" i="4"/>
  <c r="X68" i="4"/>
  <c r="BQ67" i="4"/>
  <c r="BP67" i="4"/>
  <c r="AU67" i="4"/>
  <c r="AT67" i="4"/>
  <c r="Y67" i="4"/>
  <c r="X67" i="4"/>
  <c r="BT66" i="4"/>
  <c r="BU66" i="4" s="1"/>
  <c r="BS66" i="4"/>
  <c r="CA66" i="4" s="1"/>
  <c r="BQ66" i="4"/>
  <c r="BP66" i="4"/>
  <c r="AX66" i="4"/>
  <c r="AY66" i="4" s="1"/>
  <c r="AW66" i="4"/>
  <c r="AZ66" i="4" s="1"/>
  <c r="AU66" i="4"/>
  <c r="AT66" i="4"/>
  <c r="AP66" i="4"/>
  <c r="AB66" i="4"/>
  <c r="AC66" i="4" s="1"/>
  <c r="AA66" i="4"/>
  <c r="AD66" i="4" s="1"/>
  <c r="Y66" i="4"/>
  <c r="X66" i="4"/>
  <c r="BQ65" i="4"/>
  <c r="BP65" i="4"/>
  <c r="AU65" i="4"/>
  <c r="AT65" i="4"/>
  <c r="Y65" i="4"/>
  <c r="X65" i="4"/>
  <c r="BQ64" i="4"/>
  <c r="BP64" i="4"/>
  <c r="AU64" i="4"/>
  <c r="AT64" i="4"/>
  <c r="Y64" i="4"/>
  <c r="X64" i="4"/>
  <c r="BT63" i="4"/>
  <c r="BU63" i="4" s="1"/>
  <c r="BS63" i="4"/>
  <c r="CA63" i="4" s="1"/>
  <c r="BQ63" i="4"/>
  <c r="BP63" i="4"/>
  <c r="AX63" i="4"/>
  <c r="AY63" i="4" s="1"/>
  <c r="AW63" i="4"/>
  <c r="AZ63" i="4" s="1"/>
  <c r="AU63" i="4"/>
  <c r="AT63" i="4"/>
  <c r="AB63" i="4"/>
  <c r="AC63" i="4" s="1"/>
  <c r="AA63" i="4"/>
  <c r="AD63" i="4" s="1"/>
  <c r="Y63" i="4"/>
  <c r="X63" i="4"/>
  <c r="BV87" i="4" l="1"/>
  <c r="BV63" i="4"/>
  <c r="BV66" i="4"/>
  <c r="BV72" i="4"/>
  <c r="BV75" i="4"/>
  <c r="BV78" i="4"/>
  <c r="BV81" i="4"/>
  <c r="BV84" i="4"/>
  <c r="BV96" i="4"/>
  <c r="BV93" i="4"/>
  <c r="BV90" i="4"/>
  <c r="CA69" i="4"/>
  <c r="BV102" i="4"/>
  <c r="BV105" i="4"/>
  <c r="BV108" i="4"/>
  <c r="BV111" i="4"/>
  <c r="BV114" i="4"/>
  <c r="BV117" i="4"/>
  <c r="BV120" i="4"/>
  <c r="BV123" i="4"/>
  <c r="BV126" i="4"/>
  <c r="BV129" i="4"/>
  <c r="BQ62" i="4" l="1"/>
  <c r="BP62" i="4"/>
  <c r="AU62" i="4"/>
  <c r="AT62" i="4"/>
  <c r="Y62" i="4"/>
  <c r="X62" i="4"/>
  <c r="BQ61" i="4"/>
  <c r="BP61" i="4"/>
  <c r="AU61" i="4"/>
  <c r="AT61" i="4"/>
  <c r="Y61" i="4"/>
  <c r="X61" i="4"/>
  <c r="BT60" i="4"/>
  <c r="BU60" i="4" s="1"/>
  <c r="BS60" i="4"/>
  <c r="BV60" i="4" s="1"/>
  <c r="BQ60" i="4"/>
  <c r="BP60" i="4"/>
  <c r="BE60" i="4"/>
  <c r="AX60" i="4"/>
  <c r="AY60" i="4" s="1"/>
  <c r="AW60" i="4"/>
  <c r="AZ60" i="4" s="1"/>
  <c r="AU60" i="4"/>
  <c r="AT60" i="4"/>
  <c r="AB60" i="4"/>
  <c r="AC60" i="4" s="1"/>
  <c r="AA60" i="4"/>
  <c r="AD60" i="4" s="1"/>
  <c r="Y60" i="4"/>
  <c r="X60" i="4"/>
  <c r="BQ59" i="4"/>
  <c r="BP59" i="4"/>
  <c r="AU59" i="4"/>
  <c r="AT59" i="4"/>
  <c r="Y59" i="4"/>
  <c r="X59" i="4"/>
  <c r="BT58" i="4"/>
  <c r="BU58" i="4" s="1"/>
  <c r="BS58" i="4"/>
  <c r="BV58" i="4" s="1"/>
  <c r="BQ58" i="4"/>
  <c r="BP58" i="4"/>
  <c r="BE58" i="4"/>
  <c r="AX58" i="4"/>
  <c r="AY58" i="4" s="1"/>
  <c r="AW58" i="4"/>
  <c r="AZ58" i="4" s="1"/>
  <c r="AU58" i="4"/>
  <c r="AT58" i="4"/>
  <c r="AO58" i="4"/>
  <c r="AB58" i="4"/>
  <c r="AC58" i="4" s="1"/>
  <c r="AA58" i="4"/>
  <c r="AD58" i="4" s="1"/>
  <c r="Y58" i="4"/>
  <c r="X58" i="4"/>
  <c r="BQ57" i="4"/>
  <c r="BP57" i="4"/>
  <c r="AU57" i="4"/>
  <c r="AT57" i="4"/>
  <c r="Y57" i="4"/>
  <c r="X57" i="4"/>
  <c r="BT56" i="4"/>
  <c r="BU56" i="4" s="1"/>
  <c r="BS56" i="4"/>
  <c r="BV56" i="4" s="1"/>
  <c r="BQ56" i="4"/>
  <c r="BP56" i="4"/>
  <c r="BE56" i="4"/>
  <c r="AX56" i="4"/>
  <c r="AY56" i="4" s="1"/>
  <c r="AW56" i="4"/>
  <c r="AZ56" i="4" s="1"/>
  <c r="AU56" i="4"/>
  <c r="AT56" i="4"/>
  <c r="AO56" i="4"/>
  <c r="AB56" i="4"/>
  <c r="AC56" i="4" s="1"/>
  <c r="AA56" i="4"/>
  <c r="AD56" i="4" s="1"/>
  <c r="Y56" i="4"/>
  <c r="X56" i="4"/>
  <c r="BQ55" i="4"/>
  <c r="BP55" i="4"/>
  <c r="AU55" i="4"/>
  <c r="AT55" i="4"/>
  <c r="Y55" i="4"/>
  <c r="X55" i="4"/>
  <c r="BQ54" i="4"/>
  <c r="BP54" i="4"/>
  <c r="AU54" i="4"/>
  <c r="AT54" i="4"/>
  <c r="Y54" i="4"/>
  <c r="X54" i="4"/>
  <c r="BQ53" i="4"/>
  <c r="BP53" i="4"/>
  <c r="AU53" i="4"/>
  <c r="AT53" i="4"/>
  <c r="Y53" i="4"/>
  <c r="X53" i="4"/>
  <c r="BQ52" i="4"/>
  <c r="BP52" i="4"/>
  <c r="AU52" i="4"/>
  <c r="AT52" i="4"/>
  <c r="Y52" i="4"/>
  <c r="X52" i="4"/>
  <c r="BQ51" i="4"/>
  <c r="BP51" i="4"/>
  <c r="AU51" i="4"/>
  <c r="AT51" i="4"/>
  <c r="Y51" i="4"/>
  <c r="X51" i="4"/>
  <c r="BQ50" i="4"/>
  <c r="BP50" i="4"/>
  <c r="AU50" i="4"/>
  <c r="AT50" i="4"/>
  <c r="Y50" i="4"/>
  <c r="X50" i="4"/>
  <c r="BT49" i="4"/>
  <c r="BU49" i="4" s="1"/>
  <c r="BS49" i="4"/>
  <c r="BV49" i="4" s="1"/>
  <c r="BQ49" i="4"/>
  <c r="BP49" i="4"/>
  <c r="BE49" i="4"/>
  <c r="AX49" i="4"/>
  <c r="AY49" i="4" s="1"/>
  <c r="AW49" i="4"/>
  <c r="AZ49" i="4" s="1"/>
  <c r="AU49" i="4"/>
  <c r="AT49" i="4"/>
  <c r="AO49" i="4"/>
  <c r="AN49" i="4"/>
  <c r="AB49" i="4"/>
  <c r="AC49" i="4" s="1"/>
  <c r="AA49" i="4"/>
  <c r="AD49" i="4" s="1"/>
  <c r="Y49" i="4"/>
  <c r="X49" i="4"/>
  <c r="BQ48" i="4"/>
  <c r="BP48" i="4"/>
  <c r="AU48" i="4"/>
  <c r="AT48" i="4"/>
  <c r="Y48" i="4"/>
  <c r="X48" i="4"/>
  <c r="BT47" i="4"/>
  <c r="BU47" i="4" s="1"/>
  <c r="BS47" i="4"/>
  <c r="BV47" i="4" s="1"/>
  <c r="BQ47" i="4"/>
  <c r="BP47" i="4"/>
  <c r="BE47" i="4"/>
  <c r="AX47" i="4"/>
  <c r="AY47" i="4" s="1"/>
  <c r="AW47" i="4"/>
  <c r="AZ47" i="4" s="1"/>
  <c r="AU47" i="4"/>
  <c r="AT47" i="4"/>
  <c r="AB47" i="4"/>
  <c r="AC47" i="4" s="1"/>
  <c r="AA47" i="4"/>
  <c r="AD47" i="4" s="1"/>
  <c r="Y47" i="4"/>
  <c r="X47" i="4"/>
  <c r="BQ46" i="4"/>
  <c r="BP46" i="4"/>
  <c r="AU46" i="4"/>
  <c r="AT46" i="4"/>
  <c r="Y46" i="4"/>
  <c r="X46" i="4"/>
  <c r="BT45" i="4"/>
  <c r="BU45" i="4" s="1"/>
  <c r="BS45" i="4"/>
  <c r="BV45" i="4" s="1"/>
  <c r="BQ45" i="4"/>
  <c r="BP45" i="4"/>
  <c r="BE45" i="4"/>
  <c r="AX45" i="4"/>
  <c r="AY45" i="4" s="1"/>
  <c r="AW45" i="4"/>
  <c r="AZ45" i="4" s="1"/>
  <c r="AU45" i="4"/>
  <c r="AT45" i="4"/>
  <c r="AP45" i="4"/>
  <c r="AB45" i="4"/>
  <c r="AC45" i="4" s="1"/>
  <c r="AA45" i="4"/>
  <c r="AD45" i="4" s="1"/>
  <c r="Y45" i="4"/>
  <c r="X45" i="4"/>
  <c r="BQ44" i="4"/>
  <c r="BP44" i="4"/>
  <c r="AU44" i="4"/>
  <c r="AT44" i="4"/>
  <c r="Y44" i="4"/>
  <c r="X44" i="4"/>
  <c r="BT43" i="4"/>
  <c r="BU43" i="4" s="1"/>
  <c r="BS43" i="4"/>
  <c r="BV43" i="4" s="1"/>
  <c r="BQ43" i="4"/>
  <c r="BP43" i="4"/>
  <c r="BE43" i="4"/>
  <c r="AX43" i="4"/>
  <c r="AY43" i="4" s="1"/>
  <c r="AW43" i="4"/>
  <c r="AZ43" i="4" s="1"/>
  <c r="AU43" i="4"/>
  <c r="AT43" i="4"/>
  <c r="AP43" i="4"/>
  <c r="AB43" i="4"/>
  <c r="AC43" i="4" s="1"/>
  <c r="AA43" i="4"/>
  <c r="AD43" i="4" s="1"/>
  <c r="Y43" i="4"/>
  <c r="X43" i="4"/>
  <c r="BT16" i="4"/>
  <c r="BU16" i="4" s="1"/>
  <c r="BS16" i="4"/>
  <c r="BV16" i="4" s="1"/>
  <c r="BQ16" i="4"/>
  <c r="BP16" i="4"/>
  <c r="AX16" i="4"/>
  <c r="AY16" i="4" s="1"/>
  <c r="AW16" i="4"/>
  <c r="AZ16" i="4" s="1"/>
  <c r="AU16" i="4"/>
  <c r="AT16" i="4"/>
  <c r="AO16" i="4"/>
  <c r="AB16" i="4"/>
  <c r="AC16" i="4" s="1"/>
  <c r="AA16" i="4"/>
  <c r="AD16" i="4" s="1"/>
  <c r="Y16" i="4"/>
  <c r="X16" i="4"/>
  <c r="BQ15" i="4"/>
  <c r="BP15" i="4"/>
  <c r="AU15" i="4"/>
  <c r="AT15" i="4"/>
  <c r="Y15" i="4"/>
  <c r="X15" i="4"/>
  <c r="BQ14" i="4"/>
  <c r="BP14" i="4"/>
  <c r="AU14" i="4"/>
  <c r="AT14" i="4"/>
  <c r="Y14" i="4"/>
  <c r="X14" i="4"/>
  <c r="BQ13" i="4"/>
  <c r="BP13" i="4"/>
  <c r="AU13" i="4"/>
  <c r="AT13" i="4"/>
  <c r="Y13" i="4"/>
  <c r="X13" i="4"/>
  <c r="BT12" i="4"/>
  <c r="BU12" i="4" s="1"/>
  <c r="BS12" i="4"/>
  <c r="BV12" i="4" s="1"/>
  <c r="BQ12" i="4"/>
  <c r="BP12" i="4"/>
  <c r="AX12" i="4"/>
  <c r="AY12" i="4" s="1"/>
  <c r="AW12" i="4"/>
  <c r="AZ12" i="4" s="1"/>
  <c r="AU12" i="4"/>
  <c r="AT12" i="4"/>
  <c r="AP12" i="4"/>
  <c r="AB12" i="4"/>
  <c r="AC12" i="4" s="1"/>
  <c r="AA12" i="4"/>
  <c r="AD12" i="4" s="1"/>
  <c r="Y12" i="4"/>
  <c r="X12" i="4"/>
  <c r="CD36" i="4" l="1"/>
  <c r="BT36" i="4"/>
  <c r="BU36" i="4" s="1"/>
  <c r="BS36" i="4"/>
  <c r="BV36" i="4" s="1"/>
  <c r="BQ36" i="4"/>
  <c r="BP36" i="4"/>
  <c r="AX36" i="4"/>
  <c r="AY36" i="4" s="1"/>
  <c r="AW36" i="4"/>
  <c r="AZ36" i="4" s="1"/>
  <c r="AU36" i="4"/>
  <c r="AT36" i="4"/>
  <c r="AP36" i="4"/>
  <c r="AB36" i="4"/>
  <c r="AC36" i="4" s="1"/>
  <c r="AA36" i="4"/>
  <c r="AD36" i="4" s="1"/>
  <c r="Y36" i="4"/>
  <c r="X36" i="4"/>
  <c r="BQ35" i="4"/>
  <c r="BP35" i="4"/>
  <c r="AU35" i="4"/>
  <c r="AT35" i="4"/>
  <c r="Y35" i="4"/>
  <c r="X35" i="4"/>
  <c r="BT34" i="4"/>
  <c r="BU34" i="4" s="1"/>
  <c r="BS34" i="4"/>
  <c r="BV34" i="4" s="1"/>
  <c r="BQ34" i="4"/>
  <c r="BP34" i="4"/>
  <c r="AX34" i="4"/>
  <c r="AY34" i="4" s="1"/>
  <c r="AW34" i="4"/>
  <c r="AZ34" i="4" s="1"/>
  <c r="AU34" i="4"/>
  <c r="AT34" i="4"/>
  <c r="AP34" i="4"/>
  <c r="AB34" i="4"/>
  <c r="AC34" i="4" s="1"/>
  <c r="AA34" i="4"/>
  <c r="AD34" i="4" s="1"/>
  <c r="Y34" i="4"/>
  <c r="X34" i="4"/>
  <c r="BQ33" i="4"/>
  <c r="BP33" i="4"/>
  <c r="AU33" i="4"/>
  <c r="AT33" i="4"/>
  <c r="Y33" i="4"/>
  <c r="X33" i="4"/>
  <c r="BT32" i="4"/>
  <c r="BU32" i="4" s="1"/>
  <c r="BS32" i="4"/>
  <c r="BV32" i="4" s="1"/>
  <c r="BQ32" i="4"/>
  <c r="BP32" i="4"/>
  <c r="AX32" i="4"/>
  <c r="AY32" i="4" s="1"/>
  <c r="AW32" i="4"/>
  <c r="AZ32" i="4" s="1"/>
  <c r="AU32" i="4"/>
  <c r="AT32" i="4"/>
  <c r="AP32" i="4"/>
  <c r="AB32" i="4"/>
  <c r="AC32" i="4" s="1"/>
  <c r="AA32" i="4"/>
  <c r="AD32" i="4" s="1"/>
  <c r="Y32" i="4"/>
  <c r="X32" i="4"/>
  <c r="BQ31" i="4"/>
  <c r="BP31" i="4"/>
  <c r="AU31" i="4"/>
  <c r="AT31" i="4"/>
  <c r="Y31" i="4"/>
  <c r="X31" i="4"/>
  <c r="BQ30" i="4"/>
  <c r="BP30" i="4"/>
  <c r="AU30" i="4"/>
  <c r="AT30" i="4"/>
  <c r="Y30" i="4"/>
  <c r="X30" i="4"/>
  <c r="BT29" i="4"/>
  <c r="BU29" i="4" s="1"/>
  <c r="BS29" i="4"/>
  <c r="BV29" i="4" s="1"/>
  <c r="BQ29" i="4"/>
  <c r="BP29" i="4"/>
  <c r="AX29" i="4"/>
  <c r="AY29" i="4" s="1"/>
  <c r="AW29" i="4"/>
  <c r="AZ29" i="4" s="1"/>
  <c r="AU29" i="4"/>
  <c r="AT29" i="4"/>
  <c r="AP29" i="4"/>
  <c r="AB29" i="4"/>
  <c r="AC29" i="4" s="1"/>
  <c r="AA29" i="4"/>
  <c r="AD29" i="4" s="1"/>
  <c r="Y29" i="4"/>
  <c r="X29" i="4"/>
  <c r="BT28" i="4"/>
  <c r="BU28" i="4" s="1"/>
  <c r="BS28" i="4"/>
  <c r="BV28" i="4" s="1"/>
  <c r="BQ28" i="4"/>
  <c r="BP28" i="4"/>
  <c r="AX28" i="4"/>
  <c r="AY28" i="4" s="1"/>
  <c r="AW28" i="4"/>
  <c r="AZ28" i="4" s="1"/>
  <c r="AU28" i="4"/>
  <c r="AT28" i="4"/>
  <c r="AB28" i="4"/>
  <c r="AC28" i="4" s="1"/>
  <c r="AA28" i="4"/>
  <c r="AD28" i="4" s="1"/>
  <c r="Y28" i="4"/>
  <c r="X28" i="4"/>
  <c r="BQ27" i="4"/>
  <c r="BP27" i="4"/>
  <c r="AU27" i="4"/>
  <c r="AT27" i="4"/>
  <c r="Y27" i="4"/>
  <c r="X27" i="4"/>
  <c r="BQ26" i="4"/>
  <c r="BP26" i="4"/>
  <c r="AU26" i="4"/>
  <c r="AT26" i="4"/>
  <c r="Y26" i="4"/>
  <c r="X26" i="4"/>
  <c r="BQ25" i="4"/>
  <c r="BP25" i="4"/>
  <c r="AU25" i="4"/>
  <c r="AT25" i="4"/>
  <c r="Y25" i="4"/>
  <c r="X25" i="4"/>
  <c r="BT24" i="4"/>
  <c r="BU24" i="4" s="1"/>
  <c r="BS24" i="4"/>
  <c r="BV24" i="4" s="1"/>
  <c r="BQ24" i="4"/>
  <c r="BP24" i="4"/>
  <c r="AX24" i="4"/>
  <c r="AY24" i="4" s="1"/>
  <c r="AW24" i="4"/>
  <c r="AZ24" i="4" s="1"/>
  <c r="AU24" i="4"/>
  <c r="AT24" i="4"/>
  <c r="AB24" i="4"/>
  <c r="AC24" i="4" s="1"/>
  <c r="AA24" i="4"/>
  <c r="AD24" i="4" s="1"/>
  <c r="Y24" i="4"/>
  <c r="X24" i="4"/>
  <c r="BQ23" i="4"/>
  <c r="BP23" i="4"/>
  <c r="AU23" i="4"/>
  <c r="AT23" i="4"/>
  <c r="Y23" i="4"/>
  <c r="X23" i="4"/>
  <c r="BT22" i="4"/>
  <c r="BU22" i="4" s="1"/>
  <c r="BS22" i="4"/>
  <c r="BV22" i="4" s="1"/>
  <c r="BQ22" i="4"/>
  <c r="BP22" i="4"/>
  <c r="AX22" i="4"/>
  <c r="AY22" i="4" s="1"/>
  <c r="AW22" i="4"/>
  <c r="AZ22" i="4" s="1"/>
  <c r="AU22" i="4"/>
  <c r="AT22" i="4"/>
  <c r="AI22" i="4"/>
  <c r="AB22" i="4"/>
  <c r="AC22" i="4" s="1"/>
  <c r="AA22" i="4"/>
  <c r="AD22" i="4" s="1"/>
  <c r="Y22" i="4"/>
  <c r="X22" i="4"/>
  <c r="BQ21" i="4"/>
  <c r="BP21" i="4"/>
  <c r="AU21" i="4"/>
  <c r="AT21" i="4"/>
  <c r="Y21" i="4"/>
  <c r="X21" i="4"/>
  <c r="BQ20" i="4"/>
  <c r="BP20" i="4"/>
  <c r="AU20" i="4"/>
  <c r="AT20" i="4"/>
  <c r="Y20" i="4"/>
  <c r="X20" i="4"/>
  <c r="BQ19" i="4"/>
  <c r="BP19" i="4"/>
  <c r="AU19" i="4"/>
  <c r="AT19" i="4"/>
  <c r="Y19" i="4"/>
  <c r="X19" i="4"/>
  <c r="BQ18" i="4"/>
  <c r="BP18" i="4"/>
  <c r="AU18" i="4"/>
  <c r="AT18" i="4"/>
  <c r="Y18" i="4"/>
  <c r="X18" i="4"/>
  <c r="BT17" i="4"/>
  <c r="BU17" i="4" s="1"/>
  <c r="BS17" i="4"/>
  <c r="BV17" i="4" s="1"/>
  <c r="BQ17" i="4"/>
  <c r="BP17" i="4"/>
  <c r="AX17" i="4"/>
  <c r="AY17" i="4" s="1"/>
  <c r="AW17" i="4"/>
  <c r="AZ17" i="4" s="1"/>
  <c r="AU17" i="4"/>
  <c r="AT17" i="4"/>
  <c r="AP17" i="4"/>
  <c r="AI17" i="4" s="1"/>
  <c r="AB17" i="4"/>
  <c r="AC17" i="4" s="1"/>
  <c r="AA17" i="4"/>
  <c r="AD17" i="4" s="1"/>
  <c r="Y17" i="4"/>
  <c r="X17" i="4"/>
  <c r="BQ11" i="4"/>
  <c r="BP11" i="4"/>
  <c r="AU11" i="4"/>
  <c r="AT11" i="4"/>
  <c r="Y11" i="4"/>
  <c r="X11" i="4"/>
  <c r="BT10" i="4"/>
  <c r="BU10" i="4" s="1"/>
  <c r="BS10" i="4"/>
  <c r="BV10" i="4" s="1"/>
  <c r="BQ10" i="4"/>
  <c r="BP10" i="4"/>
  <c r="AX10" i="4"/>
  <c r="AY10" i="4" s="1"/>
  <c r="AW10" i="4"/>
  <c r="AZ10" i="4" s="1"/>
  <c r="AU10" i="4"/>
  <c r="AT10" i="4"/>
  <c r="AP10" i="4"/>
  <c r="AB10" i="4"/>
  <c r="AC10" i="4" s="1"/>
  <c r="AA10" i="4"/>
  <c r="AD10" i="4" s="1"/>
  <c r="Y10" i="4"/>
  <c r="X10" i="4"/>
  <c r="BQ9" i="4"/>
  <c r="BP9" i="4"/>
  <c r="AU9" i="4"/>
  <c r="AT9" i="4"/>
  <c r="Y9" i="4"/>
  <c r="X9" i="4"/>
  <c r="BQ8" i="4"/>
  <c r="BP8" i="4"/>
  <c r="AU8" i="4"/>
  <c r="AT8" i="4"/>
  <c r="Y8" i="4"/>
  <c r="X8" i="4"/>
  <c r="BT7" i="4"/>
  <c r="BU7" i="4" s="1"/>
  <c r="BS7" i="4"/>
  <c r="BV7" i="4" s="1"/>
  <c r="BQ7" i="4"/>
  <c r="BP7" i="4"/>
  <c r="AX7" i="4"/>
  <c r="AY7" i="4" s="1"/>
  <c r="AW7" i="4"/>
  <c r="AZ7" i="4" s="1"/>
  <c r="AU7" i="4"/>
  <c r="AT7" i="4"/>
  <c r="AP7" i="4"/>
  <c r="AB7" i="4"/>
  <c r="AC7" i="4" s="1"/>
  <c r="AA7" i="4"/>
  <c r="AD7" i="4" s="1"/>
  <c r="Y7" i="4"/>
  <c r="X7" i="4"/>
  <c r="BQ6" i="4"/>
  <c r="BP6" i="4"/>
  <c r="AU6" i="4"/>
  <c r="AT6" i="4"/>
  <c r="Y6" i="4"/>
  <c r="X6" i="4"/>
  <c r="BT5" i="4"/>
  <c r="BU5" i="4" s="1"/>
  <c r="BS5" i="4"/>
  <c r="BV5" i="4" s="1"/>
  <c r="BQ5" i="4"/>
  <c r="BP5" i="4"/>
  <c r="AX5" i="4"/>
  <c r="AY5" i="4" s="1"/>
  <c r="AW5" i="4"/>
  <c r="AZ5" i="4" s="1"/>
  <c r="AU5" i="4"/>
  <c r="AT5" i="4"/>
  <c r="AP5" i="4"/>
  <c r="AB5" i="4"/>
  <c r="AC5" i="4" s="1"/>
  <c r="AA5" i="4"/>
  <c r="AD5" i="4" s="1"/>
  <c r="Y5" i="4"/>
  <c r="X5" i="4"/>
  <c r="BU15" i="3" l="1"/>
  <c r="AY5" i="3"/>
  <c r="AX5" i="3"/>
  <c r="AB11" i="3"/>
  <c r="BS452" i="3"/>
  <c r="BR452" i="3"/>
  <c r="AV452" i="3"/>
  <c r="AU452" i="3"/>
  <c r="Z452" i="3"/>
  <c r="Y452" i="3"/>
  <c r="BS451" i="3"/>
  <c r="BR451" i="3"/>
  <c r="AV451" i="3"/>
  <c r="AU451" i="3"/>
  <c r="Z451" i="3"/>
  <c r="Y451" i="3"/>
  <c r="BS450" i="3"/>
  <c r="BR450" i="3"/>
  <c r="AV450" i="3"/>
  <c r="AU450" i="3"/>
  <c r="Z450" i="3"/>
  <c r="Y450" i="3"/>
  <c r="BV449" i="3"/>
  <c r="BW449" i="3" s="1"/>
  <c r="BU449" i="3"/>
  <c r="BX449" i="3" s="1"/>
  <c r="BS449" i="3"/>
  <c r="BR449" i="3"/>
  <c r="AY449" i="3"/>
  <c r="AZ449" i="3" s="1"/>
  <c r="AX449" i="3"/>
  <c r="BA449" i="3" s="1"/>
  <c r="AV449" i="3"/>
  <c r="AU449" i="3"/>
  <c r="AL449" i="3"/>
  <c r="AJ449" i="3"/>
  <c r="AG449" i="3"/>
  <c r="AH449" i="3" s="1"/>
  <c r="AI449" i="3" s="1"/>
  <c r="AC449" i="3"/>
  <c r="AD449" i="3" s="1"/>
  <c r="AB449" i="3"/>
  <c r="AE449" i="3" s="1"/>
  <c r="Z449" i="3"/>
  <c r="Y449" i="3"/>
  <c r="BS448" i="3"/>
  <c r="BR448" i="3"/>
  <c r="AV448" i="3"/>
  <c r="AU448" i="3"/>
  <c r="Z448" i="3"/>
  <c r="Y448" i="3"/>
  <c r="BS447" i="3"/>
  <c r="BR447" i="3"/>
  <c r="AV447" i="3"/>
  <c r="AU447" i="3"/>
  <c r="Z447" i="3"/>
  <c r="Y447" i="3"/>
  <c r="BS446" i="3"/>
  <c r="BR446" i="3"/>
  <c r="AV446" i="3"/>
  <c r="AU446" i="3"/>
  <c r="Z446" i="3"/>
  <c r="Y446" i="3"/>
  <c r="BS445" i="3"/>
  <c r="BR445" i="3"/>
  <c r="AV445" i="3"/>
  <c r="AU445" i="3"/>
  <c r="Z445" i="3"/>
  <c r="Y445" i="3"/>
  <c r="BV444" i="3"/>
  <c r="BW444" i="3" s="1"/>
  <c r="BU444" i="3"/>
  <c r="BX444" i="3" s="1"/>
  <c r="BS444" i="3"/>
  <c r="BR444" i="3"/>
  <c r="AY444" i="3"/>
  <c r="AZ444" i="3" s="1"/>
  <c r="AX444" i="3"/>
  <c r="BA444" i="3" s="1"/>
  <c r="AV444" i="3"/>
  <c r="AU444" i="3"/>
  <c r="AL444" i="3"/>
  <c r="AJ444" i="3"/>
  <c r="AG444" i="3"/>
  <c r="AH444" i="3" s="1"/>
  <c r="AI444" i="3" s="1"/>
  <c r="AC444" i="3"/>
  <c r="AD444" i="3" s="1"/>
  <c r="AB444" i="3"/>
  <c r="AE444" i="3" s="1"/>
  <c r="Z444" i="3"/>
  <c r="Y444" i="3"/>
  <c r="BS443" i="3"/>
  <c r="BR443" i="3"/>
  <c r="AV443" i="3"/>
  <c r="AU443" i="3"/>
  <c r="Z443" i="3"/>
  <c r="Y443" i="3"/>
  <c r="BS442" i="3"/>
  <c r="BR442" i="3"/>
  <c r="AV442" i="3"/>
  <c r="AU442" i="3"/>
  <c r="Z442" i="3"/>
  <c r="Y442" i="3"/>
  <c r="BV441" i="3"/>
  <c r="BW441" i="3" s="1"/>
  <c r="BU441" i="3"/>
  <c r="BX441" i="3" s="1"/>
  <c r="BS441" i="3"/>
  <c r="BR441" i="3"/>
  <c r="BF441" i="3"/>
  <c r="AY441" i="3"/>
  <c r="AZ441" i="3" s="1"/>
  <c r="AX441" i="3"/>
  <c r="BA441" i="3" s="1"/>
  <c r="AV441" i="3"/>
  <c r="AU441" i="3"/>
  <c r="AC441" i="3"/>
  <c r="AD441" i="3" s="1"/>
  <c r="AB441" i="3"/>
  <c r="AE441" i="3" s="1"/>
  <c r="Z441" i="3"/>
  <c r="Y441" i="3"/>
  <c r="BS440" i="3"/>
  <c r="BR440" i="3"/>
  <c r="AV440" i="3"/>
  <c r="AU440" i="3"/>
  <c r="Z440" i="3"/>
  <c r="Y440" i="3"/>
  <c r="BS439" i="3"/>
  <c r="BR439" i="3"/>
  <c r="AV439" i="3"/>
  <c r="AU439" i="3"/>
  <c r="Z439" i="3"/>
  <c r="Y439" i="3"/>
  <c r="BS438" i="3"/>
  <c r="BR438" i="3"/>
  <c r="AV438" i="3"/>
  <c r="AU438" i="3"/>
  <c r="Z438" i="3"/>
  <c r="Y438" i="3"/>
  <c r="BS437" i="3"/>
  <c r="BR437" i="3"/>
  <c r="AV437" i="3"/>
  <c r="AU437" i="3"/>
  <c r="Z437" i="3"/>
  <c r="Y437" i="3"/>
  <c r="BS436" i="3"/>
  <c r="BR436" i="3"/>
  <c r="AV436" i="3"/>
  <c r="AU436" i="3"/>
  <c r="Z436" i="3"/>
  <c r="Y436" i="3"/>
  <c r="BV435" i="3"/>
  <c r="BW435" i="3" s="1"/>
  <c r="BU435" i="3"/>
  <c r="BX435" i="3" s="1"/>
  <c r="BS435" i="3"/>
  <c r="BR435" i="3"/>
  <c r="AY435" i="3"/>
  <c r="AZ435" i="3" s="1"/>
  <c r="AX435" i="3"/>
  <c r="BA435" i="3" s="1"/>
  <c r="AV435" i="3"/>
  <c r="AU435" i="3"/>
  <c r="AC435" i="3"/>
  <c r="AD435" i="3" s="1"/>
  <c r="AB435" i="3"/>
  <c r="AE435" i="3" s="1"/>
  <c r="Z435" i="3"/>
  <c r="Y435" i="3"/>
  <c r="BS434" i="3"/>
  <c r="BR434" i="3"/>
  <c r="AV434" i="3"/>
  <c r="AU434" i="3"/>
  <c r="Z434" i="3"/>
  <c r="Y434" i="3"/>
  <c r="BS433" i="3"/>
  <c r="BR433" i="3"/>
  <c r="AV433" i="3"/>
  <c r="AU433" i="3"/>
  <c r="Z433" i="3"/>
  <c r="Y433" i="3"/>
  <c r="BV432" i="3"/>
  <c r="BW432" i="3" s="1"/>
  <c r="BU432" i="3"/>
  <c r="BX432" i="3" s="1"/>
  <c r="BS432" i="3"/>
  <c r="BR432" i="3"/>
  <c r="AY432" i="3"/>
  <c r="AZ432" i="3" s="1"/>
  <c r="AX432" i="3"/>
  <c r="BA432" i="3" s="1"/>
  <c r="AV432" i="3"/>
  <c r="AU432" i="3"/>
  <c r="AC432" i="3"/>
  <c r="AD432" i="3" s="1"/>
  <c r="AB432" i="3"/>
  <c r="AE432" i="3" s="1"/>
  <c r="Z432" i="3"/>
  <c r="Y432" i="3"/>
  <c r="BS431" i="3"/>
  <c r="BR431" i="3"/>
  <c r="AV431" i="3"/>
  <c r="AU431" i="3"/>
  <c r="Z431" i="3"/>
  <c r="Y431" i="3"/>
  <c r="BS430" i="3"/>
  <c r="BR430" i="3"/>
  <c r="AV430" i="3"/>
  <c r="AU430" i="3"/>
  <c r="Z430" i="3"/>
  <c r="Y430" i="3"/>
  <c r="BV429" i="3"/>
  <c r="BW429" i="3" s="1"/>
  <c r="BU429" i="3"/>
  <c r="BX429" i="3" s="1"/>
  <c r="BS429" i="3"/>
  <c r="BR429" i="3"/>
  <c r="BF429" i="3"/>
  <c r="AY429" i="3"/>
  <c r="AZ429" i="3" s="1"/>
  <c r="AX429" i="3"/>
  <c r="BA429" i="3" s="1"/>
  <c r="AV429" i="3"/>
  <c r="AU429" i="3"/>
  <c r="AC429" i="3"/>
  <c r="AD429" i="3" s="1"/>
  <c r="AB429" i="3"/>
  <c r="AE429" i="3" s="1"/>
  <c r="Z429" i="3"/>
  <c r="Y429" i="3"/>
  <c r="BS428" i="3"/>
  <c r="BR428" i="3"/>
  <c r="AV428" i="3"/>
  <c r="AU428" i="3"/>
  <c r="Z428" i="3"/>
  <c r="Y428" i="3"/>
  <c r="BS427" i="3"/>
  <c r="BR427" i="3"/>
  <c r="AV427" i="3"/>
  <c r="AU427" i="3"/>
  <c r="Z427" i="3"/>
  <c r="Y427" i="3"/>
  <c r="BS426" i="3"/>
  <c r="BR426" i="3"/>
  <c r="AV426" i="3"/>
  <c r="AU426" i="3"/>
  <c r="Z426" i="3"/>
  <c r="Y426" i="3"/>
  <c r="BV425" i="3"/>
  <c r="BW425" i="3" s="1"/>
  <c r="BU425" i="3"/>
  <c r="BX425" i="3" s="1"/>
  <c r="BS425" i="3"/>
  <c r="BR425" i="3"/>
  <c r="AY425" i="3"/>
  <c r="AZ425" i="3" s="1"/>
  <c r="AX425" i="3"/>
  <c r="BA425" i="3" s="1"/>
  <c r="AV425" i="3"/>
  <c r="AU425" i="3"/>
  <c r="AC425" i="3"/>
  <c r="AD425" i="3" s="1"/>
  <c r="AB425" i="3"/>
  <c r="AE425" i="3" s="1"/>
  <c r="Z425" i="3"/>
  <c r="Y425" i="3"/>
  <c r="BS424" i="3"/>
  <c r="BR424" i="3"/>
  <c r="AV424" i="3"/>
  <c r="AU424" i="3"/>
  <c r="Z424" i="3"/>
  <c r="Y424" i="3"/>
  <c r="BV423" i="3"/>
  <c r="BW423" i="3" s="1"/>
  <c r="BU423" i="3"/>
  <c r="BX423" i="3" s="1"/>
  <c r="BS423" i="3"/>
  <c r="BR423" i="3"/>
  <c r="AY423" i="3"/>
  <c r="AZ423" i="3" s="1"/>
  <c r="AX423" i="3"/>
  <c r="BA423" i="3" s="1"/>
  <c r="AV423" i="3"/>
  <c r="AU423" i="3"/>
  <c r="AC423" i="3"/>
  <c r="AD423" i="3" s="1"/>
  <c r="AB423" i="3"/>
  <c r="AE423" i="3" s="1"/>
  <c r="Z423" i="3"/>
  <c r="Y423" i="3"/>
  <c r="BV422" i="3"/>
  <c r="BW422" i="3" s="1"/>
  <c r="BU422" i="3"/>
  <c r="BX422" i="3" s="1"/>
  <c r="BS422" i="3"/>
  <c r="BR422" i="3"/>
  <c r="AY422" i="3"/>
  <c r="AZ422" i="3" s="1"/>
  <c r="AX422" i="3"/>
  <c r="BA422" i="3" s="1"/>
  <c r="AV422" i="3"/>
  <c r="AU422" i="3"/>
  <c r="AC422" i="3"/>
  <c r="AD422" i="3" s="1"/>
  <c r="AB422" i="3"/>
  <c r="AE422" i="3" s="1"/>
  <c r="Z422" i="3"/>
  <c r="Y422" i="3"/>
  <c r="BS421" i="3"/>
  <c r="BR421" i="3"/>
  <c r="AV421" i="3"/>
  <c r="AU421" i="3"/>
  <c r="Z421" i="3"/>
  <c r="Y421" i="3"/>
  <c r="BV420" i="3"/>
  <c r="BW420" i="3" s="1"/>
  <c r="BU420" i="3"/>
  <c r="BX420" i="3" s="1"/>
  <c r="BS420" i="3"/>
  <c r="BR420" i="3"/>
  <c r="AY420" i="3"/>
  <c r="AZ420" i="3" s="1"/>
  <c r="AX420" i="3"/>
  <c r="BA420" i="3" s="1"/>
  <c r="AV420" i="3"/>
  <c r="AU420" i="3"/>
  <c r="AC420" i="3"/>
  <c r="AD420" i="3" s="1"/>
  <c r="AB420" i="3"/>
  <c r="AE420" i="3" s="1"/>
  <c r="Z420" i="3"/>
  <c r="Y420" i="3"/>
  <c r="BS419" i="3"/>
  <c r="BR419" i="3"/>
  <c r="AV419" i="3"/>
  <c r="AU419" i="3"/>
  <c r="Z419" i="3"/>
  <c r="Y419" i="3"/>
  <c r="BS418" i="3"/>
  <c r="BR418" i="3"/>
  <c r="AV418" i="3"/>
  <c r="AU418" i="3"/>
  <c r="Z418" i="3"/>
  <c r="Y418" i="3"/>
  <c r="BV417" i="3"/>
  <c r="BW417" i="3" s="1"/>
  <c r="BU417" i="3"/>
  <c r="BX417" i="3" s="1"/>
  <c r="BS417" i="3"/>
  <c r="BR417" i="3"/>
  <c r="AY417" i="3"/>
  <c r="AZ417" i="3" s="1"/>
  <c r="AX417" i="3"/>
  <c r="BA417" i="3" s="1"/>
  <c r="AV417" i="3"/>
  <c r="AU417" i="3"/>
  <c r="AC417" i="3"/>
  <c r="AD417" i="3" s="1"/>
  <c r="AB417" i="3"/>
  <c r="AE417" i="3" s="1"/>
  <c r="Z417" i="3"/>
  <c r="Y417" i="3"/>
  <c r="BS416" i="3"/>
  <c r="BR416" i="3"/>
  <c r="AV416" i="3"/>
  <c r="AU416" i="3"/>
  <c r="Z416" i="3"/>
  <c r="Y416" i="3"/>
  <c r="BS415" i="3"/>
  <c r="BR415" i="3"/>
  <c r="AV415" i="3"/>
  <c r="AU415" i="3"/>
  <c r="Z415" i="3"/>
  <c r="Y415" i="3"/>
  <c r="BS414" i="3"/>
  <c r="BR414" i="3"/>
  <c r="AV414" i="3"/>
  <c r="AU414" i="3"/>
  <c r="Z414" i="3"/>
  <c r="Y414" i="3"/>
  <c r="BS413" i="3"/>
  <c r="BR413" i="3"/>
  <c r="AV413" i="3"/>
  <c r="AU413" i="3"/>
  <c r="Z413" i="3"/>
  <c r="Y413" i="3"/>
  <c r="BV412" i="3"/>
  <c r="BW412" i="3" s="1"/>
  <c r="BU412" i="3"/>
  <c r="BX412" i="3" s="1"/>
  <c r="BS412" i="3"/>
  <c r="BR412" i="3"/>
  <c r="AY412" i="3"/>
  <c r="AZ412" i="3" s="1"/>
  <c r="AX412" i="3"/>
  <c r="BA412" i="3" s="1"/>
  <c r="AV412" i="3"/>
  <c r="AU412" i="3"/>
  <c r="AC412" i="3"/>
  <c r="AD412" i="3" s="1"/>
  <c r="AB412" i="3"/>
  <c r="AE412" i="3" s="1"/>
  <c r="Z412" i="3"/>
  <c r="Y412" i="3"/>
  <c r="BS411" i="3"/>
  <c r="BR411" i="3"/>
  <c r="AV411" i="3"/>
  <c r="AU411" i="3"/>
  <c r="Z411" i="3"/>
  <c r="Y411" i="3"/>
  <c r="BS410" i="3"/>
  <c r="BR410" i="3"/>
  <c r="AV410" i="3"/>
  <c r="AU410" i="3"/>
  <c r="Z410" i="3"/>
  <c r="Y410" i="3"/>
  <c r="BV409" i="3"/>
  <c r="BW409" i="3" s="1"/>
  <c r="BU409" i="3"/>
  <c r="BX409" i="3" s="1"/>
  <c r="BS409" i="3"/>
  <c r="BR409" i="3"/>
  <c r="AY409" i="3"/>
  <c r="AZ409" i="3" s="1"/>
  <c r="AX409" i="3"/>
  <c r="BA409" i="3" s="1"/>
  <c r="AV409" i="3"/>
  <c r="AU409" i="3"/>
  <c r="AC409" i="3"/>
  <c r="AD409" i="3" s="1"/>
  <c r="AB409" i="3"/>
  <c r="AE409" i="3" s="1"/>
  <c r="Z409" i="3"/>
  <c r="Y409" i="3"/>
  <c r="BV408" i="3"/>
  <c r="BW408" i="3" s="1"/>
  <c r="BU408" i="3"/>
  <c r="BX408" i="3" s="1"/>
  <c r="BS408" i="3"/>
  <c r="BR408" i="3"/>
  <c r="AY408" i="3"/>
  <c r="AZ408" i="3" s="1"/>
  <c r="AX408" i="3"/>
  <c r="BA408" i="3" s="1"/>
  <c r="AV408" i="3"/>
  <c r="AU408" i="3"/>
  <c r="AC408" i="3"/>
  <c r="AD408" i="3" s="1"/>
  <c r="AB408" i="3"/>
  <c r="AE408" i="3" s="1"/>
  <c r="Z408" i="3"/>
  <c r="Y408" i="3"/>
  <c r="BS407" i="3"/>
  <c r="BR407" i="3"/>
  <c r="AV407" i="3"/>
  <c r="AU407" i="3"/>
  <c r="Z407" i="3"/>
  <c r="Y407" i="3"/>
  <c r="BV406" i="3"/>
  <c r="BW406" i="3" s="1"/>
  <c r="BU406" i="3"/>
  <c r="BX406" i="3" s="1"/>
  <c r="BS406" i="3"/>
  <c r="BR406" i="3"/>
  <c r="AY406" i="3"/>
  <c r="AZ406" i="3" s="1"/>
  <c r="AX406" i="3"/>
  <c r="BA406" i="3" s="1"/>
  <c r="AV406" i="3"/>
  <c r="AU406" i="3"/>
  <c r="AC406" i="3"/>
  <c r="AD406" i="3" s="1"/>
  <c r="AB406" i="3"/>
  <c r="AE406" i="3" s="1"/>
  <c r="Z406" i="3"/>
  <c r="Y406" i="3"/>
  <c r="BS405" i="3"/>
  <c r="BR405" i="3"/>
  <c r="AV405" i="3"/>
  <c r="AU405" i="3"/>
  <c r="Z405" i="3"/>
  <c r="Y405" i="3"/>
  <c r="BS404" i="3"/>
  <c r="BR404" i="3"/>
  <c r="AV404" i="3"/>
  <c r="AU404" i="3"/>
  <c r="Z404" i="3"/>
  <c r="Y404" i="3"/>
  <c r="BS403" i="3"/>
  <c r="BR403" i="3"/>
  <c r="AV403" i="3"/>
  <c r="AU403" i="3"/>
  <c r="Z403" i="3"/>
  <c r="Y403" i="3"/>
  <c r="BS402" i="3"/>
  <c r="BR402" i="3"/>
  <c r="AV402" i="3"/>
  <c r="AU402" i="3"/>
  <c r="Z402" i="3"/>
  <c r="Y402" i="3"/>
  <c r="BV401" i="3"/>
  <c r="BW401" i="3" s="1"/>
  <c r="BU401" i="3"/>
  <c r="BX401" i="3" s="1"/>
  <c r="BS401" i="3"/>
  <c r="BR401" i="3"/>
  <c r="AY401" i="3"/>
  <c r="AZ401" i="3" s="1"/>
  <c r="AX401" i="3"/>
  <c r="BA401" i="3" s="1"/>
  <c r="AV401" i="3"/>
  <c r="AU401" i="3"/>
  <c r="AJ401" i="3"/>
  <c r="AC401" i="3"/>
  <c r="AD401" i="3" s="1"/>
  <c r="AB401" i="3"/>
  <c r="AE401" i="3" s="1"/>
  <c r="Z401" i="3"/>
  <c r="Y401" i="3"/>
  <c r="BS400" i="3"/>
  <c r="BR400" i="3"/>
  <c r="AV400" i="3"/>
  <c r="AU400" i="3"/>
  <c r="Z400" i="3"/>
  <c r="Y400" i="3"/>
  <c r="BS399" i="3"/>
  <c r="BR399" i="3"/>
  <c r="AV399" i="3"/>
  <c r="AU399" i="3"/>
  <c r="Z399" i="3"/>
  <c r="Y399" i="3"/>
  <c r="BV398" i="3"/>
  <c r="CC398" i="3" s="1"/>
  <c r="BU398" i="3"/>
  <c r="BX398" i="3" s="1"/>
  <c r="BS398" i="3"/>
  <c r="BR398" i="3"/>
  <c r="AY398" i="3"/>
  <c r="AZ398" i="3" s="1"/>
  <c r="AX398" i="3"/>
  <c r="BA398" i="3" s="1"/>
  <c r="AV398" i="3"/>
  <c r="AU398" i="3"/>
  <c r="AQ398" i="3"/>
  <c r="AC398" i="3"/>
  <c r="AD398" i="3" s="1"/>
  <c r="AB398" i="3"/>
  <c r="AE398" i="3" s="1"/>
  <c r="Z398" i="3"/>
  <c r="Y398" i="3"/>
  <c r="BS397" i="3"/>
  <c r="BR397" i="3"/>
  <c r="AV397" i="3"/>
  <c r="AU397" i="3"/>
  <c r="Z397" i="3"/>
  <c r="Y397" i="3"/>
  <c r="BS396" i="3"/>
  <c r="BR396" i="3"/>
  <c r="AV396" i="3"/>
  <c r="AU396" i="3"/>
  <c r="Z396" i="3"/>
  <c r="Y396" i="3"/>
  <c r="BV395" i="3"/>
  <c r="CC395" i="3" s="1"/>
  <c r="BU395" i="3"/>
  <c r="BX395" i="3" s="1"/>
  <c r="BS395" i="3"/>
  <c r="BR395" i="3"/>
  <c r="AY395" i="3"/>
  <c r="AZ395" i="3" s="1"/>
  <c r="AX395" i="3"/>
  <c r="BA395" i="3" s="1"/>
  <c r="AV395" i="3"/>
  <c r="AU395" i="3"/>
  <c r="AQ395" i="3"/>
  <c r="AC395" i="3"/>
  <c r="AD395" i="3" s="1"/>
  <c r="AB395" i="3"/>
  <c r="AE395" i="3" s="1"/>
  <c r="Z395" i="3"/>
  <c r="Y395" i="3"/>
  <c r="BS394" i="3"/>
  <c r="BR394" i="3"/>
  <c r="AV394" i="3"/>
  <c r="AU394" i="3"/>
  <c r="Z394" i="3"/>
  <c r="Y394" i="3"/>
  <c r="BS393" i="3"/>
  <c r="BR393" i="3"/>
  <c r="AV393" i="3"/>
  <c r="AU393" i="3"/>
  <c r="Z393" i="3"/>
  <c r="Y393" i="3"/>
  <c r="BV392" i="3"/>
  <c r="CC392" i="3" s="1"/>
  <c r="BU392" i="3"/>
  <c r="BX392" i="3" s="1"/>
  <c r="BS392" i="3"/>
  <c r="BR392" i="3"/>
  <c r="AY392" i="3"/>
  <c r="AZ392" i="3" s="1"/>
  <c r="AX392" i="3"/>
  <c r="BA392" i="3" s="1"/>
  <c r="AV392" i="3"/>
  <c r="AU392" i="3"/>
  <c r="AQ392" i="3"/>
  <c r="AC392" i="3"/>
  <c r="AD392" i="3" s="1"/>
  <c r="AB392" i="3"/>
  <c r="AE392" i="3" s="1"/>
  <c r="Z392" i="3"/>
  <c r="Y392" i="3"/>
  <c r="BS391" i="3"/>
  <c r="BR391" i="3"/>
  <c r="AV391" i="3"/>
  <c r="AU391" i="3"/>
  <c r="Z391" i="3"/>
  <c r="Y391" i="3"/>
  <c r="BS390" i="3"/>
  <c r="BR390" i="3"/>
  <c r="AV390" i="3"/>
  <c r="AU390" i="3"/>
  <c r="Z390" i="3"/>
  <c r="Y390" i="3"/>
  <c r="BV389" i="3"/>
  <c r="CC389" i="3" s="1"/>
  <c r="BU389" i="3"/>
  <c r="BX389" i="3" s="1"/>
  <c r="BS389" i="3"/>
  <c r="BR389" i="3"/>
  <c r="AY389" i="3"/>
  <c r="AZ389" i="3" s="1"/>
  <c r="AX389" i="3"/>
  <c r="BA389" i="3" s="1"/>
  <c r="AV389" i="3"/>
  <c r="AU389" i="3"/>
  <c r="AQ389" i="3"/>
  <c r="AC389" i="3"/>
  <c r="AD389" i="3" s="1"/>
  <c r="AB389" i="3"/>
  <c r="AE389" i="3" s="1"/>
  <c r="Z389" i="3"/>
  <c r="Y389" i="3"/>
  <c r="BS388" i="3"/>
  <c r="BR388" i="3"/>
  <c r="AV388" i="3"/>
  <c r="AU388" i="3"/>
  <c r="Z388" i="3"/>
  <c r="Y388" i="3"/>
  <c r="BS387" i="3"/>
  <c r="BR387" i="3"/>
  <c r="AV387" i="3"/>
  <c r="AU387" i="3"/>
  <c r="Z387" i="3"/>
  <c r="Y387" i="3"/>
  <c r="BV386" i="3"/>
  <c r="CC386" i="3" s="1"/>
  <c r="BU386" i="3"/>
  <c r="BX386" i="3" s="1"/>
  <c r="BS386" i="3"/>
  <c r="BR386" i="3"/>
  <c r="AY386" i="3"/>
  <c r="AZ386" i="3" s="1"/>
  <c r="AX386" i="3"/>
  <c r="BA386" i="3" s="1"/>
  <c r="AV386" i="3"/>
  <c r="AU386" i="3"/>
  <c r="AQ386" i="3"/>
  <c r="AC386" i="3"/>
  <c r="AD386" i="3" s="1"/>
  <c r="AB386" i="3"/>
  <c r="AE386" i="3" s="1"/>
  <c r="Z386" i="3"/>
  <c r="Y386" i="3"/>
  <c r="BS385" i="3"/>
  <c r="BR385" i="3"/>
  <c r="AV385" i="3"/>
  <c r="AU385" i="3"/>
  <c r="Z385" i="3"/>
  <c r="Y385" i="3"/>
  <c r="BS384" i="3"/>
  <c r="BR384" i="3"/>
  <c r="AV384" i="3"/>
  <c r="AU384" i="3"/>
  <c r="Z384" i="3"/>
  <c r="Y384" i="3"/>
  <c r="BV383" i="3"/>
  <c r="CC383" i="3" s="1"/>
  <c r="BU383" i="3"/>
  <c r="BX383" i="3" s="1"/>
  <c r="BS383" i="3"/>
  <c r="BR383" i="3"/>
  <c r="AY383" i="3"/>
  <c r="AZ383" i="3" s="1"/>
  <c r="AX383" i="3"/>
  <c r="BA383" i="3" s="1"/>
  <c r="AV383" i="3"/>
  <c r="AU383" i="3"/>
  <c r="AQ383" i="3"/>
  <c r="AC383" i="3"/>
  <c r="AD383" i="3" s="1"/>
  <c r="AB383" i="3"/>
  <c r="AE383" i="3" s="1"/>
  <c r="Z383" i="3"/>
  <c r="Y383" i="3"/>
  <c r="BS382" i="3"/>
  <c r="BR382" i="3"/>
  <c r="AV382" i="3"/>
  <c r="AU382" i="3"/>
  <c r="Z382" i="3"/>
  <c r="Y382" i="3"/>
  <c r="BV381" i="3"/>
  <c r="BW381" i="3" s="1"/>
  <c r="BU381" i="3"/>
  <c r="BX381" i="3" s="1"/>
  <c r="BS381" i="3"/>
  <c r="BR381" i="3"/>
  <c r="AY381" i="3"/>
  <c r="AZ381" i="3" s="1"/>
  <c r="AX381" i="3"/>
  <c r="BA381" i="3" s="1"/>
  <c r="AV381" i="3"/>
  <c r="AU381" i="3"/>
  <c r="AC381" i="3"/>
  <c r="AD381" i="3" s="1"/>
  <c r="AB381" i="3"/>
  <c r="AE381" i="3" s="1"/>
  <c r="Z381" i="3"/>
  <c r="Y381" i="3"/>
  <c r="BS380" i="3"/>
  <c r="BR380" i="3"/>
  <c r="AV380" i="3"/>
  <c r="AU380" i="3"/>
  <c r="Z380" i="3"/>
  <c r="Y380" i="3"/>
  <c r="BS379" i="3"/>
  <c r="BR379" i="3"/>
  <c r="AV379" i="3"/>
  <c r="AU379" i="3"/>
  <c r="Z379" i="3"/>
  <c r="Y379" i="3"/>
  <c r="BV378" i="3"/>
  <c r="CC378" i="3" s="1"/>
  <c r="BU378" i="3"/>
  <c r="BX378" i="3" s="1"/>
  <c r="BS378" i="3"/>
  <c r="BR378" i="3"/>
  <c r="AY378" i="3"/>
  <c r="AZ378" i="3" s="1"/>
  <c r="AX378" i="3"/>
  <c r="BA378" i="3" s="1"/>
  <c r="AV378" i="3"/>
  <c r="AU378" i="3"/>
  <c r="AQ378" i="3"/>
  <c r="AC378" i="3"/>
  <c r="AD378" i="3" s="1"/>
  <c r="AB378" i="3"/>
  <c r="AE378" i="3" s="1"/>
  <c r="Z378" i="3"/>
  <c r="Y378" i="3"/>
  <c r="CC377" i="3"/>
  <c r="BS377" i="3"/>
  <c r="BR377" i="3"/>
  <c r="AV377" i="3"/>
  <c r="AU377" i="3"/>
  <c r="Z377" i="3"/>
  <c r="Y377" i="3"/>
  <c r="BS376" i="3"/>
  <c r="BR376" i="3"/>
  <c r="AV376" i="3"/>
  <c r="AU376" i="3"/>
  <c r="Z376" i="3"/>
  <c r="Y376" i="3"/>
  <c r="BV375" i="3"/>
  <c r="BW375" i="3" s="1"/>
  <c r="BU375" i="3"/>
  <c r="BX375" i="3" s="1"/>
  <c r="BS375" i="3"/>
  <c r="BR375" i="3"/>
  <c r="AY375" i="3"/>
  <c r="AZ375" i="3" s="1"/>
  <c r="AX375" i="3"/>
  <c r="BA375" i="3" s="1"/>
  <c r="AV375" i="3"/>
  <c r="AU375" i="3"/>
  <c r="AQ375" i="3"/>
  <c r="AC375" i="3"/>
  <c r="AD375" i="3" s="1"/>
  <c r="AB375" i="3"/>
  <c r="AE375" i="3" s="1"/>
  <c r="Z375" i="3"/>
  <c r="Y375" i="3"/>
  <c r="BS374" i="3"/>
  <c r="BR374" i="3"/>
  <c r="AV374" i="3"/>
  <c r="AU374" i="3"/>
  <c r="Z374" i="3"/>
  <c r="Y374" i="3"/>
  <c r="BV373" i="3"/>
  <c r="CC373" i="3" s="1"/>
  <c r="BU373" i="3"/>
  <c r="BX373" i="3" s="1"/>
  <c r="BS373" i="3"/>
  <c r="BR373" i="3"/>
  <c r="AY373" i="3"/>
  <c r="AZ373" i="3" s="1"/>
  <c r="AX373" i="3"/>
  <c r="BA373" i="3" s="1"/>
  <c r="AV373" i="3"/>
  <c r="AU373" i="3"/>
  <c r="AQ373" i="3"/>
  <c r="AC373" i="3"/>
  <c r="AD373" i="3" s="1"/>
  <c r="AB373" i="3"/>
  <c r="AE373" i="3" s="1"/>
  <c r="Z373" i="3"/>
  <c r="Y373" i="3"/>
  <c r="CC381" i="3" l="1"/>
  <c r="CC375" i="3"/>
  <c r="BW378" i="3"/>
  <c r="BW373" i="3"/>
  <c r="BW383" i="3"/>
  <c r="BW386" i="3"/>
  <c r="BW389" i="3"/>
  <c r="BW392" i="3"/>
  <c r="BW395" i="3"/>
  <c r="BW398" i="3"/>
  <c r="BS372" i="3" l="1"/>
  <c r="BR372" i="3"/>
  <c r="AV372" i="3"/>
  <c r="AU372" i="3"/>
  <c r="Z372" i="3"/>
  <c r="Y372" i="3"/>
  <c r="CC371" i="3"/>
  <c r="BV371" i="3"/>
  <c r="BW371" i="3" s="1"/>
  <c r="BU371" i="3"/>
  <c r="BX371" i="3" s="1"/>
  <c r="BS371" i="3"/>
  <c r="BR371" i="3"/>
  <c r="AY371" i="3"/>
  <c r="AZ371" i="3" s="1"/>
  <c r="AX371" i="3"/>
  <c r="BA371" i="3" s="1"/>
  <c r="AV371" i="3"/>
  <c r="AU371" i="3"/>
  <c r="AC371" i="3"/>
  <c r="AD371" i="3" s="1"/>
  <c r="AB371" i="3"/>
  <c r="AE371" i="3" s="1"/>
  <c r="Z371" i="3"/>
  <c r="Y371" i="3"/>
  <c r="BS370" i="3"/>
  <c r="BR370" i="3"/>
  <c r="AV370" i="3"/>
  <c r="AU370" i="3"/>
  <c r="Z370" i="3"/>
  <c r="Y370" i="3"/>
  <c r="CE369" i="3"/>
  <c r="CD369" i="3"/>
  <c r="CB369" i="3"/>
  <c r="CC369" i="3" s="1"/>
  <c r="CA369" i="3"/>
  <c r="BV369" i="3"/>
  <c r="BW369" i="3" s="1"/>
  <c r="BU369" i="3"/>
  <c r="BX369" i="3" s="1"/>
  <c r="BS369" i="3"/>
  <c r="BR369" i="3"/>
  <c r="AY369" i="3"/>
  <c r="AZ369" i="3" s="1"/>
  <c r="AX369" i="3"/>
  <c r="BA369" i="3" s="1"/>
  <c r="AV369" i="3"/>
  <c r="AU369" i="3"/>
  <c r="AC369" i="3"/>
  <c r="AD369" i="3" s="1"/>
  <c r="AB369" i="3"/>
  <c r="AE369" i="3" s="1"/>
  <c r="Z369" i="3"/>
  <c r="Y369" i="3"/>
  <c r="BS368" i="3"/>
  <c r="BR368" i="3"/>
  <c r="AV368" i="3"/>
  <c r="AU368" i="3"/>
  <c r="Z368" i="3"/>
  <c r="Y368" i="3"/>
  <c r="BS367" i="3"/>
  <c r="BR367" i="3"/>
  <c r="AV367" i="3"/>
  <c r="AU367" i="3"/>
  <c r="Z367" i="3"/>
  <c r="Y367" i="3"/>
  <c r="BS366" i="3"/>
  <c r="BR366" i="3"/>
  <c r="AV366" i="3"/>
  <c r="AU366" i="3"/>
  <c r="Z366" i="3"/>
  <c r="Y366" i="3"/>
  <c r="BS365" i="3"/>
  <c r="BR365" i="3"/>
  <c r="AV365" i="3"/>
  <c r="AU365" i="3"/>
  <c r="Z365" i="3"/>
  <c r="Y365" i="3"/>
  <c r="CE364" i="3"/>
  <c r="CD364" i="3"/>
  <c r="CC364" i="3"/>
  <c r="BV364" i="3"/>
  <c r="BW364" i="3" s="1"/>
  <c r="BU364" i="3"/>
  <c r="BX364" i="3" s="1"/>
  <c r="BS364" i="3"/>
  <c r="BR364" i="3"/>
  <c r="AY364" i="3"/>
  <c r="AZ364" i="3" s="1"/>
  <c r="AX364" i="3"/>
  <c r="BA364" i="3" s="1"/>
  <c r="AV364" i="3"/>
  <c r="AU364" i="3"/>
  <c r="AC364" i="3"/>
  <c r="AD364" i="3" s="1"/>
  <c r="AB364" i="3"/>
  <c r="AE364" i="3" s="1"/>
  <c r="Z364" i="3"/>
  <c r="Y364" i="3"/>
  <c r="BS363" i="3"/>
  <c r="BR363" i="3"/>
  <c r="AV363" i="3"/>
  <c r="AU363" i="3"/>
  <c r="Z363" i="3"/>
  <c r="Y363" i="3"/>
  <c r="BS362" i="3"/>
  <c r="BR362" i="3"/>
  <c r="AV362" i="3"/>
  <c r="AU362" i="3"/>
  <c r="Z362" i="3"/>
  <c r="Y362" i="3"/>
  <c r="BS361" i="3"/>
  <c r="BR361" i="3"/>
  <c r="AV361" i="3"/>
  <c r="AU361" i="3"/>
  <c r="Z361" i="3"/>
  <c r="Y361" i="3"/>
  <c r="BS360" i="3"/>
  <c r="BR360" i="3"/>
  <c r="AV360" i="3"/>
  <c r="AU360" i="3"/>
  <c r="Z360" i="3"/>
  <c r="Y360" i="3"/>
  <c r="CE359" i="3"/>
  <c r="CD359" i="3"/>
  <c r="CC359" i="3"/>
  <c r="BV359" i="3"/>
  <c r="BW359" i="3" s="1"/>
  <c r="BU359" i="3"/>
  <c r="BX359" i="3" s="1"/>
  <c r="BS359" i="3"/>
  <c r="BR359" i="3"/>
  <c r="AY359" i="3"/>
  <c r="AZ359" i="3" s="1"/>
  <c r="AX359" i="3"/>
  <c r="BA359" i="3" s="1"/>
  <c r="AV359" i="3"/>
  <c r="AU359" i="3"/>
  <c r="AC359" i="3"/>
  <c r="AD359" i="3" s="1"/>
  <c r="AB359" i="3"/>
  <c r="AE359" i="3" s="1"/>
  <c r="Z359" i="3"/>
  <c r="Y359" i="3"/>
  <c r="CE358" i="3"/>
  <c r="CD358" i="3"/>
  <c r="CC358" i="3"/>
  <c r="BV358" i="3"/>
  <c r="BW358" i="3" s="1"/>
  <c r="BU358" i="3"/>
  <c r="BX358" i="3" s="1"/>
  <c r="BS358" i="3"/>
  <c r="BR358" i="3"/>
  <c r="AY358" i="3"/>
  <c r="AZ358" i="3" s="1"/>
  <c r="AX358" i="3"/>
  <c r="BA358" i="3" s="1"/>
  <c r="AV358" i="3"/>
  <c r="AU358" i="3"/>
  <c r="AC358" i="3"/>
  <c r="AD358" i="3" s="1"/>
  <c r="AB358" i="3"/>
  <c r="AE358" i="3" s="1"/>
  <c r="Z358" i="3"/>
  <c r="Y358" i="3"/>
  <c r="CE357" i="3"/>
  <c r="CD357" i="3"/>
  <c r="CC357" i="3"/>
  <c r="BV357" i="3"/>
  <c r="BW357" i="3" s="1"/>
  <c r="BU357" i="3"/>
  <c r="BX357" i="3" s="1"/>
  <c r="BS357" i="3"/>
  <c r="BR357" i="3"/>
  <c r="AY357" i="3"/>
  <c r="AZ357" i="3" s="1"/>
  <c r="AX357" i="3"/>
  <c r="BA357" i="3" s="1"/>
  <c r="AV357" i="3"/>
  <c r="AU357" i="3"/>
  <c r="AC357" i="3"/>
  <c r="AD357" i="3" s="1"/>
  <c r="AB357" i="3"/>
  <c r="AE357" i="3" s="1"/>
  <c r="Z357" i="3"/>
  <c r="Y357" i="3"/>
  <c r="BS356" i="3"/>
  <c r="BR356" i="3"/>
  <c r="AV356" i="3"/>
  <c r="AU356" i="3"/>
  <c r="Z356" i="3"/>
  <c r="Y356" i="3"/>
  <c r="BS355" i="3"/>
  <c r="BR355" i="3"/>
  <c r="AV355" i="3"/>
  <c r="AU355" i="3"/>
  <c r="Z355" i="3"/>
  <c r="Y355" i="3"/>
  <c r="BS354" i="3"/>
  <c r="BR354" i="3"/>
  <c r="AV354" i="3"/>
  <c r="AU354" i="3"/>
  <c r="Z354" i="3"/>
  <c r="Y354" i="3"/>
  <c r="BS353" i="3"/>
  <c r="BR353" i="3"/>
  <c r="AV353" i="3"/>
  <c r="AU353" i="3"/>
  <c r="Z353" i="3"/>
  <c r="Y353" i="3"/>
  <c r="BS352" i="3"/>
  <c r="BR352" i="3"/>
  <c r="AV352" i="3"/>
  <c r="AU352" i="3"/>
  <c r="Z352" i="3"/>
  <c r="Y352" i="3"/>
  <c r="BS351" i="3"/>
  <c r="BR351" i="3"/>
  <c r="AV351" i="3"/>
  <c r="AU351" i="3"/>
  <c r="Z351" i="3"/>
  <c r="Y351" i="3"/>
  <c r="BS350" i="3"/>
  <c r="BR350" i="3"/>
  <c r="AV350" i="3"/>
  <c r="AU350" i="3"/>
  <c r="Z350" i="3"/>
  <c r="Y350" i="3"/>
  <c r="CE349" i="3"/>
  <c r="CD349" i="3"/>
  <c r="CC349" i="3"/>
  <c r="BV349" i="3"/>
  <c r="BW349" i="3" s="1"/>
  <c r="BU349" i="3"/>
  <c r="BX349" i="3" s="1"/>
  <c r="BS349" i="3"/>
  <c r="BR349" i="3"/>
  <c r="AY349" i="3"/>
  <c r="AZ349" i="3" s="1"/>
  <c r="AX349" i="3"/>
  <c r="BA349" i="3" s="1"/>
  <c r="AV349" i="3"/>
  <c r="AU349" i="3"/>
  <c r="AC349" i="3"/>
  <c r="AD349" i="3" s="1"/>
  <c r="AB349" i="3"/>
  <c r="AE349" i="3" s="1"/>
  <c r="Z349" i="3"/>
  <c r="Y349" i="3"/>
  <c r="BS348" i="3"/>
  <c r="BR348" i="3"/>
  <c r="AV348" i="3"/>
  <c r="AU348" i="3"/>
  <c r="Z348" i="3"/>
  <c r="Y348" i="3"/>
  <c r="CE347" i="3"/>
  <c r="CD347" i="3"/>
  <c r="CC347" i="3"/>
  <c r="BV347" i="3"/>
  <c r="BW347" i="3" s="1"/>
  <c r="BU347" i="3"/>
  <c r="BX347" i="3" s="1"/>
  <c r="BS347" i="3"/>
  <c r="BR347" i="3"/>
  <c r="AY347" i="3"/>
  <c r="AZ347" i="3" s="1"/>
  <c r="AX347" i="3"/>
  <c r="BA347" i="3" s="1"/>
  <c r="AV347" i="3"/>
  <c r="AU347" i="3"/>
  <c r="AC347" i="3"/>
  <c r="AD347" i="3" s="1"/>
  <c r="AB347" i="3"/>
  <c r="AE347" i="3" s="1"/>
  <c r="Z347" i="3"/>
  <c r="Y347" i="3"/>
  <c r="BS346" i="3"/>
  <c r="BR346" i="3"/>
  <c r="AV346" i="3"/>
  <c r="AU346" i="3"/>
  <c r="Z346" i="3"/>
  <c r="Y346" i="3"/>
  <c r="BS345" i="3"/>
  <c r="BR345" i="3"/>
  <c r="AV345" i="3"/>
  <c r="AU345" i="3"/>
  <c r="Z345" i="3"/>
  <c r="Y345" i="3"/>
  <c r="BS344" i="3"/>
  <c r="BR344" i="3"/>
  <c r="AV344" i="3"/>
  <c r="AU344" i="3"/>
  <c r="Z344" i="3"/>
  <c r="Y344" i="3"/>
  <c r="BS343" i="3"/>
  <c r="BR343" i="3"/>
  <c r="AV343" i="3"/>
  <c r="AU343" i="3"/>
  <c r="Z343" i="3"/>
  <c r="Y343" i="3"/>
  <c r="CD342" i="3"/>
  <c r="CC342" i="3"/>
  <c r="BV342" i="3"/>
  <c r="BW342" i="3" s="1"/>
  <c r="BU342" i="3"/>
  <c r="BX342" i="3" s="1"/>
  <c r="BS342" i="3"/>
  <c r="BR342" i="3"/>
  <c r="AY342" i="3"/>
  <c r="AZ342" i="3" s="1"/>
  <c r="AX342" i="3"/>
  <c r="BA342" i="3" s="1"/>
  <c r="AV342" i="3"/>
  <c r="AU342" i="3"/>
  <c r="AC342" i="3"/>
  <c r="AD342" i="3" s="1"/>
  <c r="AB342" i="3"/>
  <c r="AE342" i="3" s="1"/>
  <c r="Z342" i="3"/>
  <c r="Y342" i="3"/>
  <c r="BS341" i="3"/>
  <c r="BR341" i="3"/>
  <c r="AV341" i="3"/>
  <c r="AU341" i="3"/>
  <c r="Z341" i="3"/>
  <c r="Y341" i="3"/>
  <c r="BS340" i="3"/>
  <c r="BR340" i="3"/>
  <c r="AV340" i="3"/>
  <c r="AU340" i="3"/>
  <c r="Z340" i="3"/>
  <c r="Y340" i="3"/>
  <c r="BS339" i="3"/>
  <c r="BR339" i="3"/>
  <c r="AV339" i="3"/>
  <c r="AU339" i="3"/>
  <c r="Z339" i="3"/>
  <c r="Y339" i="3"/>
  <c r="BS338" i="3"/>
  <c r="BR338" i="3"/>
  <c r="AV338" i="3"/>
  <c r="AU338" i="3"/>
  <c r="Z338" i="3"/>
  <c r="Y338" i="3"/>
  <c r="BS337" i="3"/>
  <c r="BR337" i="3"/>
  <c r="AV337" i="3"/>
  <c r="AU337" i="3"/>
  <c r="Z337" i="3"/>
  <c r="Y337" i="3"/>
  <c r="BS336" i="3"/>
  <c r="BR336" i="3"/>
  <c r="AV336" i="3"/>
  <c r="AU336" i="3"/>
  <c r="Z336" i="3"/>
  <c r="Y336" i="3"/>
  <c r="CE335" i="3"/>
  <c r="CD335" i="3"/>
  <c r="CC335" i="3"/>
  <c r="BV335" i="3"/>
  <c r="BW335" i="3" s="1"/>
  <c r="BU335" i="3"/>
  <c r="BX335" i="3" s="1"/>
  <c r="BS335" i="3"/>
  <c r="BR335" i="3"/>
  <c r="AY335" i="3"/>
  <c r="AZ335" i="3" s="1"/>
  <c r="AX335" i="3"/>
  <c r="BA335" i="3" s="1"/>
  <c r="AV335" i="3"/>
  <c r="AU335" i="3"/>
  <c r="AC335" i="3"/>
  <c r="AD335" i="3" s="1"/>
  <c r="AB335" i="3"/>
  <c r="AE335" i="3" s="1"/>
  <c r="Z335" i="3"/>
  <c r="Y335" i="3"/>
  <c r="BS334" i="3"/>
  <c r="BR334" i="3"/>
  <c r="AV334" i="3"/>
  <c r="AU334" i="3"/>
  <c r="Z334" i="3"/>
  <c r="Y334" i="3"/>
  <c r="BS333" i="3"/>
  <c r="BR333" i="3"/>
  <c r="AV333" i="3"/>
  <c r="AU333" i="3"/>
  <c r="Z333" i="3"/>
  <c r="Y333" i="3"/>
  <c r="BS332" i="3"/>
  <c r="BR332" i="3"/>
  <c r="AV332" i="3"/>
  <c r="AU332" i="3"/>
  <c r="Z332" i="3"/>
  <c r="Y332" i="3"/>
  <c r="BS331" i="3"/>
  <c r="BR331" i="3"/>
  <c r="AV331" i="3"/>
  <c r="AU331" i="3"/>
  <c r="Z331" i="3"/>
  <c r="Y331" i="3"/>
  <c r="BS330" i="3"/>
  <c r="BR330" i="3"/>
  <c r="AV330" i="3"/>
  <c r="AU330" i="3"/>
  <c r="Z330" i="3"/>
  <c r="Y330" i="3"/>
  <c r="CF329" i="3"/>
  <c r="CE329" i="3"/>
  <c r="CD329" i="3"/>
  <c r="CB329" i="3"/>
  <c r="CC329" i="3" s="1"/>
  <c r="CA329" i="3"/>
  <c r="BV329" i="3"/>
  <c r="BW329" i="3" s="1"/>
  <c r="BU329" i="3"/>
  <c r="BX329" i="3" s="1"/>
  <c r="BS329" i="3"/>
  <c r="BR329" i="3"/>
  <c r="AY329" i="3"/>
  <c r="AZ329" i="3" s="1"/>
  <c r="AX329" i="3"/>
  <c r="BA329" i="3" s="1"/>
  <c r="AV329" i="3"/>
  <c r="AU329" i="3"/>
  <c r="AC329" i="3"/>
  <c r="AD329" i="3" s="1"/>
  <c r="AB329" i="3"/>
  <c r="AE329" i="3" s="1"/>
  <c r="Z329" i="3"/>
  <c r="Y329" i="3"/>
  <c r="BS328" i="3"/>
  <c r="BR328" i="3"/>
  <c r="AV328" i="3"/>
  <c r="AU328" i="3"/>
  <c r="Z328" i="3"/>
  <c r="Y328" i="3"/>
  <c r="CF327" i="3"/>
  <c r="CE327" i="3"/>
  <c r="CD327" i="3"/>
  <c r="CB327" i="3"/>
  <c r="CC327" i="3" s="1"/>
  <c r="CA327" i="3"/>
  <c r="BV327" i="3"/>
  <c r="BW327" i="3" s="1"/>
  <c r="BU327" i="3"/>
  <c r="BX327" i="3" s="1"/>
  <c r="BS327" i="3"/>
  <c r="BR327" i="3"/>
  <c r="AY327" i="3"/>
  <c r="AZ327" i="3" s="1"/>
  <c r="AX327" i="3"/>
  <c r="BA327" i="3" s="1"/>
  <c r="AV327" i="3"/>
  <c r="AU327" i="3"/>
  <c r="AC327" i="3"/>
  <c r="AD327" i="3" s="1"/>
  <c r="AB327" i="3"/>
  <c r="AE327" i="3" s="1"/>
  <c r="Z327" i="3"/>
  <c r="Y327" i="3"/>
  <c r="BS326" i="3"/>
  <c r="BR326" i="3"/>
  <c r="AV326" i="3"/>
  <c r="AU326" i="3"/>
  <c r="Z326" i="3"/>
  <c r="Y326" i="3"/>
  <c r="CE325" i="3"/>
  <c r="CD325" i="3"/>
  <c r="CB325" i="3"/>
  <c r="CC325" i="3" s="1"/>
  <c r="CA325" i="3"/>
  <c r="BV325" i="3"/>
  <c r="BW325" i="3" s="1"/>
  <c r="BU325" i="3"/>
  <c r="BX325" i="3" s="1"/>
  <c r="BS325" i="3"/>
  <c r="BR325" i="3"/>
  <c r="AY325" i="3"/>
  <c r="AZ325" i="3" s="1"/>
  <c r="AX325" i="3"/>
  <c r="BA325" i="3" s="1"/>
  <c r="AV325" i="3"/>
  <c r="AU325" i="3"/>
  <c r="AC325" i="3"/>
  <c r="AD325" i="3" s="1"/>
  <c r="AB325" i="3"/>
  <c r="AE325" i="3" s="1"/>
  <c r="Z325" i="3"/>
  <c r="Y325" i="3"/>
  <c r="BS241" i="3"/>
  <c r="BR241" i="3"/>
  <c r="AV241" i="3"/>
  <c r="AU241" i="3"/>
  <c r="Z241" i="3"/>
  <c r="Y241" i="3"/>
  <c r="BV240" i="3"/>
  <c r="BW240" i="3" s="1"/>
  <c r="BU240" i="3"/>
  <c r="BX240" i="3" s="1"/>
  <c r="BS240" i="3"/>
  <c r="BR240" i="3"/>
  <c r="AY240" i="3"/>
  <c r="AZ240" i="3" s="1"/>
  <c r="AX240" i="3"/>
  <c r="BA240" i="3" s="1"/>
  <c r="AV240" i="3"/>
  <c r="AU240" i="3"/>
  <c r="AQ240" i="3"/>
  <c r="AC240" i="3"/>
  <c r="AD240" i="3" s="1"/>
  <c r="AB240" i="3"/>
  <c r="AE240" i="3" s="1"/>
  <c r="Z240" i="3"/>
  <c r="Y240" i="3"/>
  <c r="BS239" i="3"/>
  <c r="BR239" i="3"/>
  <c r="AV239" i="3"/>
  <c r="AU239" i="3"/>
  <c r="Z239" i="3"/>
  <c r="Y239" i="3"/>
  <c r="BV238" i="3"/>
  <c r="BW238" i="3" s="1"/>
  <c r="BU238" i="3"/>
  <c r="BX238" i="3" s="1"/>
  <c r="BS238" i="3"/>
  <c r="BR238" i="3"/>
  <c r="AY238" i="3"/>
  <c r="AZ238" i="3" s="1"/>
  <c r="AX238" i="3"/>
  <c r="BA238" i="3" s="1"/>
  <c r="AV238" i="3"/>
  <c r="AU238" i="3"/>
  <c r="AQ238" i="3"/>
  <c r="AC238" i="3"/>
  <c r="AD238" i="3" s="1"/>
  <c r="AB238" i="3"/>
  <c r="AE238" i="3" s="1"/>
  <c r="Z238" i="3"/>
  <c r="Y238" i="3"/>
  <c r="BS237" i="3"/>
  <c r="BR237" i="3"/>
  <c r="AV237" i="3"/>
  <c r="AU237" i="3"/>
  <c r="Z237" i="3"/>
  <c r="Y237" i="3"/>
  <c r="BV236" i="3"/>
  <c r="BW236" i="3" s="1"/>
  <c r="BU236" i="3"/>
  <c r="BX236" i="3" s="1"/>
  <c r="BS236" i="3"/>
  <c r="BR236" i="3"/>
  <c r="AY236" i="3"/>
  <c r="AZ236" i="3" s="1"/>
  <c r="AX236" i="3"/>
  <c r="BA236" i="3" s="1"/>
  <c r="AV236" i="3"/>
  <c r="AU236" i="3"/>
  <c r="AQ236" i="3"/>
  <c r="AC236" i="3"/>
  <c r="AD236" i="3" s="1"/>
  <c r="AB236" i="3"/>
  <c r="AE236" i="3" s="1"/>
  <c r="Z236" i="3"/>
  <c r="Y236" i="3"/>
  <c r="BS235" i="3"/>
  <c r="BR235" i="3"/>
  <c r="AV235" i="3"/>
  <c r="AU235" i="3"/>
  <c r="Z235" i="3"/>
  <c r="Y235" i="3"/>
  <c r="BV234" i="3"/>
  <c r="BW234" i="3" s="1"/>
  <c r="BU234" i="3"/>
  <c r="BX234" i="3" s="1"/>
  <c r="BS234" i="3"/>
  <c r="BR234" i="3"/>
  <c r="AY234" i="3"/>
  <c r="AZ234" i="3" s="1"/>
  <c r="AX234" i="3"/>
  <c r="BA234" i="3" s="1"/>
  <c r="AV234" i="3"/>
  <c r="AU234" i="3"/>
  <c r="AQ234" i="3"/>
  <c r="AC234" i="3"/>
  <c r="AD234" i="3" s="1"/>
  <c r="AB234" i="3"/>
  <c r="AE234" i="3" s="1"/>
  <c r="Z234" i="3"/>
  <c r="Y234" i="3"/>
  <c r="BS233" i="3"/>
  <c r="BR233" i="3"/>
  <c r="AV233" i="3"/>
  <c r="AU233" i="3"/>
  <c r="Z233" i="3"/>
  <c r="Y233" i="3"/>
  <c r="BV232" i="3"/>
  <c r="BW232" i="3" s="1"/>
  <c r="BU232" i="3"/>
  <c r="BX232" i="3" s="1"/>
  <c r="BS232" i="3"/>
  <c r="BR232" i="3"/>
  <c r="AY232" i="3"/>
  <c r="AZ232" i="3" s="1"/>
  <c r="AX232" i="3"/>
  <c r="BA232" i="3" s="1"/>
  <c r="AV232" i="3"/>
  <c r="AU232" i="3"/>
  <c r="AQ232" i="3"/>
  <c r="AC232" i="3"/>
  <c r="AD232" i="3" s="1"/>
  <c r="AB232" i="3"/>
  <c r="AE232" i="3" s="1"/>
  <c r="Z232" i="3"/>
  <c r="Y232" i="3"/>
  <c r="BS231" i="3"/>
  <c r="BR231" i="3"/>
  <c r="AV231" i="3"/>
  <c r="AU231" i="3"/>
  <c r="Z231" i="3"/>
  <c r="Y231" i="3"/>
  <c r="BV230" i="3"/>
  <c r="BW230" i="3" s="1"/>
  <c r="BU230" i="3"/>
  <c r="BX230" i="3" s="1"/>
  <c r="BS230" i="3"/>
  <c r="BR230" i="3"/>
  <c r="AY230" i="3"/>
  <c r="AZ230" i="3" s="1"/>
  <c r="AX230" i="3"/>
  <c r="BA230" i="3" s="1"/>
  <c r="AV230" i="3"/>
  <c r="AU230" i="3"/>
  <c r="AQ230" i="3"/>
  <c r="AC230" i="3"/>
  <c r="AD230" i="3" s="1"/>
  <c r="AB230" i="3"/>
  <c r="AE230" i="3" s="1"/>
  <c r="Z230" i="3"/>
  <c r="Y230" i="3"/>
  <c r="BS229" i="3"/>
  <c r="BR229" i="3"/>
  <c r="AV229" i="3"/>
  <c r="AU229" i="3"/>
  <c r="Z229" i="3"/>
  <c r="Y229" i="3"/>
  <c r="BS228" i="3"/>
  <c r="BR228" i="3"/>
  <c r="AV228" i="3"/>
  <c r="AU228" i="3"/>
  <c r="Z228" i="3"/>
  <c r="Y228" i="3"/>
  <c r="BV227" i="3"/>
  <c r="BW227" i="3" s="1"/>
  <c r="BU227" i="3"/>
  <c r="BX227" i="3" s="1"/>
  <c r="BS227" i="3"/>
  <c r="BR227" i="3"/>
  <c r="AY227" i="3"/>
  <c r="AZ227" i="3" s="1"/>
  <c r="AX227" i="3"/>
  <c r="BA227" i="3" s="1"/>
  <c r="AV227" i="3"/>
  <c r="AU227" i="3"/>
  <c r="AQ227" i="3"/>
  <c r="AC227" i="3"/>
  <c r="AD227" i="3" s="1"/>
  <c r="AB227" i="3"/>
  <c r="AE227" i="3" s="1"/>
  <c r="Z227" i="3"/>
  <c r="Y227" i="3"/>
  <c r="BS226" i="3"/>
  <c r="BR226" i="3"/>
  <c r="AV226" i="3"/>
  <c r="AU226" i="3"/>
  <c r="Z226" i="3"/>
  <c r="Y226" i="3"/>
  <c r="BS225" i="3"/>
  <c r="BR225" i="3"/>
  <c r="AV225" i="3"/>
  <c r="AU225" i="3"/>
  <c r="Z225" i="3"/>
  <c r="Y225" i="3"/>
  <c r="BV224" i="3"/>
  <c r="BW224" i="3" s="1"/>
  <c r="BU224" i="3"/>
  <c r="BX224" i="3" s="1"/>
  <c r="BS224" i="3"/>
  <c r="BR224" i="3"/>
  <c r="AY224" i="3"/>
  <c r="AZ224" i="3" s="1"/>
  <c r="AX224" i="3"/>
  <c r="BA224" i="3" s="1"/>
  <c r="AV224" i="3"/>
  <c r="AU224" i="3"/>
  <c r="AQ224" i="3"/>
  <c r="AC224" i="3"/>
  <c r="AD224" i="3" s="1"/>
  <c r="AB224" i="3"/>
  <c r="AE224" i="3" s="1"/>
  <c r="Z224" i="3"/>
  <c r="Y224" i="3"/>
  <c r="BS223" i="3"/>
  <c r="BR223" i="3"/>
  <c r="AV223" i="3"/>
  <c r="AU223" i="3"/>
  <c r="Z223" i="3"/>
  <c r="Y223" i="3"/>
  <c r="BS222" i="3"/>
  <c r="BR222" i="3"/>
  <c r="AV222" i="3"/>
  <c r="AU222" i="3"/>
  <c r="Z222" i="3"/>
  <c r="Y222" i="3"/>
  <c r="BV221" i="3"/>
  <c r="BW221" i="3" s="1"/>
  <c r="BU221" i="3"/>
  <c r="BX221" i="3" s="1"/>
  <c r="BS221" i="3"/>
  <c r="BR221" i="3"/>
  <c r="AY221" i="3"/>
  <c r="AZ221" i="3" s="1"/>
  <c r="AX221" i="3"/>
  <c r="BA221" i="3" s="1"/>
  <c r="AV221" i="3"/>
  <c r="AU221" i="3"/>
  <c r="AC221" i="3"/>
  <c r="AD221" i="3" s="1"/>
  <c r="AB221" i="3"/>
  <c r="AE221" i="3" s="1"/>
  <c r="Z221" i="3"/>
  <c r="Y221" i="3"/>
  <c r="BS220" i="3"/>
  <c r="BR220" i="3"/>
  <c r="AV220" i="3"/>
  <c r="AU220" i="3"/>
  <c r="Z220" i="3"/>
  <c r="Y220" i="3"/>
  <c r="BS219" i="3"/>
  <c r="BR219" i="3"/>
  <c r="AV219" i="3"/>
  <c r="AU219" i="3"/>
  <c r="Z219" i="3"/>
  <c r="Y219" i="3"/>
  <c r="BV218" i="3"/>
  <c r="BW218" i="3" s="1"/>
  <c r="BU218" i="3"/>
  <c r="BX218" i="3" s="1"/>
  <c r="BS218" i="3"/>
  <c r="BR218" i="3"/>
  <c r="AY218" i="3"/>
  <c r="AZ218" i="3" s="1"/>
  <c r="AX218" i="3"/>
  <c r="BA218" i="3" s="1"/>
  <c r="AV218" i="3"/>
  <c r="AU218" i="3"/>
  <c r="AC218" i="3"/>
  <c r="AD218" i="3" s="1"/>
  <c r="AB218" i="3"/>
  <c r="AE218" i="3" s="1"/>
  <c r="Z218" i="3"/>
  <c r="Y218" i="3"/>
  <c r="BS217" i="3"/>
  <c r="BR217" i="3"/>
  <c r="AV217" i="3"/>
  <c r="AU217" i="3"/>
  <c r="Z217" i="3"/>
  <c r="Y217" i="3"/>
  <c r="BS216" i="3"/>
  <c r="BR216" i="3"/>
  <c r="AV216" i="3"/>
  <c r="AU216" i="3"/>
  <c r="Z216" i="3"/>
  <c r="Y216" i="3"/>
  <c r="BV215" i="3"/>
  <c r="BW215" i="3" s="1"/>
  <c r="BU215" i="3"/>
  <c r="BX215" i="3" s="1"/>
  <c r="BS215" i="3"/>
  <c r="BR215" i="3"/>
  <c r="AY215" i="3"/>
  <c r="AZ215" i="3" s="1"/>
  <c r="AX215" i="3"/>
  <c r="BA215" i="3" s="1"/>
  <c r="AV215" i="3"/>
  <c r="AU215" i="3"/>
  <c r="AC215" i="3"/>
  <c r="AD215" i="3" s="1"/>
  <c r="AB215" i="3"/>
  <c r="AE215" i="3" s="1"/>
  <c r="Z215" i="3"/>
  <c r="Y215" i="3"/>
  <c r="BS214" i="3"/>
  <c r="BR214" i="3"/>
  <c r="AV214" i="3"/>
  <c r="AU214" i="3"/>
  <c r="Z214" i="3"/>
  <c r="Y214" i="3"/>
  <c r="BS213" i="3"/>
  <c r="BR213" i="3"/>
  <c r="AV213" i="3"/>
  <c r="AU213" i="3"/>
  <c r="Z213" i="3"/>
  <c r="Y213" i="3"/>
  <c r="BV212" i="3"/>
  <c r="BW212" i="3" s="1"/>
  <c r="BU212" i="3"/>
  <c r="BX212" i="3" s="1"/>
  <c r="BS212" i="3"/>
  <c r="BR212" i="3"/>
  <c r="AY212" i="3"/>
  <c r="AZ212" i="3" s="1"/>
  <c r="AX212" i="3"/>
  <c r="BA212" i="3" s="1"/>
  <c r="AV212" i="3"/>
  <c r="AU212" i="3"/>
  <c r="AC212" i="3"/>
  <c r="AD212" i="3" s="1"/>
  <c r="AB212" i="3"/>
  <c r="AE212" i="3" s="1"/>
  <c r="Z212" i="3"/>
  <c r="Y212" i="3"/>
  <c r="BS211" i="3"/>
  <c r="BR211" i="3"/>
  <c r="AV211" i="3"/>
  <c r="AU211" i="3"/>
  <c r="Z211" i="3"/>
  <c r="Y211" i="3"/>
  <c r="BV210" i="3"/>
  <c r="BW210" i="3" s="1"/>
  <c r="BU210" i="3"/>
  <c r="BX210" i="3" s="1"/>
  <c r="BS210" i="3"/>
  <c r="BR210" i="3"/>
  <c r="AY210" i="3"/>
  <c r="AZ210" i="3" s="1"/>
  <c r="AX210" i="3"/>
  <c r="BA210" i="3" s="1"/>
  <c r="AV210" i="3"/>
  <c r="AU210" i="3"/>
  <c r="AC210" i="3"/>
  <c r="AD210" i="3" s="1"/>
  <c r="AB210" i="3"/>
  <c r="AE210" i="3" s="1"/>
  <c r="Z210" i="3"/>
  <c r="Y210" i="3"/>
  <c r="BS209" i="3"/>
  <c r="BR209" i="3"/>
  <c r="AV209" i="3"/>
  <c r="AU209" i="3"/>
  <c r="Z209" i="3"/>
  <c r="Y209" i="3"/>
  <c r="BS208" i="3"/>
  <c r="BR208" i="3"/>
  <c r="AV208" i="3"/>
  <c r="AU208" i="3"/>
  <c r="Z208" i="3"/>
  <c r="Y208" i="3"/>
  <c r="BV207" i="3"/>
  <c r="BW207" i="3" s="1"/>
  <c r="BU207" i="3"/>
  <c r="BX207" i="3" s="1"/>
  <c r="BS207" i="3"/>
  <c r="BR207" i="3"/>
  <c r="AY207" i="3"/>
  <c r="AZ207" i="3" s="1"/>
  <c r="AX207" i="3"/>
  <c r="BA207" i="3" s="1"/>
  <c r="AV207" i="3"/>
  <c r="AU207" i="3"/>
  <c r="AC207" i="3"/>
  <c r="AD207" i="3" s="1"/>
  <c r="AB207" i="3"/>
  <c r="AE207" i="3" s="1"/>
  <c r="Z207" i="3"/>
  <c r="Y207" i="3"/>
  <c r="BS206" i="3"/>
  <c r="BR206" i="3"/>
  <c r="AV206" i="3"/>
  <c r="AU206" i="3"/>
  <c r="Z206" i="3"/>
  <c r="Y206" i="3"/>
  <c r="BS205" i="3"/>
  <c r="BR205" i="3"/>
  <c r="AV205" i="3"/>
  <c r="AU205" i="3"/>
  <c r="Z205" i="3"/>
  <c r="Y205" i="3"/>
  <c r="BV204" i="3"/>
  <c r="BW204" i="3" s="1"/>
  <c r="BU204" i="3"/>
  <c r="BX204" i="3" s="1"/>
  <c r="BS204" i="3"/>
  <c r="BR204" i="3"/>
  <c r="AY204" i="3"/>
  <c r="AZ204" i="3" s="1"/>
  <c r="AX204" i="3"/>
  <c r="BA204" i="3" s="1"/>
  <c r="AV204" i="3"/>
  <c r="AU204" i="3"/>
  <c r="AC204" i="3"/>
  <c r="AD204" i="3" s="1"/>
  <c r="AB204" i="3"/>
  <c r="AE204" i="3" s="1"/>
  <c r="Z204" i="3"/>
  <c r="Y204" i="3"/>
  <c r="BS203" i="3"/>
  <c r="BR203" i="3"/>
  <c r="AV203" i="3"/>
  <c r="AU203" i="3"/>
  <c r="Z203" i="3"/>
  <c r="Y203" i="3"/>
  <c r="BS202" i="3"/>
  <c r="BR202" i="3"/>
  <c r="AV202" i="3"/>
  <c r="AU202" i="3"/>
  <c r="Z202" i="3"/>
  <c r="Y202" i="3"/>
  <c r="BV201" i="3"/>
  <c r="BW201" i="3" s="1"/>
  <c r="BU201" i="3"/>
  <c r="BX201" i="3" s="1"/>
  <c r="BS201" i="3"/>
  <c r="BR201" i="3"/>
  <c r="AY201" i="3"/>
  <c r="AZ201" i="3" s="1"/>
  <c r="AX201" i="3"/>
  <c r="BA201" i="3" s="1"/>
  <c r="AV201" i="3"/>
  <c r="AU201" i="3"/>
  <c r="AC201" i="3"/>
  <c r="AD201" i="3" s="1"/>
  <c r="AB201" i="3"/>
  <c r="AE201" i="3" s="1"/>
  <c r="Z201" i="3"/>
  <c r="Y201" i="3"/>
  <c r="BS200" i="3"/>
  <c r="BR200" i="3"/>
  <c r="AV200" i="3"/>
  <c r="AU200" i="3"/>
  <c r="Z200" i="3"/>
  <c r="Y200" i="3"/>
  <c r="BS199" i="3"/>
  <c r="BR199" i="3"/>
  <c r="AV199" i="3"/>
  <c r="AU199" i="3"/>
  <c r="Z199" i="3"/>
  <c r="Y199" i="3"/>
  <c r="BV198" i="3"/>
  <c r="BW198" i="3" s="1"/>
  <c r="BU198" i="3"/>
  <c r="BX198" i="3" s="1"/>
  <c r="BS198" i="3"/>
  <c r="BR198" i="3"/>
  <c r="AY198" i="3"/>
  <c r="AZ198" i="3" s="1"/>
  <c r="AX198" i="3"/>
  <c r="BA198" i="3" s="1"/>
  <c r="AV198" i="3"/>
  <c r="AU198" i="3"/>
  <c r="AC198" i="3"/>
  <c r="AD198" i="3" s="1"/>
  <c r="AB198" i="3"/>
  <c r="AE198" i="3" s="1"/>
  <c r="Z198" i="3"/>
  <c r="Y198" i="3"/>
  <c r="BS197" i="3"/>
  <c r="BR197" i="3"/>
  <c r="AV197" i="3"/>
  <c r="AU197" i="3"/>
  <c r="Z197" i="3"/>
  <c r="Y197" i="3"/>
  <c r="BV196" i="3"/>
  <c r="BW196" i="3" s="1"/>
  <c r="BU196" i="3"/>
  <c r="BX196" i="3" s="1"/>
  <c r="BS196" i="3"/>
  <c r="BR196" i="3"/>
  <c r="AY196" i="3"/>
  <c r="AZ196" i="3" s="1"/>
  <c r="AX196" i="3"/>
  <c r="BA196" i="3" s="1"/>
  <c r="AV196" i="3"/>
  <c r="AU196" i="3"/>
  <c r="AC196" i="3"/>
  <c r="AD196" i="3" s="1"/>
  <c r="AB196" i="3"/>
  <c r="AE196" i="3" s="1"/>
  <c r="Z196" i="3"/>
  <c r="Y196" i="3"/>
  <c r="BS195" i="3"/>
  <c r="BR195" i="3"/>
  <c r="AV195" i="3"/>
  <c r="AU195" i="3"/>
  <c r="Z195" i="3"/>
  <c r="Y195" i="3"/>
  <c r="BV194" i="3"/>
  <c r="BW194" i="3" s="1"/>
  <c r="BU194" i="3"/>
  <c r="BX194" i="3" s="1"/>
  <c r="BS194" i="3"/>
  <c r="BR194" i="3"/>
  <c r="AY194" i="3"/>
  <c r="AZ194" i="3" s="1"/>
  <c r="AX194" i="3"/>
  <c r="BA194" i="3" s="1"/>
  <c r="AV194" i="3"/>
  <c r="AU194" i="3"/>
  <c r="AC194" i="3"/>
  <c r="AD194" i="3" s="1"/>
  <c r="AB194" i="3"/>
  <c r="AE194" i="3" s="1"/>
  <c r="Z194" i="3"/>
  <c r="Y194" i="3"/>
  <c r="BS193" i="3"/>
  <c r="BR193" i="3"/>
  <c r="AV193" i="3"/>
  <c r="AU193" i="3"/>
  <c r="Z193" i="3"/>
  <c r="Y193" i="3"/>
  <c r="BS192" i="3"/>
  <c r="BR192" i="3"/>
  <c r="AV192" i="3"/>
  <c r="AU192" i="3"/>
  <c r="Z192" i="3"/>
  <c r="Y192" i="3"/>
  <c r="BV191" i="3"/>
  <c r="BW191" i="3" s="1"/>
  <c r="BU191" i="3"/>
  <c r="BX191" i="3" s="1"/>
  <c r="BS191" i="3"/>
  <c r="BR191" i="3"/>
  <c r="AY191" i="3"/>
  <c r="AZ191" i="3" s="1"/>
  <c r="AX191" i="3"/>
  <c r="BA191" i="3" s="1"/>
  <c r="AV191" i="3"/>
  <c r="AU191" i="3"/>
  <c r="AC191" i="3"/>
  <c r="AD191" i="3" s="1"/>
  <c r="AB191" i="3"/>
  <c r="AE191" i="3" s="1"/>
  <c r="Z191" i="3"/>
  <c r="Y191" i="3"/>
  <c r="BS190" i="3"/>
  <c r="BR190" i="3"/>
  <c r="AV190" i="3"/>
  <c r="AU190" i="3"/>
  <c r="Z190" i="3"/>
  <c r="Y190" i="3"/>
  <c r="BV189" i="3"/>
  <c r="BW189" i="3" s="1"/>
  <c r="BU189" i="3"/>
  <c r="BX189" i="3" s="1"/>
  <c r="BS189" i="3"/>
  <c r="BR189" i="3"/>
  <c r="AY189" i="3"/>
  <c r="AZ189" i="3" s="1"/>
  <c r="AX189" i="3"/>
  <c r="BA189" i="3" s="1"/>
  <c r="AV189" i="3"/>
  <c r="AU189" i="3"/>
  <c r="AC189" i="3"/>
  <c r="AD189" i="3" s="1"/>
  <c r="AB189" i="3"/>
  <c r="AE189" i="3" s="1"/>
  <c r="Z189" i="3"/>
  <c r="Y189" i="3"/>
  <c r="BS188" i="3"/>
  <c r="BR188" i="3"/>
  <c r="AV188" i="3"/>
  <c r="AU188" i="3"/>
  <c r="Z188" i="3"/>
  <c r="Y188" i="3"/>
  <c r="BS187" i="3"/>
  <c r="BR187" i="3"/>
  <c r="AV187" i="3"/>
  <c r="AU187" i="3"/>
  <c r="Z187" i="3"/>
  <c r="Y187" i="3"/>
  <c r="BS186" i="3"/>
  <c r="BR186" i="3"/>
  <c r="AV186" i="3"/>
  <c r="AU186" i="3"/>
  <c r="Z186" i="3"/>
  <c r="Y186" i="3"/>
  <c r="BV185" i="3"/>
  <c r="BW185" i="3" s="1"/>
  <c r="BU185" i="3"/>
  <c r="BX185" i="3" s="1"/>
  <c r="BS185" i="3"/>
  <c r="BR185" i="3"/>
  <c r="AY185" i="3"/>
  <c r="AZ185" i="3" s="1"/>
  <c r="AX185" i="3"/>
  <c r="BA185" i="3" s="1"/>
  <c r="AV185" i="3"/>
  <c r="AU185" i="3"/>
  <c r="AC185" i="3"/>
  <c r="AD185" i="3" s="1"/>
  <c r="AB185" i="3"/>
  <c r="AE185" i="3" s="1"/>
  <c r="Z185" i="3"/>
  <c r="Y185" i="3"/>
  <c r="BS184" i="3"/>
  <c r="BR184" i="3"/>
  <c r="AV184" i="3"/>
  <c r="AU184" i="3"/>
  <c r="Z184" i="3"/>
  <c r="Y184" i="3"/>
  <c r="BS183" i="3"/>
  <c r="BR183" i="3"/>
  <c r="AV183" i="3"/>
  <c r="AU183" i="3"/>
  <c r="Z183" i="3"/>
  <c r="Y183" i="3"/>
  <c r="BV182" i="3"/>
  <c r="BW182" i="3" s="1"/>
  <c r="BU182" i="3"/>
  <c r="BX182" i="3" s="1"/>
  <c r="BS182" i="3"/>
  <c r="BR182" i="3"/>
  <c r="AY182" i="3"/>
  <c r="AZ182" i="3" s="1"/>
  <c r="AX182" i="3"/>
  <c r="BA182" i="3" s="1"/>
  <c r="AV182" i="3"/>
  <c r="AU182" i="3"/>
  <c r="AC182" i="3"/>
  <c r="AD182" i="3" s="1"/>
  <c r="AB182" i="3"/>
  <c r="AE182" i="3" s="1"/>
  <c r="Z182" i="3"/>
  <c r="Y182" i="3"/>
  <c r="BS181" i="3"/>
  <c r="BR181" i="3"/>
  <c r="AV181" i="3"/>
  <c r="AU181" i="3"/>
  <c r="Z181" i="3"/>
  <c r="Y181" i="3"/>
  <c r="BS180" i="3"/>
  <c r="BR180" i="3"/>
  <c r="AV180" i="3"/>
  <c r="AU180" i="3"/>
  <c r="Z180" i="3"/>
  <c r="Y180" i="3"/>
  <c r="BS179" i="3"/>
  <c r="BR179" i="3"/>
  <c r="AV179" i="3"/>
  <c r="AU179" i="3"/>
  <c r="Z179" i="3"/>
  <c r="Y179" i="3"/>
  <c r="BV178" i="3"/>
  <c r="BW178" i="3" s="1"/>
  <c r="BU178" i="3"/>
  <c r="BX178" i="3" s="1"/>
  <c r="BS178" i="3"/>
  <c r="BR178" i="3"/>
  <c r="AY178" i="3"/>
  <c r="AZ178" i="3" s="1"/>
  <c r="AX178" i="3"/>
  <c r="BA178" i="3" s="1"/>
  <c r="AV178" i="3"/>
  <c r="AU178" i="3"/>
  <c r="AC178" i="3"/>
  <c r="AD178" i="3" s="1"/>
  <c r="AB178" i="3"/>
  <c r="AE178" i="3" s="1"/>
  <c r="Z178" i="3"/>
  <c r="Y178" i="3"/>
  <c r="BS177" i="3"/>
  <c r="BR177" i="3"/>
  <c r="AV177" i="3"/>
  <c r="AU177" i="3"/>
  <c r="Z177" i="3"/>
  <c r="Y177" i="3"/>
  <c r="BS176" i="3"/>
  <c r="BR176" i="3"/>
  <c r="AV176" i="3"/>
  <c r="AU176" i="3"/>
  <c r="Z176" i="3"/>
  <c r="Y176" i="3"/>
  <c r="BV175" i="3"/>
  <c r="BW175" i="3" s="1"/>
  <c r="BU175" i="3"/>
  <c r="BX175" i="3" s="1"/>
  <c r="BS175" i="3"/>
  <c r="BR175" i="3"/>
  <c r="AY175" i="3"/>
  <c r="AZ175" i="3" s="1"/>
  <c r="AX175" i="3"/>
  <c r="BA175" i="3" s="1"/>
  <c r="AV175" i="3"/>
  <c r="AU175" i="3"/>
  <c r="AC175" i="3"/>
  <c r="AD175" i="3" s="1"/>
  <c r="AB175" i="3"/>
  <c r="AE175" i="3" s="1"/>
  <c r="Z175" i="3"/>
  <c r="Y175" i="3"/>
  <c r="BS174" i="3"/>
  <c r="BR174" i="3"/>
  <c r="AV174" i="3"/>
  <c r="AU174" i="3"/>
  <c r="Z174" i="3"/>
  <c r="Y174" i="3"/>
  <c r="BS173" i="3"/>
  <c r="BR173" i="3"/>
  <c r="AV173" i="3"/>
  <c r="AU173" i="3"/>
  <c r="Z173" i="3"/>
  <c r="Y173" i="3"/>
  <c r="BV172" i="3"/>
  <c r="BW172" i="3" s="1"/>
  <c r="BU172" i="3"/>
  <c r="BX172" i="3" s="1"/>
  <c r="BS172" i="3"/>
  <c r="BR172" i="3"/>
  <c r="AY172" i="3"/>
  <c r="AZ172" i="3" s="1"/>
  <c r="AX172" i="3"/>
  <c r="BA172" i="3" s="1"/>
  <c r="AV172" i="3"/>
  <c r="AU172" i="3"/>
  <c r="AC172" i="3"/>
  <c r="AD172" i="3" s="1"/>
  <c r="AB172" i="3"/>
  <c r="AE172" i="3" s="1"/>
  <c r="Z172" i="3"/>
  <c r="Y172" i="3"/>
  <c r="BS171" i="3"/>
  <c r="BR171" i="3"/>
  <c r="AV171" i="3"/>
  <c r="AU171" i="3"/>
  <c r="Z171" i="3"/>
  <c r="Y171" i="3"/>
  <c r="BV170" i="3"/>
  <c r="BW170" i="3" s="1"/>
  <c r="BU170" i="3"/>
  <c r="BX170" i="3" s="1"/>
  <c r="BS170" i="3"/>
  <c r="BR170" i="3"/>
  <c r="AY170" i="3"/>
  <c r="AZ170" i="3" s="1"/>
  <c r="AX170" i="3"/>
  <c r="BA170" i="3" s="1"/>
  <c r="AV170" i="3"/>
  <c r="AU170" i="3"/>
  <c r="AC170" i="3"/>
  <c r="AD170" i="3" s="1"/>
  <c r="AB170" i="3"/>
  <c r="AE170" i="3" s="1"/>
  <c r="Z170" i="3"/>
  <c r="Y170" i="3"/>
  <c r="BS169" i="3"/>
  <c r="BR169" i="3"/>
  <c r="AV169" i="3"/>
  <c r="AU169" i="3"/>
  <c r="Z169" i="3"/>
  <c r="Y169" i="3"/>
  <c r="BS168" i="3"/>
  <c r="BR168" i="3"/>
  <c r="AV168" i="3"/>
  <c r="AU168" i="3"/>
  <c r="Z168" i="3"/>
  <c r="Y168" i="3"/>
  <c r="BS167" i="3"/>
  <c r="BR167" i="3"/>
  <c r="AV167" i="3"/>
  <c r="AU167" i="3"/>
  <c r="Z167" i="3"/>
  <c r="Y167" i="3"/>
  <c r="BV166" i="3"/>
  <c r="BW166" i="3" s="1"/>
  <c r="BU166" i="3"/>
  <c r="BX166" i="3" s="1"/>
  <c r="BS166" i="3"/>
  <c r="BR166" i="3"/>
  <c r="AY166" i="3"/>
  <c r="AZ166" i="3" s="1"/>
  <c r="AX166" i="3"/>
  <c r="BA166" i="3" s="1"/>
  <c r="AV166" i="3"/>
  <c r="AU166" i="3"/>
  <c r="AC166" i="3"/>
  <c r="AD166" i="3" s="1"/>
  <c r="AB166" i="3"/>
  <c r="AE166" i="3" s="1"/>
  <c r="Z166" i="3"/>
  <c r="Y166" i="3"/>
  <c r="BS165" i="3"/>
  <c r="BR165" i="3"/>
  <c r="AV165" i="3"/>
  <c r="AU165" i="3"/>
  <c r="Z165" i="3"/>
  <c r="Y165" i="3"/>
  <c r="BS164" i="3"/>
  <c r="BR164" i="3"/>
  <c r="AV164" i="3"/>
  <c r="AU164" i="3"/>
  <c r="Z164" i="3"/>
  <c r="Y164" i="3"/>
  <c r="BS163" i="3"/>
  <c r="BR163" i="3"/>
  <c r="AV163" i="3"/>
  <c r="AU163" i="3"/>
  <c r="Z163" i="3"/>
  <c r="Y163" i="3"/>
  <c r="BV162" i="3"/>
  <c r="BW162" i="3" s="1"/>
  <c r="BU162" i="3"/>
  <c r="BX162" i="3" s="1"/>
  <c r="BS162" i="3"/>
  <c r="BR162" i="3"/>
  <c r="BE162" i="3"/>
  <c r="AY162" i="3"/>
  <c r="AZ162" i="3" s="1"/>
  <c r="AX162" i="3"/>
  <c r="BA162" i="3" s="1"/>
  <c r="AV162" i="3"/>
  <c r="AU162" i="3"/>
  <c r="AC162" i="3"/>
  <c r="AD162" i="3" s="1"/>
  <c r="AB162" i="3"/>
  <c r="AE162" i="3" s="1"/>
  <c r="Z162" i="3"/>
  <c r="Y162" i="3"/>
  <c r="BS161" i="3"/>
  <c r="BR161" i="3"/>
  <c r="AV161" i="3"/>
  <c r="AU161" i="3"/>
  <c r="Z161" i="3"/>
  <c r="Y161" i="3"/>
  <c r="BS160" i="3"/>
  <c r="BR160" i="3"/>
  <c r="AV160" i="3"/>
  <c r="AU160" i="3"/>
  <c r="Z160" i="3"/>
  <c r="Y160" i="3"/>
  <c r="BS159" i="3"/>
  <c r="BR159" i="3"/>
  <c r="AV159" i="3"/>
  <c r="AU159" i="3"/>
  <c r="Z159" i="3"/>
  <c r="Y159" i="3"/>
  <c r="BV158" i="3"/>
  <c r="BW158" i="3" s="1"/>
  <c r="BU158" i="3"/>
  <c r="BX158" i="3" s="1"/>
  <c r="BS158" i="3"/>
  <c r="BR158" i="3"/>
  <c r="AY158" i="3"/>
  <c r="AZ158" i="3" s="1"/>
  <c r="AX158" i="3"/>
  <c r="BA158" i="3" s="1"/>
  <c r="AV158" i="3"/>
  <c r="AU158" i="3"/>
  <c r="AC158" i="3"/>
  <c r="AD158" i="3" s="1"/>
  <c r="AB158" i="3"/>
  <c r="AE158" i="3" s="1"/>
  <c r="Z158" i="3"/>
  <c r="Y158" i="3"/>
  <c r="BS157" i="3" l="1"/>
  <c r="BR157" i="3"/>
  <c r="AV157" i="3"/>
  <c r="AU157" i="3"/>
  <c r="AQ157" i="3"/>
  <c r="Z157" i="3"/>
  <c r="Y157" i="3"/>
  <c r="CE156" i="3"/>
  <c r="CC156" i="3"/>
  <c r="BV156" i="3"/>
  <c r="BW156" i="3" s="1"/>
  <c r="BU156" i="3"/>
  <c r="BX156" i="3" s="1"/>
  <c r="BS156" i="3"/>
  <c r="BR156" i="3"/>
  <c r="BH156" i="3"/>
  <c r="BF156" i="3"/>
  <c r="AY156" i="3"/>
  <c r="AZ156" i="3" s="1"/>
  <c r="AX156" i="3"/>
  <c r="BA156" i="3" s="1"/>
  <c r="AV156" i="3"/>
  <c r="AU156" i="3"/>
  <c r="AK156" i="3"/>
  <c r="AQ156" i="3" s="1"/>
  <c r="AI156" i="3"/>
  <c r="AC156" i="3"/>
  <c r="AD156" i="3" s="1"/>
  <c r="AB156" i="3"/>
  <c r="Z156" i="3"/>
  <c r="Y156" i="3"/>
  <c r="BS155" i="3"/>
  <c r="BR155" i="3"/>
  <c r="AV155" i="3"/>
  <c r="AU155" i="3"/>
  <c r="Z155" i="3"/>
  <c r="AE156" i="3" s="1"/>
  <c r="Y155" i="3"/>
  <c r="BS154" i="3"/>
  <c r="BR154" i="3"/>
  <c r="AV154" i="3"/>
  <c r="AU154" i="3"/>
  <c r="Z154" i="3"/>
  <c r="Y154" i="3"/>
  <c r="BV153" i="3"/>
  <c r="BW153" i="3" s="1"/>
  <c r="BU153" i="3"/>
  <c r="BX153" i="3" s="1"/>
  <c r="BS153" i="3"/>
  <c r="BR153" i="3"/>
  <c r="BF153" i="3"/>
  <c r="AY153" i="3"/>
  <c r="AZ153" i="3" s="1"/>
  <c r="AX153" i="3"/>
  <c r="BA153" i="3" s="1"/>
  <c r="AV153" i="3"/>
  <c r="AU153" i="3"/>
  <c r="AQ153" i="3"/>
  <c r="AI153" i="3"/>
  <c r="AC153" i="3"/>
  <c r="AD153" i="3" s="1"/>
  <c r="AB153" i="3"/>
  <c r="Z153" i="3"/>
  <c r="AE153" i="3" s="1"/>
  <c r="Y153" i="3"/>
  <c r="BS152" i="3"/>
  <c r="BR152" i="3"/>
  <c r="AV152" i="3"/>
  <c r="AU152" i="3"/>
  <c r="Z152" i="3"/>
  <c r="Y152" i="3"/>
  <c r="BS151" i="3"/>
  <c r="BR151" i="3"/>
  <c r="AV151" i="3"/>
  <c r="AU151" i="3"/>
  <c r="Z151" i="3"/>
  <c r="Y151" i="3"/>
  <c r="BS150" i="3"/>
  <c r="BR150" i="3"/>
  <c r="AV150" i="3"/>
  <c r="AU150" i="3"/>
  <c r="Z150" i="3"/>
  <c r="Y150" i="3"/>
  <c r="BV149" i="3"/>
  <c r="BW149" i="3" s="1"/>
  <c r="BU149" i="3"/>
  <c r="BX149" i="3" s="1"/>
  <c r="BS149" i="3"/>
  <c r="BR149" i="3"/>
  <c r="AY149" i="3"/>
  <c r="AZ149" i="3" s="1"/>
  <c r="AX149" i="3"/>
  <c r="BA149" i="3" s="1"/>
  <c r="AV149" i="3"/>
  <c r="AU149" i="3"/>
  <c r="AQ149" i="3"/>
  <c r="AC149" i="3"/>
  <c r="AD149" i="3" s="1"/>
  <c r="AB149" i="3"/>
  <c r="AE149" i="3" s="1"/>
  <c r="Z149" i="3"/>
  <c r="Y149" i="3"/>
  <c r="BS148" i="3"/>
  <c r="BR148" i="3"/>
  <c r="AV148" i="3"/>
  <c r="AU148" i="3"/>
  <c r="Z148" i="3"/>
  <c r="Y148" i="3"/>
  <c r="BS147" i="3"/>
  <c r="BR147" i="3"/>
  <c r="AV147" i="3"/>
  <c r="AU147" i="3"/>
  <c r="Z147" i="3"/>
  <c r="Y147" i="3"/>
  <c r="BV146" i="3"/>
  <c r="BW146" i="3" s="1"/>
  <c r="BU146" i="3"/>
  <c r="BX146" i="3" s="1"/>
  <c r="BS146" i="3"/>
  <c r="BR146" i="3"/>
  <c r="AY146" i="3"/>
  <c r="AZ146" i="3" s="1"/>
  <c r="AX146" i="3"/>
  <c r="BA146" i="3" s="1"/>
  <c r="AV146" i="3"/>
  <c r="AU146" i="3"/>
  <c r="AJ146" i="3"/>
  <c r="AC146" i="3"/>
  <c r="AD146" i="3" s="1"/>
  <c r="AB146" i="3"/>
  <c r="AE146" i="3" s="1"/>
  <c r="Z146" i="3"/>
  <c r="Y146" i="3"/>
  <c r="BS145" i="3"/>
  <c r="BR145" i="3"/>
  <c r="AV145" i="3"/>
  <c r="AU145" i="3"/>
  <c r="Z145" i="3"/>
  <c r="Y145" i="3"/>
  <c r="BS144" i="3"/>
  <c r="BR144" i="3"/>
  <c r="AV144" i="3"/>
  <c r="AU144" i="3"/>
  <c r="Z144" i="3"/>
  <c r="Y144" i="3"/>
  <c r="BV143" i="3"/>
  <c r="BW143" i="3" s="1"/>
  <c r="BU143" i="3"/>
  <c r="BX143" i="3" s="1"/>
  <c r="BS143" i="3"/>
  <c r="BR143" i="3"/>
  <c r="AY143" i="3"/>
  <c r="AZ143" i="3" s="1"/>
  <c r="AX143" i="3"/>
  <c r="BA143" i="3" s="1"/>
  <c r="AV143" i="3"/>
  <c r="AU143" i="3"/>
  <c r="AJ143" i="3"/>
  <c r="AC143" i="3"/>
  <c r="AD143" i="3" s="1"/>
  <c r="AB143" i="3"/>
  <c r="AE143" i="3" s="1"/>
  <c r="Z143" i="3"/>
  <c r="Y143" i="3"/>
  <c r="BS142" i="3"/>
  <c r="BR142" i="3"/>
  <c r="AV142" i="3"/>
  <c r="AU142" i="3"/>
  <c r="Z142" i="3"/>
  <c r="Y142" i="3"/>
  <c r="BS141" i="3"/>
  <c r="BR141" i="3"/>
  <c r="AV141" i="3"/>
  <c r="AU141" i="3"/>
  <c r="Z141" i="3"/>
  <c r="Y141" i="3"/>
  <c r="BS140" i="3"/>
  <c r="BR140" i="3"/>
  <c r="AV140" i="3"/>
  <c r="AU140" i="3"/>
  <c r="Z140" i="3"/>
  <c r="Y140" i="3"/>
  <c r="BV139" i="3"/>
  <c r="BW139" i="3" s="1"/>
  <c r="BU139" i="3"/>
  <c r="BX139" i="3" s="1"/>
  <c r="BS139" i="3"/>
  <c r="BR139" i="3"/>
  <c r="AY139" i="3"/>
  <c r="AZ139" i="3" s="1"/>
  <c r="AX139" i="3"/>
  <c r="BA139" i="3" s="1"/>
  <c r="AV139" i="3"/>
  <c r="AU139" i="3"/>
  <c r="AQ139" i="3"/>
  <c r="AJ139" i="3" s="1"/>
  <c r="AC139" i="3"/>
  <c r="AD139" i="3" s="1"/>
  <c r="AB139" i="3"/>
  <c r="AE139" i="3" s="1"/>
  <c r="Z139" i="3"/>
  <c r="Y139" i="3"/>
  <c r="BS138" i="3"/>
  <c r="BR138" i="3"/>
  <c r="AV138" i="3"/>
  <c r="AU138" i="3"/>
  <c r="Z138" i="3"/>
  <c r="Y138" i="3"/>
  <c r="BS137" i="3"/>
  <c r="BR137" i="3"/>
  <c r="AV137" i="3"/>
  <c r="AU137" i="3"/>
  <c r="Z137" i="3"/>
  <c r="Y137" i="3"/>
  <c r="BV136" i="3"/>
  <c r="BW136" i="3" s="1"/>
  <c r="BU136" i="3"/>
  <c r="BX136" i="3" s="1"/>
  <c r="BS136" i="3"/>
  <c r="BR136" i="3"/>
  <c r="AY136" i="3"/>
  <c r="AZ136" i="3" s="1"/>
  <c r="AX136" i="3"/>
  <c r="BA136" i="3" s="1"/>
  <c r="AV136" i="3"/>
  <c r="AU136" i="3"/>
  <c r="AQ136" i="3"/>
  <c r="AC136" i="3"/>
  <c r="AD136" i="3" s="1"/>
  <c r="AB136" i="3"/>
  <c r="AE136" i="3" s="1"/>
  <c r="Z136" i="3"/>
  <c r="Y136" i="3"/>
  <c r="BS135" i="3"/>
  <c r="BR135" i="3"/>
  <c r="AV135" i="3"/>
  <c r="AU135" i="3"/>
  <c r="Z135" i="3"/>
  <c r="Y135" i="3"/>
  <c r="BS134" i="3"/>
  <c r="BR134" i="3"/>
  <c r="AV134" i="3"/>
  <c r="AU134" i="3"/>
  <c r="Z134" i="3"/>
  <c r="Y134" i="3"/>
  <c r="BS133" i="3"/>
  <c r="BR133" i="3"/>
  <c r="AV133" i="3"/>
  <c r="AU133" i="3"/>
  <c r="Z133" i="3"/>
  <c r="Y133" i="3"/>
  <c r="BS132" i="3"/>
  <c r="BR132" i="3"/>
  <c r="AV132" i="3"/>
  <c r="AU132" i="3"/>
  <c r="Z132" i="3"/>
  <c r="Y132" i="3"/>
  <c r="BV131" i="3"/>
  <c r="BW131" i="3" s="1"/>
  <c r="BU131" i="3"/>
  <c r="BX131" i="3" s="1"/>
  <c r="BS131" i="3"/>
  <c r="BR131" i="3"/>
  <c r="AY131" i="3"/>
  <c r="AZ131" i="3" s="1"/>
  <c r="AX131" i="3"/>
  <c r="BA131" i="3" s="1"/>
  <c r="AV131" i="3"/>
  <c r="AU131" i="3"/>
  <c r="AQ131" i="3"/>
  <c r="AC131" i="3"/>
  <c r="AD131" i="3" s="1"/>
  <c r="AB131" i="3"/>
  <c r="AE131" i="3" s="1"/>
  <c r="Z131" i="3"/>
  <c r="Y131" i="3"/>
  <c r="BS130" i="3"/>
  <c r="BR130" i="3"/>
  <c r="AV130" i="3"/>
  <c r="AU130" i="3"/>
  <c r="Z130" i="3"/>
  <c r="Y130" i="3"/>
  <c r="BS129" i="3"/>
  <c r="BR129" i="3"/>
  <c r="AV129" i="3"/>
  <c r="AU129" i="3"/>
  <c r="Z129" i="3"/>
  <c r="Y129" i="3"/>
  <c r="BV128" i="3"/>
  <c r="BW128" i="3" s="1"/>
  <c r="BU128" i="3"/>
  <c r="BX128" i="3" s="1"/>
  <c r="BS128" i="3"/>
  <c r="BR128" i="3"/>
  <c r="AY128" i="3"/>
  <c r="AZ128" i="3" s="1"/>
  <c r="AX128" i="3"/>
  <c r="BA128" i="3" s="1"/>
  <c r="AV128" i="3"/>
  <c r="AU128" i="3"/>
  <c r="AQ128" i="3"/>
  <c r="AJ128" i="3" s="1"/>
  <c r="AC128" i="3"/>
  <c r="AD128" i="3" s="1"/>
  <c r="AB128" i="3"/>
  <c r="AE128" i="3" s="1"/>
  <c r="Z128" i="3"/>
  <c r="Y128" i="3"/>
  <c r="BS127" i="3"/>
  <c r="BR127" i="3"/>
  <c r="AV127" i="3"/>
  <c r="AU127" i="3"/>
  <c r="Z127" i="3"/>
  <c r="Y127" i="3"/>
  <c r="BV126" i="3"/>
  <c r="BW126" i="3" s="1"/>
  <c r="BU126" i="3"/>
  <c r="BX126" i="3" s="1"/>
  <c r="BS126" i="3"/>
  <c r="BR126" i="3"/>
  <c r="AY126" i="3"/>
  <c r="AZ126" i="3" s="1"/>
  <c r="AX126" i="3"/>
  <c r="BA126" i="3" s="1"/>
  <c r="AV126" i="3"/>
  <c r="AU126" i="3"/>
  <c r="AJ126" i="3"/>
  <c r="AC126" i="3"/>
  <c r="AD126" i="3" s="1"/>
  <c r="AB126" i="3"/>
  <c r="AE126" i="3" s="1"/>
  <c r="Z126" i="3"/>
  <c r="Y126" i="3"/>
  <c r="BS125" i="3"/>
  <c r="BR125" i="3"/>
  <c r="AV125" i="3"/>
  <c r="AU125" i="3"/>
  <c r="Z125" i="3"/>
  <c r="Y125" i="3"/>
  <c r="BS124" i="3"/>
  <c r="BR124" i="3"/>
  <c r="AV124" i="3"/>
  <c r="AU124" i="3"/>
  <c r="Z124" i="3"/>
  <c r="Y124" i="3"/>
  <c r="BV123" i="3"/>
  <c r="BW123" i="3" s="1"/>
  <c r="BU123" i="3"/>
  <c r="BX123" i="3" s="1"/>
  <c r="BS123" i="3"/>
  <c r="BR123" i="3"/>
  <c r="AY123" i="3"/>
  <c r="AZ123" i="3" s="1"/>
  <c r="AX123" i="3"/>
  <c r="BA123" i="3" s="1"/>
  <c r="AV123" i="3"/>
  <c r="AU123" i="3"/>
  <c r="AJ123" i="3"/>
  <c r="AC123" i="3"/>
  <c r="AD123" i="3" s="1"/>
  <c r="AB123" i="3"/>
  <c r="AE123" i="3" s="1"/>
  <c r="Z123" i="3"/>
  <c r="Y123" i="3"/>
  <c r="BS122" i="3"/>
  <c r="BR122" i="3"/>
  <c r="AV122" i="3"/>
  <c r="AU122" i="3"/>
  <c r="Z122" i="3"/>
  <c r="Y122" i="3"/>
  <c r="BV121" i="3"/>
  <c r="BW121" i="3" s="1"/>
  <c r="BU121" i="3"/>
  <c r="BX121" i="3" s="1"/>
  <c r="BS121" i="3"/>
  <c r="BR121" i="3"/>
  <c r="AY121" i="3"/>
  <c r="AZ121" i="3" s="1"/>
  <c r="AX121" i="3"/>
  <c r="BA121" i="3" s="1"/>
  <c r="AV121" i="3"/>
  <c r="AU121" i="3"/>
  <c r="AP121" i="3"/>
  <c r="AC121" i="3"/>
  <c r="AD121" i="3" s="1"/>
  <c r="AB121" i="3"/>
  <c r="AE121" i="3" s="1"/>
  <c r="Z121" i="3"/>
  <c r="Y121" i="3"/>
  <c r="BS120" i="3"/>
  <c r="BR120" i="3"/>
  <c r="AV120" i="3"/>
  <c r="AU120" i="3"/>
  <c r="Z120" i="3"/>
  <c r="Y120" i="3"/>
  <c r="BV119" i="3"/>
  <c r="BW119" i="3" s="1"/>
  <c r="BU119" i="3"/>
  <c r="BX119" i="3" s="1"/>
  <c r="BS119" i="3"/>
  <c r="BR119" i="3"/>
  <c r="AY119" i="3"/>
  <c r="AZ119" i="3" s="1"/>
  <c r="AX119" i="3"/>
  <c r="BA119" i="3" s="1"/>
  <c r="AV119" i="3"/>
  <c r="AU119" i="3"/>
  <c r="AP119" i="3"/>
  <c r="AC119" i="3"/>
  <c r="AD119" i="3" s="1"/>
  <c r="AB119" i="3"/>
  <c r="AE119" i="3" s="1"/>
  <c r="Z119" i="3"/>
  <c r="Y119" i="3"/>
  <c r="BS118" i="3"/>
  <c r="BR118" i="3"/>
  <c r="AV118" i="3"/>
  <c r="AU118" i="3"/>
  <c r="Z118" i="3"/>
  <c r="Y118" i="3"/>
  <c r="BS117" i="3"/>
  <c r="BR117" i="3"/>
  <c r="AV117" i="3"/>
  <c r="AU117" i="3"/>
  <c r="Z117" i="3"/>
  <c r="Y117" i="3"/>
  <c r="BV116" i="3"/>
  <c r="BW116" i="3" s="1"/>
  <c r="BU116" i="3"/>
  <c r="BX116" i="3" s="1"/>
  <c r="BS116" i="3"/>
  <c r="BR116" i="3"/>
  <c r="AY116" i="3"/>
  <c r="AZ116" i="3" s="1"/>
  <c r="AX116" i="3"/>
  <c r="BA116" i="3" s="1"/>
  <c r="AV116" i="3"/>
  <c r="AU116" i="3"/>
  <c r="AP116" i="3"/>
  <c r="AC116" i="3"/>
  <c r="AD116" i="3" s="1"/>
  <c r="AB116" i="3"/>
  <c r="AE116" i="3" s="1"/>
  <c r="Z116" i="3"/>
  <c r="Y116" i="3"/>
  <c r="BS115" i="3"/>
  <c r="BR115" i="3"/>
  <c r="AV115" i="3"/>
  <c r="AU115" i="3"/>
  <c r="Z115" i="3"/>
  <c r="Y115" i="3"/>
  <c r="BV114" i="3"/>
  <c r="BW114" i="3" s="1"/>
  <c r="BU114" i="3"/>
  <c r="BX114" i="3" s="1"/>
  <c r="BS114" i="3"/>
  <c r="BR114" i="3"/>
  <c r="AY114" i="3"/>
  <c r="AZ114" i="3" s="1"/>
  <c r="AX114" i="3"/>
  <c r="BA114" i="3" s="1"/>
  <c r="AV114" i="3"/>
  <c r="AU114" i="3"/>
  <c r="AP114" i="3"/>
  <c r="AC114" i="3"/>
  <c r="AD114" i="3" s="1"/>
  <c r="AB114" i="3"/>
  <c r="AE114" i="3" s="1"/>
  <c r="Z114" i="3"/>
  <c r="Y114" i="3"/>
  <c r="BS113" i="3"/>
  <c r="BR113" i="3"/>
  <c r="AV113" i="3"/>
  <c r="AU113" i="3"/>
  <c r="Z113" i="3"/>
  <c r="Y113" i="3"/>
  <c r="BS112" i="3"/>
  <c r="BR112" i="3"/>
  <c r="AV112" i="3"/>
  <c r="AU112" i="3"/>
  <c r="Z112" i="3"/>
  <c r="Y112" i="3"/>
  <c r="CE111" i="3"/>
  <c r="CF111" i="3" s="1"/>
  <c r="CD111" i="3"/>
  <c r="CA111" i="3"/>
  <c r="CB111" i="3" s="1"/>
  <c r="CC111" i="3" s="1"/>
  <c r="BV111" i="3"/>
  <c r="BW111" i="3" s="1"/>
  <c r="BU111" i="3"/>
  <c r="BX111" i="3" s="1"/>
  <c r="BS111" i="3"/>
  <c r="BR111" i="3"/>
  <c r="AY111" i="3"/>
  <c r="AZ111" i="3" s="1"/>
  <c r="AX111" i="3"/>
  <c r="BA111" i="3" s="1"/>
  <c r="AV111" i="3"/>
  <c r="AU111" i="3"/>
  <c r="AQ111" i="3"/>
  <c r="AL111" i="3"/>
  <c r="AI111" i="3"/>
  <c r="AC111" i="3"/>
  <c r="AD111" i="3" s="1"/>
  <c r="AB111" i="3"/>
  <c r="AE111" i="3" s="1"/>
  <c r="Z111" i="3"/>
  <c r="Y111" i="3"/>
  <c r="BS110" i="3"/>
  <c r="BR110" i="3"/>
  <c r="AV110" i="3"/>
  <c r="AU110" i="3"/>
  <c r="Z110" i="3"/>
  <c r="Y110" i="3"/>
  <c r="BS109" i="3"/>
  <c r="BR109" i="3"/>
  <c r="AV109" i="3"/>
  <c r="AU109" i="3"/>
  <c r="Z109" i="3"/>
  <c r="Y109" i="3"/>
  <c r="CD108" i="3"/>
  <c r="CE108" i="3" s="1"/>
  <c r="CF108" i="3" s="1"/>
  <c r="CB108" i="3"/>
  <c r="CC108" i="3" s="1"/>
  <c r="CA108" i="3"/>
  <c r="BV108" i="3"/>
  <c r="BW108" i="3" s="1"/>
  <c r="BU108" i="3"/>
  <c r="BX108" i="3" s="1"/>
  <c r="BS108" i="3"/>
  <c r="BR108" i="3"/>
  <c r="AY108" i="3"/>
  <c r="AZ108" i="3" s="1"/>
  <c r="AX108" i="3"/>
  <c r="BA108" i="3" s="1"/>
  <c r="AV108" i="3"/>
  <c r="AU108" i="3"/>
  <c r="AQ108" i="3"/>
  <c r="AL108" i="3"/>
  <c r="AI108" i="3"/>
  <c r="AC108" i="3"/>
  <c r="AD108" i="3" s="1"/>
  <c r="AB108" i="3"/>
  <c r="AE108" i="3" s="1"/>
  <c r="Z108" i="3"/>
  <c r="Y108" i="3"/>
  <c r="BS107" i="3"/>
  <c r="BR107" i="3"/>
  <c r="AV107" i="3"/>
  <c r="AU107" i="3"/>
  <c r="Z107" i="3"/>
  <c r="Y107" i="3"/>
  <c r="BS106" i="3"/>
  <c r="BR106" i="3"/>
  <c r="AV106" i="3"/>
  <c r="AU106" i="3"/>
  <c r="Z106" i="3"/>
  <c r="Y106" i="3"/>
  <c r="BS105" i="3"/>
  <c r="BR105" i="3"/>
  <c r="AV105" i="3"/>
  <c r="AU105" i="3"/>
  <c r="Z105" i="3"/>
  <c r="Y105" i="3"/>
  <c r="CE104" i="3"/>
  <c r="CF104" i="3" s="1"/>
  <c r="CD104" i="3"/>
  <c r="CB104" i="3"/>
  <c r="CC104" i="3" s="1"/>
  <c r="CA104" i="3"/>
  <c r="BV104" i="3"/>
  <c r="BW104" i="3" s="1"/>
  <c r="BU104" i="3"/>
  <c r="BX104" i="3" s="1"/>
  <c r="BS104" i="3"/>
  <c r="BR104" i="3"/>
  <c r="AY104" i="3"/>
  <c r="AZ104" i="3" s="1"/>
  <c r="AX104" i="3"/>
  <c r="BA104" i="3" s="1"/>
  <c r="AV104" i="3"/>
  <c r="AU104" i="3"/>
  <c r="AQ104" i="3"/>
  <c r="AL104" i="3"/>
  <c r="AI104" i="3"/>
  <c r="AC104" i="3"/>
  <c r="AD104" i="3" s="1"/>
  <c r="AB104" i="3"/>
  <c r="AE104" i="3" s="1"/>
  <c r="Z104" i="3"/>
  <c r="Y104" i="3"/>
  <c r="BS103" i="3"/>
  <c r="BR103" i="3"/>
  <c r="AV103" i="3"/>
  <c r="AU103" i="3"/>
  <c r="Z103" i="3"/>
  <c r="Y103" i="3"/>
  <c r="CE102" i="3"/>
  <c r="CF102" i="3" s="1"/>
  <c r="CD102" i="3"/>
  <c r="CB102" i="3"/>
  <c r="CC102" i="3" s="1"/>
  <c r="CA102" i="3"/>
  <c r="BV102" i="3"/>
  <c r="BW102" i="3" s="1"/>
  <c r="BU102" i="3"/>
  <c r="BX102" i="3" s="1"/>
  <c r="BS102" i="3"/>
  <c r="BR102" i="3"/>
  <c r="AY102" i="3"/>
  <c r="AZ102" i="3" s="1"/>
  <c r="AX102" i="3"/>
  <c r="BA102" i="3" s="1"/>
  <c r="AV102" i="3"/>
  <c r="AU102" i="3"/>
  <c r="AQ102" i="3"/>
  <c r="AL102" i="3"/>
  <c r="AI102" i="3"/>
  <c r="AC102" i="3"/>
  <c r="AD102" i="3" s="1"/>
  <c r="AB102" i="3"/>
  <c r="AE102" i="3" s="1"/>
  <c r="Z102" i="3"/>
  <c r="Y102" i="3"/>
  <c r="BS101" i="3"/>
  <c r="BR101" i="3"/>
  <c r="AV101" i="3"/>
  <c r="AU101" i="3"/>
  <c r="Z101" i="3"/>
  <c r="Y101" i="3"/>
  <c r="BS100" i="3"/>
  <c r="BR100" i="3"/>
  <c r="AV100" i="3"/>
  <c r="AU100" i="3"/>
  <c r="Z100" i="3"/>
  <c r="Y100" i="3"/>
  <c r="BS99" i="3"/>
  <c r="BR99" i="3"/>
  <c r="AV99" i="3"/>
  <c r="AU99" i="3"/>
  <c r="Z99" i="3"/>
  <c r="Y99" i="3"/>
  <c r="BS98" i="3"/>
  <c r="BR98" i="3"/>
  <c r="AV98" i="3"/>
  <c r="AU98" i="3"/>
  <c r="Z98" i="3"/>
  <c r="Y98" i="3"/>
  <c r="BS97" i="3"/>
  <c r="BR97" i="3"/>
  <c r="AV97" i="3"/>
  <c r="AU97" i="3"/>
  <c r="Z97" i="3"/>
  <c r="Y97" i="3"/>
  <c r="CD96" i="3"/>
  <c r="CE96" i="3" s="1"/>
  <c r="CF96" i="3" s="1"/>
  <c r="CC96" i="3"/>
  <c r="BV96" i="3"/>
  <c r="BW96" i="3" s="1"/>
  <c r="BU96" i="3"/>
  <c r="BX96" i="3" s="1"/>
  <c r="BS96" i="3"/>
  <c r="BR96" i="3"/>
  <c r="AY96" i="3"/>
  <c r="AZ96" i="3" s="1"/>
  <c r="AX96" i="3"/>
  <c r="BA96" i="3" s="1"/>
  <c r="AV96" i="3"/>
  <c r="AU96" i="3"/>
  <c r="AQ96" i="3"/>
  <c r="AL96" i="3"/>
  <c r="AI96" i="3"/>
  <c r="AC96" i="3"/>
  <c r="AD96" i="3" s="1"/>
  <c r="AB96" i="3"/>
  <c r="AE96" i="3" s="1"/>
  <c r="Z96" i="3"/>
  <c r="Y96" i="3"/>
  <c r="BS95" i="3"/>
  <c r="BR95" i="3"/>
  <c r="AV95" i="3"/>
  <c r="AU95" i="3"/>
  <c r="Z95" i="3"/>
  <c r="Y95" i="3"/>
  <c r="BV94" i="3"/>
  <c r="BW94" i="3" s="1"/>
  <c r="BU94" i="3"/>
  <c r="BX94" i="3" s="1"/>
  <c r="BS94" i="3"/>
  <c r="BR94" i="3"/>
  <c r="AY94" i="3"/>
  <c r="AZ94" i="3" s="1"/>
  <c r="AX94" i="3"/>
  <c r="BA94" i="3" s="1"/>
  <c r="AV94" i="3"/>
  <c r="AU94" i="3"/>
  <c r="AC94" i="3"/>
  <c r="AD94" i="3" s="1"/>
  <c r="AB94" i="3"/>
  <c r="AE94" i="3" s="1"/>
  <c r="Z94" i="3"/>
  <c r="Y94" i="3"/>
  <c r="BS93" i="3"/>
  <c r="BR93" i="3"/>
  <c r="AV93" i="3"/>
  <c r="AU93" i="3"/>
  <c r="Z93" i="3"/>
  <c r="Y93" i="3"/>
  <c r="BX92" i="3"/>
  <c r="BV92" i="3"/>
  <c r="BW92" i="3" s="1"/>
  <c r="BS92" i="3"/>
  <c r="BR92" i="3"/>
  <c r="BA92" i="3"/>
  <c r="AY92" i="3"/>
  <c r="AZ92" i="3" s="1"/>
  <c r="AV92" i="3"/>
  <c r="AU92" i="3"/>
  <c r="AC92" i="3"/>
  <c r="AD92" i="3" s="1"/>
  <c r="AB92" i="3"/>
  <c r="AE92" i="3" s="1"/>
  <c r="Z92" i="3"/>
  <c r="Y92" i="3"/>
  <c r="BS91" i="3"/>
  <c r="BR91" i="3"/>
  <c r="AV91" i="3"/>
  <c r="AU91" i="3"/>
  <c r="Z91" i="3"/>
  <c r="Y91" i="3"/>
  <c r="BS90" i="3"/>
  <c r="BR90" i="3"/>
  <c r="AV90" i="3"/>
  <c r="AU90" i="3"/>
  <c r="Z90" i="3"/>
  <c r="Y90" i="3"/>
  <c r="BV89" i="3"/>
  <c r="BW89" i="3" s="1"/>
  <c r="BU89" i="3"/>
  <c r="BX89" i="3" s="1"/>
  <c r="BS89" i="3"/>
  <c r="BR89" i="3"/>
  <c r="AY89" i="3"/>
  <c r="AZ89" i="3" s="1"/>
  <c r="AX89" i="3"/>
  <c r="BA89" i="3" s="1"/>
  <c r="AV89" i="3"/>
  <c r="AU89" i="3"/>
  <c r="AQ89" i="3"/>
  <c r="AC89" i="3"/>
  <c r="AD89" i="3" s="1"/>
  <c r="AB89" i="3"/>
  <c r="AE89" i="3" s="1"/>
  <c r="Z89" i="3"/>
  <c r="Y89" i="3"/>
  <c r="BS88" i="3"/>
  <c r="BR88" i="3"/>
  <c r="AV88" i="3"/>
  <c r="AU88" i="3"/>
  <c r="Z88" i="3"/>
  <c r="Y88" i="3"/>
  <c r="BS87" i="3"/>
  <c r="BR87" i="3"/>
  <c r="AV87" i="3"/>
  <c r="AU87" i="3"/>
  <c r="Z87" i="3"/>
  <c r="Y87" i="3"/>
  <c r="BV86" i="3"/>
  <c r="BW86" i="3" s="1"/>
  <c r="BU86" i="3"/>
  <c r="BX86" i="3" s="1"/>
  <c r="BS86" i="3"/>
  <c r="BR86" i="3"/>
  <c r="AY86" i="3"/>
  <c r="AZ86" i="3" s="1"/>
  <c r="AX86" i="3"/>
  <c r="BA86" i="3" s="1"/>
  <c r="AV86" i="3"/>
  <c r="AU86" i="3"/>
  <c r="AQ86" i="3"/>
  <c r="AC86" i="3"/>
  <c r="AD86" i="3" s="1"/>
  <c r="AB86" i="3"/>
  <c r="AE86" i="3" s="1"/>
  <c r="Z86" i="3"/>
  <c r="Y86" i="3"/>
  <c r="BS85" i="3"/>
  <c r="BR85" i="3"/>
  <c r="AV85" i="3"/>
  <c r="AU85" i="3"/>
  <c r="Z85" i="3"/>
  <c r="Y85" i="3"/>
  <c r="BS84" i="3"/>
  <c r="BR84" i="3"/>
  <c r="AV84" i="3"/>
  <c r="AU84" i="3"/>
  <c r="Z84" i="3"/>
  <c r="Y84" i="3"/>
  <c r="BV83" i="3"/>
  <c r="BW83" i="3" s="1"/>
  <c r="BU83" i="3"/>
  <c r="BX83" i="3" s="1"/>
  <c r="BS83" i="3"/>
  <c r="BR83" i="3"/>
  <c r="AY83" i="3"/>
  <c r="AZ83" i="3" s="1"/>
  <c r="AX83" i="3"/>
  <c r="BA83" i="3" s="1"/>
  <c r="AV83" i="3"/>
  <c r="AU83" i="3"/>
  <c r="AQ83" i="3"/>
  <c r="AC83" i="3"/>
  <c r="AD83" i="3" s="1"/>
  <c r="AB83" i="3"/>
  <c r="AE83" i="3" s="1"/>
  <c r="Z83" i="3"/>
  <c r="Y83" i="3"/>
  <c r="BS82" i="3"/>
  <c r="BR82" i="3"/>
  <c r="AV82" i="3"/>
  <c r="AU82" i="3"/>
  <c r="Z82" i="3"/>
  <c r="Y82" i="3"/>
  <c r="BS81" i="3"/>
  <c r="BR81" i="3"/>
  <c r="AV81" i="3"/>
  <c r="AU81" i="3"/>
  <c r="Z81" i="3"/>
  <c r="Y81" i="3"/>
  <c r="BV80" i="3"/>
  <c r="BW80" i="3" s="1"/>
  <c r="BU80" i="3"/>
  <c r="BX80" i="3" s="1"/>
  <c r="BS80" i="3"/>
  <c r="BR80" i="3"/>
  <c r="AY80" i="3"/>
  <c r="AZ80" i="3" s="1"/>
  <c r="AX80" i="3"/>
  <c r="BA80" i="3" s="1"/>
  <c r="AV80" i="3"/>
  <c r="AU80" i="3"/>
  <c r="AQ80" i="3"/>
  <c r="AC80" i="3"/>
  <c r="AD80" i="3" s="1"/>
  <c r="AB80" i="3"/>
  <c r="AE80" i="3" s="1"/>
  <c r="Z80" i="3"/>
  <c r="Y80" i="3"/>
  <c r="BS79" i="3"/>
  <c r="BR79" i="3"/>
  <c r="AV79" i="3"/>
  <c r="AU79" i="3"/>
  <c r="Z79" i="3"/>
  <c r="Y79" i="3"/>
  <c r="BS78" i="3"/>
  <c r="BR78" i="3"/>
  <c r="AV78" i="3"/>
  <c r="AU78" i="3"/>
  <c r="Z78" i="3"/>
  <c r="Y78" i="3"/>
  <c r="BV77" i="3"/>
  <c r="BW77" i="3" s="1"/>
  <c r="BU77" i="3"/>
  <c r="BX77" i="3" s="1"/>
  <c r="BS77" i="3"/>
  <c r="BR77" i="3"/>
  <c r="AY77" i="3"/>
  <c r="AZ77" i="3" s="1"/>
  <c r="AX77" i="3"/>
  <c r="BA77" i="3" s="1"/>
  <c r="AV77" i="3"/>
  <c r="AU77" i="3"/>
  <c r="AQ77" i="3"/>
  <c r="AC77" i="3"/>
  <c r="AD77" i="3" s="1"/>
  <c r="AB77" i="3"/>
  <c r="AE77" i="3" s="1"/>
  <c r="Z77" i="3"/>
  <c r="Y77" i="3"/>
  <c r="BS76" i="3"/>
  <c r="BR76" i="3"/>
  <c r="AV76" i="3"/>
  <c r="AU76" i="3"/>
  <c r="Z76" i="3"/>
  <c r="Y76" i="3"/>
  <c r="BS75" i="3"/>
  <c r="BR75" i="3"/>
  <c r="AV75" i="3"/>
  <c r="AU75" i="3"/>
  <c r="Z75" i="3"/>
  <c r="Y75" i="3"/>
  <c r="BS74" i="3"/>
  <c r="BR74" i="3"/>
  <c r="AV74" i="3"/>
  <c r="AU74" i="3"/>
  <c r="Z74" i="3"/>
  <c r="Y74" i="3"/>
  <c r="BS73" i="3"/>
  <c r="BR73" i="3"/>
  <c r="AV73" i="3"/>
  <c r="AU73" i="3"/>
  <c r="Z73" i="3"/>
  <c r="Y73" i="3"/>
  <c r="BS72" i="3"/>
  <c r="BR72" i="3"/>
  <c r="AV72" i="3"/>
  <c r="AU72" i="3"/>
  <c r="Z72" i="3"/>
  <c r="Y72" i="3"/>
  <c r="BV71" i="3"/>
  <c r="BW71" i="3" s="1"/>
  <c r="BU71" i="3"/>
  <c r="BX71" i="3" s="1"/>
  <c r="BS71" i="3"/>
  <c r="BR71" i="3"/>
  <c r="AY71" i="3"/>
  <c r="AZ71" i="3" s="1"/>
  <c r="AX71" i="3"/>
  <c r="BA71" i="3" s="1"/>
  <c r="AV71" i="3"/>
  <c r="AU71" i="3"/>
  <c r="AQ71" i="3"/>
  <c r="AC71" i="3"/>
  <c r="AD71" i="3" s="1"/>
  <c r="AB71" i="3"/>
  <c r="AE71" i="3" s="1"/>
  <c r="Z71" i="3"/>
  <c r="Y71" i="3"/>
  <c r="BS70" i="3"/>
  <c r="BR70" i="3"/>
  <c r="AV70" i="3"/>
  <c r="AU70" i="3"/>
  <c r="Z70" i="3"/>
  <c r="Y70" i="3"/>
  <c r="BS69" i="3"/>
  <c r="BR69" i="3"/>
  <c r="AV69" i="3"/>
  <c r="AU69" i="3"/>
  <c r="Z69" i="3"/>
  <c r="Y69" i="3"/>
  <c r="BV68" i="3"/>
  <c r="BW68" i="3" s="1"/>
  <c r="BU68" i="3"/>
  <c r="BX68" i="3" s="1"/>
  <c r="BS68" i="3"/>
  <c r="BR68" i="3"/>
  <c r="AY68" i="3"/>
  <c r="AZ68" i="3" s="1"/>
  <c r="AX68" i="3"/>
  <c r="BA68" i="3" s="1"/>
  <c r="AV68" i="3"/>
  <c r="AU68" i="3"/>
  <c r="AQ68" i="3"/>
  <c r="AC68" i="3"/>
  <c r="AD68" i="3" s="1"/>
  <c r="AB68" i="3"/>
  <c r="AE68" i="3" s="1"/>
  <c r="Z68" i="3"/>
  <c r="Y68" i="3"/>
  <c r="BS67" i="3"/>
  <c r="BR67" i="3"/>
  <c r="AV67" i="3"/>
  <c r="AU67" i="3"/>
  <c r="Z67" i="3"/>
  <c r="Y67" i="3"/>
  <c r="BS66" i="3"/>
  <c r="BR66" i="3"/>
  <c r="AV66" i="3"/>
  <c r="AU66" i="3"/>
  <c r="Z66" i="3"/>
  <c r="Y66" i="3"/>
  <c r="BS65" i="3"/>
  <c r="BR65" i="3"/>
  <c r="AV65" i="3"/>
  <c r="AU65" i="3"/>
  <c r="Z65" i="3"/>
  <c r="Y65" i="3"/>
  <c r="BS64" i="3"/>
  <c r="BR64" i="3"/>
  <c r="AV64" i="3"/>
  <c r="AU64" i="3"/>
  <c r="Z64" i="3"/>
  <c r="Y64" i="3"/>
  <c r="BS63" i="3"/>
  <c r="BR63" i="3"/>
  <c r="AV63" i="3"/>
  <c r="AU63" i="3"/>
  <c r="Z63" i="3"/>
  <c r="Y63" i="3"/>
  <c r="BV62" i="3"/>
  <c r="BW62" i="3" s="1"/>
  <c r="BU62" i="3"/>
  <c r="BX62" i="3" s="1"/>
  <c r="BS62" i="3"/>
  <c r="BR62" i="3"/>
  <c r="BA62" i="3"/>
  <c r="AZ62" i="3"/>
  <c r="AV62" i="3"/>
  <c r="AU62" i="3"/>
  <c r="AQ62" i="3"/>
  <c r="AE62" i="3"/>
  <c r="AD62" i="3"/>
  <c r="Z62" i="3"/>
  <c r="Y62" i="3"/>
  <c r="BS61" i="3"/>
  <c r="BR61" i="3"/>
  <c r="AV61" i="3"/>
  <c r="AU61" i="3"/>
  <c r="Z61" i="3"/>
  <c r="Y61" i="3"/>
  <c r="BV60" i="3"/>
  <c r="BW60" i="3" s="1"/>
  <c r="BU60" i="3"/>
  <c r="BX60" i="3" s="1"/>
  <c r="BS60" i="3"/>
  <c r="BR60" i="3"/>
  <c r="AY60" i="3"/>
  <c r="AZ60" i="3" s="1"/>
  <c r="AX60" i="3"/>
  <c r="BA60" i="3" s="1"/>
  <c r="AV60" i="3"/>
  <c r="AU60" i="3"/>
  <c r="AQ60" i="3"/>
  <c r="AC60" i="3"/>
  <c r="AD60" i="3" s="1"/>
  <c r="AB60" i="3"/>
  <c r="AE60" i="3" s="1"/>
  <c r="Z60" i="3"/>
  <c r="Y60" i="3"/>
  <c r="BS59" i="3"/>
  <c r="BR59" i="3"/>
  <c r="AV59" i="3"/>
  <c r="AU59" i="3"/>
  <c r="Z59" i="3"/>
  <c r="Y59" i="3"/>
  <c r="BS58" i="3"/>
  <c r="BR58" i="3"/>
  <c r="AV58" i="3"/>
  <c r="AU58" i="3"/>
  <c r="Z58" i="3"/>
  <c r="Y58" i="3"/>
  <c r="BS57" i="3"/>
  <c r="BR57" i="3"/>
  <c r="AV57" i="3"/>
  <c r="AU57" i="3"/>
  <c r="Z57" i="3"/>
  <c r="Y57" i="3"/>
  <c r="BV56" i="3"/>
  <c r="BW56" i="3" s="1"/>
  <c r="BU56" i="3"/>
  <c r="BX56" i="3" s="1"/>
  <c r="BS56" i="3"/>
  <c r="BR56" i="3"/>
  <c r="AY56" i="3"/>
  <c r="AZ56" i="3" s="1"/>
  <c r="AX56" i="3"/>
  <c r="BA56" i="3" s="1"/>
  <c r="AV56" i="3"/>
  <c r="AU56" i="3"/>
  <c r="AQ56" i="3"/>
  <c r="AC56" i="3"/>
  <c r="AD56" i="3" s="1"/>
  <c r="AB56" i="3"/>
  <c r="AE56" i="3" s="1"/>
  <c r="Z56" i="3"/>
  <c r="Y56" i="3"/>
  <c r="BS55" i="3"/>
  <c r="BR55" i="3"/>
  <c r="AV55" i="3"/>
  <c r="AU55" i="3"/>
  <c r="Z55" i="3"/>
  <c r="Y55" i="3"/>
  <c r="BS54" i="3"/>
  <c r="BR54" i="3"/>
  <c r="AV54" i="3"/>
  <c r="AU54" i="3"/>
  <c r="Z54" i="3"/>
  <c r="Y54" i="3"/>
  <c r="BV53" i="3"/>
  <c r="BW53" i="3" s="1"/>
  <c r="BU53" i="3"/>
  <c r="BX53" i="3" s="1"/>
  <c r="BS53" i="3"/>
  <c r="BR53" i="3"/>
  <c r="AY53" i="3"/>
  <c r="AZ53" i="3" s="1"/>
  <c r="AX53" i="3"/>
  <c r="BA53" i="3" s="1"/>
  <c r="AV53" i="3"/>
  <c r="AU53" i="3"/>
  <c r="AC53" i="3"/>
  <c r="AD53" i="3" s="1"/>
  <c r="AB53" i="3"/>
  <c r="AE53" i="3" s="1"/>
  <c r="Z53" i="3"/>
  <c r="Y53" i="3"/>
  <c r="BS52" i="3"/>
  <c r="BR52" i="3"/>
  <c r="AV52" i="3"/>
  <c r="AU52" i="3"/>
  <c r="Z52" i="3"/>
  <c r="Y52" i="3"/>
  <c r="BS51" i="3"/>
  <c r="BR51" i="3"/>
  <c r="AV51" i="3"/>
  <c r="AU51" i="3"/>
  <c r="Z51" i="3"/>
  <c r="Y51" i="3"/>
  <c r="BV50" i="3"/>
  <c r="BW50" i="3" s="1"/>
  <c r="BU50" i="3"/>
  <c r="BX50" i="3" s="1"/>
  <c r="BS50" i="3"/>
  <c r="BR50" i="3"/>
  <c r="AY50" i="3"/>
  <c r="AZ50" i="3" s="1"/>
  <c r="AX50" i="3"/>
  <c r="BA50" i="3" s="1"/>
  <c r="AV50" i="3"/>
  <c r="AU50" i="3"/>
  <c r="AC50" i="3"/>
  <c r="AD50" i="3" s="1"/>
  <c r="AB50" i="3"/>
  <c r="AE50" i="3" s="1"/>
  <c r="Z50" i="3"/>
  <c r="Y50" i="3"/>
  <c r="BS49" i="3"/>
  <c r="BR49" i="3"/>
  <c r="AV49" i="3"/>
  <c r="AU49" i="3"/>
  <c r="AQ49" i="3"/>
  <c r="Z49" i="3"/>
  <c r="Y49" i="3"/>
  <c r="BS48" i="3"/>
  <c r="BR48" i="3"/>
  <c r="AV48" i="3"/>
  <c r="AU48" i="3"/>
  <c r="Z48" i="3"/>
  <c r="Y48" i="3"/>
  <c r="BV47" i="3"/>
  <c r="BW47" i="3" s="1"/>
  <c r="BU47" i="3"/>
  <c r="BX47" i="3" s="1"/>
  <c r="BS47" i="3"/>
  <c r="BR47" i="3"/>
  <c r="AY47" i="3"/>
  <c r="AZ47" i="3" s="1"/>
  <c r="AX47" i="3"/>
  <c r="BA47" i="3" s="1"/>
  <c r="AV47" i="3"/>
  <c r="AU47" i="3"/>
  <c r="AQ47" i="3"/>
  <c r="AC47" i="3"/>
  <c r="AD47" i="3" s="1"/>
  <c r="AB47" i="3"/>
  <c r="AE47" i="3" s="1"/>
  <c r="Z47" i="3"/>
  <c r="Y47" i="3"/>
  <c r="BS42" i="3"/>
  <c r="BR42" i="3"/>
  <c r="AV42" i="3"/>
  <c r="AU42" i="3"/>
  <c r="AQ42" i="3"/>
  <c r="Z42" i="3"/>
  <c r="Y42" i="3"/>
  <c r="BV41" i="3"/>
  <c r="BW41" i="3" s="1"/>
  <c r="BU41" i="3"/>
  <c r="BX41" i="3" s="1"/>
  <c r="BS41" i="3"/>
  <c r="BR41" i="3"/>
  <c r="AY41" i="3"/>
  <c r="AZ41" i="3" s="1"/>
  <c r="AX41" i="3"/>
  <c r="BA41" i="3" s="1"/>
  <c r="AV41" i="3"/>
  <c r="AU41" i="3"/>
  <c r="AQ41" i="3"/>
  <c r="AC41" i="3"/>
  <c r="AD41" i="3" s="1"/>
  <c r="AB41" i="3"/>
  <c r="AE41" i="3" s="1"/>
  <c r="Z41" i="3"/>
  <c r="Y41" i="3"/>
  <c r="BS40" i="3"/>
  <c r="BR40" i="3"/>
  <c r="AV40" i="3"/>
  <c r="AU40" i="3"/>
  <c r="AQ40" i="3"/>
  <c r="Z40" i="3"/>
  <c r="Y40" i="3"/>
  <c r="BV39" i="3"/>
  <c r="BW39" i="3" s="1"/>
  <c r="BU39" i="3"/>
  <c r="BX39" i="3" s="1"/>
  <c r="BS39" i="3"/>
  <c r="BR39" i="3"/>
  <c r="AY39" i="3"/>
  <c r="AZ39" i="3" s="1"/>
  <c r="AX39" i="3"/>
  <c r="BA39" i="3" s="1"/>
  <c r="AV39" i="3"/>
  <c r="AU39" i="3"/>
  <c r="AQ39" i="3"/>
  <c r="AC39" i="3"/>
  <c r="AD39" i="3" s="1"/>
  <c r="AB39" i="3"/>
  <c r="AE39" i="3" s="1"/>
  <c r="Z39" i="3"/>
  <c r="Y39" i="3"/>
  <c r="BS38" i="3"/>
  <c r="BR38" i="3"/>
  <c r="AV38" i="3"/>
  <c r="AU38" i="3"/>
  <c r="Z38" i="3"/>
  <c r="Y38" i="3"/>
  <c r="BS37" i="3"/>
  <c r="BR37" i="3"/>
  <c r="AV37" i="3"/>
  <c r="AU37" i="3"/>
  <c r="Z37" i="3"/>
  <c r="Y37" i="3"/>
  <c r="BS36" i="3"/>
  <c r="BR36" i="3"/>
  <c r="AV36" i="3"/>
  <c r="AU36" i="3"/>
  <c r="Z36" i="3"/>
  <c r="Y36" i="3"/>
  <c r="BS35" i="3"/>
  <c r="BR35" i="3"/>
  <c r="AV35" i="3"/>
  <c r="AU35" i="3"/>
  <c r="Z35" i="3"/>
  <c r="Y35" i="3"/>
  <c r="BS34" i="3"/>
  <c r="BR34" i="3"/>
  <c r="AV34" i="3"/>
  <c r="AU34" i="3"/>
  <c r="Z34" i="3"/>
  <c r="Y34" i="3"/>
  <c r="BS33" i="3"/>
  <c r="BR33" i="3"/>
  <c r="AV33" i="3"/>
  <c r="AU33" i="3"/>
  <c r="Z33" i="3"/>
  <c r="Y33" i="3"/>
  <c r="BS32" i="3"/>
  <c r="BR32" i="3"/>
  <c r="AV32" i="3"/>
  <c r="AU32" i="3"/>
  <c r="Z32" i="3"/>
  <c r="Y32" i="3"/>
  <c r="BS31" i="3"/>
  <c r="BR31" i="3"/>
  <c r="AV31" i="3"/>
  <c r="AU31" i="3"/>
  <c r="Z31" i="3"/>
  <c r="Y31" i="3"/>
  <c r="BS30" i="3"/>
  <c r="BR30" i="3"/>
  <c r="AV30" i="3"/>
  <c r="AU30" i="3"/>
  <c r="AQ30" i="3"/>
  <c r="Z30" i="3"/>
  <c r="Y30" i="3"/>
  <c r="BS29" i="3"/>
  <c r="BR29" i="3"/>
  <c r="AV29" i="3"/>
  <c r="AU29" i="3"/>
  <c r="Z29" i="3"/>
  <c r="Y29" i="3"/>
  <c r="BS28" i="3"/>
  <c r="BR28" i="3"/>
  <c r="AV28" i="3"/>
  <c r="AU28" i="3"/>
  <c r="Z28" i="3"/>
  <c r="Y28" i="3"/>
  <c r="BS27" i="3"/>
  <c r="BR27" i="3"/>
  <c r="AV27" i="3"/>
  <c r="AU27" i="3"/>
  <c r="Z27" i="3"/>
  <c r="Y27" i="3"/>
  <c r="BS26" i="3"/>
  <c r="BR26" i="3"/>
  <c r="AV26" i="3"/>
  <c r="AU26" i="3"/>
  <c r="Z26" i="3"/>
  <c r="Y26" i="3"/>
  <c r="BS25" i="3"/>
  <c r="BR25" i="3"/>
  <c r="AV25" i="3"/>
  <c r="AU25" i="3"/>
  <c r="Z25" i="3"/>
  <c r="Y25" i="3"/>
  <c r="BS24" i="3"/>
  <c r="BR24" i="3"/>
  <c r="AV24" i="3"/>
  <c r="AU24" i="3"/>
  <c r="Z24" i="3"/>
  <c r="Y24" i="3"/>
  <c r="BS23" i="3"/>
  <c r="BR23" i="3"/>
  <c r="AV23" i="3"/>
  <c r="AU23" i="3"/>
  <c r="Z23" i="3"/>
  <c r="Y23" i="3"/>
  <c r="BV22" i="3"/>
  <c r="BW22" i="3" s="1"/>
  <c r="BU22" i="3"/>
  <c r="BX22" i="3" s="1"/>
  <c r="BS22" i="3"/>
  <c r="BR22" i="3"/>
  <c r="AY22" i="3"/>
  <c r="AZ22" i="3" s="1"/>
  <c r="AX22" i="3"/>
  <c r="BA22" i="3" s="1"/>
  <c r="AV22" i="3"/>
  <c r="AU22" i="3"/>
  <c r="AQ22" i="3"/>
  <c r="AC22" i="3"/>
  <c r="AD22" i="3" s="1"/>
  <c r="AB22" i="3"/>
  <c r="AE22" i="3" s="1"/>
  <c r="Z22" i="3"/>
  <c r="Y22" i="3"/>
  <c r="BS21" i="3"/>
  <c r="BR21" i="3"/>
  <c r="AV21" i="3"/>
  <c r="AU21" i="3"/>
  <c r="Z21" i="3"/>
  <c r="Y21" i="3"/>
  <c r="BS20" i="3"/>
  <c r="BR20" i="3"/>
  <c r="AV20" i="3"/>
  <c r="AU20" i="3"/>
  <c r="Z20" i="3"/>
  <c r="Y20" i="3"/>
  <c r="BS19" i="3"/>
  <c r="BR19" i="3"/>
  <c r="AV19" i="3"/>
  <c r="AU19" i="3"/>
  <c r="AQ19" i="3"/>
  <c r="Z19" i="3"/>
  <c r="Y19" i="3"/>
  <c r="BS18" i="3"/>
  <c r="BR18" i="3"/>
  <c r="AV18" i="3"/>
  <c r="AU18" i="3"/>
  <c r="Z18" i="3"/>
  <c r="Y18" i="3"/>
  <c r="BS17" i="3"/>
  <c r="BR17" i="3"/>
  <c r="AV17" i="3"/>
  <c r="AU17" i="3"/>
  <c r="Z17" i="3"/>
  <c r="Y17" i="3"/>
  <c r="BS16" i="3"/>
  <c r="BR16" i="3"/>
  <c r="AV16" i="3"/>
  <c r="AU16" i="3"/>
  <c r="Z16" i="3"/>
  <c r="Y16" i="3"/>
  <c r="BV15" i="3"/>
  <c r="BW15" i="3" s="1"/>
  <c r="BX15" i="3"/>
  <c r="BS15" i="3"/>
  <c r="BR15" i="3"/>
  <c r="AY15" i="3"/>
  <c r="AZ15" i="3" s="1"/>
  <c r="AX15" i="3"/>
  <c r="BA15" i="3" s="1"/>
  <c r="AV15" i="3"/>
  <c r="AU15" i="3"/>
  <c r="AQ15" i="3"/>
  <c r="AC15" i="3"/>
  <c r="AD15" i="3" s="1"/>
  <c r="AB15" i="3"/>
  <c r="AE15" i="3" s="1"/>
  <c r="Z15" i="3"/>
  <c r="Y15" i="3"/>
  <c r="BS14" i="3"/>
  <c r="BR14" i="3"/>
  <c r="AV14" i="3"/>
  <c r="AU14" i="3"/>
  <c r="AQ14" i="3"/>
  <c r="Z14" i="3"/>
  <c r="Y14" i="3"/>
  <c r="BV13" i="3"/>
  <c r="BW13" i="3" s="1"/>
  <c r="BU13" i="3"/>
  <c r="BX13" i="3" s="1"/>
  <c r="BS13" i="3"/>
  <c r="BR13" i="3"/>
  <c r="AY13" i="3"/>
  <c r="AZ13" i="3" s="1"/>
  <c r="AX13" i="3"/>
  <c r="BA13" i="3" s="1"/>
  <c r="AV13" i="3"/>
  <c r="AU13" i="3"/>
  <c r="AQ13" i="3"/>
  <c r="AC13" i="3"/>
  <c r="AD13" i="3" s="1"/>
  <c r="AB13" i="3"/>
  <c r="AE13" i="3" s="1"/>
  <c r="Z13" i="3"/>
  <c r="Y13" i="3"/>
  <c r="BS12" i="3"/>
  <c r="BR12" i="3"/>
  <c r="AV12" i="3"/>
  <c r="AU12" i="3"/>
  <c r="Z12" i="3"/>
  <c r="Y12" i="3"/>
  <c r="BV11" i="3"/>
  <c r="BW11" i="3" s="1"/>
  <c r="BU11" i="3"/>
  <c r="BX11" i="3" s="1"/>
  <c r="BS11" i="3"/>
  <c r="BR11" i="3"/>
  <c r="AY11" i="3"/>
  <c r="AZ11" i="3" s="1"/>
  <c r="AX11" i="3"/>
  <c r="BA11" i="3" s="1"/>
  <c r="AV11" i="3"/>
  <c r="AU11" i="3"/>
  <c r="AQ11" i="3"/>
  <c r="AC11" i="3"/>
  <c r="AD11" i="3" s="1"/>
  <c r="AE11" i="3"/>
  <c r="Z11" i="3"/>
  <c r="Y11" i="3"/>
  <c r="BS10" i="3"/>
  <c r="BR10" i="3"/>
  <c r="AV10" i="3"/>
  <c r="AU10" i="3"/>
  <c r="Z10" i="3"/>
  <c r="Y10" i="3"/>
  <c r="BV9" i="3"/>
  <c r="BW9" i="3" s="1"/>
  <c r="BU9" i="3"/>
  <c r="BX9" i="3" s="1"/>
  <c r="BS9" i="3"/>
  <c r="BR9" i="3"/>
  <c r="AY9" i="3"/>
  <c r="AZ9" i="3" s="1"/>
  <c r="AX9" i="3"/>
  <c r="BA9" i="3" s="1"/>
  <c r="AV9" i="3"/>
  <c r="AU9" i="3"/>
  <c r="AQ9" i="3"/>
  <c r="AC9" i="3"/>
  <c r="AD9" i="3" s="1"/>
  <c r="AB9" i="3"/>
  <c r="AE9" i="3" s="1"/>
  <c r="Z9" i="3"/>
  <c r="Y9" i="3"/>
  <c r="BS8" i="3"/>
  <c r="BR8" i="3"/>
  <c r="AV8" i="3"/>
  <c r="AU8" i="3"/>
  <c r="Z8" i="3"/>
  <c r="Y8" i="3"/>
  <c r="BV7" i="3"/>
  <c r="BW7" i="3" s="1"/>
  <c r="BU7" i="3"/>
  <c r="BX7" i="3" s="1"/>
  <c r="BS7" i="3"/>
  <c r="BR7" i="3"/>
  <c r="AY7" i="3"/>
  <c r="AZ7" i="3" s="1"/>
  <c r="AX7" i="3"/>
  <c r="BA7" i="3" s="1"/>
  <c r="AV7" i="3"/>
  <c r="AU7" i="3"/>
  <c r="AQ7" i="3"/>
  <c r="AC7" i="3"/>
  <c r="AD7" i="3" s="1"/>
  <c r="AB7" i="3"/>
  <c r="AE7" i="3" s="1"/>
  <c r="Z7" i="3"/>
  <c r="Y7" i="3"/>
  <c r="BS6" i="3"/>
  <c r="BR6" i="3"/>
  <c r="AV6" i="3"/>
  <c r="AU6" i="3"/>
  <c r="Z6" i="3"/>
  <c r="Y6" i="3"/>
  <c r="BV5" i="3"/>
  <c r="BW5" i="3" s="1"/>
  <c r="BU5" i="3"/>
  <c r="BX5" i="3" s="1"/>
  <c r="BS5" i="3"/>
  <c r="BR5" i="3"/>
  <c r="AZ5" i="3"/>
  <c r="BA5" i="3"/>
  <c r="AV5" i="3"/>
  <c r="AU5" i="3"/>
  <c r="AQ5" i="3"/>
  <c r="AC5" i="3"/>
  <c r="AD5" i="3" s="1"/>
  <c r="AE5" i="3"/>
  <c r="Z5" i="3"/>
  <c r="Y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 Molina</author>
    <author>Obs</author>
  </authors>
  <commentList>
    <comment ref="BP258" authorId="0" shapeId="0" xr:uid="{00000000-0006-0000-0000-000001000000}">
      <text>
        <r>
          <rPr>
            <b/>
            <sz val="9"/>
            <color indexed="81"/>
            <rFont val="Tahoma"/>
            <family val="2"/>
          </rPr>
          <t>Este avance cualitativo es igual al del II trimestre de hecho ni le ajustaron el trimestre</t>
        </r>
        <r>
          <rPr>
            <sz val="9"/>
            <color indexed="81"/>
            <rFont val="Tahoma"/>
            <family val="2"/>
          </rPr>
          <t xml:space="preserve">
</t>
        </r>
      </text>
    </comment>
    <comment ref="X307" authorId="1" shapeId="0" xr:uid="{00000000-0006-0000-0000-000002000000}">
      <text>
        <r>
          <rPr>
            <b/>
            <sz val="9"/>
            <color indexed="81"/>
            <rFont val="Tahoma"/>
            <family val="2"/>
          </rPr>
          <t>Obs:</t>
        </r>
        <r>
          <rPr>
            <sz val="9"/>
            <color indexed="81"/>
            <rFont val="Tahoma"/>
            <family val="2"/>
          </rPr>
          <t xml:space="preserve">
Ajustado</t>
        </r>
      </text>
    </comment>
    <comment ref="X308" authorId="1" shapeId="0" xr:uid="{00000000-0006-0000-0000-000003000000}">
      <text>
        <r>
          <rPr>
            <b/>
            <sz val="9"/>
            <color indexed="81"/>
            <rFont val="Tahoma"/>
            <family val="2"/>
          </rPr>
          <t>Obs:</t>
        </r>
        <r>
          <rPr>
            <sz val="9"/>
            <color indexed="81"/>
            <rFont val="Tahoma"/>
            <family val="2"/>
          </rPr>
          <t xml:space="preserve">
Ajustado</t>
        </r>
      </text>
    </comment>
    <comment ref="X310" authorId="1" shapeId="0" xr:uid="{00000000-0006-0000-0000-000004000000}">
      <text>
        <r>
          <rPr>
            <b/>
            <sz val="9"/>
            <color indexed="81"/>
            <rFont val="Tahoma"/>
            <family val="2"/>
          </rPr>
          <t>Obs:</t>
        </r>
        <r>
          <rPr>
            <sz val="9"/>
            <color indexed="81"/>
            <rFont val="Tahoma"/>
            <family val="2"/>
          </rPr>
          <t xml:space="preserve">
Ajustado</t>
        </r>
      </text>
    </comment>
    <comment ref="X311" authorId="1" shapeId="0" xr:uid="{00000000-0006-0000-0000-000005000000}">
      <text>
        <r>
          <rPr>
            <b/>
            <sz val="9"/>
            <color indexed="81"/>
            <rFont val="Tahoma"/>
            <family val="2"/>
          </rPr>
          <t>Obs:</t>
        </r>
        <r>
          <rPr>
            <sz val="9"/>
            <color indexed="81"/>
            <rFont val="Tahoma"/>
            <family val="2"/>
          </rPr>
          <t xml:space="preserve">
Ajustado</t>
        </r>
      </text>
    </comment>
    <comment ref="X312" authorId="1" shapeId="0" xr:uid="{00000000-0006-0000-0000-000006000000}">
      <text>
        <r>
          <rPr>
            <b/>
            <sz val="9"/>
            <color indexed="81"/>
            <rFont val="Tahoma"/>
            <family val="2"/>
          </rPr>
          <t>Obs:</t>
        </r>
        <r>
          <rPr>
            <sz val="9"/>
            <color indexed="81"/>
            <rFont val="Tahoma"/>
            <family val="2"/>
          </rPr>
          <t xml:space="preserve">
Ajustado</t>
        </r>
      </text>
    </comment>
    <comment ref="X313" authorId="1" shapeId="0" xr:uid="{00000000-0006-0000-0000-000007000000}">
      <text>
        <r>
          <rPr>
            <b/>
            <sz val="9"/>
            <color indexed="81"/>
            <rFont val="Tahoma"/>
            <family val="2"/>
          </rPr>
          <t>Obs:</t>
        </r>
        <r>
          <rPr>
            <sz val="9"/>
            <color indexed="81"/>
            <rFont val="Tahoma"/>
            <family val="2"/>
          </rPr>
          <t xml:space="preserve">
Ajustado</t>
        </r>
      </text>
    </comment>
    <comment ref="X314" authorId="1" shapeId="0" xr:uid="{00000000-0006-0000-0000-000008000000}">
      <text>
        <r>
          <rPr>
            <b/>
            <sz val="9"/>
            <color indexed="81"/>
            <rFont val="Tahoma"/>
            <family val="2"/>
          </rPr>
          <t>Obs:</t>
        </r>
        <r>
          <rPr>
            <sz val="9"/>
            <color indexed="81"/>
            <rFont val="Tahoma"/>
            <family val="2"/>
          </rPr>
          <t xml:space="preserve">
Ajustado</t>
        </r>
      </text>
    </comment>
    <comment ref="X315" authorId="1" shapeId="0" xr:uid="{00000000-0006-0000-0000-000009000000}">
      <text>
        <r>
          <rPr>
            <b/>
            <sz val="9"/>
            <color indexed="81"/>
            <rFont val="Tahoma"/>
            <family val="2"/>
          </rPr>
          <t>Obs:</t>
        </r>
        <r>
          <rPr>
            <sz val="9"/>
            <color indexed="81"/>
            <rFont val="Tahoma"/>
            <family val="2"/>
          </rPr>
          <t xml:space="preserve">
Ajustado</t>
        </r>
      </text>
    </comment>
    <comment ref="X316" authorId="1" shapeId="0" xr:uid="{00000000-0006-0000-0000-00000A000000}">
      <text>
        <r>
          <rPr>
            <b/>
            <sz val="9"/>
            <color indexed="81"/>
            <rFont val="Tahoma"/>
            <family val="2"/>
          </rPr>
          <t>Obs:</t>
        </r>
        <r>
          <rPr>
            <sz val="9"/>
            <color indexed="81"/>
            <rFont val="Tahoma"/>
            <family val="2"/>
          </rPr>
          <t xml:space="preserve">
Ajustado</t>
        </r>
      </text>
    </comment>
    <comment ref="X317" authorId="1" shapeId="0" xr:uid="{00000000-0006-0000-0000-00000B000000}">
      <text>
        <r>
          <rPr>
            <b/>
            <sz val="9"/>
            <color indexed="81"/>
            <rFont val="Tahoma"/>
            <family val="2"/>
          </rPr>
          <t>Obs:</t>
        </r>
        <r>
          <rPr>
            <sz val="9"/>
            <color indexed="81"/>
            <rFont val="Tahoma"/>
            <family val="2"/>
          </rPr>
          <t xml:space="preserve">
Ajustado</t>
        </r>
      </text>
    </comment>
    <comment ref="X318" authorId="1" shapeId="0" xr:uid="{00000000-0006-0000-0000-00000C000000}">
      <text>
        <r>
          <rPr>
            <b/>
            <sz val="9"/>
            <color indexed="81"/>
            <rFont val="Tahoma"/>
            <family val="2"/>
          </rPr>
          <t>Obs:</t>
        </r>
        <r>
          <rPr>
            <sz val="9"/>
            <color indexed="81"/>
            <rFont val="Tahoma"/>
            <family val="2"/>
          </rPr>
          <t xml:space="preserve">
Ajustado</t>
        </r>
      </text>
    </comment>
    <comment ref="X319" authorId="1" shapeId="0" xr:uid="{00000000-0006-0000-0000-00000D000000}">
      <text>
        <r>
          <rPr>
            <b/>
            <sz val="9"/>
            <color indexed="81"/>
            <rFont val="Tahoma"/>
            <family val="2"/>
          </rPr>
          <t>Obs:</t>
        </r>
        <r>
          <rPr>
            <sz val="9"/>
            <color indexed="81"/>
            <rFont val="Tahoma"/>
            <family val="2"/>
          </rPr>
          <t xml:space="preserve">
Ajustado</t>
        </r>
      </text>
    </comment>
    <comment ref="X320" authorId="1" shapeId="0" xr:uid="{00000000-0006-0000-0000-00000E000000}">
      <text>
        <r>
          <rPr>
            <b/>
            <sz val="9"/>
            <color indexed="81"/>
            <rFont val="Tahoma"/>
            <family val="2"/>
          </rPr>
          <t>Obs:</t>
        </r>
        <r>
          <rPr>
            <sz val="9"/>
            <color indexed="81"/>
            <rFont val="Tahoma"/>
            <family val="2"/>
          </rPr>
          <t xml:space="preserve">
Ajustado</t>
        </r>
      </text>
    </comment>
    <comment ref="X321" authorId="1" shapeId="0" xr:uid="{00000000-0006-0000-0000-00000F000000}">
      <text>
        <r>
          <rPr>
            <b/>
            <sz val="9"/>
            <color indexed="81"/>
            <rFont val="Tahoma"/>
            <family val="2"/>
          </rPr>
          <t>Obs:</t>
        </r>
        <r>
          <rPr>
            <sz val="9"/>
            <color indexed="81"/>
            <rFont val="Tahoma"/>
            <family val="2"/>
          </rPr>
          <t xml:space="preserve">
Ajustado</t>
        </r>
      </text>
    </comment>
    <comment ref="X322" authorId="1" shapeId="0" xr:uid="{00000000-0006-0000-0000-000010000000}">
      <text>
        <r>
          <rPr>
            <b/>
            <sz val="9"/>
            <color indexed="81"/>
            <rFont val="Tahoma"/>
            <family val="2"/>
          </rPr>
          <t>Obs:</t>
        </r>
        <r>
          <rPr>
            <sz val="9"/>
            <color indexed="81"/>
            <rFont val="Tahoma"/>
            <family val="2"/>
          </rPr>
          <t xml:space="preserve">
Ajustado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Marcela Castillo Cruz</author>
  </authors>
  <commentList>
    <comment ref="BO182" authorId="0" shapeId="0" xr:uid="{00000000-0006-0000-0100-000001000000}">
      <text>
        <r>
          <rPr>
            <sz val="11"/>
            <color theme="1"/>
            <rFont val="Calibri"/>
            <family val="2"/>
            <scheme val="minor"/>
          </rPr>
          <t>Diana Marcela Castillo Cruz:
Falta sep</t>
        </r>
      </text>
    </comment>
    <comment ref="BO200" authorId="0" shapeId="0" xr:uid="{00000000-0006-0000-0100-000002000000}">
      <text>
        <r>
          <rPr>
            <sz val="11"/>
            <color theme="1"/>
            <rFont val="Calibri"/>
            <family val="2"/>
            <scheme val="minor"/>
          </rPr>
          <t>Diana Marcela Castillo Cruz:
falta sep</t>
        </r>
      </text>
    </comment>
    <comment ref="BO206" authorId="0" shapeId="0" xr:uid="{00000000-0006-0000-0100-000003000000}">
      <text>
        <r>
          <rPr>
            <sz val="11"/>
            <color theme="1"/>
            <rFont val="Calibri"/>
            <family val="2"/>
            <scheme val="minor"/>
          </rPr>
          <t>Diana Marcela Castillo Cruz:
falta sep</t>
        </r>
      </text>
    </comment>
  </commentList>
</comments>
</file>

<file path=xl/sharedStrings.xml><?xml version="1.0" encoding="utf-8"?>
<sst xmlns="http://schemas.openxmlformats.org/spreadsheetml/2006/main" count="14005" uniqueCount="5278">
  <si>
    <t>ALINEACIÓN LINEAMIENTOS ESTRATÉGICOS</t>
  </si>
  <si>
    <t>PROGRAMACIÓN DE METAS</t>
  </si>
  <si>
    <t>DISTRIBUCIÓN PORCENTUAL DE LOS HITOS</t>
  </si>
  <si>
    <t>[ID META PAI]</t>
  </si>
  <si>
    <t>OBJETIVO O ESTRATEGIA DEL PLAN ESTRATÉGICO INSTITUCIONAL</t>
  </si>
  <si>
    <t>APORTE DIRECTO/INDIRECTO</t>
  </si>
  <si>
    <t>DESCRIPCIÓN DEL APORTE AL PLAN ESTRATÉGICO</t>
  </si>
  <si>
    <t>PLANES ADMINISTRATIVOS 1</t>
  </si>
  <si>
    <t>PLANES ADMINISTRATIVOS 2</t>
  </si>
  <si>
    <t>POLÍTICA MIPG RELACIONADA</t>
  </si>
  <si>
    <t>PROCESO GSBPM</t>
  </si>
  <si>
    <t>META</t>
  </si>
  <si>
    <t>FUENTE DE META</t>
  </si>
  <si>
    <t>[ID HITO PAI]</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</si>
  <si>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</si>
  <si>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</si>
  <si>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</si>
  <si>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</si>
  <si>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</si>
  <si>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</si>
  <si>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</si>
  <si>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</si>
  <si>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Observaciones 
( En caso de que el % de avance cuantitativo sea menor al % de avance esperado, por favor justifique las razones del incumplimiento)</t>
  </si>
  <si>
    <t>Proceso que atiende la meta</t>
  </si>
  <si>
    <t>PAI_POBREZA_1</t>
  </si>
  <si>
    <t>O. Asegurar la calidad estadística en procesos y resultados.</t>
  </si>
  <si>
    <t>Aporte Indirecto</t>
  </si>
  <si>
    <t>El indicador le apunta a la publicación de información estadística de una operación estadística de DIMPE con el fin de atender las necesidades de información del país</t>
  </si>
  <si>
    <t>No aplica</t>
  </si>
  <si>
    <t>16.   Gestión de la información estadística</t>
  </si>
  <si>
    <t>7. Difusión</t>
  </si>
  <si>
    <t>Un (1) Índice de Pobreza Multidimensional, publicado</t>
  </si>
  <si>
    <t>Conpes 150 de 2012</t>
  </si>
  <si>
    <t>PAI_POBREZA_1.1</t>
  </si>
  <si>
    <t>Cuatro (4) productos de publicación (nacional y departamental): anexo, boletín, comunicado de prensa y presentación</t>
  </si>
  <si>
    <t>Se han realizado sesiones del Comité de Expertos para revisar los resultados del IPM 2020 a nivel muestral.</t>
  </si>
  <si>
    <t>PAI_POBREZA_1.2</t>
  </si>
  <si>
    <t>NO APLICA</t>
  </si>
  <si>
    <t>PAI_POBREZA_2</t>
  </si>
  <si>
    <t xml:space="preserve">Un (1) Índice de Pobreza Monetaria, publicado </t>
  </si>
  <si>
    <t>PAI_POBREZA_2.1</t>
  </si>
  <si>
    <t>Se realizó publicación de pobreza monetaria nacional y departamental.</t>
  </si>
  <si>
    <t>PAI_POBREZA_2.2</t>
  </si>
  <si>
    <t>Una (1) actualización de los mapas interactivos por departamento</t>
  </si>
  <si>
    <t>PAI_POBREZA_3</t>
  </si>
  <si>
    <t>O. Mejorar el bienestar, las competencias y las habilidades de los servidores</t>
  </si>
  <si>
    <t>El indicador le apunta al rediseño y actualización de una estadística derivada de una operación estadística de DIMPE con el fin de atender las necesidades de información del país</t>
  </si>
  <si>
    <t>Transversal</t>
  </si>
  <si>
    <t>Plan de Acción 2020</t>
  </si>
  <si>
    <t>PAI_POBREZA_3.1</t>
  </si>
  <si>
    <t>Se llevó a cabo un Comité de Expertos para continuar con la revisión del resideño del IPM.</t>
  </si>
  <si>
    <t>PAI_POBREZA_3.2</t>
  </si>
  <si>
    <t>Debido a la coyuntura del año 2020 por la pandemia del COVID-19 ha sido necesario desarrollar análisis adicionalees de consistencia de la información de la Encuesta de Calidad de Vida (ECV) 2020 en el Comité de Expertos en Pobreza. Este trabajo aún se está desarrollando con el Comité.</t>
  </si>
  <si>
    <t>Debido a la coyuntura del COVID-19 durante el 2020, y las implicaciones que esto tuvo sobre la asistencia escoar, el Comité de Expertos en Pobreza aún no ha concluido las dicusiones para tomar una decisión sobre el criterio metodológico que se usará para la medición de inasistencia escolar en el IPM-2020. Por esta razón, la publicación tuvo que ser aplazada.</t>
  </si>
  <si>
    <t>Se realizó la actualización de los mapas interactivos por departamento</t>
  </si>
  <si>
    <t xml:space="preserve">Se realizó la publicación del índice de pobreza monetaria para el total naciona, cabeceras, centros poblados y rural disperso, 23 ciudades y A.M. y departamentos. </t>
  </si>
  <si>
    <t>PAI_GEDI_1</t>
  </si>
  <si>
    <t>O. Fomentar el uso de la información estadística en la toma de decisiones públicas y privadas.</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</si>
  <si>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considerarando aspectos importantes de su desarrollo como son su edad, localización geográfica, nivel educativo, posición socioeconómico, situación de víctima o migrante, entre otras, y las intersecciones de interés entre estas y otras características.</t>
  </si>
  <si>
    <t>16. Gestión de la información estadística</t>
  </si>
  <si>
    <t>Una (1) estrategia de socialización de la guía "Inclusión del enfoque Diferencial e Interseccional en el proceso de producción estadística del sistema estadístico nacional con las entidades del SEN", de acuerdo con la línea de transversalizacion de los enfoques en la producción estadística determinada por la estrategia 5 del Plan Estadístico Nacional, implementada.</t>
  </si>
  <si>
    <t>PEN</t>
  </si>
  <si>
    <t>PAI_GEDI_1.1</t>
  </si>
  <si>
    <t>Cinco (5) talleres de socialización de la Guía “Inclusión del Enfoque Diferencial e Interseccional en el proceso de producción estadística del sistema estadístico nacional” relizados</t>
  </si>
  <si>
    <t xml:space="preserve">Durante el primer trimestre del 2021, GEDI desarrolló la metodología de implementación de los 5 talleres planteados en el SEN. Además, estipuló los ejes temáticos para el desarrollo de cada uno de los 5 talleres, en articulación con DIRPEN, para enviar invitaciones desde las mesas sectoriales del SEN. </t>
  </si>
  <si>
    <t>PAI_GEDI_1.2</t>
  </si>
  <si>
    <t>Una (1) herramienta pedagogica para dar a conocer la información contenida en la Guía elaborada</t>
  </si>
  <si>
    <t xml:space="preserve">Durante el primer trimesrte se Estructuró el curso virtual de acuerdo con:  
El Grupo Enfoque Diferencial e Interseccional – GEDI, la Dirección de Regulación, Planeación, Estandarización y Normalización – DIRPEN y la Dirección de Difusión y Cultura Estadística – DICE tuvieron un taller perapatorio donde se definió la estructura de trabajo y los hitos para la preparación del curso. GEDI definió la estructura del curso titulado “Enfoque diferencial e interseccional en la producción estadística”. El curso estará organizado mediante 5 módulos que se encuientran en desarrollo. Durante el primer trimestre, se realiza el primer módulo introductorio, su objetivo y los contenidos temáticos. 
</t>
  </si>
  <si>
    <t>PAI_GEDI_2</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</si>
  <si>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</si>
  <si>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estrategia de divulgación de estadísticas con enfoque diferencial e interseccional mediante productos editoriales, implementada</t>
  </si>
  <si>
    <t>PAI_GEDI_2.1</t>
  </si>
  <si>
    <t>Una (1) Nota estadística de personas con discapacidad elaborada</t>
  </si>
  <si>
    <t>Durante el primer trimestre se elaboró un borrador de la nota estadística y se estructuraron solicitudes a la Dirección de Censos y a la coordinación de la Encuesta de Calidad de Vida, con el fin de realizar comparaciones que permitan refinar el análisis sobre discapacidad de acuerdo con la instrucción del Director del Departamento.</t>
  </si>
  <si>
    <t>PAI_GEDI_2.2</t>
  </si>
  <si>
    <t>Una (1) Nota estadística de personas mayores elaborada</t>
  </si>
  <si>
    <t>PAI_GEDI_2.3</t>
  </si>
  <si>
    <t>Una (1) Nota estadística de brecha salarial de género elaborada</t>
  </si>
  <si>
    <t>PAI_GEDI_2.4</t>
  </si>
  <si>
    <t>Una (1) Nota estadística de tema por definir elaborada</t>
  </si>
  <si>
    <t>PAI_GEDI_2.5</t>
  </si>
  <si>
    <t xml:space="preserve">Un (1) boletín con enfoque diferencial e interseccional en alianza con organizaciones externas, la academia, la sociedad civil y cooperación internacional elaborada </t>
  </si>
  <si>
    <t xml:space="preserve">Se elaboró y publicó un boletín que presenta un análisis comparativo y descriptivo acerca del mercado laboral y el trabajo no remunerado a partir  de la ENUT y de la GEIH. El boletín fue publicado en marzo  de 2021. </t>
  </si>
  <si>
    <t>PAI_GEDI_2.6</t>
  </si>
  <si>
    <t>PAI_GEDI_2.7</t>
  </si>
  <si>
    <t>PAI_GEDI_3</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</si>
  <si>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</si>
  <si>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Diecisiete (17) propuestas de contenido para el posicionamiento de las temáticas de enfoque diferencian e interseccional a trevés de las redes sociales del DANE, en reconocimiento de conmemoraciones afirmativas, generadas.</t>
  </si>
  <si>
    <t>PAI_GEDI_3.1</t>
  </si>
  <si>
    <t>Una (1) propuesta de contenido para la conmemoración el Día Internacional de la Mujer y la Niña en la Ciencia  (11 de febrero). generada</t>
  </si>
  <si>
    <t xml:space="preserve">Se propusieron Indicadores básicos de tenencia y uso de tecnologías de la información y comunicación - TIC en hogares y personas de 5 y más años de edad correspondiente al 2019 donde se analizaron los datos del Módulo TIC de la Encuesta Nacional de Calidad de Vida 2019 – MUJERES en lo referente a las
Actividades de uso de Internet por sexo, según departamentos del país y área (cabecera - centros poblados y rural disperso). 
Frecuencia de uso de Internet por sexo, según área (cabecera - centros poblados y rural disperso)
Habilidades en el uso del computador, según departamentos del país y área (cabecera - centros poblados y rural disperso)
Razón principal por la que la persona  no usa internet, según departamentos del país y área (cabecera - centros poblados y rural disperso)
</t>
  </si>
  <si>
    <t>PAI_GEDI_3.2</t>
  </si>
  <si>
    <t xml:space="preserve">Una (1) propuesta de contenido para la conmemoración del Día internacional de la mujer (8 de marzo) generada </t>
  </si>
  <si>
    <t xml:space="preserve">GEDI y el equipo de redes de DICE se reunieron a hacer un mapeo completo de indicadores para generar las piezas de divulgación del día d ela mujer. GEDI realizó retroalimentación y revisión de las piezas divulgadas, incluyendo temas de mercado laboral, ingresos propios, entre otras. </t>
  </si>
  <si>
    <t>PAI_GEDI_3.3</t>
  </si>
  <si>
    <t xml:space="preserve">Una (1) propuesta de contenido  para la conmemoración del Día internacional de la eliminación de la discriminación racial (21 de abril) generada </t>
  </si>
  <si>
    <t>PAI_GEDI_3.4</t>
  </si>
  <si>
    <t>Una (1) propuesta de contenido para la conmemoración del Día Internacional de las Niñas en las Tecnologías de la Información y la Comunicación (TIC) (22 de abril) generada</t>
  </si>
  <si>
    <t>PAI_GEDI_3.5</t>
  </si>
  <si>
    <t>Una (1) propuesta de contenido para la conmemoración el Día de la Maternidad Libre y Voluntaria (2do domingo de mayo) generada</t>
  </si>
  <si>
    <t>PAI_GEDI_3.6</t>
  </si>
  <si>
    <t xml:space="preserve">Una (1) propuesta de contenido para la conmemoración el Día Mundial contra el Trabajo Infantil (12 de junio) generada </t>
  </si>
  <si>
    <t>PAI_GEDI_3.7</t>
  </si>
  <si>
    <t>Una (1) propuesta de contenido para la conmemoración delDía Mundial de las Habilidades de la Juventud (15 de julio) generada.</t>
  </si>
  <si>
    <t>PAI_GEDI_3.8</t>
  </si>
  <si>
    <t>Una (1) propuesta de contenido para la conmemoración delDía Internacional del Trabajo Doméstico (22 de julio) generada</t>
  </si>
  <si>
    <t>PAI_GEDI_3.9</t>
  </si>
  <si>
    <t>Una (1) propuesta de contenido para la conmemoración del Día internacional de la mujer afrolatinoamericana, afrocaribeña y de la diáspora (25 de Julio Día) generada</t>
  </si>
  <si>
    <t>PAI_GEDI_3.10</t>
  </si>
  <si>
    <t xml:space="preserve">Una (1) propuesta de contenido para la conmemoración del Día Internacional de la Juventud (24 de agosto) generada </t>
  </si>
  <si>
    <t>PAI_GEDI_3.11</t>
  </si>
  <si>
    <t>Una (1) propuesta de contenido para la conmemoración del Día Internacional de la Mujer Indígena (5 de septiembre) generado</t>
  </si>
  <si>
    <t>PAI_GEDI_3.12</t>
  </si>
  <si>
    <t>PAI_GEDI_3.13</t>
  </si>
  <si>
    <t>Una (1) propuesta de contenido para la conmemoración del día internacional de la niña (11 de octubre) generado</t>
  </si>
  <si>
    <t>PAI_GEDI_3.14</t>
  </si>
  <si>
    <t>Una (1) propuesta de contenido para la conmemoración del Día Internacional de las Mujeres Rurales (15 de octubre) generado</t>
  </si>
  <si>
    <t>PAI_GEDI_3.15</t>
  </si>
  <si>
    <t>Una (1) propuesta de contenido para la conmemoración del Día Universal del Niño (El 20 de noviembre) generado</t>
  </si>
  <si>
    <t>PAI_GEDI_3.16</t>
  </si>
  <si>
    <t>Una (1) propuesta de contenido para la conmemoración del Día que Colombia conmemora el ejercicio del voto de las mujeres (1º de diciembre) generado</t>
  </si>
  <si>
    <t>PAI_GEDI_3.17</t>
  </si>
  <si>
    <t>Una (1) propuesta de contenido para la conmemoración del Día internacional de las personas con discapacidad (3 de diciembre) generado</t>
  </si>
  <si>
    <t>PAI_GEDI_4</t>
  </si>
  <si>
    <t>Una (1) estrategia de divulgación de estadísticas con enfoque diferencial e interseccional mediante la participación en escenarios estratégicos, implementada</t>
  </si>
  <si>
    <t>PAI_GEDI_4.1</t>
  </si>
  <si>
    <t>Diez (10) presentaciones de datos estadísticos con enfoque diferencial e interseccional divulgadas.</t>
  </si>
  <si>
    <t xml:space="preserve">Durante el primer trimestre se elboraron dos presentaciones para la participación del Director General tres eventos organizados por externos durante el mes de Febrero, incluyendo el Foro “Mujer y Desarrollo Económico” del Ministerio de Comercio, Industria y Turismo y el Encuentro de Organizaciones de Mujeres organizado por la Asamblea departamental de Caquetá. </t>
  </si>
  <si>
    <t>PAI_GEDI_4.2</t>
  </si>
  <si>
    <t>Cuatro (4) eventos organizados por el Grupo de Enfoque Diferencial e Interseccional para la generación de diálogos estratégicos que potencien el uso de estadísticas con enfoque diferencial e interseccional</t>
  </si>
  <si>
    <t xml:space="preserve">Con ocasión del día de la Mujer se organizaron dos eventos:
1. Población fuera de la fuerza laboral (inactiva) en Colombia, un análisis con perspectiva de género. 
2. Webinar de resultados de los 4 primeros meses de recolecció de la ENUT. </t>
  </si>
  <si>
    <t>PAI_GEDI_5</t>
  </si>
  <si>
    <t>3. Construcción</t>
  </si>
  <si>
    <t>Una (1) estrategia de inclusión del enfoque diferencial e interseccional en el proceso de producción de datos estadísticos mediante recomendaciones formuladas a operaciones estadísticas</t>
  </si>
  <si>
    <t>PAI_GEDI_5.1</t>
  </si>
  <si>
    <t>Tres (3) propuestas de fortalecimiento a formularios y operaciones estadísticas del DANE elaboradas</t>
  </si>
  <si>
    <t xml:space="preserve">Se realizaron propuestas específicas para incorporar el enfoque de género en el diseño del Censo Económico 2021 (CE2021) mediante la introducción de elementos que permitan principalmente i) incorporar el enfoque de género en sus formularios y procesos generales de captación de información estadística y ii) detectar los establecimientos o unidades económicas a cargo de la provisión de servicios relacionados con la Economía del Cuidado. </t>
  </si>
  <si>
    <t>PAI_GEDI_5.2</t>
  </si>
  <si>
    <t>Un (1) documento de recomendaciones metodológicas a Encuestas de Uso del Tiempo en la región de Latinoamérica y el Caribe, como capítulo de la Guía liderada por la División de Asuntos de Género de la Cepal</t>
  </si>
  <si>
    <t>Gedi finalizó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t>
  </si>
  <si>
    <t xml:space="preserve">Durante el primer trimestre del 2021, GEDI avanzó en en el alistamiento y ejecución de las acciones planeadas para la implementación de la guía. GEDI Desarrolló la metodología de implementación de los 5 talleres planteados en el SEN. Además, se estipuló los ejes temáticos para el desarrollo de cada uno de los 5 talleres, en articulación con DIRPEN, para enviar invitaciones desde las mesas sectoriales del SEN.
Igualmente se Estructuró el curso virtual de acuerdo con:  
El Grupo Enfoque Diferencial e Interseccional – GEDI, la Dirección de Regulación, Planeación, Estandarización y Normalización – DIRPEN y la Dirección de Difusión y Cultura Estadística – DICE, se tuvieron talleres perapatorios donde se definió la estructura de trabajo y los hitos para la preparación del curso. GEDI definió la estructura del curso titulado “Enfoque diferencial e interseccional en la producción estadística”. El curso estará organizado mediante 5 módulos que se encuentran en desarrollo. Durante el primer trimestre, se realiza el primer módulo introductorio, su objetivo y los contenidos temáticos.
</t>
  </si>
  <si>
    <t xml:space="preserve">Durante el primer trimestre se elaboró un borrador de la nota estadística y se estructuraron solicitudes a la Dirección de Censos y a la coordinación de la Encuesta de Calidad de Vida, con el fin de realizar comparaciones que permitan refinar el análisis sobre discapacidad de acuerdo con la instrucción del Director del Departamento. Para así finalizarlo en el tercer trimestre.
Se elaboró y publicó un boletín que presenta un análisis comparativo y descriptivo acerca del mercado laboral y el trabajo no remunerado a partir  de la ENUT y de la GEIH. El boletín fue publicado en marzo  de 2021 llegando así al 100% de esta meta 
</t>
  </si>
  <si>
    <t>Por solicitud de la dirección, se está realizando un análisis comparativo entre el CNPV 2018 y la ECV 2018 con el fin de revisar las diferencias en la estimación de las personas con discapacidad en ambas operaciones y posteriormente identificar la incidencia e impacto en los resultados del uso de la pregunta filtro. Estos resultados, la discusión conceptual y metodológica será incluida en una nota estadística a cerrar en el tercer trimestre</t>
  </si>
  <si>
    <t xml:space="preserve">Se propusieron y publicaron las gráficas y mensajes para las fechas conmemorativas consideradas.
</t>
  </si>
  <si>
    <t xml:space="preserve">Durante el primer trimestre se elaboraron dos presentaciones para la participación del Director General tres eventos organizados por externos durante el mes de Febrero, incluyendo el Foro “Mujer y Desarrollo Económico” del Ministerio de Comercio, Industria y Turismo y el Encuentro de Organizaciones de Mujeres organizado por la Asamblea departamental de Caquetá.
Con ocasión del día de la Mujer se organizaron dos eventos:
1. Población fuera de la fuerza laboral (inactiva) en Colombia, un análisis con perspectiva de género. 
2. Webinar de resultados de los 4 primeros meses de recolecció de la ENUT. Llegando con esto el de dar cumplimiento a lo esperado 
</t>
  </si>
  <si>
    <t xml:space="preserve">Se realizaron propuestas específicas para incorporar el enfoque de género en el diseño del Censo Económico 2021 (CE2021) mediante la introducción de elementos que permitan principalmente i) incorporar el enfoque de género en sus formularios y procesos generales de captación de información estadística y ii) detectar los establecimientos o unidades económicas a cargo de la provisión de servicios relacionados con la Economía del Cuidado.
Gedi finalizó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 Con estos documentos se logró la meta trazada para este trimestre 
</t>
  </si>
  <si>
    <t>Durante  el segundo trimestre de 2021 se llevaron a cabo los cinco talleres de socialización de la Guía de Enfoque Diferencial e Interseccional en la Producción Estadística del Sistema Estadístico Nacional, dirigido a las entidades que integran el SEN. Su objetivo fue promover y orientar la implementación de la Guía para la Inclusión del Enfoque Diferencial e Interseccional en la Producción Estadística del Sistema Estadístico Nacional y el diseño del Plan Institucional de ejecución en las entidades del SEN.</t>
  </si>
  <si>
    <t>En este segundo trimestre se diseñó y elaboró el Curso Virtual de 45 horas de duración, denominado  “Enfoque Diferencial e Interseccional en la Producción Estadística”, para ser montado en la plataforma de Aprendanet. El curso tiene como objetivo proporcionar herramientas conceptuales y metodológicas para la inclusión del enfoque diferencial e interseccional en la producción estadística, contenidos en la Guía. Las temáticas de los cinco módulos del curso son: Introducción al Enfoque Diferencial e Interseccional; Enfoque Diferencial de Género, Ciclo Vital, Étnico, Discapacidad, Campesinado y otros enfoques diferenciales, sus respectivos marcos conceptuales, marcos normativos y variables de captación. Por último, los lineamientos transversales en todas las fases del proceso estadístico, para la inclusión del Enfoque Diferencial e Interseccional. El proceso de aprendizaje está dirigido a productores de información estadística con conocimientos en el tema  y a personas interesadas en adquirir y fortalecer conceptos en enfoque diferencial e interseccional para su quehacer profesional.</t>
  </si>
  <si>
    <t>En el trimestre se realizó solicitudes a la Dirección de Censos con el fin de realizar ejercicios adicionales de acuerdo con las orientaciones del Director del Departamento, sin embargo, se requiere realizar ajustes adicionales que permitan dar respuesta al objetivo. Por otro lado, desde el GEDI se esta llevando a cabo el cruce de información del registro administrativo de Localización y Caracterización de las personas con discapacidad con la base del CNPV 2018 y la ECV 2018 con el objetivo de aprovechar el uso de los registros y fortalecer el análisis conceptual y metodológico de la nota estadística</t>
  </si>
  <si>
    <t xml:space="preserve">Se inicio la elaboración de la nota estadística de personas adultas mayores con base en la información de diversas fuentes estadísticas sobre algunos de sus indicadores que permiten dar cuenta de la realidad de la población. </t>
  </si>
  <si>
    <t>Se prepararon piezas y se difundieron por redes sociales con información de la GEIH y la ENUT</t>
  </si>
  <si>
    <t>Finalmente no se publicaron piezas sobe esta conmemoración pero si para otras en el trimestre como el Día Nacional de la Afrocolombianidad (21 de mayo) y el Día del Padre (20 de junio).</t>
  </si>
  <si>
    <t>Piezas para conmemorar el día de la madre el 30 de mayo, usando como fuente la GEIH, ENUT y ECC.</t>
  </si>
  <si>
    <t>Preparación y difusión de piezas con información del módulo de trabajo infantil de la GEIH.</t>
  </si>
  <si>
    <t xml:space="preserve">Se llevaron a cabo los cinco talleres de socialización de la Guía de Enfoque Diferencial e Interseccional en la Producción Estadística del Sistema Estadístico Nacional. Su objetivo fue promover y orientar la implementación de la Guía para la Inclusión del Enfoque Diferencial e Interseccional en la Producción Estadística del Sistema Estadístico Nacional y el diseño del Plan Institucional de ejecución en las entidades del SEN.
Se diseñó y elaboró el Curso Virtual de 45 horas de duración, distribuidas en cinco módulos  los cuales están conformados por: Introducción al Enfoque Diferencial e Interseccional; Enfoque Diferencial de Género, Ciclo Vital, Étnico, Discapacidad, Campesinado y otros enfoques diferenciales, sus respectivos marcos conceptuales, marcos normativos y variables de captación. Teniendo como objetivo proporcionar herramientas conceptuales y metodológicas para la inclusión del enfoque diferencial e interseccional en la producción estadística, contenidos en la Guía.
</t>
  </si>
  <si>
    <t>Durante el segundo trimestre se realizó solicitudes a la Dirección de Censos con el fin de realizar ejercicios adicionales de acuerdo con las orientaciones del Director del Departamento, sin embargo, se requiere realizar ajustes adicionales que permitan dar respuesta al objetivo. Por otro lado, desde el GEDI se esta llevando a cabo el cruce de información del registro administrativo de Localización y Caracterización de las personas con discapacidad con la base del CNPV 2018 y la ECV 2018 con el objetivo de aprovechar el uso de los registros y fortalecer el análisis conceptual y metodológico de la nota estadística</t>
  </si>
  <si>
    <t>Se prepararon piezas para difundir por redes sociales con información de la GEIH y la ENUT</t>
  </si>
  <si>
    <t>Gedi finalizó desde el trimestre anterior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t>
  </si>
  <si>
    <t>PAI_RELACIONA_1</t>
  </si>
  <si>
    <t>E. Gestión Pública Admirable</t>
  </si>
  <si>
    <t>Aporte Directo</t>
  </si>
  <si>
    <t>El aumento en un 8% en las solicitudes de intercambio de conocimientos, y misiones o visitas técnicas por entidades y organismos internacionales aportará 100% al cumplimiento del objetivo estratégico de una gestión pública admirable, que entre otras cosas, busca el mejoramiento institucional en todos los niveles y un posicionamiento estratégico del DANE en escenarios internacionales</t>
  </si>
  <si>
    <t>14.   Gestión del conocimiento y la innovación</t>
  </si>
  <si>
    <t>Aumentar en un 8% las solicitudes de intercambio de conocimientos, misiones o visitas técnicas por entidades y organismos internacionales, con respecto a la meta cuatrienal del 36%</t>
  </si>
  <si>
    <t>PEI 2019 – 2022</t>
  </si>
  <si>
    <t>PAI_RELACIONA_1.1</t>
  </si>
  <si>
    <t xml:space="preserve">Una (1) Matriz con las solicitudes de intercambio de conocimiento, misiones de la vigencia actualizada </t>
  </si>
  <si>
    <t>Teniendo en cuenta que para el año 2021 se planteó como meta, aumentar en un 8% las solicitudes de intercambio de conocimientos, misiones y eventos por entidades y organismos internacionales, para el primer trimestre se alcanzó un 2% de la meta. La Oficina de Relacionamiento trabajó de forma articulada con las diferentes direcciones técnicas del DANE, y con base a la posición en la que se encuentra el instituto actualmente en el escenario global, se ha evidenciado un crecimiento en el número de solicitudes y requerimientos que tienen como objetivo permitir la participación activa del DANE en la comunidad estadística internacional. Lo anteiror, permitió alcanzar el avance esperado para este periodo.</t>
  </si>
  <si>
    <t>PAI_RELACIONA_1.2</t>
  </si>
  <si>
    <t>Cuatro (4) convenios gestionados o ejecutados según sea el alcance</t>
  </si>
  <si>
    <t>Se llevó a cabo el pasado mes de enero un convenio entre el Banco Interamericano de Desarrollo -BID  y el DANE con el objetivo de desarrollar una consultoría para prueba piloto para la inclusión de módulo de ciberdelitos en Iniciativa para la Encuesta de Victimización Delictiva en Latinoamérica y el Caribe (VICLAC) adaptado para la Encuesta de Convivencia y Seguridad Ciudadana – ECSC</t>
  </si>
  <si>
    <t>PAI_RELACIONA_2</t>
  </si>
  <si>
    <t>La planeación, ejecución y evaluación de la sesión de la Conferencia Estadística de las Américas de la CEPAL en Bogotá en el 2021 aportará 100%  al cumplimiento del objetivo estratégico de una gestión pública admirable,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</si>
  <si>
    <t>Una (1) planeación, ejecución y evaluación de la sesión de la Conferencia Estadística de las Américas de la CEPAL en Bogotá en el 2021, finalizado</t>
  </si>
  <si>
    <t>PAI_RELACIONA_2.1</t>
  </si>
  <si>
    <t>Una (1) agenda comentada de la Conferencia Estadística de las Américas en el mes de noviembre de 2021 finalizado</t>
  </si>
  <si>
    <t>PAI_RELACIONA_2.2</t>
  </si>
  <si>
    <t xml:space="preserve">Un (1) documento que refleje los acuerdos llevados a cabo durante el desarrollo de la XI reunión de la Conferencia Estadística de las Américas en el mes de noviembre de 2021 </t>
  </si>
  <si>
    <t>"
Mediante el trámite de 110  solicitudes/requerimientos internacionales durante el I trimestre se aportó un 2% al avance de la meta anual establecida (8%), de tal forma que para el periodo de corte, el avance porcentual de la meta final es del 25%
Cabe resaltar la suscripción de un memorando de entendimiento con el Banco Interamericano de Desarrollo -BID  (28 de enero de 2021) y la participación del DANE en la 52ava sesión de la Comisión Estadística de Naciones Unidas (1 al 5 de marzo de 2021), donde además de participar en las sesiones oficiales y eventos paralelos, logró establecer intercambio de comunicaciones  con diferentes actores de la comunidad estadística a fin de identificar posibles líneas de trabajo "</t>
  </si>
  <si>
    <t>Avance esperado para otro trimestre</t>
  </si>
  <si>
    <t xml:space="preserve">Mediante el trámite de 119 solicitudes/requerimientos internacionales durante el II trimestre se alcanzó un 2,17% del total de la meta anual establecida (8%), contribuyendo a que el avance semestral frente a la meta anual sea del 4,17% 
 (229 solicitudes).
La Oficina de Relacionamiento  entendiendo que el DANE es el coordinador del Sistema Estadístico Nacional - SEN,  ha enfocado sus esfuerzos en el establecimiento de alianzas estratégicas con actores estratégicos del ambito  internacional con el fin de fortalecer las capacidades estadísticas nacionales.
</t>
  </si>
  <si>
    <t>Se llevó a cabo el pasado mes de junio un convenio entre el Instituto Distrital de Recreación y Deporte – IDRD y el DANE con el objetivo de aunar esfuerzos técnicos administrativos y financieros para el diseño e implementación de la cuenta satélite del deporte para Bogotá en el marco del modelo genérico del proceso estadístico GSBPMC</t>
  </si>
  <si>
    <t xml:space="preserve">
Mediante el trámite de 1 19 solicitudes/requerimientos internacionales durante el I trimestre se aportó un 2,17% al avance de la meta anual establecida (8%), de tal forma que para el periodo de corte, el avance porcentual de la meta final es del 52%
Cabe resaltar la suscripción de un convenio con el Instituto Distrital de Recreación y Deporte – IDRD   (30 de junio de 2021) y la participación del DANE en la  XX Reunión del Comité Ejecutivo CEA-CEPAL( 7 y 8 de abril 2021),  PARIS-21 Board Meeting (Abril 1 de 2021),  la 69ª sesión plenaria de la Conferencia de Estadísticos Europeos - UNECE  (24 y 25 de junio de 2021) y  la 18ª reunión del Comité de Estadística y Política Estadística de la OCDE (21 y 22 de junio de 2021), en este último se destacó la labor del DANE por los buenos progresos en la aplicación de las recomendaciones del Comité de l OCDE para el Examen de Adhesión del sistema estadístico.</t>
  </si>
  <si>
    <t>PAI_CE_1</t>
  </si>
  <si>
    <t>El Conteo Nacional de Unidades Económicas contribuye 100% con el objetivo estratégico de asegurar la calidad estadística en procesos y resultados. Su aplicación proporcionará la actualización de la informacion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</si>
  <si>
    <t>4. Recolección</t>
  </si>
  <si>
    <t>Un (1) Conteo Nacional de Unidades Económicas para la conformación del Marco Censal a nivel nacional realizado.</t>
  </si>
  <si>
    <t>Proyecto de Inversión</t>
  </si>
  <si>
    <t>PAI_CE_1.1</t>
  </si>
  <si>
    <t>Tres (3) informes de cobertura del conteo nacional de unidades económicas.</t>
  </si>
  <si>
    <t>Se realizaron dos informes operativos del Conteo Nacional UE, en los cuales se resumen las coberturas operativas de los municipios intervenidos en el operativo.</t>
  </si>
  <si>
    <t>5. Procesamiento</t>
  </si>
  <si>
    <t>PAI_CE_1.2</t>
  </si>
  <si>
    <t>Una (1) Base de datos alfanumerica del Marco Censal finalizado.</t>
  </si>
  <si>
    <t>6. Análisis</t>
  </si>
  <si>
    <t>PAI_CE_1.3</t>
  </si>
  <si>
    <t>Un (1) Informe final con los resulados del conteo nacional de unidades económicas.</t>
  </si>
  <si>
    <t>PAI_CE_2</t>
  </si>
  <si>
    <t>El Censo Experimental contribuye 100% con el objetivo estratégico de asegurar la calidad estadística en procesos y resultados. Por medio de los resultados obtenidos en el operativo se realizan las acciones de mejora y ajustes necesarios para asegurar la mínima ocurrecia de errores o fallas en el operativo del Censo Económico.</t>
  </si>
  <si>
    <t>Un (1) Censo Experimental para poner en práctica la totalidad de los procesos, sistemas, instrumentos y estratégias diseñadas para el desarrollo del Censo Económico finalizado.</t>
  </si>
  <si>
    <t>PAI_CE_2.1</t>
  </si>
  <si>
    <t>Cuatro (4) informes de cobertura de barrido semanal del Censo Experimental</t>
  </si>
  <si>
    <t>PAI_CE_2.2</t>
  </si>
  <si>
    <t>Una (1) Informe final con los resulados del Censo Experimental.</t>
  </si>
  <si>
    <t>PAI_CE_2.3</t>
  </si>
  <si>
    <t>Un (1) Presupuesto actualizado del operativo censal.</t>
  </si>
  <si>
    <t>PAI_CE_3</t>
  </si>
  <si>
    <t>La prueba piloto para poner en práctica los instrumentos y herramientas construidas para el operativo del sector construcción contribuye 100% con el objetivo estratégico de asegurar la calidad estadística en procesos y resultados. Por medio de los resultados obtenidos en la prueba piloto, se determinan la información primordial para la constitución de los resultados finales del Censo Económico</t>
  </si>
  <si>
    <t>Una (1) prueba piloto para poner en práctica los instrumentos y herramientas construidas para el operativo del sector construcción dentro del Censo Económico finalizado.</t>
  </si>
  <si>
    <t>PAI_CE_3.1</t>
  </si>
  <si>
    <t>Un (1) informe de cobertura del operativo de la prueba piloto de construcción en el Censo Económico.</t>
  </si>
  <si>
    <t>PAI_CE_3.2</t>
  </si>
  <si>
    <t>Una (1) Informe de resultados de acuerdo con los criterios de observación.</t>
  </si>
  <si>
    <t>PAI_CE_3.3</t>
  </si>
  <si>
    <t>Un (1) Presupuesto actualizado para el operativo de construcción en el Censo Económico.</t>
  </si>
  <si>
    <t>El GIT Censo Económico realizó 2 informes operativos del Conteo Nacional UE del 15 de febrero al 30 de marzo, los cuales describen el avance de la cobertura operativa en los municipios intervenidos. El tercer informe se encuentra proyectado para el 30 de abril de acuerdo a la finalización del operativo en mención.</t>
  </si>
  <si>
    <t>Se realizó un informe operativo del Conteo Nacional UE, en el cual se resumen las coberturas operativas de los municipios intervenidos en el operativo.</t>
  </si>
  <si>
    <t>Se realizó el avance de  la conformación de la base de datos censal a  partir del conteo nacional de unidades económicas.</t>
  </si>
  <si>
    <t>Se realizó el avance del informe final del conteo nacional de unidades económicas que incluye las coberturas del operativo que se ha llevado a cabo el primer semestre del año. Al finalizar el segundo trimestre, se tiene cubierta la gran mayoría del país, quedando pendiente para el informe final, la información de áreas no municipalizadas.</t>
  </si>
  <si>
    <t>• El GIT Censo Económico realizó 1 informe operativo del Conteo Nacional UE del 01 al 30 de abril, en el cual se describe el avance consolidado de la cobertura operativa en los municipios intervenidos.
• El GIT Censo Económico realizó 1 avance del informe final del Conteo Nacional de Unidades Económicas del 15 de mayo al 30 de junio, el cual se especifican los resultados del operativo y la respectiva cobertura. El informe final se encuentra proyectado para el 30 de julio de acuerdo a la finalización del operativo en las áreas no municipalizadas.
• El GIT Censo Económico realizó 1 avance de la base de datos censal a partir del conteo de unidades económicas del 15 de mayo al 30 de junio, en la cual se encuentran: tabla de edificaciones, unidades económicas, los respectivos dominios, las tablas de identificación geográfica - DIVIPOLA y las tablas requeridas para el análisis y generación de indicadores. La base de datos alfanumérica del marco censal final se encuentra proyectada para el 30 de julio de acuerdo a la finalización del operativo en los departamentos de Valle, Nariño, Amazonas, Guainía y Vaupés.</t>
  </si>
  <si>
    <t>PAI_OPLAN_1</t>
  </si>
  <si>
    <t>El Sistema de Información de Planeación y Gestión Intitucional articulado con el SIIF aporta indirectamente a la estrategía de Gestión Púbñica admirable dado que permite contemplar acciones relacionadas modelo Integrado de Planeación y Gestión y los ajustes institucionales que se requieran</t>
  </si>
  <si>
    <t>2.       Gestión presupuestal y eficiencia del gasto público</t>
  </si>
  <si>
    <t>Un (1) sistema de Información de Planeación y Gestión Institucional articulado con el SIIF, implementado</t>
  </si>
  <si>
    <t>PAI_OPLAN_1.1</t>
  </si>
  <si>
    <t>Un (1) módulo de administración del sistema de información en producción</t>
  </si>
  <si>
    <t>PAI_OPLAN_1.2</t>
  </si>
  <si>
    <t xml:space="preserve">Un (1) módulo de seguimiento presupuestal del sistema de información en producción </t>
  </si>
  <si>
    <t>PAI_OPLAN_1.3</t>
  </si>
  <si>
    <t xml:space="preserve">Un (1) módulo de seguimiento de instrumentos de planeación del sistema de información en producción </t>
  </si>
  <si>
    <t>PAI_OPLAN_1.4</t>
  </si>
  <si>
    <t>Un (1) tablero de control de reportes desarrollado</t>
  </si>
  <si>
    <t>PAI_OPLAN_2</t>
  </si>
  <si>
    <t>O. Modernizar la gestión territorial del DANE.</t>
  </si>
  <si>
    <t>La estrategia de capacitación y acompañamiento dirigida a las sedes, que permitirá fortalecer el conocimiento en los procesos presupuestales de la Entidad, aporta indirectamente al objetivo estrategico de modernizar la gestión territorial del DANE dado que permite incrementar el resultado de la medición de la capacidad territorial</t>
  </si>
  <si>
    <t xml:space="preserve">Plan Institucional de Capacitación </t>
  </si>
  <si>
    <t>PAI_OPLAN_2.1</t>
  </si>
  <si>
    <t>PAI_OPLAN_2.2</t>
  </si>
  <si>
    <t>PAI_OPLAN_3</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</si>
  <si>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</si>
  <si>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Un (1) ejercicio de programación presupuestal del sector para la vigencia 2022, finalizado</t>
  </si>
  <si>
    <t>PAI_OPLAN_3.1</t>
  </si>
  <si>
    <t>PAI_OPLAN_3.2</t>
  </si>
  <si>
    <t>Un (1) anteproyecto de presupuesto 2022 formulado</t>
  </si>
  <si>
    <t>La Oficina Asesora de Planeación Realizó una reunión de sensibilización para la elaboración del Anteproyecto de Presupuesto 2022 el día lunes 22 de febrero y brindó a las Direcciones Técnicas y Oficinas los lineamientos correspondientes. Así mismo, OPLAN brindó acompañamiento a las Áreas en la elaboración de sus documentos de Anteproyecto. Posteriormente OPLAN consolidó el documento de Anteproyecto de presupuesto 2022 y los formatos respectivos. Finalmente, el 31 de marzo OPLAN cargó la información en la plataforma SIIF Nacción II de acuerdo con los topes presupuestales y envió la información por correo electrónico al Ministerio de Hacienda y C´redito Público.</t>
  </si>
  <si>
    <t>PAI_OPLAN_3.3</t>
  </si>
  <si>
    <t>Una (1) actualización de las fichas EBI de los proyectos de inversión 2022 para POAI realizada.</t>
  </si>
  <si>
    <t>PAI_OPLAN_3.4</t>
  </si>
  <si>
    <t>Una (1) presentación del Marco de Gasto de Mediano Plazo (MGMP) 2022 realizada</t>
  </si>
  <si>
    <t>PAI_OPLAN_3.5</t>
  </si>
  <si>
    <t>Una (1) actualización y distribución de la cuota por proyecto de inversión realizada</t>
  </si>
  <si>
    <t>PAI_OPLAN_3.6</t>
  </si>
  <si>
    <t>Un (1) acompañamiento a las áreas en el diligenciamiento del intrumento para la programación de recursos 2022 finalizado</t>
  </si>
  <si>
    <t>Un (1) documento de aplicación del ciclo presupuestal finalizado</t>
  </si>
  <si>
    <t>PAI_OPLAN_4</t>
  </si>
  <si>
    <t xml:space="preserve">El plan de reestructuración de los proyectos de inversión apoyará la estrategia de gestión de manera indirecta, dándole un instrumento a la OPLAN y  fortaleciendo el Plan Estratégico </t>
  </si>
  <si>
    <t>Un (1) plan de reestructuración de los proyectos de inversión, implementado</t>
  </si>
  <si>
    <t>PAI_OPLAN_4.1</t>
  </si>
  <si>
    <t>Un (1) diagnóstico de las necesidades de reestructuración de los proyectos de inversión realizado</t>
  </si>
  <si>
    <t>Durante el mes de febrero la Oficina Asesora de Planeación trabajó en la formulación de una metodología de diagnóstico para la reestructuración de los proyectos de inversión de la entidad. El 23 de febrero envió a los Directores Técnicos y Jefes de Oficina un formulario para el diagnóstico de las necesidades de ampliación o formulación de los proyectos de inversión. Con este ejercicio, se construyó un diagnóstico de las necesidades de reestructuración de los proyectos de inversión que está plasmado en el documento Plan de Reestructuración de proyectos de inversión y en una presentación ante la Subdirección el miércoles 17 de marzo.</t>
  </si>
  <si>
    <t>PAI_OPLAN_4.2</t>
  </si>
  <si>
    <t>Un (1) propuesta de plan de reestructuración presentada</t>
  </si>
  <si>
    <t>31/03/2021</t>
  </si>
  <si>
    <t>La Oficina Asesora de Planeación elaboró un documento con la propuesta del Plan de reestructuración de proyectos de inversión, el cual fue remitido a la Jefe de OPLAN el 17 de marzo.</t>
  </si>
  <si>
    <t>PAI_OPLAN_4.3</t>
  </si>
  <si>
    <t>Un (1) ejercicio de reestructuración de los proyectos de inversión implementado</t>
  </si>
  <si>
    <t>PAI_OPLAN_5</t>
  </si>
  <si>
    <t>E. Accesibilidad</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</si>
  <si>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</si>
  <si>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</si>
  <si>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Un (1) proceso para la integración de los sistemas NTC ISO 14001:2015 ISO 45001:2018 e ISO 27001:2013 en fase 1, implementado.</t>
  </si>
  <si>
    <t>PAI_OPLAN_5.1</t>
  </si>
  <si>
    <t xml:space="preserve">Un (1) plan de integración elaborado </t>
  </si>
  <si>
    <t>Se estableció el plan de integración de los sistemas de gestión de la entidad, permitiendo al identificación de las fases a cumplir y así disminuir el desgaste administrativo</t>
  </si>
  <si>
    <t>PAI_OPLAN_5.2</t>
  </si>
  <si>
    <t xml:space="preserve">Un (1) politica del Sistema Integrado </t>
  </si>
  <si>
    <t>Se elaboro el borrador de la política de calidad, teniendo en cuenta los requisitos de la norma iso 9001:2015, la misión, visión y contexto de la organización a fin de que sea coherente con los objetivos de la entidad</t>
  </si>
  <si>
    <t>PAI_OPLAN_5.3</t>
  </si>
  <si>
    <t xml:space="preserve">Un (1) procedimiento de Auditoria Interna Integrada </t>
  </si>
  <si>
    <t>30/06/2021</t>
  </si>
  <si>
    <t>El procedimiento de auditorias integradas se encuentra en actualización en Isolución, a fin de que cumpla con los requisitos del sistema y aporte al control del mismo</t>
  </si>
  <si>
    <t>PAI_OPLAN_5.4</t>
  </si>
  <si>
    <t xml:space="preserve">Un (1) procedimiento de revisión por la dirección integrado </t>
  </si>
  <si>
    <t>El procedimiento de revisión por la dirección ya contempla elementos intregados del sistema SST, permitiendo la realización de la primera revisión integrada programada para el 28 de abril de 2021</t>
  </si>
  <si>
    <t>PAI_OPLAN_5.5</t>
  </si>
  <si>
    <t xml:space="preserve">Un (1) manual del sistema de gestión integrado </t>
  </si>
  <si>
    <t>30/09/2021</t>
  </si>
  <si>
    <t xml:space="preserve">El manual del sistema integrado de gestión se encuentra en actualización en Isolución incluyendo elementos de integración entre sistemas generando un menor desgaste administrativo </t>
  </si>
  <si>
    <t>PAI_OPLAN_5.6</t>
  </si>
  <si>
    <t>Un (1) análisis de contexto integrado</t>
  </si>
  <si>
    <t xml:space="preserve">Se adelanto el levantamiento del contexto estratégico  del sistema de salud y seguridad en el trabajo bajo los parámetros del contexto del SGC </t>
  </si>
  <si>
    <t>PAI_OPLAN_6</t>
  </si>
  <si>
    <t xml:space="preserve">El certificado de gestión de calidad da cuenta del esfuerzo de la entidad en mejorar continuamente sus procesos , productos y servicios aportando de forma indirecta a una gestión pública con altos estándares de calidad  </t>
  </si>
  <si>
    <t>Un (1) certificación de la Entidad en la norma ISO 9001:2015, obtenida</t>
  </si>
  <si>
    <t>PAI_OPLAN_6.1</t>
  </si>
  <si>
    <t>Cinco (5) planes de mejora formulados y con seguimiento.</t>
  </si>
  <si>
    <t>los planes de mejoramiento producto de la auditoria interna  de tercera parte fueron cargados en Isolución a fin de realizar el debido tratamiento y seguimiento por parte de los procesos a cargo</t>
  </si>
  <si>
    <t>PAI_OPLAN_6.2</t>
  </si>
  <si>
    <t xml:space="preserve">Un (1) proceso precontractual de la auditoria de certificacion terminado </t>
  </si>
  <si>
    <t>PAI_OPLAN_6.3</t>
  </si>
  <si>
    <t>Una (1) auditoria de certificación en la Norma ISO 9001:2015 realizada</t>
  </si>
  <si>
    <t>PAI_OPLAN_7</t>
  </si>
  <si>
    <t>Un (1) plan de certificación de las normas NTC ISO 14001:2015 fase 1, implementado</t>
  </si>
  <si>
    <t>PAI_OPLAN_7.1</t>
  </si>
  <si>
    <t>Un (1) diagnóstico de grado de implementación elaborado</t>
  </si>
  <si>
    <t>15/02/2021</t>
  </si>
  <si>
    <t xml:space="preserve">Se realizo el diagnostico del sistema de gestión ambiental a fin de determinar las brechas a cerrar y las acciones a tomar </t>
  </si>
  <si>
    <t>PAI_OPLAN_7.2</t>
  </si>
  <si>
    <t>Un (1) plan de certificación realizado</t>
  </si>
  <si>
    <t>Se tiene elaborado el plan  preliminar de certificación del SGA, donde se definen las acciones y plazos a cumplir para logra la certificación del sistema en la vigencia 2022</t>
  </si>
  <si>
    <t>PAI_OPLAN_7.3</t>
  </si>
  <si>
    <t>Una (1) implementación fase 1 terminada</t>
  </si>
  <si>
    <t>PAI_OPLAN_8</t>
  </si>
  <si>
    <t>Un (1) plan de certificación de las normas  ISO 45001:2018 fase 1, implementado</t>
  </si>
  <si>
    <t>PAI_OPLAN_8.1</t>
  </si>
  <si>
    <t xml:space="preserve">Se realizo el diagnostico del sistema de seguridad y salud en el trabajo  a fin de determinar las brechas a cerrar y las acciones a tomar </t>
  </si>
  <si>
    <t>PAI_OPLAN_8.2</t>
  </si>
  <si>
    <t>Se tiene elaborado el plan   de certificación del SST, donde se definen las acciones y plazos a cumplir para logra la certificación del sistema en la vigencia 2022</t>
  </si>
  <si>
    <t>PAI_OPLAN_8.3</t>
  </si>
  <si>
    <t>PAI_OPLAN_9</t>
  </si>
  <si>
    <t>Un (1) plan de certificación de las normas ISO 27001:2015 fase 1, implementado.</t>
  </si>
  <si>
    <t>PAI_OPLAN_9.1</t>
  </si>
  <si>
    <t>PAI_OPLAN_9.2</t>
  </si>
  <si>
    <t>PAI_OPLAN_9.3</t>
  </si>
  <si>
    <t>PAI_OPLAN_10</t>
  </si>
  <si>
    <t>La realización del ciclo de auditorías aporta de manera indirecta al objetivo en la media que nos permite evidenciar la conformidad del sistema y las oportunidades de mejora, para lo cual se requiere de personal competente en esta labor.</t>
  </si>
  <si>
    <t>5.       Transparencia, acceso a la información pública y lucha contra la corrupción</t>
  </si>
  <si>
    <t xml:space="preserve">Un (1) ciclo de auditorias internas de calidad, realizado </t>
  </si>
  <si>
    <t>PAI_OPLAN_10.1</t>
  </si>
  <si>
    <t xml:space="preserve">Una (1) programa de auditorias internas de calidad terminado. </t>
  </si>
  <si>
    <t>PAI_OPLAN_10.2</t>
  </si>
  <si>
    <t xml:space="preserve">Treinta (30) servidores entrenados en normas de calidad </t>
  </si>
  <si>
    <t>PAI_OPLAN_10.3</t>
  </si>
  <si>
    <t>Una (1) auditoria interna a todos los procesos de la entidad, realizada</t>
  </si>
  <si>
    <t>30/12/2021</t>
  </si>
  <si>
    <t>El ejercicio de programación presupuestal se ha cumplido según el cronograma del ciclo presupuestal (Se elaboró y radicó el Anteproyecto de presupuesto 2022 ante el Ministerio de Hacienda durante el mes de marzo)</t>
  </si>
  <si>
    <t>El sistema integrado de gestión viene estructurando los elementos de alto nivel facilitando la gestión y labor coordinada entre los sistemas de gestión de la entidad, esto a fin de disminuir el desgaste administrativo en su implementación y un funcionamiento eficaz, eficiente y efectivo de los procesos de la entidad</t>
  </si>
  <si>
    <t>Se adelantan las acciones pertinentes para el cierre de brechas detectadas en auditoria interna a fin de tener el sistema listo para recibir auditoria de certificación en el mes Julio de 2021</t>
  </si>
  <si>
    <t>Ya se tienen el diagnostico de las brechas del SGA y se viene trabajando en el plan de certificación definitivo con fines de certificación, a fin de iniciar fase de implementación en el tercer trimestre de la vigencia</t>
  </si>
  <si>
    <t>Ya se tienen el diagnostico de las brechas del SSTy se tiene  el plan de trabajo definitivo con fines de certificación, a fin de iniciar fase de implementación.</t>
  </si>
  <si>
    <t>Se cuenta con los formularios de actualizacion de configuraciones del sistema en ambiente de pruebas.</t>
  </si>
  <si>
    <t>Se desarrollaron los formularios de asignacion presupuestal.</t>
  </si>
  <si>
    <t xml:space="preserve">Se cuenta con el modulo en ambiente de pruebas, ajustando requerimientos de "envio de solicitud de evaluacion" </t>
  </si>
  <si>
    <t>Se generaron las estructuras de datos que soportan los reportes</t>
  </si>
  <si>
    <t xml:space="preserve">La Oficina Asesora de Planeación envió un correo a las Dependencias con los lineamientos para la actualización de las fichas EBI a POAI 2022 el 15 de abril de 2021. Posteriormente, se brindó acampañamiento a cada Área en la elaboración del documento de justificación y el ajuste de la ficha en la plataforma SUIFP del DNP. A 30 de abril de 2021 quedaron cargadas las actualizaciones de las fichas EBI de todos los proyectos de inversión de la entidad en la plataforma SUIFP y se realizaron los filtros de calidad respecyivos para envío al DNP. </t>
  </si>
  <si>
    <t>Se realizó, consolido  y presento el MGMP 2021-2025 ante el DNP y el MHCP</t>
  </si>
  <si>
    <t>La oficina Asesora de Planeación presentó ante el Comité Directivo una propuesta de reestructuración de los proyectos de inversión, y organizó una capacitación en formulación de proyectos de inversión por parte del DNP para los funcionarios y colaboradores de la entidad el 15 de junio de 2021. Se realizaron 6 mesas de trabajo con las Direcciones DIG, DIMPE, DSCN, DICE, GIT Logística y DCD. Se avanzó en el árbol de problemas y el árbol de objetivos de los proyectos de DIMPE, DSCN y DICE.</t>
  </si>
  <si>
    <t xml:space="preserve">El procedimiento de auditorias integradas se encuentra en actualización en Isolución, a fin de que cumpla con los requisitos del sistema y aporte al control del mismo, se estima que el mes de julio se finalice su flujo de revisión y apribación </t>
  </si>
  <si>
    <t xml:space="preserve">El procedimiento de revisión por la dirección ya contempla elementos intregados del sistema SST, permitiendo la realización de la primera revisión del sistema SST </t>
  </si>
  <si>
    <t>Se realizio la integración del contexto organizacional con los elementos de las normas ISO 9001 y  45001</t>
  </si>
  <si>
    <t>Los cinco  planes de mejora dueron  formulados y su seguimiento se reporta en el modulo de mejora</t>
  </si>
  <si>
    <t xml:space="preserve">Se realizaron las cotizaciones y el estudio previo para la realización de la contratación de la auditoria </t>
  </si>
  <si>
    <t>Se tiene elaborado el plan   de certificación del SGA, donde se definen las acciones y plazos a cumplir para logra la certificación del sistema en la vigencia 2022</t>
  </si>
  <si>
    <t xml:space="preserve">Se adelanta el diagnóstcio de implementación </t>
  </si>
  <si>
    <t xml:space="preserve">Se adelanta el  plan  de implementación </t>
  </si>
  <si>
    <t>Se establecio el programa de auditorias para la presente vigencia</t>
  </si>
  <si>
    <t>Debido a problemas de conexión y disponibilidad de los servidores del DANE, durante los meses de Abril a Mayo de 2021, se generó un retraso significativo en el cronograma planteado para la realización de la Meta. Se continua avanzando en la generacion de los modulos estrategico, configuracion y planeacion</t>
  </si>
  <si>
    <t>Debido a problemas de conexión (VPN) y disponibilidad de los servidores del DANE durante los meses de Abril a Mayo de 2021, se generó un retraso significativo en el cronograma planteado</t>
  </si>
  <si>
    <t>DES</t>
  </si>
  <si>
    <t>GTH</t>
  </si>
  <si>
    <t>El ejercicio de programación presupuestal se ha cumplido según el cronograma del ciclo presupuestal (Se elaboró y radicó el Anteproyecto de presupuesto 2022 ante el Ministerio de Hacienda durante el mes de marzo) y se realizó el ajuste de las fichas EBI de los proyectos de inversión a POAI 2022 en el mes de abril.</t>
  </si>
  <si>
    <t>Durante el segundo trimestre de 2021 la Oficina Asesora de Planeación presentó la propuesta de reestructuración de los proyectos de inversión al Comité Directivo, organizó una capacitación en formulación  proyectos de inversión para los funcionarios y colaboradores del DANE y brindó el acompañamiento y la asesoría técnica necesarias para los procesos de formulación a cada una de las áreas. Como resultado, se avanza en el diligenciamiento de la ficha MGA de los proyectos de inversión según el Plan de reestructuración de proyectos.</t>
  </si>
  <si>
    <t>No se ha avanzado de forma homogénea en la formulación de todos los proyectos previstos, algunas dependencias han requerido tiempo adicional para realizar un ejercicio interno de identificación de los elementos estratégicos de sus nuevos proyectos de inversión.</t>
  </si>
  <si>
    <t>El sistema integrado de gestión viene estructurando los elementos de alto nivel facilitando la gestión y labor coordinada entre los sistemas de gestión de la entidad en especial con el sistema de seguridad y salud en el trabajo, esto a fin de disminuir el desgaste administrativo en su implementación y un funcionamiento eficaz, eficiente y efectivo de los procesos de la entidad</t>
  </si>
  <si>
    <t>SIO</t>
  </si>
  <si>
    <t>La integración en el procedimiento de auditoria tomo mas tiempo de lo esperado y su porceso de envió a flujo de revsión y aprobación no se alcanzo a lograr.</t>
  </si>
  <si>
    <t>AIN</t>
  </si>
  <si>
    <t>Se adelantan las acciones pertinentes para el cierre de brechas detectadas en auditoria interna a fin de tener el sistema listo para recibir auditoria de certificación en el mes Agosto de 2021</t>
  </si>
  <si>
    <t>Debido a la pandemia el  realizar el estudio de mercado tomo más tiempo de lo esperado  lo cual demoro un poco la etapa precontractual</t>
  </si>
  <si>
    <t>Se viene  el diagnóstico de las brechas del SSTy se tiene  el plan de trabajo definitivo con fines de certificación, a fin de iniciar fase de implementación.</t>
  </si>
  <si>
    <t>Se etsablecio el plan de auditoria interna donde se inclut¡yen las operaciones estadistcias priorizadas</t>
  </si>
  <si>
    <t>PAI_OCI_1</t>
  </si>
  <si>
    <t>La evaluación, seguimiento y auditoria al Sistema de Control Interno del DANE-FONDANE permite identificar fortalezas y debilidades de control y de la eficacia del rol de las línea de defensa; un aporte indirecto al objetivo estrategico dos (2) del PEI.</t>
  </si>
  <si>
    <t xml:space="preserve">Otro </t>
  </si>
  <si>
    <t>15.   Control Interno</t>
  </si>
  <si>
    <t>Ciento treinta y seis (136) informes de evaluación, seguimiento y auditroría al Sistema de Control Interno (SCI) DANE - FONDANE (anual), realizados</t>
  </si>
  <si>
    <t>PAI_OCI_1.1</t>
  </si>
  <si>
    <t>Veintidos (22) informes preliminares de evaluación, seguimiento y auditoría  al Sistema de Control Interno (SCI) DANE - FONDANE (anual) realizados y radicados</t>
  </si>
  <si>
    <t>Se desarrollo y avanzó en la elaboración de 5 Informes preliminares realizados y radicados durante el 1er trimestre 2021.</t>
  </si>
  <si>
    <t>PAI_OCI_1.2</t>
  </si>
  <si>
    <t>Ciento catorce (114) informes finales de evaluación, seguimiento y auditoría  al Sistema de Control Interno (SCI) DANE - FONDANE (Anual) realizados y radicados</t>
  </si>
  <si>
    <t>Se desarrollo y avanzó en la elaboración, radicación y publicación de 41 informes finales programados durante el 1er trimestre 2021.</t>
  </si>
  <si>
    <t>PAI_OCI_2</t>
  </si>
  <si>
    <t>o. Mejorar el bienestar, las competencias y las habilidades de los servidores</t>
  </si>
  <si>
    <t>La ejecución del Plan de Prevención del Riesgo y Fortalecimiento del Autocontrol en DANE - FONDANE, permitira aumentar y afianzar las competencias de los servidores públicos en temas de Riesgos, analisis de causas y temas de autocontrol contribuyendo a mejorar la identificación y monitoreo de riesgos e identificar planes de mejora eficaces que atiendan los hallazgos establecidos.</t>
  </si>
  <si>
    <t>Un (1) Plan de Prevención del Riesgo y Fortalecimiento del Autocontrol en DANE - FONDANE ejecutado</t>
  </si>
  <si>
    <t>PAI_OCI_2.1</t>
  </si>
  <si>
    <t>Tres (3) sesiones de aprender haciendo de: Prevención del Riesgo, Analisis Causal y Autocontrol a servidores públicos en DANE - FONDANE realizadas y evaluadas</t>
  </si>
  <si>
    <t xml:space="preserve">Se avanzó en la estructura de los talleresde riesgos, análisis causal y autocontrol, se definió el cronograma de trabajo, se realizó reunión de coordinación con con gestión humana y control disciplinario, y de trabajo del equipo OCI; además de trabajo investigativo para la consecución de bibliografía y elaboración de una presentación conceptual y de una propuesta de un primer taller sobre ambiente para el control </t>
  </si>
  <si>
    <t>PAI_OCI_2.2</t>
  </si>
  <si>
    <t>Dos (2) ejercicios de divulgación de cultura del control interno realizados.</t>
  </si>
  <si>
    <t>Se avanzó en la elaboración del plan de trabajo y el contacto con el DAFP.</t>
  </si>
  <si>
    <t>La OCI realizó 5 de los 24 informes preliminares previstos durante el 1er trimestre 2021. Los 5 informes preliminares fueron sobre los temas:PACC y Riesgos, Indicadores, Derechos de autor, Planes de Acción y Comité de Conciliación. Sin embar
go, al revisar al Plan se hace necesario ajustar la cuantificación de la meta y de este hito, para lo cual se adjunta el segumiento del 1er trimestre debidamente ajustado.
La OCI realizó 41 de los 24 informes finales previstos durante el 1er trimestre 2021. Sin embargo, al revisar al Plan se hace necesario ajustar la cuantificación de la meta y de este hito, para lo cual se adjunta el segumiento del 1er trimestre debidamente ajustado.</t>
  </si>
  <si>
    <t xml:space="preserve">Al revisar al Plan se hace necesario ajustar la cuantificación de la meta y de este hito, para lo cual se adjunta el segumiento del 1er trimestre debidamente ajustado, así: Hito1: 28 informes preliminares e Hito2: 119 informes finales; para una meta total de 147 informes durante 2021 </t>
  </si>
  <si>
    <t>La OCI avanzó estructuró los talleresde riesgos, análisis causal y autocontrol, definió el cronograma de trabajo, realizó reunión de coordinación con con gestión humana  y rabajo del equipo OCI; además de trabajo investigativo para la consecución de bibliografía y elaboración de una presentación conceptual y de una propuesta de un primer taller sobre ambiente para el control 
La OCI elaboró un plan de trabajo y un cronograma para la ejecución de la meta, y se realizaron sesiones de trabajo y se solicitó apoyo al DAFP.  Se tiene planeado y programado un conversatorio sobre autocontrol en el 1er semestre  y elaboración y presentación de propuestas de tips, capsulas, banners y/o pildoras con mensajes alusivos al Auto- Contro, en el 2do semestre 2021</t>
  </si>
  <si>
    <t>Se desarrollo y avanzó en la elaboración de 6 Informes preliminares realizados y radicados durante el 2do trimestre 2021.</t>
  </si>
  <si>
    <t>Se desarrollo y avanzó en la elaboración, radicación y publicación de 18 informes finales  durante el 2do trimestre 2021.</t>
  </si>
  <si>
    <t xml:space="preserve">La OCI realizó 6  informes preliminares previstos durante el 2do trimestre 2021. Los 6 informes preliminares fueron sobre los temas:  1erInfPreliminarSeguimientoAcuerdoDeGestión2020y2021, 1erInftrim2021SeguAusteridadGasto DANE-FONDANE, 1erInfTrimestral2021preliminarSeguimientoPM_INTyCGR
4InfTrimestral2020SegAusteridadGastoDANE- FONDANE V2.docx, INF_PRELIMINAR_EKOGUI DANE-FONDANE II SEM_2020  Rad_20211400006943, Informe_preliminar_PAAC_Riesgos_I_Cuatrimestre_2021  Rad_20211400015103
La OCI realizó 18  informes finales previstos durante el 2do trimestre 2021 sobre los siguientes  temas:
Informe Final de seguimiento_Plan de Mejoramiento_INT_CGR
INFORME_DNDA_2020_FINAL  Rad_20211400008233
Informe final primer Arqueo a la Caja menor de DANE 2021V2
INFORME_CHIP_I_TRIMESTRE_2021_Rad_20211400013023
Registro y control a Planes de Mejoramiento 1° trimestre 2021  Rad_20211400012753
Informe final de Seguimiento a Planes de Mejoramiento 1er trimestre 2021
SegMejor_Archivistivo_orfeo 20211400011923
2°InFinalSemestral2020seguimientoPQRSD 
4°InfTrim2020SegEjecuciónYreservasPr$ptls
Alcance 1er Informe Trimestral 2021 Seguimiento Austeridad del Gasto DANE- FONDANE
1erInfTrimestral2021SeguimientoAusteridaDelGasto
4°InFinalTrimestral2020SegAusteridadGastoDANE- FONDANE 
1erInfSeguimientoAcuerdoDeGestión2020y2021 final radicado
2°InFinalSegSemestral2020aEKOGUI DANE-FONDANE
2doInfSegIndicadores_Final_2020   Rad_20211400007703
Aclaración2doInfSegIndicadores2020Dic (1)
Alcance_InfSeg SINERGIAoct-dic2020_ Rad_20211400006503
Informe_seguimiento_CHIP_IV Trimestre_2020  Rad_20211400006923 
</t>
  </si>
  <si>
    <t>La OCI realizó 2 talleres asi: (21 de mayo de 2021 sensibilización de autocontrol y 10 de junio de 2021 el taller autocontrol como la clave  del control interno organizacional)</t>
  </si>
  <si>
    <t>PAI_OAJ_1</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</si>
  <si>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</si>
  <si>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</si>
  <si>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Un (1) proceso de acompañamiento jurídico al DANE a nivel Central y a las Sedes, para el fortalecimiento de las buenas prácticas en la prevención del daño antijurídico, realizado</t>
  </si>
  <si>
    <t>PAI_OAJ_1.1</t>
  </si>
  <si>
    <t>Un (1) plan de trabajo elaborado</t>
  </si>
  <si>
    <t>Se adelantaron las siguientes actividades
- Elaboración del plan de trabajo.
- Aprobación del plan de trabajo por parte del Comité Directivo</t>
  </si>
  <si>
    <t>PAI_OAJ_1.2</t>
  </si>
  <si>
    <t>Diez (10) mesas de contexto con cada una de las direcciones territoriales y sedes de mayor litigiosidad, realizadas</t>
  </si>
  <si>
    <t>PAI_OAJ_1.3</t>
  </si>
  <si>
    <t>Tres (3) mesas de trabajo con las áreas del nivel central, realizadas</t>
  </si>
  <si>
    <t>PAI_OAJ_1.4</t>
  </si>
  <si>
    <t>Diez (10) mesas de seguimiento con cada una de las direcciones territoriales y sedes de mayor litigiosidad, realizadas</t>
  </si>
  <si>
    <t>PAI_OAJ_1.5</t>
  </si>
  <si>
    <t>Tres (3) mesas de seguimiento a los indicadores de resultado de la Política de Prevención del daño antijurídico -PPDA, realizadas</t>
  </si>
  <si>
    <t xml:space="preserve">Respecto al seguimiento de los indicadores de resultado de la Política de Prevención del daño antijurídico -PPDA, se remitió mediante correo electrónico a la Agencia Nacional de Defensa Jurídica del Estado, un informe en el que se referencia el cumplimiento de los cinco indicadores propuestos </t>
  </si>
  <si>
    <t>PAI_OAJ_1.6</t>
  </si>
  <si>
    <t>Un (1) informe final del resultado del proceso de acompañamiento jurídico, elaborado</t>
  </si>
  <si>
    <t>PAI_OAJ_2</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</si>
  <si>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</si>
  <si>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Dos (2)  jornadas de socialización a las sedes del DANE para la aplicación del procedimiento administrativo sancionatorio a fuentes renuentes, cuando haya lugar, realizadas.</t>
  </si>
  <si>
    <t>PAI_OAJ_2.1</t>
  </si>
  <si>
    <t xml:space="preserve">Se adelantó la siguiente actividad
- Elaboración del plan de trabajo.
</t>
  </si>
  <si>
    <t>PAI_OAJ_2.2</t>
  </si>
  <si>
    <t>Dos (2) jornadas de socialización del procedimiento administrativo sancionatorio, realizadas</t>
  </si>
  <si>
    <t>PAI_OAJ_3</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</si>
  <si>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</si>
  <si>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Una (1) estrategia para el fortalecimiento de la gestión contractual de convenios, contratos interadministrativos y acuerdos interinstitucionales, implementada</t>
  </si>
  <si>
    <t>PAI_OAJ_3.1</t>
  </si>
  <si>
    <t>Un (1) documento con la revisión y análisis de la documentación elaborado</t>
  </si>
  <si>
    <t>Se llevaron a cabo reuniones internas con el equipo de convenios de la OAJ con el fin de elaborar el documento diagnóstico de la documentación de convenios y contratos  interadministrativos y acuerdos interinstitucionales</t>
  </si>
  <si>
    <t>PAI_OAJ_3.2</t>
  </si>
  <si>
    <t>Un (1) plan de trabajo con la información de la documentación a actualizar definido</t>
  </si>
  <si>
    <t>31/06/2021</t>
  </si>
  <si>
    <t>PAI_OAJ_3.3</t>
  </si>
  <si>
    <t>Un (1) proceso de elaboración y/o actualización documental oficializado</t>
  </si>
  <si>
    <t>PAI_OAJ_3.4</t>
  </si>
  <si>
    <t>Una (1) socialización de la documentación actualizada</t>
  </si>
  <si>
    <t>PAI_OAJ_4</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</si>
  <si>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</si>
  <si>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Una (1) estrategia para unificar la normativa de la entidad, implementada</t>
  </si>
  <si>
    <t>PAI_OAJ_4.1</t>
  </si>
  <si>
    <t>PAI_OAJ_4.2</t>
  </si>
  <si>
    <t>Tres (3) mesas de trabajo con las áreas involucradas, realizadas</t>
  </si>
  <si>
    <t>PAI_OAJ_4.3</t>
  </si>
  <si>
    <t>Un (1) procedimiento que establezca las directrices para la organización y publicación de la normatividad, publicado</t>
  </si>
  <si>
    <t>PAI_OAJ_5</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</si>
  <si>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</si>
  <si>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Una (1) fase para establecer los lineamientos de funcionamiento del Subcomité de Reserva Estadística creado mediante la Resolución 2251 del 24 de diciembre de 2019, actualizado</t>
  </si>
  <si>
    <t>PAI_OAJ_5.1</t>
  </si>
  <si>
    <t>Un (1) documento diagnóstico preliminar  de los componentes de la reglamentación, elaborado</t>
  </si>
  <si>
    <t>Elaboración del documento diagnóstico preliminar  de los componentes de la reglamentación</t>
  </si>
  <si>
    <t>PAI_OAJ_5.2</t>
  </si>
  <si>
    <t>Un (1) documento preliminar que contenga los componentes principales de la reglamentación, elaborado</t>
  </si>
  <si>
    <t>31/09/2021</t>
  </si>
  <si>
    <t>Elaboración del documento preliminar  que contien los componentes principales de la reglamentación</t>
  </si>
  <si>
    <t>PAI_OAJ_5.3</t>
  </si>
  <si>
    <t>Un (1) documento que contenga el reglamento de funcionamiento del Subcomité de Reserva Estadística, publicado</t>
  </si>
  <si>
    <t>Durante el primer trimestre 2021, el equipo de Representación Legal de la Oficina Asesora Jurídica, elaboró el plan de trabajo que se adelantará para el desarrollo de la meta.</t>
  </si>
  <si>
    <t>Durante el primer trimestre 2021, se llevaron a cabo reuniones internas con el equipo de convenios de la Oficina Asesora Jurídica, con el fin de elaborar el documento diagnóstico de la documentación de convenios, contratos y acuerdos interinstitucionales, al cual hace referencia el primer hito de la meta. Respecto al desarrollo de la estrategia para el fortalecimiento de la gestión contractual se realizará la actualización y generación de documentos inherentes al proceso de apoyo contractual adelantado por la Oficina Asesora Jur ídica, mediente este trabajo se obtendrá como resultado que toda la documentación del proceso esté publicada y al alcance de las áreas del DANE para su consulta, y a su vez sirva para el desarrollo de las actividades propias del proceso.</t>
  </si>
  <si>
    <t xml:space="preserve">Durante el primer trimestre 2021, se llevaron a cabo reuniones internas con el equipo de normativa con el fin de elaborar el plan de trabajo con las actividades a realizarse para el cumplimiento de la meta. Como resultado del trabajo realizado y para el cumplimiento de la meta se entregará un procedimiento que consolida la estrategia para la unificar la normatividad de la entidad. </t>
  </si>
  <si>
    <t xml:space="preserve">Construcción del documento diagnóstico preliminar  de los componentes de la reglamentación. La reglamentación consiste en  establecer el funcionamiento del subcomite de reserva estadística  regulado mediante la  Resolución 2251 de 2019. Solo se cuenta con una fase la cual finaliza con el  reglamento de funcionamiento del Subcomité </t>
  </si>
  <si>
    <t>Se realizó un requerimiento a la Oficina de sistemas para dar continuidad a la implementación del Sistema de Liquidación
de Sentencias - Mecanismo establecido en el Plan de Acción de la Política de Prevención del
Daño Antijurídico DANE/FONDANE 2020 – 2021.</t>
  </si>
  <si>
    <t xml:space="preserve">Se elaborò el plan de trabajo con la información de la documentación de convenios contratos y acuerdos interinstitucionales </t>
  </si>
  <si>
    <t>Durante el II trimestre se revisaron seis (6) documentos definidos en el plan de trabajo</t>
  </si>
  <si>
    <t xml:space="preserve">Se cuenta con el documento que define el reglamento para votacion en el Subcomité de Aseguramiento de la Reserva Estadística </t>
  </si>
  <si>
    <t>Con el fin de dar cumplimiento a los hitos establecidos en la meta, se realizaron ajustes en las fechas de realizaciòn de los mismos; de igual manera se estableció un cronograma con las fechas de desarrollo de las mesas</t>
  </si>
  <si>
    <t>Gestón Jurídica - GJU</t>
  </si>
  <si>
    <t>Con el fin de dar cumplimiento a la meta ajustó el nombre de la misma y se ajustaron los hitos; de igual manera se estableció un cronograma con las fechas de desarrollo de las jornadas de socialización</t>
  </si>
  <si>
    <t>Se adentaron reuniones internas con el equipo de abogados de convenios con el fin de realizar la revisiòn y los ajustes de la documentación</t>
  </si>
  <si>
    <t>Se solicitó informaciòn a la diferentes Direcciones Tècnicas, Oficinas Asesoras, Àreas del Dane y Direcciones Territoriales sobre las normas de carácter general expedidas</t>
  </si>
  <si>
    <t>Se adelantó el primer documento con la información relacioada al reglamento de votaciòn</t>
  </si>
  <si>
    <t>PAI_OSIS_1</t>
  </si>
  <si>
    <t>Los Servicios de intercambio de información e interoperabilidad a través de tecnologías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</si>
  <si>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 xml:space="preserve">Plan Estratégico de Tecnologías de la Información y las Comunicaciones </t>
  </si>
  <si>
    <t>11.   Gobierno Digital</t>
  </si>
  <si>
    <t>Un (1) grupo de gestión de datos para el fortalecimiento del Gobierno de Datos en la Entidad prestando servicios tecnológicos, implementado</t>
  </si>
  <si>
    <t>PAI_OSIS_1.1</t>
  </si>
  <si>
    <t>31/12/2021</t>
  </si>
  <si>
    <t>Se inició la implementación de un (1) servicio de   intercambio de información e interoperabilidad documentándose la especificación de requerimientos y el modelo de datos.</t>
  </si>
  <si>
    <t>PAI_OSIS_1.2</t>
  </si>
  <si>
    <t>Corresponde al avance en la implementación del Lago de dato On Premise y Lago de datos en la nube, desde la definición de las arquitectura de solución. Así como, la atención brindada a los requerimientos de almacenamiento, custodia, automatización y disposición de la información para las Operaciones Estadísticas.</t>
  </si>
  <si>
    <t>PAI_OSIS_2</t>
  </si>
  <si>
    <t>Los sistemas de información y aplicativos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</si>
  <si>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Dos (2) sistemas de información para el Censo Económico, soportados y mantenidos (SI y OE)</t>
  </si>
  <si>
    <t>PAI_OSIS_2.1</t>
  </si>
  <si>
    <t>Un (1) grupo de sistemas de información, aplicativos, componentes y módulos implementados para dar soporte y mantenimiento al Censo Económico</t>
  </si>
  <si>
    <t>Se brindó el soporte al aplicativo de captura del conteo de unidades del censo económico</t>
  </si>
  <si>
    <t>PAI_OSIS_2.2</t>
  </si>
  <si>
    <t>Aplicativos de recolección de acuerdo al documento de diseño metodológico, implementados</t>
  </si>
  <si>
    <t>Se desarrolló el aplicativo de captura del conteo de unidades del censo económico</t>
  </si>
  <si>
    <t>PAI_OSIS_2.3</t>
  </si>
  <si>
    <t>Aplicativos conexos (sistema de monitoreo, aplicativo de transporte) de acuerdo al documento de diseño metodológico, implementados</t>
  </si>
  <si>
    <t>Se desarrolló el aplicativo de monitoreo del conteo de unidades del censo económico, se actualizó el sistema de transporte</t>
  </si>
  <si>
    <t>PAI_OSIS_3</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</si>
  <si>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</si>
  <si>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PAI_OSIS_3.1</t>
  </si>
  <si>
    <t>Diez (10) servicios tecnológicos soportados</t>
  </si>
  <si>
    <t xml:space="preserve">
La Oficina de Sistemas a través del  GIT realizó las siguientes actividades en sus servicios tecnológicos: 
1. Carpetas compartidas: Ampliacion de capacidad de almacenamiento con la reciente adquisición de cómputo y almacenamiento
2. Red: Renovacion de swtiches de piso en Dane Central
3. Correo electrónico:
 Avance de la migracion a office 365 hasta el 90%, el 10% faltante está sujeto a revisión y aprobación para migración, o depuración.
4. Cuenta de usuario: Creación de matríz de política y ajustes al proceso GTE
5. Dispositivos móviles de captura (DMC): Para los nuevos dispositivos esta en construccion al 80% el procedimiento de alistamiento DMC.
6. Equipos de cómputo: Puesta en funcionamiento de equipos de escritorio recientemente adquiridos con los lineamientos de vinculación a red DANE.
7. Sitios web: Ajustes a capacidad de procesamiento del sitio web Dane con la reciente adquisición de cómputo y almacenamiento.
8. VPN: Ampliación de la capacidad en la navegacion haciendo uso de la VPN Dane.
9. Wifi: Ajustes a la red segura para funcionarios Dane
10. Proxy: Creación de matríz de políticas y perfilamiento para navegacion segura
11. Elaboración de documentos y contratación del servicio de conectividad a nivel nacional.
12.  Elaboración de documentos para la renovación anual y soporte del licenciamiento Oracle de la Entidad.
13. Elaboración de documentos para contratar la actualización de software de gestión, parches de seguridad, disponibilidad, funcionalidad y administración centralizada de los equipos DMC y el soporte y garantía extendida de software de sistema operativo de las DMC.
14. Estudio de mercado y generación de documentos para el proceso de contratación
 del servico de custodia externa de medios magnéticos.</t>
  </si>
  <si>
    <t>PAI_OSIS_3.2</t>
  </si>
  <si>
    <t>Dos (2) servicios tecnológicos renovados y soportados (solución core y seguridad informática)</t>
  </si>
  <si>
    <t xml:space="preserve">
La Oficina de Sistemas a través del  GIT realizó las siguientes actividades frente a seguridad informática y solución core: 
1. Coordinó mesas de trabajo con los fabricantes de componentes activos de red para tomar prácticas de la industria en materia de seguridad informática y al mismo tiempo implementarla en la actual red LAN.  
2. Adelantó  la construcción del documento de especificaciones técnicas de la nueva solución de core.</t>
  </si>
  <si>
    <t>PAI_OSIS_4</t>
  </si>
  <si>
    <t xml:space="preserve">Dos  (2)  nuevos sistemas de información críticos para  las encuestasEncuesta Anual de Comercio - EAC y la Encuesta Anual de Servicios - EAS, implementados para pruebas  y un (1) servicio para la gestión de la contratación, implementado  </t>
  </si>
  <si>
    <t>PAI_OSIS_4.1</t>
  </si>
  <si>
    <t>Un (1) nuevo sistema  de la Encuestas Anual de Comercio y  Un (1)  nuevo sistema de la Encuesta Anual de Servicios,  implementados para pruebas.</t>
  </si>
  <si>
    <t xml:space="preserve">La Oficina de Sistemas está a la espera de que se conforme el Grupo Interno de trabajo que definirá el Requerimiento del Sistema de información que reemplazará los aplicativos de las operaciones económicas. </t>
  </si>
  <si>
    <t>PAI_OSIS_4.2</t>
  </si>
  <si>
    <t>Un (1)  sistema de información para gestionar los contratos de prestación de servicios del DANE, implementado</t>
  </si>
  <si>
    <t xml:space="preserve">La Oficina de Sistemas ha realizado reuniones con el proveedor y con el área de contratación para definir el alcance de la solución adquirida y coordinar los detalles de la  implementación por parte del proveedor,  las cuales se han desarrollado a través de la herramienta Teams. </t>
  </si>
  <si>
    <t>La Oficina de Sistemas durante el primer trimestre a través de su GIT implementó un servicio de Intercambio de información e interoperabilidad, a nivel de la definición de las especificaciones técnicas y modelo de datos. Así como, para la definición de las arquitecturas de solución de la infraestructura de lago de datos On Premise y en la nube que soportarán las actividades de almacenamiento, custodia, automatización y disposición de la información para la operaciones estadística y proyectos misionales de la entidad, correspondiente al primer trimestre del 2021.</t>
  </si>
  <si>
    <t xml:space="preserve">La Oficina de Sistemas durante el primer trimestre a través de su GIT realizó el soporte y mantenimiento de los aplicativos de conteo de unidades para el Censo Económico de acuerdo a los requerimientos de los usuarios en campo. </t>
  </si>
  <si>
    <t xml:space="preserve">Durante el primer trimestre de 2021  la Oficina de Sistemas  a través de su GIT realizó la maduración de  la prestación del servicio mediante la mesa de ayuda, adicionalmente implementó la solución de stwiches de piso para mejorar la red local de la entidad  y  realizó la construcción de documentos para la adquisición del nuevo core de datos, todo esto en el marco de  buenas prácticas de operación de TI y  permitiendo la estandarización de  las  plataformas tecnológicas. </t>
  </si>
  <si>
    <t xml:space="preserve">Aún no se ha conformado el Grupo Interno de trabajo que definirá el Requerimiento del Sistema de información que reemplazará los aplicativos de las operaciones económicas. </t>
  </si>
  <si>
    <t xml:space="preserve">La Oficina de Sistemas ha realizado reuniones con el proveedor y se encuentra a la espera del alcance para definir como proceder. </t>
  </si>
  <si>
    <t>Se realizó la implementación del servicio de interoperabilidad de EMA con Geoportales, generandose el correspondiente catálogo de componentes de información.
Se realizó la construcción de los documentos de especificación de requerimientos de interoperabilidad y modelo de datos para SIPSA  y Contaduría General de la Nación.</t>
  </si>
  <si>
    <t>Se implementó el Lago de dato On Premise en ambiente de pruebas y entorno de producción y solicializó resultados al Jefe de la Oficina de Sistemas y GIT de Plataforma Tecnológica, y dió inicio al desarrollo de pilotos. Se realizó la evaluación de proveedores de  Lago de datos en la nube con los resultados de revisión (calculadoras por proveedores (4),  tabla de precios de los servicios, cuadro comparativo desagregado a nivel de cada etapa de la arquitectura del lago de datos en la nube y Concepto técnico para la selección del proveedor). Así como, la atención brindada a los requerimientos de almacenamiento, custodia, automatización y disposición de la información para las Operaciones Estadísticas.</t>
  </si>
  <si>
    <t>Se entrego base consolidada de la base del sistema de Conteo del CE.</t>
  </si>
  <si>
    <t>Se desarrolló y ajustó el aplicativo de Unidades de Apoyo. Se desarrolló el aplicativo en Android del formulario de barrido y puestos móviles.</t>
  </si>
  <si>
    <t>Se ajustó el aplicativo de Codificación Automática código CIIU. Se dio inicio al desarrolló del sistema de Monitoreo.</t>
  </si>
  <si>
    <t>La Oficina de Sistemas a través del  GIT realizó las siguientes actividades en sus servicios tecnológicos:                                  1. Carpetas compartidas: Ampliacion de capacidad de almacenamiento con la reciente adquisición de cómputo y almacenamiento
2. Red: Renovacion de swtiches de piso en Dane Central
3. Correo electrónico:
 Avance de la migracion a office 365 
4. Cuenta de usuario: Creación de matríz de política y ajustes al proceso GTE.
5. Dispositivos móviles de captura (DMC): Para los nuevos dispositivos esta en construccion el procedimiento de alistamiento DMC.
6. Equipos de cómputo: Puesta en funcionamiento de equipos de escritorio recientemente adquiridos con los lineamientos de vinculación a red DANE. Proceso Sumimas
7. Sitios web: Ajustes a capacidad de procesamiento del sitio web Dane con la reciente adquisición de cómputo y almacenamiento
8. VPN: Ampliación de la capacidad en la navegacion haciendo uso de la VPN Dane.
9. Wifi: Ajustes a la red segura para funcionarios Dane.
10.  Elaboración de documentos para la renovación anual y soporte del licenciamiento Oracle de la Entidad.
11. Elaboración de documentos para contratar la actualización de software de gestión, parches de seguridad, disponibilidad, funcionalidad.</t>
  </si>
  <si>
    <t xml:space="preserve">La Oficina de Sistemas a través del  GIT realizó las siguientes actividades frente a  solución core y centro de datos:             1. Construccion de los pliegos para el proceso de Core y Centro de datos. 2 - Aprobacion de compras para salir al proceso de estudios previos    </t>
  </si>
  <si>
    <t>La Oficina de Sistemas dió inicio al levantamiento de requerimientos con los grupos de trabajo para las investigaciones de la Encuestas Anual de Comercio y  del sistema de la Encuesta Anual de Servicios</t>
  </si>
  <si>
    <t xml:space="preserve">Se realizaron reuniones con el proveedor para validar el alcance del módulo, se elaboraron estudios previos y el anexo técnico y se enviaron al área de compras públicas para su respectivo trámite. Esta actividad se realizó con el apoyo del la Secretaría GeneraL. </t>
  </si>
  <si>
    <t>La Oficina de Sistemas durante el segundo trimestre a través de su GIT implementó un servicio de Intercambio de información e interoperabilidad, un catálogo de componentes de información, dos documentos de especificaciones técnicas y modelo de datos. Así como, la implementación del lago de datos On Premise en producción y la selección del proveedor del lago de datos en la nube.  Atendió los requerimientos de almacenamiento, custodia, automatización y disposición de la información para la operaciones estadística y proyectos misionales de la entidad, correspondiente al segundo trimestre del 2021.</t>
  </si>
  <si>
    <t>La Oficina de Sistemas durante el segundo trimestre a través de su GIT realizó la entrega de la base consolidad del sistema de Conteo al grupo de la DIG, se inicio el desarrollo del Sistema de Monitoreo. También se ajustó el aplicativo de Codificación Automática código CIIU.</t>
  </si>
  <si>
    <t xml:space="preserve">Durante el segundo trimestre de 2021  la Oficina de Sistemas  a través de su GIT realizó la  ampliacion de capacidad de almacenamiento con la reciente adquisición de cómputo y almacenamiento,  avance de la migracion a office 365, la puesta en funcionamiento de equipos de escritorio recientemente adquiridos con los lineamientos de vinculación a red DANE, continuó con la implementación de la solución de stwiches  para mejorar la red local de la entidad  y  realizó la construcción de documentos para la adquisición del nuevo core de datos, todo esto en el marco de  buenas prácticas de operación de TI y  permitiendo la estandarización de  las  plataformas tecnológicas. </t>
  </si>
  <si>
    <t xml:space="preserve">  La Oficina de Sistemas a través de su GIT  cumplió con el levantamiento de los requerimientos solicitados para el segundo trimestre de la EAC Y EAS, así mismo, realizó los estudios previos y el anexo ténico para el nuevo módulo de Kactus. </t>
  </si>
  <si>
    <t>PAI_SG_ADMI_1</t>
  </si>
  <si>
    <t>El plan de infraestructura contribuye a mejorar el bienestar de los funcionarios, colaboradores y usuarios del DANE, en atención a las necesidades identificadas y a la misionalidad de la entidad, para el desarrollo de las actividades de manera, cómoda y eficiente.</t>
  </si>
  <si>
    <t>Plan de Tratamiento de Riesgos de Seguridad y Privacidad de la Información</t>
  </si>
  <si>
    <t>Un (1) plan de infraestructura y acondicionamiento de los espacios físicos a nivel nacional para el desarrollo de actividades misionales, ejecutado.</t>
  </si>
  <si>
    <t xml:space="preserve">Proyecto de inversión </t>
  </si>
  <si>
    <t>PAI_SG_ADMI_1.1</t>
  </si>
  <si>
    <t>Una (1) matriz de necesidades de infraestructura finalizada.</t>
  </si>
  <si>
    <t xml:space="preserve">El GIT Infraestructura, en el mes de enero 2021   aprobó la Matriz de Necesidades de Infraestructura la cual consolida lo requerido en materia de mantenimientos recurrentes y adecuaciones a la Infraestructrura a nivel nacional. Esta Matiz se validó en diciembre de 2020 con los Directores Territoriales. La Matriz de Necesidades de Infraestructura 2021 se encuentra terminada  y aprobada en  un 100% </t>
  </si>
  <si>
    <t>PAI_SG_ADMI_1.2</t>
  </si>
  <si>
    <t>Un (1) plan de infraestructura de la vigencia de acuerdo a los recursos asignados, aprobado.</t>
  </si>
  <si>
    <t xml:space="preserve">En el mes de febrero se presentó al Director la propuesta de Plan de Infraestructura de la vigencia teniendo en cuenta que el presupuesto aprobado fue de $ 800.000.000, lo cual no permite cubrir todas las necesidades de infraestructura registradas en la Matriz de Necesidades 2021. El Sr. Director en reunión por Teams el 8 de febrero aprobó el Plan. </t>
  </si>
  <si>
    <t>PAI_SG_ADMI_1.3</t>
  </si>
  <si>
    <t>Dos (2) informes de seguimiento a la ejecución del plan de infraestructura finalizados.</t>
  </si>
  <si>
    <t>Con la aprobación de la Matriz de necesidades de Infraestructura,2021 se  cumplió al 100% de la meta, mediante la consolidación del documento final de la Matriz,  previa revisión y porterior presentación  a la Coordinadora del  GIT Gestión Administrativa quien aprobó en  reunión del 22 de enero 2021. 
El GIT Infraestructura, construyó el Plan de Infraestructura 2021, el cual fue aprobado por el Sr. Director en reunión del 8 de febrero. Con base en este instrumento  se realizó la distribución de los recursos a las territoriales para dar inicio a las contrataciónes y ejecución al mencionado plan.
 Con corte a marzo 31  de 2021, se han comprometido $93.552.713 en contratos de prestación de servicios y $6.400.000 en viaticos y $10.000.000 mantenimientos locativos motobomba Territorial Pereira, para un total de 109.952.713, de lo cual se han pagado $20.863.044.</t>
  </si>
  <si>
    <t>N/A</t>
  </si>
  <si>
    <t>Con corte a junio 30  de 2021, se han comprometido $289.389.902 distribuidos así: Contratos de prestación de servicios $ 93.552.713 , Viáticos:$6.400.000, Mantenimientos recurrentes a nivelnacional $ 189.437.189.</t>
  </si>
  <si>
    <t>Proceso Gestión de Bienes y Servicios - GBS</t>
  </si>
  <si>
    <t>PAI_SG_FIN_1</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</si>
  <si>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</si>
  <si>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</si>
  <si>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Un (1) proceso de capacitación para el fortalecimiento del talento humano en el proceso de gestión financiera, programado y ejecutado.</t>
  </si>
  <si>
    <t>PAI_SG_FIN_1.1</t>
  </si>
  <si>
    <t>Seis (6) capacitaciones enmarcados en los módulos contables y presupuestales del SIIF Nación, programadas y ejecutadas.</t>
  </si>
  <si>
    <t>PAI_SG_FIN_1.2</t>
  </si>
  <si>
    <t>Seis (6) capacitaciones en temas relacionados con la gestión financiera (caja menor en Direcciones Territoriales y Central, usos presupuestales, vigencias futuras) programadas y ejecutadas.</t>
  </si>
  <si>
    <t xml:space="preserve">Avance esperado para el sigiuente trimestre </t>
  </si>
  <si>
    <t>Se realizaron dos (2) capacitaciones relacionadas con los módulos del SIIF Nación las cuales se dieron de forma virtual y mediante inscripción.</t>
  </si>
  <si>
    <t xml:space="preserve">Se realizaron dos (2) capacitaciones relacionadas con los temas de Facturación Electrónica desarrollada el día 26/04/2021 y una capacitación relacionada con el tema del Cálculo IBC Seguridad Social desarrollada el día 29/04/2021. En las dos capacitaciones mencionadas anteriormente asistieron responsables de las Direcciones Territoriales y DANE Central. </t>
  </si>
  <si>
    <t xml:space="preserve">Se realizaron dos (2) capacitaciones relacionadas con los módulos del SIIF Nación las cuales se dieron de forma virtual y mediante inscripción.
Se realizaron dos (2) capacitaciones relacionadas con los temas de Facturación Electrónica desarrollada el día 26/04/2021 y una capacitación relacionada con el tema del Cálculo IBC Seguridad Social desarrollada el día 29/04/2021. En las dos capacitaciones mencionadas anteriormente asistieron responsables de las Direcciones Territoriales y Dane Cemtral. </t>
  </si>
  <si>
    <t>Gestión Financiera - GFI</t>
  </si>
  <si>
    <t>PAI_SG_CP_1</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</si>
  <si>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</si>
  <si>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</si>
  <si>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 (1) diagnóstico para verificar la pertinencia del manual de contratación, realizado.</t>
  </si>
  <si>
    <t>PAI_SG_CP_1.1</t>
  </si>
  <si>
    <t>Una (1) revisión y análisis de las normas actuales vigentes definida.</t>
  </si>
  <si>
    <t>El AGCP realizó la revisión y el análisis de la normatividad que se encuentra vigente en materia contractual identificando que normatividad fue expedida después del año 2017, fecha en la cual emitió el manual de contratación del DANE y FONDANE</t>
  </si>
  <si>
    <t>PAI_SG_CP_1.2</t>
  </si>
  <si>
    <t>Una (1) revisión y análisis del manual de contratación terminada.</t>
  </si>
  <si>
    <t>PAI_SG_CP_1.3</t>
  </si>
  <si>
    <t xml:space="preserve">Un (1) documento resultante del análisis del manual de contratación efectuado. </t>
  </si>
  <si>
    <t>PAI_SG_CP_2</t>
  </si>
  <si>
    <t>Las actividades de formación en los temas de contratación pública contribuyen al buen desempeño en la aplicación del procedimiento y de esta manera se fortalecen las actividades misionales.</t>
  </si>
  <si>
    <t>Un (1) proceso de socialización para fortalecer los conocimientos en contratación pública, aplicado.</t>
  </si>
  <si>
    <t>PAI_SG_CP_2.1</t>
  </si>
  <si>
    <t>Una (1) fase de investigación sobre temas contractuales, establecida.</t>
  </si>
  <si>
    <t>El AGCP realizó la indagación con las Direcciones Territoriales mediante correo electrónico el día 3 de marzo sobre los temas en los cuales se requería capacitación teniendo en cuenta las falencias y debilidades identificadas en cada Territorial, Se recibío respuesta de 5 Territoriales.</t>
  </si>
  <si>
    <t>PAI_SG_CP_2.2</t>
  </si>
  <si>
    <t>Una (1) etapa de diseño de los contenidos del proceso de socialización, definida.</t>
  </si>
  <si>
    <t>PAI_SG_CP_2.3</t>
  </si>
  <si>
    <t>Un (1) cronograma de actividades, establecido.</t>
  </si>
  <si>
    <t>PAI_SG_CP_2.4</t>
  </si>
  <si>
    <t>Cuatro (4) jornadas de socialización ejecutadas.</t>
  </si>
  <si>
    <t>PAI_SG_CP_2.5</t>
  </si>
  <si>
    <t>Cuatro (4) evaluaciones de socializaciones, realizadas.</t>
  </si>
  <si>
    <t>PAI_SG_GH_1</t>
  </si>
  <si>
    <t>El archivo con  información electrónica de la hoja de vida de cada servidor., aportará al objetivo estratégico de mejorar el bienestar, las competencias y las habilidades de los servidores  en un 1,30%, contribuyendo con la puntuación en el autodiagnóstico del MIPG.</t>
  </si>
  <si>
    <t xml:space="preserve">Plan Estratégico de Talento Humano </t>
  </si>
  <si>
    <t xml:space="preserve">Plan Anticorrupción y de Atención al Ciudadano </t>
  </si>
  <si>
    <t>Un (1) archivo con información electrónica de la hoja de vida de los servidores activos, con los actos administrativos del Proceso de Gestión del Talento Humano - GTH para facilitar gestión de la información, consolidado.</t>
  </si>
  <si>
    <t>PAI_SG_GH_1.1</t>
  </si>
  <si>
    <t>Un (1) listado con la relación de los servidores activos, definido.</t>
  </si>
  <si>
    <t>El GIT Área de Gestión Humana a corte del 31 de enero generá el reporte de servidores activos.</t>
  </si>
  <si>
    <t>PAI_SG_GH_1.2</t>
  </si>
  <si>
    <t>Una (1) carpeta electrónica con la organización, creación y/o renombramiento de los actos administrativos de los servidores activos, originados desde el año 2010 a 2021 en systema78, finalizada.</t>
  </si>
  <si>
    <t xml:space="preserve">El GIT Área de Gestión Humana ha gestionado la organización, creación y/o renombramiento de los actos administrativos de los años 2015 al 2020 y de manera sumúltanea los que se van generando en la vigencia 2021 están siendo actualizados.
Para asegurar que todos los actos administrativos de los años  gestionados se encuentren en el servidor "systema 78", desde el 24 de febrero se inicio la respectiva verificación, comenzado con el año 2015 donde se identificaron 80 actos administrativos que fueron escaneadas para su integración dentro del systema78. 
</t>
  </si>
  <si>
    <t>PAI_SG_GH_1.3</t>
  </si>
  <si>
    <t>Un (1) archivo electrónico con las hojas de vida de los servidores activos, finalizado.</t>
  </si>
  <si>
    <t xml:space="preserve">El GIT Área de Gestión Humana, a partir de la organización, creación y/o renombramiento de los actos administrativos realizado, ha  complementado el archivo electrónico de hojas de vida de los servidores activos e inactivos dispuesto en systema78.
</t>
  </si>
  <si>
    <t>PAI_SG_GH_2</t>
  </si>
  <si>
    <t>El Manual de Funciones y de Competencias actualizado y unificado aportará 1,29% al cumplimiento del objetivo estratégico de mejorar el bienestar, las competencias y las habilidades de los servidores y estará ajustado a las directrices vigentes.</t>
  </si>
  <si>
    <t xml:space="preserve">Plan de Previsión de Recursos Humanos </t>
  </si>
  <si>
    <t>Un (1) manual de funciones y de competencias laborales actualizado y unificado para dar cumplimiento a la normativa vigente y responder a las necesidades de administración de personal, adoptado.</t>
  </si>
  <si>
    <t>PAI_SG_GH_2.1</t>
  </si>
  <si>
    <t>Un (1) manual de funciones y de competencias laborales depurado.</t>
  </si>
  <si>
    <t>El GIT Evaluación y Carrera Administrativa  el 12 de marzo realizó la capacitación a los líderes de proceso y jefes de dependencia sobre la metodología que se tendrá en cuenta para la actualización y/o modificación del Manual Específico de Funciones y Competencias Laborales, proporcionando una caja de herramientas a las dependencias, que orientan el desarrollo de las actividades requeridas.
Así mismo, ha brindado acompañamiento a las diferentes dependencias en el desarrollo del proceso de actualización.</t>
  </si>
  <si>
    <t>PAI_SG_GH_2.2</t>
  </si>
  <si>
    <t>Un (1) manual de funciones y de competencias laborales unificado.</t>
  </si>
  <si>
    <t>PAI_SG_GH_2.3</t>
  </si>
  <si>
    <t>Un (1) documento preliminar del anexo del manual de funciones y de competencias laborales publicado.</t>
  </si>
  <si>
    <t>30/11/2021</t>
  </si>
  <si>
    <t>PAI_SG_GH_2.4</t>
  </si>
  <si>
    <t>Un (1) acto administrativo de adopción del manual de funciones y de competencias laborales firmado.</t>
  </si>
  <si>
    <t>PAI_SG_GH_3</t>
  </si>
  <si>
    <t xml:space="preserve">El proceso de provisión de empleos vacantes  para suplir las necesidades del servicio de acuerdo con el  presupuesto asignado, aportará un 17% en aumentar el resultado de la Dimensión de Talento Humano
del MIPG. </t>
  </si>
  <si>
    <t>Plan Anual de Vacantes</t>
  </si>
  <si>
    <t>Un (1) proceso de provisión de empleos para suplir las necesidades del servicio, de acuerdo con el presupuesto asignado, ejecutado.</t>
  </si>
  <si>
    <t>PAI_SG_GH_3.1</t>
  </si>
  <si>
    <t>Un (1) certificado de disponibilidad presupuestal con los recursos asignados para la provisión de empleos expedido.</t>
  </si>
  <si>
    <t>El GIT de Área de Gestión Humana para dar continuidad al proceso de provisón de encargos para la vigencia 2021, solicitó al Área Financiera los certificados de disponibilidad presupuestal- CDP, los cuales ya se encuentran con la apropiación presupuestal así:
1. Enero 20 para 33 cargos
2. Febrero11 para 48 cargos
3. Marzo 26 para 59 cargos.</t>
  </si>
  <si>
    <t>PAI_SG_GH_3.2</t>
  </si>
  <si>
    <t>Dos (2) informes del estudio de cumplimiento de requisitos de las vacantes objeto de provisión, realizados.</t>
  </si>
  <si>
    <t>PAI_SG_GH_3.3</t>
  </si>
  <si>
    <t>Dos (2) informes de los actos administrativos de nombramientos publicados, realizados.</t>
  </si>
  <si>
    <t>PAI_SG_GH_4</t>
  </si>
  <si>
    <t>Una actualización documental tipo parámetro y registro asociada al sistema de nómina Kactus para facilitar el desempeño del proceso, finalizada.</t>
  </si>
  <si>
    <t>PAI_SG_GH_4.1</t>
  </si>
  <si>
    <t>Un (1) documento con la identificación de los documentos a actualizar elaborado.</t>
  </si>
  <si>
    <t>31/012021</t>
  </si>
  <si>
    <t>El GIT Área de Gestión Humana asumió el compromiso de revisar la documentación total de su Sistema de Gestión de Calidad y determinar cuántos documentos debían ser actualizados o modificados, debido a la entrada en servicio del Sistema de Información de la Planta de Personal, tanto para la gestión de la nómina, como para el autoservicio.
La revisión inicial arrojó un total de 34 documentos que podían haberse visto afectados y debían ser revisados en detalle.</t>
  </si>
  <si>
    <t>PAI_SG_GH_4.2</t>
  </si>
  <si>
    <t>Un (1) cronograma para determinar los tiempos de actualización de la documentación definido.</t>
  </si>
  <si>
    <t xml:space="preserve">El GIT Área de Gestión Humana con el acompañamiento de la Secretaria General definió el cronograma para la revisión y actualización de los 34 documentos identificados,con un  tiempo de ejecución con inicio en marzo y finalización en junio de 2021. </t>
  </si>
  <si>
    <t>PAI_SG_GH_4.3</t>
  </si>
  <si>
    <t>Una (1) actualización documental gestionada en la plataforma institucional para su aprobación, finalizada.</t>
  </si>
  <si>
    <t>PAI_SG_GH_5</t>
  </si>
  <si>
    <t>E.Cambio Cultural</t>
  </si>
  <si>
    <t>El mejoramiento del clima laboral, aportará al objetivo estratégico de cambio cultural en un 7.5%</t>
  </si>
  <si>
    <t>Un (1) programa de mejoramiento del clima laboral para el año 2021, implementado.</t>
  </si>
  <si>
    <t>PAI_SG_GH_5.1</t>
  </si>
  <si>
    <t>Un (1) informe de la evaluación los resultados de la medición de clima laboral identificando los puntos a intervenir, elaborado.</t>
  </si>
  <si>
    <t>DIMPE el 30 de marzo hizo entrega del informe de la Encuesta de Ambiente y Desempeño Institucional - EDI , al GIT Área de Gestión Humana para dar inicio al análisis corrrespondiente que permita identificar los puntos a intervenir.</t>
  </si>
  <si>
    <t>PAI_SG_GH_5.2</t>
  </si>
  <si>
    <t>Un (1) cronograma de actividades para el mejoramiento del clima laboral en el DANE elaborado.</t>
  </si>
  <si>
    <t>PAI_SG_GH_5.3</t>
  </si>
  <si>
    <t>Una (1) implementación de las actividades definidas en los puntos a intervenir, realizada.</t>
  </si>
  <si>
    <t>PAI_SG_GH_5.4</t>
  </si>
  <si>
    <t>Un (1) informe de las actividades ejecutadas, elaborado.</t>
  </si>
  <si>
    <t>El AGCP realizó la revisión y el análisis de la normatividad que se encuentra vigente en materia contractual identificando que normatividad fue expedida después del año 2017, fecha en la cual emitió el manual de contratación del DANE y FONDANE, se identificaron 3 normas especificamente: Ley 1882 de 2018
Ley 2014 de 2019 Ley 2080 de 2021.</t>
  </si>
  <si>
    <t>El AGCP realizó la indagación con las Direcciones Territoriales mediante correo electrónico el día 3 de marzo sobre los temas en los cuales se requería capacitación teniendo en cuenta las falencias y debilidades identificadas en cada Territorial, Se recibío respuesta de 5 Territoriales, con temas en los cuales estabán interesados que se realizá capacitación.</t>
  </si>
  <si>
    <t xml:space="preserve">El GIT Área de Gestión Humana está gestionando la organización, creación y/o renombramiento de los actos administrativos objeto de la meta, con un avance para el primer trimestre de la vigencia 2021 correspondiente a los años 2015 al 2020 y desde el 24 de febrero, inició la verificación física de los actos administrativos frente a los actos admisnistrativos dispuestos dentro de la carpeta electrónica en systema78 como resultado del avance, con el fin de asegurar la disponibilidad electrónica de todos los actos administrativos.
Así mismo, se creó en el systema78 el archivo electrónico con las hojas de vida de los servidores activos, cuya información se ha venido complementando a partir de la organización, creación y/o renombramiento de los actos administrativo gestionados. 
En cumplimiento de los lineamientos establecidos por la entidad relacionados con la seguridad de la información y  teniendo en cuenta las características de la información que se dispone en el servidor "systema78" relacionados con los actos administrativos y el archivo electrónico de las hojas de vida de los servidores, cuya consulta tiene caracter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 </t>
  </si>
  <si>
    <t xml:space="preserve">Con el objteivo de depurar el Manual Específico de Funciones y Competencias Laborales, el GIT Evaluación y Carrera Administrativa definió la etapas que conlleva la actividad y durante el mes de marzo capacitó a los líderes de proceso y jefes de dependencia sobre la metodología a implementar, proporcionando las herramientas e información requeridas, definiendo un acompañamiento permamenente a las dependencias para el desarrollo adecuado del proceso. </t>
  </si>
  <si>
    <t xml:space="preserve">Entre los meses de enero y marzo de la presente vigencia, el GIT Área de Gestión Humana tramitó ante el Área Financiera la soliictud del certificado de disponibilidad presupuestal con los recursos asignados para la provisión de empleos, obteniendo la certificación de gastos de personal que ampara la provisión para 140 cargos. </t>
  </si>
  <si>
    <t xml:space="preserve">El GIT Área de Gestión Humana con el acompañamiento de la Secretaria General durante marzo de 2021 realizó la revisión de 18 de los 34 documentos identificados con la necesidad de ser actualizados y/o modificados con la entrada en servicio del Sistema de Información de la Planta de Personal - Kactus, tanto para la gestión de la nómina, como para el autoservicio.una relación.
Como resultado de esta gestión se actualizaron en la plataforma  institucional debidamente aprobados los siguientes documentos:
1. Procedimiento Situaciones administrativas que no generan novedades en nóminaGTH-070-PDT-008:
2. Formato Concertación tiempo laboral adicional por necesidad de servicioGTH-070-PDT-003-f-002 
3. Control de cumplimiento de jornada laboral, horario laboral y solicitud de permisos GTH-070-PDT-003)
</t>
  </si>
  <si>
    <t>El 30 de marzo de 2021 se recibió por parte del DIMPE  el informe con los resultados de la encuesta sobre Ambiente y Desempeño Institucional - EDI con desagregaciones,  información es base para poder realizar  informe de la evaluación los resultados de la medición de clima laboral identificando los puntos a intervenir que se debe entregar en el mes de abril.</t>
  </si>
  <si>
    <t xml:space="preserve">El AGCP realizó la revisión total de la normatividad que se encuentra vigente en materia contractual  identificando las normas que ya no se encuentran vigentes dentro del Manual de Contratación vigente de la Entidad  </t>
  </si>
  <si>
    <t>Se efectuó la revisión  del manual de contratación en su totalidad y se efectuaron las recomendaciones pertinentes para el manual en materia de contratación.</t>
  </si>
  <si>
    <t>Una vez recibida la información por parte de la Direcciones Territoriales se procedio a establecer los temas en los que serian capacitados los funcionarios y contratistas</t>
  </si>
  <si>
    <t xml:space="preserve">El GIT Área de Gestión Humana ha gestionado y completado durante el segundo trimestre de 2021  la organización, creación y/o renombramiento de los actos administrativos de los años 2015 al 2020  y de manera simultánea, se están integrando al archivo los actos administrativos correspondientes a la vigencia 2021. </t>
  </si>
  <si>
    <t xml:space="preserve">El GIT Área de Gestión Humana, a partir de la organización, creación y/o renombramiento de los actos administrativos  de los años 2015 al 2020,  durante el segundo trimestre del 2021 continúa complementando el archivo electrónico de hojas de vida de los servidores activos e inactivos, información que se encuentra dispuesta en systema78 y sobre la cual se ha solicitado al la Oficina de Sistemas mejorar la capacidad de éste servidor. </t>
  </si>
  <si>
    <t>A partir de la información reportada por cada dependencia mediante el formulario de Microsoft Forms habilitado,  el GIT Evaluación y Carrera Administrativa realizó la revisión y validación técnica de acuerdo con los parámetros establecidos por el DAFP respecto a la modificación y/o actualización del  Manual Específico de Funciones y Competencias Laborales
Así mismo, durante el mes de junio se procedió a la consolidación de  la información en un solo documento</t>
  </si>
  <si>
    <t>A partir de los CDP aprobados por el Área Financiera entre enero y marzo de 2021 el GIT Área de Gestión Humana ha dado  continuidad al proceso de provisión de encargos durante el segundo trimestre de 2021 y de manera adicional solicitó la expedición de un CDP durante el mes de mayo con un total de 24 cargos.</t>
  </si>
  <si>
    <t>El GIT Evaluación y Carrera Administrativa con corte al 30 de junio realizó la provisión de 98 empleos vacantes, los cuales fueron publicados en la intranet institucional junto con su respectivo estudio técnico.</t>
  </si>
  <si>
    <t>Con corte al 30 de junio el GIT de Evaluación y Carrera Administrativa ha posesionado  un total de 100  servidores en el 2021</t>
  </si>
  <si>
    <t>El GIT Área de Gestión Humana con el acompañamiento de la Secretaria General actualizó a junio de 2021 los documentos relacionados con el Sistema de Información de la Planta de Personal - Kactus, tanto para la gestión de la nómina, como para el autoservicio. 
La actualización documental contró con la  revisión previa de 34 documentos  que implicó la validación de los documentos tipo parámetro de la relación..</t>
  </si>
  <si>
    <t>En el mes de abril, el Área de Gestión Humana consolidó el informe de la evaluación de los resultados de la medición del clima laboral  y se identificaron los campos que se deben intervenir para el fortalecimiento de éste.</t>
  </si>
  <si>
    <t>A partir del informe de evaluación de los resultados de la medición del clima laboral y la definición de los campos de intervención, en el mes de mayo, el Área de Gestión Humana concertó las actividades a desarrollar para el fortalecimiento del clima laboral, las cuales se consolidaron en un cronograma que especifica las actividades y productos a desarrollar.</t>
  </si>
  <si>
    <t>A partir del cronograma consolidado en el mes de junio, el Área de Gestión Humana realizó el primer seguimiento a la ejecución y se consolidaron las evidencias de las actividades y productos adelantados con corte del 30 de junio. Se avanzó en las actividades de bienestar, capacitación y de difusión programadas, por lo tanto, se concluye que el cronograma se está cumpliendo de acuerdo con los tiempos establecidos.</t>
  </si>
  <si>
    <t>El AGCP esta comprometido con la revisión  y el análisis de la normatividad respecto del manual de contratacion que actualmente se encuetra vigente en el DANE  y FONDANE, cuyo objeto es ta enfocado a establecer los items que deben ser ajustados de dicho manual</t>
  </si>
  <si>
    <t>Gestión Contractual - GCO</t>
  </si>
  <si>
    <t>Con el fin de que los funcionarios y contratistas del Area de Gestión de Compras Públicas se encuentren actualizados en temas ralacionados con normatividad de contratación se diseña un plan de capacitaciones para la entidad, el cual sera socializado en el segundo semestre de la vigencia del 2021</t>
  </si>
  <si>
    <t>El GIT Área de Gestión Humana está gestionando la organización, creación y/o renombramiento de los actos administrativos objeto de la meta, realizando la verificación física de los actos administrativos frente a los actos administrativos dispuestos dentro de la carpeta electrónica en systema78, con el fin de asegurar su disponibilidad electrónica.
 El avance global a corte de junio 30 relaciona la gestión de los años 2010 al 2015 finalizada.
Así mismo, se continúa complementando en el systema78 el archivo electrónico con las hojas de vida de los servidores activos a partir de la organización, creación y/o renombramiento de los actos administrativo gestionados.
En cumplimiento de los lineamientos establecidos por la entidad relacionados con la seguridad de la información y teniendo en cuenta las características de la información que se dispone en el servidor "systema78" relacionados con los actos administrativos y el archivo electrónico de las hojas de vida de los servidores, cuya consulta tiene carácter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t>
  </si>
  <si>
    <t>El GIT Área de Gestión Humana entregó el 30 de junio fisicamente en el despacho del Director  para su revisión y firma el proyecto de resolución: Por la cual se adopta el Manual Específico de Funciones y de Competencias Laborales -MEFCL de la planta de personal del Departamento Administrativo Nacional de Estadística DANE y documento de Metodología y Justificación Técnica de la Actualización del Manual Específico de Funciones y Competencias Laborales del DANE y está  preparando lo requerido para  hacer entrega a la Dirección del Departamento del proyecto de Manual Especíifico de Funciones y Competencias Laborales,
Una vez surtido el trámite de revisión y ajustes a que haya lugar por parte de la Dirección, se procede con las gestiones de socialización a través de  la intranet institiucional.</t>
  </si>
  <si>
    <t>Durante lo corrido de la vigencia 2021 y a partir de los CDP aprobados por el Área Financiera,  el GIT de Evaluacion y Carrera Administrativa ha gestionado la provisión transitoria de 100 empleos, supliendo así las necesidades del servicio.</t>
  </si>
  <si>
    <t>El GIT Área de Gestión Humana con el acompañamiento de la Secretaria General gestionó a corte del 30 de junio de 2021 la actualización de los documentos relacionados con el Sistema de Información de la Planta de Personal - Kactus, tanto para la gestión de la nómina, como para el autoservicio. 
Todos los documentos fueron revisados por los equipos responsables para lo cual fue necesario hacer reuniones con cada uno de ellos obteniendo como resultado la actualización, dentro de la plataforma institucional, de aquellos que han sufrido modificaciones en razón a la entrada en servicio del sistema Kactus y el autoservicio del Sistema de Información de la Planta de Personal.
Como resultado de esta gestión se revisaron, verificaron y actualizaron en la plataforma institucional ocho (8) procedimientos, dos (2) guías, dos (2) instructivos y diecinueve (19) documentos tipo registro con implicaciones en Kactus y se eliminaron tres 3 documentos. 
De esta manera, se finaliza la actualización documental tipo parámetro y registro asociado a la implementación del  sistema de nómina Kactus para facilitar así el desempeño del proceso.</t>
  </si>
  <si>
    <t>Al 30 de junio, el Área de Gestión Humana realizó la evaluación de los resultados de la medición del clima laboral, definió los campos que requieren intervención y generó un cronograma de actividades para su fortalecimiento. Así mismo, se inició el seguimiento al desarrollo y cumplimiento de las actividades definidas en el cronograma. Se ratifica que se están cumpliendo las actividades y productos programados acorde con los tiempos definidos</t>
  </si>
  <si>
    <t>PAI_SUBDI_1</t>
  </si>
  <si>
    <t>El aporte con las viajes que realizará el Director y el Subdirector a las sedes y Subsedes del DANE, para la modernización de la gestión será del 100%, dado que en cada visita, podrán tener un acercamiento  directo con las necesidades y oportunidades de mejora que se presente en cada territorial. Directo</t>
  </si>
  <si>
    <t>Un (1) programa que fortalezca las capacidades de las territoriales y la relación entre el DANE Central y las sedes de la Entidad, gestionado</t>
  </si>
  <si>
    <t>PAI_SUBDI_1.1</t>
  </si>
  <si>
    <t>Un (1) plan de acción del programa de fortalecimiento de las capacidades territoriales para el 2021, formulado</t>
  </si>
  <si>
    <t>Hasta el momento, no se ha formulado el plan de acción 2021 del programa de fortalecimiento. Por supuesto, se han adelantado acciones coordinadas entre las dependencias del DANE central y las Direcciones Territoriales, pero no se han aterrizado en un documento que unifique el plan de acción.</t>
  </si>
  <si>
    <t>PAI_SUBDI_1.2</t>
  </si>
  <si>
    <t>Registro de seguimiento al plan de acción de fortalecimiento de las capacidades territoriales</t>
  </si>
  <si>
    <t>El seguimiento que se inició el año pasado ha continuado. No obstante, no se enmarca en un plan de acción.</t>
  </si>
  <si>
    <t>PAI_SUBDI_1.3</t>
  </si>
  <si>
    <t xml:space="preserve">Un (1) propuesta de reconversión de la operación logística del DANE, desarrollada </t>
  </si>
  <si>
    <t>Reportado por logistica</t>
  </si>
  <si>
    <t>PAI_SUBDI_2</t>
  </si>
  <si>
    <t>O. Articular la producción de la información estadística a nivel nacional</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</si>
  <si>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</si>
  <si>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Dos (2) reportes de información para economía naranja y economía circular, publicado</t>
  </si>
  <si>
    <t>PAI_SUBDI_2.1</t>
  </si>
  <si>
    <t>Cuatro (4) mesas de información para cada temática, desarrolladas</t>
  </si>
  <si>
    <t>Se han desarrollado mesas de información con distintas entidades, para economía naranja y economía circular. Los cronogramas de trabajo avanzan con normalidad.</t>
  </si>
  <si>
    <t>PAI_SUBDI_2.2</t>
  </si>
  <si>
    <t>Dos (2) mediciones de los indicadores de las operaciones estad´siticas, acordados en la mesas, realizados</t>
  </si>
  <si>
    <t>Se publicaron las perspectivas del mercado laboral desde el registro estadístico de relaciones laborales (RELAB) para la economía naranja, para el periodo enero-diciembre 2019-2020</t>
  </si>
  <si>
    <t>Se han gestionado de manera coordinada entre las Direcciones Territoriales y las dependencias del DANE Central, acciones que conduzcan a fortalezca sus capacidades y mejorar el conjunto de relaciones entre las partes. Ahora bien, no se han consignado estas actividades en un documento que las presente en el marco de un plan de acción</t>
  </si>
  <si>
    <t>Hasta ahora la planeación que nos conducirá a la publicación de dos reportes por temática, sigue su curso normal</t>
  </si>
  <si>
    <t>Se formuló el plan de acción del programa de fortalecimiento de las capacidades territoriales, para 2021. Por supuesto, recoge lo que se ha hecho en lo corrido del año, pero proyecta las acciones por hacer en lo que queda del año</t>
  </si>
  <si>
    <t>Se ha hecho el seguimiento a las acciones que fortalecen la capacidades territoriales, por sede</t>
  </si>
  <si>
    <t>Tanto para economía circular, como para economía naranja, se han desarrollado con normalidad las Mesas Estadísticas. Estos espacios han estado soportados por constantes reuniones internas.</t>
  </si>
  <si>
    <t>Para el caso de economía naranja, se publicó la revisión de los resultados de la Cuenta Satélite de Cultura y Economía Naranja, como se programó en el calendario de publicaciones del DANE. Así mismo, como complemento a los resultados del RELAB del trimestre pasado, se publicó la nota estadística de las persepectivas de mercado laboral desde el RELAB en la economía naranja. Para el caso de economía circular, en el siguiente trimestre se publicará el tercer reporte de economía circular.</t>
  </si>
  <si>
    <t>Aunque la formulación del plan de acción tomó más tiempo de lo esperado, el propósito de la meta sigue vigente y se cumplirá</t>
  </si>
  <si>
    <t>Esta meta se desarrolla con normalidad, a la luz de la programación de las mesas y publicaciones.</t>
  </si>
  <si>
    <t>PAI_GITLOG_1</t>
  </si>
  <si>
    <t xml:space="preserve"> Ajustar la manera como en el departamento se ejecuta la función operativa  salvaguarda los propósitos y objetivos de cada operación estadística, el modelo y los lineamientos de producción estadística adoptados, la forma de trabajo articulado entre los distintos eslabones, en torno a la cadena de valor completa, y la calidad e integridad en el ejercicio de dicha función operativa. Esta meta aporta al objetivo del plan estratégico PEI_O1 en un 95% para su cumplimiento.</t>
  </si>
  <si>
    <t>Una (1) propuesta para el fortalecimiento de la función operativa diseñada y con implementación iniciada</t>
  </si>
  <si>
    <t>PAI_GITLOG_1.1</t>
  </si>
  <si>
    <t>Una (1) propuesta de fortalecimiento de la función operativa formulada</t>
  </si>
  <si>
    <t xml:space="preserve"> El departamento cuenta con una propuesta de ajuste a la manera como hasta ahora se viene ejerciendo la función operativa, que busca transversalizar dicha función, en el entendido de que las distintas dependencias del departamento tienen responsabilidades frente a la función operativa, complementarias entre sí, que comprenden el empleo de recursos (presupuestales, tecnológicos y humanos) para diseñar, producir y poner al servicio de la recolección y el análisis de la información, los medios necesarios para que ambas cosas ocurran bajo estrictos estándares de calidad. La propuesta define las responsabilidadaes generales de las áreas, la necesaria reconstitución de los equipos de trabajo conforme a las necesidades de la transversalización, medidas para fortalecer la capacidad del nivel central y descentralizado para adelantar la fase de recolección y acopio y la creación de figuras e instrumentos para la garantía de la calidad.</t>
  </si>
  <si>
    <t>PAI_GITLOG_1.5</t>
  </si>
  <si>
    <t>Un (1) operativo de recuento para actualizar las manzanas e incorporar la información en el marco geoestadístico nacional, finalizado</t>
  </si>
  <si>
    <t>PAI_GITLOG_1.6</t>
  </si>
  <si>
    <t>Una (1) módulo de novedades (muestrales, cartográficas y operativas) en el aplicativo de recuento, implementado</t>
  </si>
  <si>
    <t>PAI_GITLOG_1.7</t>
  </si>
  <si>
    <t xml:space="preserve">Un (1) rediseño (pre-operativo, operativo y pos operativo) para la recolección Encuesta Ambiental Industrial, elaborado </t>
  </si>
  <si>
    <t>PAI_GITLOG_2</t>
  </si>
  <si>
    <t xml:space="preserve"> El proposito del ajuste al procedimiento es garantizar que seleccionamos el mejor capital humano disponible dado que es el primer estabón de la garantía de calidad en la producción estadística.</t>
  </si>
  <si>
    <t>Un (1) ajuste al proceso de selección de las personas relacionadas con la función operativa implementada</t>
  </si>
  <si>
    <t>PAI_GITLOG_2.1</t>
  </si>
  <si>
    <t>Una (1) revisión del actual procedimiento de selección del personal operativo para detectar restricciones que deban regularse, realizada</t>
  </si>
  <si>
    <t>30/02/2021</t>
  </si>
  <si>
    <t>Se adelantó la revisión y se produjo una propuesta de ajuste.</t>
  </si>
  <si>
    <t>PAI_GITLOG_2.2</t>
  </si>
  <si>
    <t>Un (1) ajuste al procedimiento de selección del personal operativo, formulado</t>
  </si>
  <si>
    <t>La propuesta se sometió a consideración de las distintas dependencias del departamento y de las Direcciones Territoriales y se ajustó conforme a las observaciones recibidas.</t>
  </si>
  <si>
    <t>PAI_GITLOG_2.3</t>
  </si>
  <si>
    <t>Un (1) ajuste al proceso de selección de las personas relacionadas con la función operativa publicada</t>
  </si>
  <si>
    <t>PAI_GITLOG_2.4</t>
  </si>
  <si>
    <t>Un (1) ajuste al proceso de selección de las personas relacionadas con la función operativa socializada</t>
  </si>
  <si>
    <t>PAI_GITLOG_3</t>
  </si>
  <si>
    <t xml:space="preserve">Un sistema de costeo óptimo, contribuye a la mejor producción de información, pues mejora la exactitud y precisión. Esta meta aporta al objetivo del plan estratégico PEI_O1 en un 90% para su cumplimiento. </t>
  </si>
  <si>
    <t>Un (1) sistema de costeo de las operaciones estadísticas, operando</t>
  </si>
  <si>
    <t>PAI_GITLOG_3.1</t>
  </si>
  <si>
    <t>Un (1) análisis de crítica sobre la estructura óptima de costos, como derivada de los procesos de la función de producción, realizado</t>
  </si>
  <si>
    <t>Para el análisis de crítica sobre la estructura óptima de costos, se realiza el desglose de cada uno de los presupuestos establecidos en las operaciones estadisticas y se envian por correo electronico las observaciónes que se detallan de cada una.</t>
  </si>
  <si>
    <t>PAI_GITLOG_3.2</t>
  </si>
  <si>
    <t>Una (1) fase de implementación del sistema de costeo, a partir del análisis de crítica, iniciada</t>
  </si>
  <si>
    <t>PAI_GITLOG_3.3</t>
  </si>
  <si>
    <t>Un (1) presupuesto de la Encuesta Ambiental Industrial utilizando la herramienta de costeo para el componente operativo, establecido.</t>
  </si>
  <si>
    <t>PAI_GITLOG_3.4</t>
  </si>
  <si>
    <t>Un (1) costeo de las rutas que utilizan herramientas geoespaciales en las operaciones estadísticas ECSC, ECP, GEIH Paralela y ECV, establecido</t>
  </si>
  <si>
    <t>PAI_GITLOG_4</t>
  </si>
  <si>
    <t>El sistema de monitoreo y control contribuye directamente al objetivo específico, dado que permite llevar un control más oportuno y organizado del avance en los operativos de recolección. Esta meta aporta al objetivo PEI_O1 del plan estratégico en un 90% para su cumplimiento.</t>
  </si>
  <si>
    <t>Un (1) sistema de monitoreo y control, extendido a más operaciones estadísticas.</t>
  </si>
  <si>
    <t>PAI_GITLOG_4.1</t>
  </si>
  <si>
    <t>Un (1) diagnóstico de las investigaciones del 2021 a las que se puede extender el sistema de monitoreo y control realizado.</t>
  </si>
  <si>
    <t>Se elabora documento de diagnóstico donde se evaluaron a qué investigaciones se les realizaría el seguimiento a través del sistema de monitoreo y control.</t>
  </si>
  <si>
    <t>PAI_GITLOG_4.2</t>
  </si>
  <si>
    <t>Un (1) informe de pruebas del sistemas de monitoreo y control finalizado.</t>
  </si>
  <si>
    <t>PAI_GITLOG_5</t>
  </si>
  <si>
    <t>La recolección de la paralela GEIH rediseñada garantiza el cumplimiento de una meta innegociable definida por el Comité Directivo y tiene un aporte directo al objetivo estratégico PEI_O1, el cual aporta en un 95% de este objetivo.</t>
  </si>
  <si>
    <t>Un (1) operativo de recolección GEIH Paralela para recoger información que mida  y  caracterice  los  principales  indicadores  de  mercado  laboral,  ingresos y pobreza monetaria  dentro del  marco muestral de censo 2018 iniciado.</t>
  </si>
  <si>
    <t>Prioridades Emergentes</t>
  </si>
  <si>
    <t>PAI_GITLOG_5.1</t>
  </si>
  <si>
    <t>Un (1) diseño de etapa terninado.</t>
  </si>
  <si>
    <t>Se realizó el manual operativo de GEIH Paralela como documento nuevo, con efoque a los procesos de supervisión y recolección de la información dentro del diseño operativo, el cual se puso en marcha desde la primera semana de enero de 2021.</t>
  </si>
  <si>
    <t>PAI_GITLOG_5.2</t>
  </si>
  <si>
    <t>Una (1) etapa de recolección finalizada</t>
  </si>
  <si>
    <t>Se cerró la etapa de enero 2021 conforme al cronograma establecido</t>
  </si>
  <si>
    <t>PAI_GITLOG_5.3</t>
  </si>
  <si>
    <t>Un (1) informe operativo de etapa finalizado.</t>
  </si>
  <si>
    <t>Se realizó presentación con el consolidado del informe operativo con los resultados del I TRIMESTRE, definidos mes a mes por la naturaleza de la operación, dado que mes a mes se generan los resultados del informe operativo hasta diciembre del presente año.</t>
  </si>
  <si>
    <t>PAI_GITLOG_6</t>
  </si>
  <si>
    <t xml:space="preserve">El módulo de novedades de la muestra permite además de  hacer seguimiento a las respuestas de la novedades presentadas en campo, tipificarlas y contribuir a que se dé una respuesta oportuna, brinda el medio de obtención de los indicadores de las operaciones estadísticas necesarias para el mantenimiento y actualización requeridos. </t>
  </si>
  <si>
    <t>Un (1) diseño del módulo incluido en el aplicativo web de recuento para seguimiento a novedades de la muestra implementado</t>
  </si>
  <si>
    <t>PAI_GITLOG_6.1</t>
  </si>
  <si>
    <t>Un (1) informe de pruebas realizado al módulo de novedades del aplicativo web de recuento finalizado.</t>
  </si>
  <si>
    <t>Se realizaron pruebas internas del funcionamiento del aplicativo de novedadesAPP recuento / wed, y se consolida esta información en un documento informe con las observaciones de las sedes.</t>
  </si>
  <si>
    <t>PAI_GITLOG_6.2</t>
  </si>
  <si>
    <t>Un (1) reporte de capacitación a responsables de encuestas sociales sobre el uso del nuevo módulo terminado.</t>
  </si>
  <si>
    <t>Se realizó capacitación al personal de las sedes de las 32 ciudades principales donde se efectuan las operaciones contínuas del 2021  (GEIH, EGIT, ECP, ENUT, ECV, ECSC), se realiza la capacitación a los responsables del recuento en cada ciudad dado que estas operaciones que se realizan a través de entrevistas directas y a hogares, con esta capacitación se da paso a la puesta en marcha de las pruebas correspondientes.</t>
  </si>
  <si>
    <t>PAI_GITLOG_6.3</t>
  </si>
  <si>
    <t>PAI_GITLOG_7</t>
  </si>
  <si>
    <t>La implementación de herramientas de monitoreo, contribuye indirectamente al objetivo de asegurar la calidad estadística en procesos y resultados, dado que permiten el  seguimiento de los procesos que soportan la logística y producción de información.</t>
  </si>
  <si>
    <t>Un (1) diseño del programa de monitoreo del área de logística para la mejora del desempeño operativo implementado</t>
  </si>
  <si>
    <t>PAI_GITLOG_7.1</t>
  </si>
  <si>
    <t>Una (1) redefiniciòn del alcance del programa propuesto en el plan de acción 2020 finalizado</t>
  </si>
  <si>
    <t>Se presentó la propuesta del alcance al programa de control y monitoreo de las actividades enfocadas al subproceso de recolección y acopio que se ejecuta en el Área de Logística y Producción de información, este alcance especifica la sinergia entre la Norma Técnica de la Calidad del Proceso Estadístico (NTC PE 1000:2020) y la resolución 875 de 2019 del DANE el cual define las actividades de seguimiento, evaluación, monitoreo, elaboración y presentación de informes del área. El programa se articula con los planes y acciones de gestión que establece la entidad y adiciona las herramientas de monitorero a los indicadores correspondientes.</t>
  </si>
  <si>
    <t>PAI_GITLOG_7.2</t>
  </si>
  <si>
    <t>Un (1) documento con el procedimiento de la fase de recolección y acopio, con los puntos de control para el establecimiento de indicadores, entregado</t>
  </si>
  <si>
    <t>PAI_GITLOG_7.3</t>
  </si>
  <si>
    <t>Un (1) informe de resultados de prueba de la herramienta de control de indicadores aplicada.</t>
  </si>
  <si>
    <t>PAI_GITLOG_7.4</t>
  </si>
  <si>
    <t>Un (1) diseño del programa de monitoreo para la medición del desempeño operativo entregado.</t>
  </si>
  <si>
    <t>PAI_GITLOG_8</t>
  </si>
  <si>
    <t>Los aplicativos web IPOC, ELIC, FIVI - CHV contribuye directamente con el objetivo de asegurar la calidad estadistica en procesos y resultados porque su proceso cuenta con el rigor y los atributos de relevancia, oportunidad, y principalmente de exactitud y precisión.</t>
  </si>
  <si>
    <t>Documentación de especificaciones de validación y consistencia para aplicativos web IPOC, ELIC, FIVI - CHV, terminada.</t>
  </si>
  <si>
    <t>PAI_GITLOG_8.1</t>
  </si>
  <si>
    <t>Un (1) rediseño del aplicativo de recolección IPOC-módulo cobertura y calidad aplicado</t>
  </si>
  <si>
    <t>Se ejecutaron pruebas en la operación IPOC del aplicativo web con las nuevas variables y se pone en producción el 23 de marzo.
Se realizan pruebas de historias de usuario para ajustar requerimientos del aplicativo IIOC
Se realizan reuniones para ajustar requerimientos de desarrollo al aplicativo de FIVI. Se aprueba la historia de usuario para la funcionalidad de calendario Sistema FIVI</t>
  </si>
  <si>
    <t>PAI_GITLOG_8.2</t>
  </si>
  <si>
    <t>Un (1) rediseño del aplicativo de recolección ELIC - módulo de análisis, validación, cobertura y calidad, finalizado</t>
  </si>
  <si>
    <t xml:space="preserve">No se reporta avance </t>
  </si>
  <si>
    <t>PAI_GITLOG_8.3</t>
  </si>
  <si>
    <t>Diseñar los aplicativos web FIVI-CHV de recolección, análisis, cobertura y calidad.</t>
  </si>
  <si>
    <t>PAI_GITLOG_9</t>
  </si>
  <si>
    <t xml:space="preserve">La operación de IA contribuye directamente con el objetivo de asegurar la calidad estadistica en procesos y resultados porque su proceso cuenta con el rigor y los atributos de relevancia, oportunidad, y principalmente de exactitud y precisión. Esta meta aporta al objetivo PEI_O1 del plan estratégico en un 98% para su cumplimiento.  </t>
  </si>
  <si>
    <t>Un (1) fortalecimiento de la capacidad operativa para ampliar la cobertura de recolección de las operaciones estadísticas, mediante los archivos que den cuenta de la ampliación</t>
  </si>
  <si>
    <t>PAI_GITLOG_9.1</t>
  </si>
  <si>
    <t>Un (1) archivo con la validación y análisis de la consistencia de información  para la inclusión de 34 municipios adicionales en la cobertura de publicación del CEED, entregado</t>
  </si>
  <si>
    <t>PAI_GITLOG_9.2</t>
  </si>
  <si>
    <t>PAI_GITLOG_9.3</t>
  </si>
  <si>
    <t>Un (1) informe con la validación de la información histórica completa, para ampliar la cobertura de  FIVI e inclusión de leasing habitacional.</t>
  </si>
  <si>
    <t>PAI_GITLOG_9.4</t>
  </si>
  <si>
    <t>PAI_GITLOG_10</t>
  </si>
  <si>
    <t>El rediseño y actualización de la canasta en la operación del IPP favorece en la entrega de bases de datos con la calidad exigida para la dimensión de esta operación, garantizando la oportunidad y cobertura necesaria. Esta meta aporta al objetivo PEI_O1 del plan estratégico en un 95% para su cumplimiento.</t>
  </si>
  <si>
    <t>Una (1) ampliación de la canasta del Indice de Precios Promedios y mejorar a la recolección de precios, implementada</t>
  </si>
  <si>
    <t>PAI_GITLOG_10.1</t>
  </si>
  <si>
    <t>Una (1) base de información de Precios Promedio de ciertos artículos de la canasta, entregada</t>
  </si>
  <si>
    <t>PAI_GITLOG_10.2</t>
  </si>
  <si>
    <t>Una (1) base de información con las nuevas fuentes para el fortalecimiento de la canasta a partir de junio de 2021, entregada</t>
  </si>
  <si>
    <t>PAI_GITLOG_11</t>
  </si>
  <si>
    <t>Al realizar el rediseño de la invetigación de ICCV se busca asegurar en el proceso estadístico que los atributos de relevancia, oportunidad, exactitud y precisión, sean garantizados en los datos resultantes. Esta meta aporta al objetivo PEI_O1 del plan estratégico en un 98% para su cumplimiento.</t>
  </si>
  <si>
    <t xml:space="preserve">Un (1) rediseño de la investigación de Indice de Costos de la Construcción de Vivienda - ICCV, finalizado </t>
  </si>
  <si>
    <t>PAI_GITLOG_11.1</t>
  </si>
  <si>
    <t>Una (1) base presupuestal requerida para el rediseño del ICCV, entregada</t>
  </si>
  <si>
    <t>PAI_GITLOG_11.2</t>
  </si>
  <si>
    <t>Un (1) manual de especificaciones con nuevos artículos, entregado</t>
  </si>
  <si>
    <t>PAI_GITLOG_11.3</t>
  </si>
  <si>
    <t>Un (1) operativo de recolección para la nueva canasta ICCV, finalizado</t>
  </si>
  <si>
    <t>PAI_GITLOG_12</t>
  </si>
  <si>
    <t xml:space="preserve">Actualizar la muestra de arrendamientos, mantiene las bases de información de calidad,  con la cobertura y oportunidad requeridas para el alcance del objetivo de la operación. Esta meta aporta al objetivo PEI_O1 del plan estratégico en un 95% para su cumplimiento. </t>
  </si>
  <si>
    <t>Una (1 ) actualización de la muestra de arrendamiento, finalizada</t>
  </si>
  <si>
    <t>PAI_GITLOG_12.1</t>
  </si>
  <si>
    <t>Una (1) base de datos con la actualización y fortalecimiento de la muestra de arrendamientos con la información de Censo de población de 2018</t>
  </si>
  <si>
    <t>PAI_GITLOG_12.2</t>
  </si>
  <si>
    <t>Un (1) operativo de recuento y/o recolección de información de la muestra de arrendamientos, finalizada</t>
  </si>
  <si>
    <t>PAI_GITLOG_13</t>
  </si>
  <si>
    <t>Aporte indirecto</t>
  </si>
  <si>
    <t>Con la implementación de nuevas herramientas de recolección y acopio se buscar garantizar el fortalecimiento de los atributos de calidad para las operaciones estadísticas.</t>
  </si>
  <si>
    <t>Un (1) diseño de la herramienta de acopio , validación y análisis para las operaciones estadísticas de exportaciones e importaciones, finalizado</t>
  </si>
  <si>
    <t>PAI_GITLOG_13.1</t>
  </si>
  <si>
    <t>Un (1) documento con las especificaciones para envío al área de sistemas, entregado</t>
  </si>
  <si>
    <t>PAI_GITLOG_13.2</t>
  </si>
  <si>
    <t>Un (1) documento con el ajuste al diseño de la herramienta de acuerdo a mesas de trabajo con sistemas, entregado</t>
  </si>
  <si>
    <t>PAI_GITLOG_14</t>
  </si>
  <si>
    <t xml:space="preserve">Con la implementación de nuevas herramientas de recolección y acopio se buscar garantizar el fortalecimiento de los atributos de calidad para las operaciones estadísticas. Esta meta aporta al objetivo PEI_O1 del plan estratégico en un 98% para su cumplimiento. </t>
  </si>
  <si>
    <t>Un (1) instrumento de recolección de cargue masivo para precio de venta de cigarrillos y tabaco, implementado</t>
  </si>
  <si>
    <t>PAI_GITLOG_14.1</t>
  </si>
  <si>
    <t>PAI_GITLOG_14.2</t>
  </si>
  <si>
    <t>Un (1) documento con los resultados de las pruebas al instrumento de recolección, entregado</t>
  </si>
  <si>
    <t>PAI_GITLOG_14.3</t>
  </si>
  <si>
    <t>Una (1) base de datos realizada con el instrumento de recolección, entregado</t>
  </si>
  <si>
    <t>PAI_GITLOG_15</t>
  </si>
  <si>
    <t>Con la implementación de nuevas herramientas de recolección y acopio se buscar garantizar el fortalecimiento de los atributos de calidad para las operaciones estadísticas. Esta meta aporta al objetivo PEI_O1 del plan estratégico en un 95% para su cumplimiento.</t>
  </si>
  <si>
    <t xml:space="preserve">Una (1) herramienta de recolección validación y análisis de la Encuesta Anual de Comercio - EAC 2021 , diseñada </t>
  </si>
  <si>
    <t>PAI_GITLOG_15.1</t>
  </si>
  <si>
    <t>PAI_GITLOG_15.2</t>
  </si>
  <si>
    <t>PAI_GITLOG_15.3</t>
  </si>
  <si>
    <t>Un (1) documento con el resultado de las pruebas del diseño de la herramienta, finalizado</t>
  </si>
  <si>
    <t>PAI_GITLOG_16</t>
  </si>
  <si>
    <t>Actualizar o rediseñar las herramientas de recolección y acopio de la información, garantiza que el fortalecimiento de los atributos de calidad estén en constante verificación para su cobertura y oportunidad acorde a los requerido. Esta meta aporta al objetivo PEI_O1 del plan estratégico en un 95% para su cumplimiento.</t>
  </si>
  <si>
    <t>Un (1) rediseño de la herramienta de recolección, validación y análisis de la Encuesta Anual Manufacturera - EAM 2021, finalizada</t>
  </si>
  <si>
    <t>PAI_GITLOG_16.1</t>
  </si>
  <si>
    <t>PAI_GITLOG_16.2</t>
  </si>
  <si>
    <t>PAI_GITLOG_16.3</t>
  </si>
  <si>
    <t>PAI_GITLOG_17</t>
  </si>
  <si>
    <t>Una (1)  herramienta de recolección, validación y análisis de la Encuesta Anual de Servicios - EAS 2021, diseñada</t>
  </si>
  <si>
    <t>PAI_GITLOG_17.1</t>
  </si>
  <si>
    <t>PAI_GITLOG_17.2</t>
  </si>
  <si>
    <t>PAI_GITLOG_17.3</t>
  </si>
  <si>
    <t>PAI_GITLOG_18</t>
  </si>
  <si>
    <t>Actualizar o rediseñar las herramientas de recolección y acopio de la información, garantiza que el fortalecimiento de los atributos de calidad estén en constante verificación para su cobertura y oportunidad acorde a los requerido. Esta meta aporta al objetivo PEI_O1 del plan estratégico en un 90% para su cumplimiento.</t>
  </si>
  <si>
    <t>Un (1) rediseño y mejora al aplicativo de la Encuesta Anual de inversión extranjera y directa, finalizado</t>
  </si>
  <si>
    <t>PAI_GITLOG_18.1</t>
  </si>
  <si>
    <t>Un (1) documento de diseño y desarrollo del aplicativo, entregado</t>
  </si>
  <si>
    <t>PAI_GITLOG_18.2</t>
  </si>
  <si>
    <t>Un (1) documento de pruebas funcionales, entregado</t>
  </si>
  <si>
    <t>PAI_GITLOG_19</t>
  </si>
  <si>
    <t>El rediseño de la muestra de trimestral de agencia de viajes,  favorece en la entrega de bases de datos con la calidad exigida para la dimensión de esta operación, garantizando la oportunidad y cobertura necesaria. Esta meta aporta al objetivo PEI_O1 del plan estratégico en un 98% para su cumplimiento.</t>
  </si>
  <si>
    <t>Un (1) desarrollo del operativo para el rediseño de la Muestra Trimestral de Agencias de viaje - MTA, finalizado</t>
  </si>
  <si>
    <t>PAI_GITLOG_19.1</t>
  </si>
  <si>
    <t>Una  (1) base de datos actualizada , con operativo telefónico de control al directorio, finalizada</t>
  </si>
  <si>
    <t>PAI_GITLOG_19.2</t>
  </si>
  <si>
    <t>Una (1) documentación actualizada del diligenciamiento y crítica para el rediseño de la MTA y del material de aprendizaje y sistema de captura, entregada</t>
  </si>
  <si>
    <t>PAI_GITLOG_19.3</t>
  </si>
  <si>
    <t>Una (1) base de datos del operativo de recolección de la MTA, entregada</t>
  </si>
  <si>
    <t>PAI_GITLOG_20</t>
  </si>
  <si>
    <t>El rediseño de la muestra trimestral de comercio exterior de servicios,  favorece en la entrega de bases de datos con la calidad exigida para la dimensión de esta operación, garantizando la oportunidad y cobertura necesaria. Esta meta aporta al objetivo PEI_O1 del plan estratégico en un 98% para su cumplimiento.</t>
  </si>
  <si>
    <t>Un (1) operativo sintético para el rediseño de la Muestra Trimestral de Comercio Exterior de Servicios MTCES, realizado.</t>
  </si>
  <si>
    <t>PAI_GITLOG_20.1</t>
  </si>
  <si>
    <t>PAI_GITLOG_20.2</t>
  </si>
  <si>
    <t>Una (1) documentación actualizada del diligenciamiento y crítica para el rediseño de la MTCES y del material de aprendizaje y sistema de captura, entregada</t>
  </si>
  <si>
    <t>PAI_GITLOG_20.3</t>
  </si>
  <si>
    <t>Una (1) base de datos del operativo de recolección de la MTCES, entregada</t>
  </si>
  <si>
    <t>PAI_GITLOG_21</t>
  </si>
  <si>
    <t>Una (1)  propuesta para implementar las mejoras en los aplicativos de captura y análisis en las investigaciones ESAG y SIPSA, finalizada</t>
  </si>
  <si>
    <t>PAI_GITLOG_21.1</t>
  </si>
  <si>
    <t>Un (1) documento según requerimientos necesarios para cada investigación, para la entrega, socialización y articulación con la oficina de sistemas, entregado.</t>
  </si>
  <si>
    <t>PAI_GITLOG_22.2</t>
  </si>
  <si>
    <t>Un (1) documento con el desarrollo y/o mejora de los aplicativos, pruebas de escritorio, entregado</t>
  </si>
  <si>
    <t>PAI_GITLOG_22.3</t>
  </si>
  <si>
    <t>Un (1) documento con el resultado de las pruebas del diseño de los nuevos instrumentos de recolección, finalizado</t>
  </si>
  <si>
    <t>PAI_GITLOG_22</t>
  </si>
  <si>
    <t>El inicio de la recolección paralela de SIPSA 7/24 rediseñada, garantiza el cumplimiento de una meta innegociable y tiene un aporte directo al objetivo PEI_O1 aportando en un 98% para su cumplimiento.</t>
  </si>
  <si>
    <t>Un (1) operativo paralelo de abastecimiento SIPSA 7/24 que mida la totalidad de vehículos que ingresan a las centrales mayoristas, finalizado</t>
  </si>
  <si>
    <t>PAI_GITLOG_22.1</t>
  </si>
  <si>
    <t>Una (1) documentación de la planeación y desarrollo de instrumentos de captura, entregado</t>
  </si>
  <si>
    <t>Documentación de la convocatoria, entrenamiento, selección y contratación de personal, publicada</t>
  </si>
  <si>
    <t>Una (1) base de datos de la recolección de información, entregada</t>
  </si>
  <si>
    <t>Contar con una propuesta de ajuste a la capa operativa es el primer paso hacia la puesta en marcha de dichos cambios, que es en síntesis el propósito final.  Con el visto bueno de los directores, la propuesta, pese a que fue contruida con el concierto de las distintas dependencias, podrá ser socializada para echarla andar de la mejor manera posible.</t>
  </si>
  <si>
    <t>Se realiza la propuesta de ajuste al proceso actual de selección y se socializa esta a las diferentes dependencias del departamento y a las direcciones territoriales en las cuales se logra una retroalimentación para el ajuste de la propuesta final.</t>
  </si>
  <si>
    <t>En la consolidación de las operaciones estadísticas con resultados del sistemas de costos, se realiza la crítica y reporte de las observaciones e inconsistencias que se presentan en los costeos iniciales, estas críticas se realizan a las coordinaciones logísticas en la fase de recolección y acopio de cada OE.</t>
  </si>
  <si>
    <t>Se diagnosticaron y evaluaron las operaciones estadísticas para la aplicación del seguimiento operativo mediante el Sistema de monitoreo y control, con los resultados de este monitoreo, se proyectan los requerimientos de perfeccionamiento al área de sistemas y la aplicación de las pruebas correspondientes.</t>
  </si>
  <si>
    <t>Se realiza el avance completo de la meta hasta la generación del informe operativo con corte al 31 de marzo, con la puesta en marcha del manual operativo y la ejecución del cronograma establecido.</t>
  </si>
  <si>
    <t>Para el módulo de registro de novedades operativas, se aplican las pruebas internas de funcionamiento las cuales se consolidan por cada una de las ciudades principales donde se realizan las encuestas sociales, de igual manera se logra la interacción con los responsables del recuento en cada una de las ciudades donde se aplican las encuestas sociales, las cuales se ejecutan por medio de entrevistas directas y comunicación directa con los hogares.</t>
  </si>
  <si>
    <t xml:space="preserve">Con la propuesta del alcance en el documento del programa de monitoreo, se espera realizar los ajustes para el desarrollo de la guía del programa con sus fases de ejecución, y posteriormente la respectiva aprobación para su articulación al plan de producción del Área Logística y Producción de información con un cronograma de trabajo descrito en la guía. </t>
  </si>
  <si>
    <t>Se realizan las actividades para el rediseño de los aplicativos web de captura de datos, con las especificaciones requeridas para las operaciones estadísticas de IPOC, IIOC y FIVI, con la documentación de historias de usuarios, aplicación de las pruebas correspondientes y las reuniones de ajuste</t>
  </si>
  <si>
    <t>No se reporta avance por parte del área</t>
  </si>
  <si>
    <t>Este hito ya registraba cumpliento al 100% en el reporte del primer trimestre.</t>
  </si>
  <si>
    <t>Se realiza un avance con el consolidado del recuento de las mazanas en las principales ciudades, en donde se define la muestra donde se realizará el operativo de recuento para su incorporación en el marco geoestadístico nacional.</t>
  </si>
  <si>
    <t>Las actas de reunión se realizaron con DIMPE, sistemas y logística, para definir el ajuste a la muestra y las aplicaciones en costos sobre el recalculo y modificación del cronograma.</t>
  </si>
  <si>
    <t>Se realiza la publicación en el sistema documental de Isolución en el cual se carga el procedimiento de selección de personal operativo, cumpliendo con la cadena de revisión.</t>
  </si>
  <si>
    <t>Se realiza la socialización a los grupos de territoriales y aprendizaje que interectúan y se involucran con el procedimiento, en estas socializaciones se explican las variaciones y las actividades relevantes a esta actualización.</t>
  </si>
  <si>
    <t>Se consolida en presentación los indicadores y resultados obtenidos de la aplicación de la herramienta de costeo a las operaciones estadísticas, en la cual se especifican los hallazgos encontrados en lo correspondiente a falla de costeo frente a los resulados obtenidos por la herramienta de costeo.</t>
  </si>
  <si>
    <t>Se aplica la herramienta de costeo a las bases de presupuesto de las operaciones estadísticas, realizando la conversión de los cálculos de la forma como las coordinaciónes logísticas las proyectan en la actualidad, y se muestran en el formato definido de la herramienta de costeo.</t>
  </si>
  <si>
    <t>Se presenta la base de costeo en las cuales se proyecta el presupuesto de las operaciones con aplicación a rutas y su afectación en el costo con la aplicación de tecnologías de georeferenciación.</t>
  </si>
  <si>
    <t>Se entrega el documento final con el diagnóstico de las operaciones que se proyectan en su implementación al sistema de monitoreo y control, en este documento se justifica la necesidad de la aplicación de este sistema a cada una de las operaciones estadísticas.</t>
  </si>
  <si>
    <t>Se realiza la proyección de presentación y temas a capacitar pero por desarrollo del aplicativo se pospuso la capacitación para los respondables de las encuestas sociales.</t>
  </si>
  <si>
    <t>En mesas de trabajo con DIRPEM se proyecta el documento borrador con el procedimiento de la fase de recolección y acopio en la cual se definen las actividades a realizar en las etapas pre operativas, operativas y pos operativas, en donde se especifican los responsables de ejecutar estas actividades y los puntos de control según la matriz de riesgos de gestión.</t>
  </si>
  <si>
    <t>Se realiza el documento con las historias de usuarios y con los requerimientos del módulo de cobertura y calidad para entrega al área de sistemas, estos en mesas de trabajo previas con el área temática.</t>
  </si>
  <si>
    <t>Se proyecta el cronograma con los spring desarrollados y los puntos de trabajo que se realiza con el área de sistemas para la definición del plan de trabajo.</t>
  </si>
  <si>
    <t>Se hace entrega de los documentos con las especificaciones técnicas del aplicativo para envío al área de sistemas, este resultante de las mesas de trabajo con el área temática y sistemas.</t>
  </si>
  <si>
    <t>Se realiza la verificación de calidad de los municipios de ampliación de cobertura, los cuales se evidencias en los documentos referenciados, teniendo en cuenta que se completa el año de recolección con el cierre de la fase 3 del censo 99.</t>
  </si>
  <si>
    <t>Se entrega matriz donde se detalla el avance de recuperación de deuda para ampliar la cobertura de la estadística de construcción.</t>
  </si>
  <si>
    <t>Se entrega informe sobre la recolección histórica del leasing habitacional sobre las fuentes definidas para ampliar la cobertura.</t>
  </si>
  <si>
    <t>Se entrega presentación con los resultados de la operación de fortalecimiento del directorio nacional de infraestructura donde se evidencia las nuevas fuentes ingresadas y los nuevos contratos gestionados.</t>
  </si>
  <si>
    <t>Se realiza la base de información de precios promedio, se analizan las nuevas variaciones y novedades que se registren, solicitando confirmación de la fuente, de esta forma se consolida la base de precios</t>
  </si>
  <si>
    <t>Se realiza la entrega al área de sistemas del documento con las especificaciones técnicas a los módulos de cargue, captura, validación y edición, requeridas para el aplicativo de recolección</t>
  </si>
  <si>
    <t>Se realiza entrega del documento terminado que define la funcionalidad del proceso de crítica y sus requerimientos para el efectivo cargue masivo.</t>
  </si>
  <si>
    <t>Se hace entrega al área de sistemas del documentos con las especificaciones técnicas requeridas para el aplicativo de recolección, con el módulo parametrizador, módulo operativo y módulo de seguimiento.</t>
  </si>
  <si>
    <t>Para realizar los choqueos de recalculo para definir las especificaciones de mejora, con la realización de las pruebas y el ajuste del formulario para definir el consolidado registrado en el formato a sistemas.</t>
  </si>
  <si>
    <t>A partir de una mesa técnica entre sistema, temática y logística, se plantea el cronograma para avances de requerimientos para el aplicativo de la EAS donde se avanzan en las especificaciones del seguimiento del operativo módulo 1 caracterización de la empresa.</t>
  </si>
  <si>
    <t>A partir de una mesa técnica entre sistema, temática y logística, entregando especificaciones para fraseo, validaciones en los flujos de inversión y requerimientos de estructura de operativo para el rol analista y reportes por departamentos, estos requerimientos ya fueron desarrollados y con pruebas respectivas, están pendientes requerimientos de temática para el formulario de patrimonios autónomos.</t>
  </si>
  <si>
    <t>Se realiza mesa técnica con la DIG, temática y logística, para validar 1700 fuentes que son factibles en el marco del rediseño de la MTA, las cuales fueron sujetas a un seguimiento de formulario sintético, para identificar si correspondian a la actividad de agencias de viajes y cumplian con los parámetros de inclusión. Actualmente diseños muestrales está pendiente de la entrega del marco por parte de la DIG, así diseñar el respectivo directorio que se va a realizar para el operativo del rediseño de la MTA.</t>
  </si>
  <si>
    <t>Se adelantó documento con los aspectos operativos para el desarrollo de la recolección de lad fuentes que hacen parte de la MTA.</t>
  </si>
  <si>
    <t>En mesa de trabajo con el equipo temático y logístico, se realiza la verificación de las fuentes que son posibles a incluir en el marco del rediseño de la MTCES, a su vez se realizan mesas de trabajo para plantear los requerimientos del formulario sintético para este operativo.</t>
  </si>
  <si>
    <t>Se avanza en el documento de aprendizaje como presentación y manual operativo para el desarrollo del proceso de aprendizaje y posterior al operativo.</t>
  </si>
  <si>
    <t>Se hizo entrega al área de sistemas el documento de las especificaciones necesarias a los aplicativos</t>
  </si>
  <si>
    <t>Formato donde se registran las modificaciones y novedades que han registrado las pruebas al aplicativo en fase desarrollo</t>
  </si>
  <si>
    <t>Se realizaron mesas de trabajo para la socialización de los resultados parciales a los aplicativos y sus pruebas realizadas.</t>
  </si>
  <si>
    <t>Se hace entrega de la ficha operativa para la publicación de la convocatoria</t>
  </si>
  <si>
    <t>Para el avance de la meta se realiza la proyección de la muestra para realizar la actualización de las manzanas de las principales ciudades para su definición en el marco geoestadístico nacional, adicionalmente la ejecución de mesas de trabajo donde se definieron los cronogramas de trabajo para el rediseño de la Encuesta Ambiental Industrial, con estos aportes se avanza en el fortalecimiento a la función operativa, que logra la modernización y nuevos parámetros de efectividad para la ejecución operativa de las operaciones estadísticas.</t>
  </si>
  <si>
    <t xml:space="preserve">Se da cumplimiento en su totalidad a la meta de ajuste al proceso de selección de personas relacionadas a la función operativa, en el cual se realizó la actualización del documento, la publicación y aprobación sistema Isolucion, poteriormente se derivaron las socializaciones pertinanentes con los grupos de trabajo que intervienen en este procedimiento para su identificación y definición de las variaciones presentas, con esto cumpliendo con el cierra de la meta. </t>
  </si>
  <si>
    <t>Con el cargue de las primeras operaciones estadísticas a la herramienta de costeo, se logró identificar las diferentes variaciónes por fallas que se presentan de la forma habitual para el costeo de las operaciones estadísticas, con estos resultados se logran dar resultados de efectividad de la herramienta, lo que abre paso a la aplicación de esta para el costeo de la mitad de las operaciones estadísticas a cargo de el grupo interno de trabajo de logística, a estas bases de las operaciones se agregan el estudio de costeo para rutas con la aplicación de herramientas tecnológicas geoespaciales, la cual por medio de la herramienta de costeo, favorece en la identificación del aumento frente a la ejecución sin estas herramientas tecnológicas.</t>
  </si>
  <si>
    <t>Se logra dar cierre al documento metodológico de diagnóstico a las operaciones que tendrán la proyección de aplicabilidad en el sistema de monitoreo y control, las pruebas e informes correspondientes al sistemas no son posibles de ejecución, dado la falta del profesional en desarrollo del aplicativo.</t>
  </si>
  <si>
    <t xml:space="preserve">Se realiza el cierre operativo del mes de mayo con la entrega del informe y los resultados obtenidos mediante la recolección efectuada, de esta manera cumple con el cierre efectivo de la GEIH paralela marco 2018. </t>
  </si>
  <si>
    <t>Se logra establecer la genda y las presentaciones de capacitación para el personal de territoriales que logre contextualizar los nuevos módulos del aplicativo web de novedades, pero por falta de profesional para el desarrollo del aplicativo, se pospuso la capacitación para los respondables de las encuestas sociales y por ende el avance en el reporte de seguimiento a las novedades aplicado al módulo.</t>
  </si>
  <si>
    <t>Con la construcción del procedimiento de recolección y acopio, se logra establecer un punto de medición en la definición de actividades específicas a ejercer el área de logística, y como estas logran alcanzar la ejecución de recolección de una operación estadística; con este insumo se logra establecer puntos de control, los cuales servirán como base de indicador para el diseño de la herramienta de monitoreo para la mejora del desempeño operativo.</t>
  </si>
  <si>
    <t>Los documentos soporte de las mesas de trabajo y los cronogramas resultado de los ajustes a las actividades de desarrollo de los aplicativos web para la recolección de las operaciones coorespondientes a IPOC, ELIC y FIVI-CHV, son el avance en función de establecer los requerimientos mínimos de temática y logística, que logren dar cumplimiento al desarrollo efectivo de los aplicativos con el área de sistemas.</t>
  </si>
  <si>
    <t xml:space="preserve">Los avances de cada hito en referencia con la meta de fortalecimiento de la capacidad operativa con su ampliación de cobertura, evidencian los documentos soporte y metodológicos, los cuales son insumo para el análisis y verificación de información con otras áreas que intervienen en la definición de las coberturas de recolección. </t>
  </si>
  <si>
    <t>Con la nueva canasta de precios se logra que el alcance en la medición del índice logre una mayor efectividad, y con esto que el proceso de recolección logre mayor rendimiento fortaleciendo las nuevas fuentes de fortalecimiento.</t>
  </si>
  <si>
    <t>La entrega del documento con los requerimientos y necesidades técnicas de la herramienta de acopio para la operación estadística de expotaciones e importaciones, da un avance en el perfeccionamiento de la misma, por la participación de la parte temática, logística y sistemas, la cual con mesas de trabajo mancomunadas se define el documento final con los ajustes definidos parala herramienta.</t>
  </si>
  <si>
    <t>Basado en mesas de trabajo, se genera el documento con las especificaciones técnicas con los requerimientos mínimos de desarrollo del instrumento de recolección, las cuales cuentan con las funcionalidad del módulo de crítica con las solicitudes definidas por el área temática y por logística, con esto se logra avanzar con la base de requerimientos para proceder y avanzar en las pruebas de la herramienta según su desarrollo y aplicabilidad.</t>
  </si>
  <si>
    <t>Se realiza la entrega a sistemas de los requerimientos para la herramienta de recolección con el diseño de los módulos parametrizador, módulo operativo y módulo de seguimiento, entregando las especificiones para el desarrollo adecuado de la herramienta con sus módulos iniciales y para el avance en el documento de pruebas para estos módulos.</t>
  </si>
  <si>
    <t>Se diligencia el formato de mejora a las especificaciones técnicas de los módulos de recolección, validación y análisis de la EAM, estas para realizar y seguir adelantando el documento de ajuste final para el diseño definitivo de la herramienta.</t>
  </si>
  <si>
    <t>Se realiza la entrega a sistemas el documento en word con las especificaciones con los requerimientos a la herramienta de recolección, validación y análisis para la EAS, en este documento se establecen las principales necesidades en para la operación la cual cumpla con los parámetros y que den parte al desarrollo adecuado de la herramienta.</t>
  </si>
  <si>
    <t>Con el documento se establece las principales novedades en el aplicativo correspondiente a las novedades presentadas de la operación de la encuesta anual de inversión extranjera y directa, con esto el desarrollo entra a pruebas para su documento de funcionalidad para los ajustes pertinentes.</t>
  </si>
  <si>
    <t>Se realiza con el área temática de la operación estadística de la muestra trimestral de agencias de viajes, la actualización y modificaciones requeridas en el proceso de recolección, en el cual se realizan las actualizaciones del marco y la ampliación de los parámetros para la investigación, adicionalmente el avance a los documentos soporte para el aprendizaje y avance en la etapa preoperativa.</t>
  </si>
  <si>
    <t>Para el desarrollo del operativo sintético para la muestra trimestral de comercio exterior de servicios, para esto se realiza el avance en la base de excel para la verificación del directorio y la consolidación del documento con el material de la etapa preoperativa principalmente para los procesos de aprendizaje.</t>
  </si>
  <si>
    <t xml:space="preserve">El avance a la meta se realiza con proyección al área de sistemas del documento con las especificaciones técnicas de los aplicativos de captura de la información y análisis de la misma, con este se adelantan las pruebas escritorio de la funcionalidad por medio de formato donde se registran las principales novedades, y de estas novedades se programan mesas de trabajo para la retroalimentación y acuerdo de trabajo para el desarrollo de estos aplicativos. </t>
  </si>
  <si>
    <t>En el operativo paralelo de  abastecimiento SIPSA 7/24 se establece el documento con las especificaciones del operativo de recolección y las caracteristicas del aplicativo de captura, al igual la proyección de la ficha operativa en la cual se realiza la convocatoria del personal operativo la cual se encuentran en proceso de pruebas y selección.</t>
  </si>
  <si>
    <t>PAI_DICE_1</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</si>
  <si>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</si>
  <si>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Seis (6) herramientas de visualización de datos para la difusión de información estadística producida por el DANE, implementado</t>
  </si>
  <si>
    <t>PAI_DICE_1.1</t>
  </si>
  <si>
    <t xml:space="preserve">Una (1) herramienta de visualización de datos con su documento de descripción - Implementadas </t>
  </si>
  <si>
    <t>La Dirección de Difusón entregó el visor de datos de Censo Habitantes de la Calle (CHC) que se encuenta publicado en la página web del DANE el 31 de marzo de 2021 en el link: https://www.dane.gov.co/index.php/estadisticas-por-tema/demografia-y-poblacion/censo-habitantes-de-la-calle</t>
  </si>
  <si>
    <t>PAI_DICE_1.2</t>
  </si>
  <si>
    <t xml:space="preserve">Dos (2) herramientas de visualización de datos con su documento de descripción - Implementadas </t>
  </si>
  <si>
    <t>PAI_DICE_1.3</t>
  </si>
  <si>
    <t xml:space="preserve">Tres (3) herramientas de visualización de datos con su documento de descripción - Implementadas </t>
  </si>
  <si>
    <t>PAI_DICE_2</t>
  </si>
  <si>
    <t>La APP aporta al 100% en el cumplimiento del objetivo estratégico, es uno de los entregables para el cumplimiento de los 15 nuevos productos y servicios que implementan investigación y desarrollo (meta del Plan Estratégico Institucional PEI_E23) y a la creación de nuevos canales de comunicación (PEI_E15)</t>
  </si>
  <si>
    <t>Una (1) aplicación móvil desarrollada para la  difusión de información del Sistema de Información de Precios y Abastecimiento del Sector Agropecuario, implementado</t>
  </si>
  <si>
    <t>PAI_DICE_2.1</t>
  </si>
  <si>
    <t>Un (1) desarrollo - Implementada</t>
  </si>
  <si>
    <t>PAI_DICE_2.2</t>
  </si>
  <si>
    <t>Una (1) fase de pruebas  - Implementada</t>
  </si>
  <si>
    <t>PAI_DICE_2.3</t>
  </si>
  <si>
    <t>Una (1) App  - Implementada</t>
  </si>
  <si>
    <t>PAI_DICE_3</t>
  </si>
  <si>
    <t>El desarrollo de una realidad aumentada aporta al 100% al cumplimiento de la estrategia de accesibilidad, dado que es uno de los entregables para el cumplimiento de los 15 nuevos productos y servicios que implementan investigación y desarrollo (meta del Plan Estratégico Institucional PEI_E23).</t>
  </si>
  <si>
    <t>Una (1) herramienta de realidad aumentada aplicada a por lo menos una investigación del DANE, implementada</t>
  </si>
  <si>
    <t>PAI_DICE_3.1</t>
  </si>
  <si>
    <t>Un (1) diseño de la propuesta de la herramienta finalizado</t>
  </si>
  <si>
    <t>PAI_DICE_3.2</t>
  </si>
  <si>
    <t>Una (1) fase de implementación y pruebas de la herramienta finalizada</t>
  </si>
  <si>
    <t>PAI_DICE_4</t>
  </si>
  <si>
    <t xml:space="preserve">Esta meta aporta a la estrategia de accesibilidad, dado que las nuevas funcionalidades al chat virtual incorporan en sus bases de datos respuestas que permiten al usuario acceder a los documentos técnicos de la operación estadística de la cual requiere información. </t>
  </si>
  <si>
    <t>Dos (2) nuevas funcionalidades en la herramienta del chat virtual, implementadas</t>
  </si>
  <si>
    <t>PAI_DICE_4.1</t>
  </si>
  <si>
    <t>Un (1) diseño de propuesta finalizada</t>
  </si>
  <si>
    <t>PAI_DICE_4.2</t>
  </si>
  <si>
    <t>Una (1) documento de implementación con la descripción finalizado</t>
  </si>
  <si>
    <t xml:space="preserve">Teniendo en cuenta que el operador del chat virtual es la empresa Natura Software, para la implementación de estas nuevas funcionalidades se suscribió el contrato No. CO1.PCCNTR.2429705.  </t>
  </si>
  <si>
    <t>PAI_DICE_5</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</si>
  <si>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</si>
  <si>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 (1) sistema de medición de la percepción de la información estadística producida por el DANE, finalizado</t>
  </si>
  <si>
    <t>PAI_DICE_5.1</t>
  </si>
  <si>
    <t>Un (1) análisis del resultado de la Encuesta de Confianza finalizado</t>
  </si>
  <si>
    <t>PAI_DICE_5.2</t>
  </si>
  <si>
    <t>Un (1) documento del sistema de percepción</t>
  </si>
  <si>
    <t>PAI_DICE_6</t>
  </si>
  <si>
    <t>La funcionalidad aporta a la estrategia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t>
  </si>
  <si>
    <t>Una (1) funcionalidad en el Sistema Información de Atención a la Ciudadanía SIAC, implementada</t>
  </si>
  <si>
    <t>PAI_DICE_6.1</t>
  </si>
  <si>
    <t xml:space="preserve">Un (1) diseño de la propuesta </t>
  </si>
  <si>
    <t>PAI_DICE_6.2</t>
  </si>
  <si>
    <t>Una (1) fase de implementación y pruebas de los reportes finalizado</t>
  </si>
  <si>
    <t>PAI_DICE_7</t>
  </si>
  <si>
    <t>La meta de una (1) metodología de relacionamiento con los grupos de interés del DANE aporta al 30% del cumplimiento de la estrategia de accesibilidad; dado que es insumo necesario para la definición uso y caracterización de los nuevo canales de comunicación.</t>
  </si>
  <si>
    <t>Una (1) metodología de relacionamiento con los grupos de interés del DANE, implementada</t>
  </si>
  <si>
    <t>PAI_DICE_7.1</t>
  </si>
  <si>
    <t xml:space="preserve">Un (1) plan de trabajo finalizado </t>
  </si>
  <si>
    <t xml:space="preserve">En el mes de marzo se realiza la entrega del plan de trabajo para la elaboración metodología de relacionamiento con los grupos de interés del DANE. </t>
  </si>
  <si>
    <t>PAI_DICE_7.2</t>
  </si>
  <si>
    <t>Un (1) informe de acciones implementadas con la metodología de relacionamiento finalizado</t>
  </si>
  <si>
    <t>PAI_DICE_8</t>
  </si>
  <si>
    <t>Una (1) metodología para caracterizar los grupos de interés del DANE, finalizada</t>
  </si>
  <si>
    <t>PAI_DICE_8.1</t>
  </si>
  <si>
    <t>Un (1) documento metodológico con el planteamiento conceptual finalizado</t>
  </si>
  <si>
    <t>En el mes de marzo se realiza la entrega del documento metodológico con el planteamiento conceptual finalizado.</t>
  </si>
  <si>
    <t>PAI_DICE_8.2</t>
  </si>
  <si>
    <t>Un (1) Informe de acciones implementadas con la metodología de caracterización finalizado</t>
  </si>
  <si>
    <t xml:space="preserve">En el mes de marzo se realizó la entrega de la primer herramienta de visualización de datos denominda: Visor de datos del Censo de Habitantes de Calle: https://www.dane.gov.co/index.php/estadisticas-por-tema/demografia-y-
</t>
  </si>
  <si>
    <t>Se definieron las funcionalidades a implementar en el chat virtual, se suscribió el contrato No. CO1.PCCNTR.2429705.  para iniciar con la implementación.</t>
  </si>
  <si>
    <t xml:space="preserve">No aplica para este periodo </t>
  </si>
  <si>
    <t xml:space="preserve">Se realozó el plan de trabajo para la elaboración metodología de relacionamiento con los grupos de interés del DANE. </t>
  </si>
  <si>
    <t>Se realiza la entrega del documento metodológico con el planteamiento conceptual finalizado.</t>
  </si>
  <si>
    <t xml:space="preserve">La fase de diseño del proyecto de realidad aumentada inició con la exploración de diferentes tecnologías para escoger la más propicia para el proyecto. En esta fase se entregan los siguientes productos: 
• Inicio de pruebas en ACORDE (app de google) 
• Validación del reconocimiento de marcadores 
• Arquitectura inicial del proyecto
• Bocetos que describen la funcionalidad de cada pantalla. 
</t>
  </si>
  <si>
    <t xml:space="preserve">En el mes de mayo se hizo la implementación al sistema de respuesta de chat virtual de la funcionalidad denominada módulo de tickets. Esta funcionalidad permite la resolución de consultas escaladas fuera de línea y cuenta con dos componentes: 
Componente No. 1 Formulario que utiliza el ciudadano para digitar la consulta en detalle y crea el ticket con el botón Enviar.
Componente No. 2  Módulo de tickets al que deben acceder los asesores para poder visualizar si hay tickets por responder y darles gestión. 
</t>
  </si>
  <si>
    <t xml:space="preserve">En la fase de diseño se entrega el nuevo header y diagramación de componentes con el objetivo de mejorar la usabilidad y experiencia del usuario. </t>
  </si>
  <si>
    <t>Entre abril y junio de 2021 se realizaron nueve  (9) espacios de relacionamiento con el equipo operativo de 7 diferentes operaciones estadísticas.
Estás actividades tienen el objetivo de fortalecer los lineamientos establecidos en el documento metodológico de relacionamiento y generar espacios de retroalimentación (se adjunta informe de acciones implementadas).</t>
  </si>
  <si>
    <t xml:space="preserve">En abril se publicaron 44 notas en DANEnet y 9 secciones en la página web, en mayo se publicaron 29 notas en DANEnet, se envió un mailing al webinar de ICET y 4 mailing internos para la elaboración de la declaración de bienes y rentas. En junio se publicaron 26 notas en DANEnet y 8 secciones en la página web y se envió 4 mailing al directorio de construcción para solicitar y recordar el envió de la información a las fuentes seleccionadas (se adjunta informe de acciones implementadas). </t>
  </si>
  <si>
    <t xml:space="preserve">Las aplicación móvil para la  difusión de información del Sistema de Información de Precios y Abastecimiento del Sector Agropecuario - SIPSA está en la fase de desarrollo. Se entregó en repositorio autorizado por la Oficina de Sistemas la sigueinte documentación:
A. Arquitectura para el desarrollo de software (clean_architecture).
B. Guía para la configuración de la APP SIPSA en IMAC e instalación por escritorio remoto.
C. Contenido wiki
D. Código fuente </t>
  </si>
  <si>
    <t xml:space="preserve">La fase de diseño del proyecto de realidad aumentada inició con la exploración de diferentes tecnologías para escoger la más propicia para el proyecto. En esta fase se entregan los siguientes productos: 
• Inicio de pruebas en ACORDE (app de google) 
• Validación del reconocimiento de marcadores 
• Arquitectura inicial del proyecto
• Bocetos que describen la funcionalidad de cada pantalla. </t>
  </si>
  <si>
    <t xml:space="preserve">Implementación funcionalidad No. 1 Módulo de tickets para resolución de consultas escaladas. </t>
  </si>
  <si>
    <t>De conformidad con la metodología de relacionamiento con los grupos de interés del DANE, entre abril y junio de 2021 se realizaron nueve  (9) espacios de relacionamiento con el equipo operativo de 7 diferentes operaciones estadísticas.
Estás actividades tienen el objetivo de fortalecer los lineamientos establecidos en el documento metodológico de relacionamiento y generar espacios de retroalimentación (se adjunta informe de acciones implementadas).</t>
  </si>
  <si>
    <t>2. Diseño</t>
  </si>
  <si>
    <t>E. Cambio Cultural</t>
  </si>
  <si>
    <t>PND</t>
  </si>
  <si>
    <t>8. Evaluación</t>
  </si>
  <si>
    <t xml:space="preserve">NO APLICA </t>
  </si>
  <si>
    <t>PAI_DCD_1</t>
  </si>
  <si>
    <t>E. Capacidad Metodológica</t>
  </si>
  <si>
    <t>Operaciones estadísticas que ampliaron su desagregación geográfica a nivel departamental o municipal. Esta meta aporta de manera DIRECTA  al desarrollo del entregable: Una metodología para identificar la cobertura de las estadísticas vitales.</t>
  </si>
  <si>
    <t>1. Especificación de necesidades</t>
  </si>
  <si>
    <t>Un (1) levantamiento de requerimientos para el intercambio de información con la Registraduría Nacional del Estado Civil -RNEC bajo el marco de  interoperabilidad del MINTIC, de tal forma que permita la identificación de hechos vitales no reportados en el RUAF-ND a nivel nacional de manera segura y eficiente, finalizado</t>
  </si>
  <si>
    <t>Cuatro (4) reuniones entre el equipo de ingenieros de EEVV y el equipo de Gestión de Información de la Oficina de Sistemas para  el levantamiento de requerimientos de acuerdo con el modelo de interoprabilidad del MINTIC, realizadas</t>
  </si>
  <si>
    <t>Un (1) informe con el levantamiento de requerimientos, finalizado</t>
  </si>
  <si>
    <t>PAI_DCD_2</t>
  </si>
  <si>
    <t>Generación de información estadística en proyectos de gran impacto a partir del uso de registros administrativos. Esta meta impacta de manera DIRECTA el entregable: Series de población de corto plazo a nivel municipal</t>
  </si>
  <si>
    <t>Un (1) aplicativo piloto para la puesta en práctica del método de componentes de cohortes, desarrollado.</t>
  </si>
  <si>
    <t>Una (1) programación del aplicativo para la puesta en práctica del método de componentes de cohortes desarrollado.</t>
  </si>
  <si>
    <t>Revisión bibliográfica y de antecedentes técnicos en la aplicación del método de componentes a través del aplicativo desarrollado por el Instituto de Andalucía (IECA)</t>
  </si>
  <si>
    <t>Un (1) diseño del aplicativo piloto para la puesta en práctica del método de componentes de cohortes desarrollado</t>
  </si>
  <si>
    <t>PAI_DCD_3</t>
  </si>
  <si>
    <t>Operaciones estadísticas que ampliaron su desagregación geográfica a nivel departamental o municipal. Esta meta impacta de manera DIRECTA el siguiente entregable:  Información resultante del Censo Nacional de Población y Vivienda (estudios postcensales).</t>
  </si>
  <si>
    <t>Seis (6) estudios postcensales, diseñados y realizados</t>
  </si>
  <si>
    <t>Se avanzó con la caracterización de la ficha técnica, en donde se definen los objetivos específicos del estudio, así como los tiempos requeridos para su implementación. Se están gestionando los recursos con UNFPA para su implementación</t>
  </si>
  <si>
    <t>Un (1) estudio postcensales de migración internacional, realizado.</t>
  </si>
  <si>
    <t>Un (1) estudio postcensales de dinámica demográfica, realizado.</t>
  </si>
  <si>
    <t>PAI_DCD_4</t>
  </si>
  <si>
    <t>Esta meta impacta de manera DIRECTA el indicador: Generación de información estadística en proyectos de gran impacto a partir del uso de registros administrativos.</t>
  </si>
  <si>
    <t>14. Gestión del conocimiento y la innovación</t>
  </si>
  <si>
    <t>Un (1) sistema de información de registros administrativos y su transformación en un sistema de registros estadísticos, como soporte y fuente de validación de la información de las operaciones censales futuras, actualizado.</t>
  </si>
  <si>
    <t>Validación de fuentes para la actualización de registro Estadístico Base de Población -REBP.</t>
  </si>
  <si>
    <t>Se han analizado los resultados generales obtenidos de la integración del REBP 2019, a estas actividades se les suma la generación de la base de identificadores en donde se encuentra la población integrada con todas las direcciones de residencia y teléfonos reportados por los proveedores de información. Así mismo, se han realizado reuniones periodicas del equipo técnico sobre temas específicos acerca de metodologías de cruces de información y de variables al interior del REBP en constraste con CNPV 2018.</t>
  </si>
  <si>
    <t>Un (1) registro Estadístico Base de Población -REBP actualizado</t>
  </si>
  <si>
    <t>Gestión con proveedores de información para integración del REBP 2020 e incorporación de nuevas bases de datos de registros</t>
  </si>
  <si>
    <t>Un (1) diagnóstico del registro como fuente para el conteo de población, producido.</t>
  </si>
  <si>
    <t>Complementos a los análisis estadísticos y demográficos de diagnóstico e identificación de la completitud del REBP</t>
  </si>
  <si>
    <t>Un (1) documento metodológico para el aprovechamiento del REBP como fuente principal del conteo de población, elaborado</t>
  </si>
  <si>
    <t>Adelantos en el proceso de documentación del proceso estadístico del REBP</t>
  </si>
  <si>
    <t>Un (1) informe final con los resultados del conteo poblacional a partir del REBP, en el año censal 2018, producido.</t>
  </si>
  <si>
    <t>Consensos técnicos para la presentación de resultados de la conformación de conteos poblacionales con base en el REBP y su comparación frente al gold standard (CNPV)</t>
  </si>
  <si>
    <t>Un (1) Indicador de vulnerabilidad, diseñado.</t>
  </si>
  <si>
    <t>Adelantos en la documentación técnica y difusión del indicador</t>
  </si>
  <si>
    <t>Definición de población para transferencias de consumo y transición demográfica CNT, elaborada.</t>
  </si>
  <si>
    <t>Reuniones de entendimiento lideradas con el equipo de la DSCN para el diseño y seguimiento del plan de trabajo CSTI</t>
  </si>
  <si>
    <t>PAI_DCD_5</t>
  </si>
  <si>
    <t>Esta meta impacta de manera DIRECTA el indicador : Operaciones estadísticas que ampliaron su desagregación geográfica a nivel departamental o municipal.</t>
  </si>
  <si>
    <t>Un (1) propuesta metodológica del registro de población étnica, diseñada.</t>
  </si>
  <si>
    <t>Una (1) propuesta metodológica: cuestionario, conceptos estandarizados, operativo de recolección, control de cobertura y calidad; para la implementación del registro y uso estadístico, diseñado.</t>
  </si>
  <si>
    <t>Se han realizado reuniones técnicas periódicas con el Miniterio del Interior para la detección y análisis de requerimientos. Actualmente contamos con documento preliminar con dichos requerimientos.</t>
  </si>
  <si>
    <t xml:space="preserve">Una (1) propuesta metodológica para la recolección de la información de los listados censales de las Comunidades NARP e indígenas, diseñada. </t>
  </si>
  <si>
    <t>Un (1) proceso de concertación con la comunidades étnicas, desarrollado.</t>
  </si>
  <si>
    <t>Talleres de socialización de resultados del CNPV 2018 con resguardos indígenas, realizados.</t>
  </si>
  <si>
    <t>Un (1) informe de caracterización de la población víctima con enfoque étnico, elaborado.</t>
  </si>
  <si>
    <t>PAI_DCD_6</t>
  </si>
  <si>
    <t>Esta meta impacta de manera DIRECTA el indicador: Operaciones estadísticas nuevas o rediseñadas que atienden necesidades del país.</t>
  </si>
  <si>
    <t>Un (1) censo habitantes de la calle en articulación con las administraciones municipales, para facilitar el diseño de politicas públicas en este grupo especial de población, realizado. Censo en 444 municipios: 6 municipios con población de mas de 500 HC, 10 municipio de entre 201 y 500 HC, 87 municipios de entre 1 y 200 HC; 341 municipios que no reportan HC</t>
  </si>
  <si>
    <t xml:space="preserve">Un (1) documento metodológico del Censo Habitantes de la Calle ajustado para  las ciudades intermedias definidas por la Dirección General. 
</t>
  </si>
  <si>
    <t xml:space="preserve">En el primer triestre de 2021, se realizó actualización del documento metodoógico del Censo Habitante de la Calle para las Para  las ciudades intermedias definidas por la Dirección General y de acuerdo a los lineamientos establecidos por DIRPEN 
</t>
  </si>
  <si>
    <t xml:space="preserve">Cuadros de resultado del Censo Habitantes de la Calle 
</t>
  </si>
  <si>
    <t>Esta meta impacta de manera DIRECTA el indicador : Operaciones estadísticas nuevas o rediseñadas que atienden necesidades del país, y el entregable: Censo Minero Nacional</t>
  </si>
  <si>
    <t>Un (1) diseño de la fase operativa del Censo Minero Nacional, finalizada.</t>
  </si>
  <si>
    <t>Un (1) documento metodológico del Censo Minero de acuerdo a las evidencias resultantes de las pruebas focalizadas, actualizado.</t>
  </si>
  <si>
    <t xml:space="preserve">Se actualizó diseño operativo del Censo Minero en el marco del convenio 006 de 2020 con la UPME. </t>
  </si>
  <si>
    <t>Un (1) documento de ruta metodológica del proceso de participación del Censo Minero con los grupos étnicos, finalizado</t>
  </si>
  <si>
    <t>Actualmente se está en trabajando en la estrategia de consecución de recursos junto con OPLAN.</t>
  </si>
  <si>
    <t>Un (1) documento con el diseño operativo del Censo Minero con la inclusión de la recolección en físico, Web y por DMC, actualizado.</t>
  </si>
  <si>
    <t>Un (1) documento con el diseño del sistema de monitoreo y control.</t>
  </si>
  <si>
    <t>Una (1) ficha metodológica del Censo Minero actualizada de acuerdo a las evidencias resultantes de las pruebas focalizadas.</t>
  </si>
  <si>
    <t>Un (1) documento con el modelo funcional del Censo Minero</t>
  </si>
  <si>
    <t>Cuadros de salida del Censo Minero</t>
  </si>
  <si>
    <t>Un (1) documento con el presupuesto del Censo Minero desagregado por costos según fase</t>
  </si>
  <si>
    <t>PAI_DCD_8</t>
  </si>
  <si>
    <t>Fortalecimiento de las Estadísticas Vitales - EEVV</t>
  </si>
  <si>
    <t>PAI 2020</t>
  </si>
  <si>
    <t xml:space="preserve">Un (1) ambiente de producción del aplicativo SIGEV, aplicativo para el mejoramiento de la producción de información de estadísticas vitales con su correspondiente documentación técnica y de usuario, </t>
  </si>
  <si>
    <t xml:space="preserve">Convenio DANE-BLOOMBERG - Fase3: Durante el primer semestre se avanzó en el desarrollo de nuevas funcionalidades y ajustes del sistema en el servidor  "lima01.dane.gov.co", en pruebas de rendimiento con datos en volumenes reales - que indicaron se requiere un servidor más robusto en cuanto a memoria se refiere, en la creación y ajustes de documentación, en la configuración del servidor y redes, para la puesta en marcha del módulo específico para el manejo de hechos vitales para personas pertenecientes a grupos étnicos "EtnicODK". Este componente del sistema ya se encuentra en el servidor de producción DANE: atenas02.dane.gov.co, con dominio e IP publica: etnicodk.dane.gov.co, 170.238.64.57 respectivamente. </t>
  </si>
  <si>
    <t>PAI_DCD_9</t>
  </si>
  <si>
    <t>Esta meta contribuye  de manera DIRECTA al indicador: Operaciones estadísticas nuevas o rediseñadas que atienden necesidades del país.</t>
  </si>
  <si>
    <t>Realizar exploración metodológica para la generación de Cuentas Nacionales de Transferencia Intergeneracional (DSCN-DIMPE-DCD)</t>
  </si>
  <si>
    <t>Una (1) socialización con la Dirección de Técnica de Censo y Demografía del documento Análisis de Contexto de la Fecundidad</t>
  </si>
  <si>
    <t>El GIT de Proyecciones de Población y Análisis Demográfico realizó la socialización con la Dirección de Técnica de Censo y Demografía del documento Análisis de Contexto de la Fecundidad</t>
  </si>
  <si>
    <t>PAI_DCD_10</t>
  </si>
  <si>
    <t xml:space="preserve">Dos (2) Proyecciones de población NARP  e Indígena a Nivel Nacional </t>
  </si>
  <si>
    <t>Una (1) base de datos, población base (2018) NARP e indígena, actualizada.</t>
  </si>
  <si>
    <t>Exploraciones metodológicas para la distribución de la omisión censal en población étnica a nivel subnacional</t>
  </si>
  <si>
    <t>Una (1) propuesta documento metodológico, elaborado.</t>
  </si>
  <si>
    <t>Documentación del diseño metodológico de estimaciones de población étnica</t>
  </si>
  <si>
    <t>Cuadros de resultados con la proyección de población NARP, elaborados.</t>
  </si>
  <si>
    <t>Desarrollo y aplicación de técnicas estadísticas para las estimaciones de base de las proyecciones de población NARP</t>
  </si>
  <si>
    <t>Cuadros de resultados con la proyección de la población Indígena Nacional, elaborados.</t>
  </si>
  <si>
    <t>Implementación de técnicas de estimación para el acercamiento a la población que se autoreconoce indígena</t>
  </si>
  <si>
    <t>Cuadros de resultados con la proyección de la población indígena en resguardos, elaborados.</t>
  </si>
  <si>
    <t>Gestión de intercambio de información de territorios de reserva étnica y articulación de procesos técnicos con la ANT</t>
  </si>
  <si>
    <t>PAI_DCD_11</t>
  </si>
  <si>
    <t xml:space="preserve">Esta meta impacta de manera DIRECTA el siguiente indicador: Operaciones estadísticas que ampliaron su desagregación geográfica a nivel departamental o municipal; y el desarrollo de los siguientes entregables: Tablas resumen de la migración inter e interdepartamental, Tablas resumen de la migración inter e intermunicipal  y  Tabulados con los agregados de migración internacional. </t>
  </si>
  <si>
    <t>Dieciséis (16) boletines publicables mensualmente con información sociodemográfica, generados.</t>
  </si>
  <si>
    <t>Seis (6) boletines periódicos con los resultados del (CNPV-2018) con :Caracterización de poblaciones especiales; fecundidad, incluye adolescente; Mortalidad, incluye infantil; Migraciones y desplazamiento, vía RUV; caracterización por ciclo de vida; cambio demográficos 2005-2018; mujer indígena, elaborados.</t>
  </si>
  <si>
    <t>Procesos de diseño temático</t>
  </si>
  <si>
    <t>Un (1) boletín periódico étnicos a partir de encuestas, producidos.</t>
  </si>
  <si>
    <t>Acompañamiento técnico al grupo de temas étnicos del GIT CyEE - DCD</t>
  </si>
  <si>
    <t>Dos (2) boletines de análisis sociodemográficos a partir de encuestas: fecundidad y migración, producidos.</t>
  </si>
  <si>
    <t>Esta meta impacta de manera INDIRECTA el siguiente indicador: Operaciones estadísticas que ampliaron su desagregación geográfica a nivel departamental o municipal.</t>
  </si>
  <si>
    <t>Un (1) boletín de creación de municipios, producido.</t>
  </si>
  <si>
    <t>Seis (6) boletines de la dinámica de grandes grandes ciudades y sus áreas metropolitana, en seis (6) ciudades, producidos.</t>
  </si>
  <si>
    <t>PAI_DCD_12</t>
  </si>
  <si>
    <t>Esta meta impacta de manera DIRECTA  el indicador : Operaciones estadísticas nuevas o rediseñadas que atienden necesidades del país.</t>
  </si>
  <si>
    <t>Un (1) diseño de los sistemas de producción y flujos de trabajo de la Cuenta Satélite de transferencias intergeneracionales.</t>
  </si>
  <si>
    <t>Un (1) Plan General del sistemas de producción y flujos de trabajo de la Cuenta Satélite de transferencias intergeneracionales, elaborado.</t>
  </si>
  <si>
    <t>Se han gestionado fuentes de información para el análisis de perfiles de consumo de la población.</t>
  </si>
  <si>
    <t>Un (1) documento metodológico sistemas de producción y flujos de trabajo de la Cuenta Satélite de transferencias intergeneracionales, elaborado.</t>
  </si>
  <si>
    <t>PAI_DCD_13</t>
  </si>
  <si>
    <t>Instrumentos de recolección de información en el marco del Proceso de Restitución de Derechos Territoriales, elaborados.</t>
  </si>
  <si>
    <t>Un (1) documento de diagnóstico de los instrumentos de recolección de información en el marco del Proceso de Restitución de Derechos Territoriales, elaborado</t>
  </si>
  <si>
    <t>Un (1) documento final descriptivo de los instrumentos de recolección de información en el marco del Proceso de Restitución de Derechos Territoriales, elaborados</t>
  </si>
  <si>
    <t xml:space="preserve">Avance esperado para otro trimestre </t>
  </si>
  <si>
    <t>Se realizó durante el primes trimestre de 2021 por pate del GIT de Proyecciones de Población y Análisis Demográfico revisión bibliográfica y de antecedentes técnicos en la aplicación del método de componentes</t>
  </si>
  <si>
    <t>Se avanzó con la caracterización de la ficha técnica, en donde se definen los objetivos específicos del estudio, así como los tiempos requeridos para su implementación. Se están gestionando los recursos con UNFPA para su implementació</t>
  </si>
  <si>
    <t>Se han analizado los resultados generales obtenidos de la integración del REBP 2019, además se ha realizado gestión con proveedores de información para integración del REBP 2020, consensos técnicos para la presentación de resultados de la conformación de conteos poblacionales con base en el REBP y reuniones de entendimiento lideradas con el equipo de la DSCN para el diseño y seguimiento del plan de trabajo CSTI</t>
  </si>
  <si>
    <t xml:space="preserve">Se realizó actualización del documento metodoógico del Censo Habitante de la Calle para las Para  las ciudades intermedias definidas por la Dirección General y de acuerdo a los lineamientos establecidos por DIRPEN </t>
  </si>
  <si>
    <t>En el primer trimestre se finalizó el convenio con la UPME; lo cual no quiere decir que la documentación del Censo Minero esté en estado definitivo, pues se deben incorporar ajustes técnicos y operativos resultantes de los hallazos en la prueba focalizada vía web. Adicionalmente, se está construyendo la estrategia para conseguir financiación del conteo, consulta previa y del operativo censal</t>
  </si>
  <si>
    <t>El aplicativo SIGEV+ODK continúa progresando, y el avance en el hito va de la mano con el avance de la meta que es lograr el fortalecimiento de las Estadísticas Vitales. Los módulos que saldrán en vivo en el ambiente de producción se ubican en varias de las etapas críticas del proceso de la investigación como son el "Acopio" y el "Procesamiento" con actividades encaminadas a revisiones de calidad en diferentes momentos.</t>
  </si>
  <si>
    <t xml:space="preserve">
El GIT de proyecciones de Población y Análisis Demográfico ha realizado exploraciones metodológicas para la distribución de la omisión censal en población étnica a nivel subnacional, se ha iniciado con documentación del diseño metodológico de estimaciones de población étnica  y a realizado  desarrollo y aplicación de técnicas estadísticas para las estimaciones de base de las proyecciones de población NARP
</t>
  </si>
  <si>
    <t xml:space="preserve">El GIT de proyecciones de Población y Análisis Demográfico ha realizado acompañamiento técnico al grupo de temas étnicos del GIT CyEE – DCD </t>
  </si>
  <si>
    <t>Durante el primer trimestre del 2021, el GIT de Proyecciones de Población y Análisis Demográfico ha gestionado las fuentes de información para el análisis de perfiles de consumo de la población.</t>
  </si>
  <si>
    <t>En diseño y revisión de experiencias internacionales</t>
  </si>
  <si>
    <t>Avances en la validación técnico - editorial del estudio de migración interna como parte de la caracterización étnica</t>
  </si>
  <si>
    <t>Se realizó la propuesta técnico económica para la gestión de recursos con cooperación internacional (UNFPA)</t>
  </si>
  <si>
    <t>Se avanzó realizando el boletín de caracterización sociodemográfica del pueblo wayuu, el cual se encuentra en revisión y ajustes para publicación en julio de 2021</t>
  </si>
  <si>
    <t>Adaptación de ficha técnica y elaboración de estudios previos en el marco del plan de acción DANE  - UNFPA</t>
  </si>
  <si>
    <t>Se elaboraron los términos de referencia (estudios previos) del estudio postcensal.</t>
  </si>
  <si>
    <t>Gestión de proveedores y refuerzo a las sinergias interinstitucionales fuentes de información</t>
  </si>
  <si>
    <t>Informe de resultados y consolidación del análisis para su validación como estadística experimental</t>
  </si>
  <si>
    <t>Elaboración y actualización del diagnóstico de desagregación de estadístias a nivel subnacional</t>
  </si>
  <si>
    <t>Estructuración del plan general y documentación metodológica en el marco del proceso estadístico de la entidad bajo el modelo GSBPM</t>
  </si>
  <si>
    <t>Diseño y elaboración del boletín técnico (nota técnica) para difusión</t>
  </si>
  <si>
    <t>Revisión de estrategias de diseño en complemento al indicador de vulnerabilidad sociodemográfica por covid-19 a nivel de manzanas</t>
  </si>
  <si>
    <t>Participación en el taller liderado por Cepal y en las mesas técnicas de trabajo interno con la coordinación de DSCN</t>
  </si>
  <si>
    <t>Se diseñó una propuesta metodologica que se encuentra en constante revisión y complemento por parte del equipo temático</t>
  </si>
  <si>
    <t>Se realizó la planeación del taller de difusión con el pueblo Kogui. El taller se realizará en agosto de 2021. Adicionalmente, se asitió a mesa de trabajo con el Consejo Regional Indígena del Huila, en donde se presentaron los resultados de los resguardos indígenas del departamentos</t>
  </si>
  <si>
    <t>En el segundo trimestre del año 2021, se continuó ajustando de acuerdo a los lineamientos establecidos por DIRPEN, el documento metodológico de la operación estadística  "Censo Habitantes de la Calle".
Se incluyó en el númeral 2.2.3  Cobertura geografica, el anexo N° 1 Municipios CHC 2021,  donde se referencian todos los  444 municipios que hacen parte del universo de estudio.</t>
  </si>
  <si>
    <t>Inicialmente se realiza el ajuste del documento DSO-CHC-CSA-OO1 Diseño de cuadros de salida CHC (1), donde se describen los cuadros  de los datos recolectados, debidamente organizados y diseñados con el propósito de satisfacer los requerimientos de los usuarios.</t>
  </si>
  <si>
    <t xml:space="preserve">Revisión e identificación de secciones que necesitan actualización de acuerdo a los resultados de las pruebas </t>
  </si>
  <si>
    <t xml:space="preserve">Se elaboró el protocolo de Consulta Previa y Relacionamiento con grupos étnicos 
para el conteo de unidades mineras. Adicionalmente,
Se está construyendo el borrador que se le pasará al ministerio solicitando el concepto de viabilidad para realizar una eventual consulta previa </t>
  </si>
  <si>
    <t>En reuniones de trabajo se revisó todo el operativo y se identificaron aspectos que no fueron documentados en la versión inicial del documento, se procede a realizar las actualizaciones correspondientes</t>
  </si>
  <si>
    <t xml:space="preserve">En reunión con los directores técnicos y jefes de grupo para establecer los acuerdos de negocio se solicitó a la oficina de sistemas </t>
  </si>
  <si>
    <t xml:space="preserve">Se está corrigiendo la sección de variables para ajustarlo a los requerimientos del lineamiento DIRPEN y sea coherente con el desarrollo de los indicadores </t>
  </si>
  <si>
    <t>se realizaron los diagramas nivel  1 para empezar con la realización del documento de descripcion de modelo funcional del Censo Minero</t>
  </si>
  <si>
    <t>Todos los días se realizan reuniones de revisión de cuadros de salida en donde se revisa la viabilidad y se proponen ajustes, mejoras y nuevos cuadros</t>
  </si>
  <si>
    <t xml:space="preserve">Se pasó propuesta por fases y de acuerdo al presupuesto que se asigne al proyecto por parte de las entidades del sector minero se realizarán los ajustes pertinentes, para la asignación de presupuesto se está trabajando con las oficinas de planeación de las entidades pendiente reunión con el Ministerio de Minas  </t>
  </si>
  <si>
    <t>El aplicativo SIGEV + ETNICODK -convenio DANE-BLOOMBERG- para el mejoramiento de la producción de la información de estadísticas vitales, 
se encuentra instalado y funcionando en el ambiente de producción, con el siguiente detalle de infraestructura de servidores: 
Aplicativo y bases de datos
 1-lima02.dane.gov.co - dominio: https://sigev.dane.gov.co/SIGEV
 2-sige-scan.dane.gov.co - BD ORACLE
 3-atenas02.dane.gov.co - dominio: https://etnicodk.dane.gov.co/#/login?next=%2F - BD PostgreSQL 
El aplicativo SIGEV fue adicionado al sistema de monitoreo de aplicativos del DANE (WebInject).
La documentación del aplicativo y de la solicitud de paso a producción se encuentra en aplicativo DANE GitLab(CodeVersion)</t>
  </si>
  <si>
    <t>Está actividad culmino en el primer trimestre</t>
  </si>
  <si>
    <t>Presentación de estadísticas experimentales para grupos étnicos</t>
  </si>
  <si>
    <t>Elaboración de función de producción para cada producto teniendo en cuenta la edición de DICE y la producción de mapas de la DIG. Seguimiento semanal</t>
  </si>
  <si>
    <t>Cronograma de trabajo de CNT</t>
  </si>
  <si>
    <t>Desarrollo y adaptación de algoritmos de cálculo y estimación de las CNT por perfiles etareos</t>
  </si>
  <si>
    <t>Se diseñó una propuesta metodologica que se encuentra en constante revisión y complemento por parte del equipo temático. Adicionalmente, se realizó acompañamiento técnico al consejo comunitario La Toma: 
Un documento (PDF) que recoge sugerencias técnicas 
Un formato para la prueba piloto (Excel) que incluye ejemplos y una sugerencia de estructura por componentes para el cuestionario y énfasis en las preguntas (por ejemplo, para el tema de restitución de tierras)
Un documento (PDF) guía que nos ha servido como ejemplo para estas sugerencias, y que puede ser útil también para ustedes como lineamientos para la aplicación de pruebas.
Un archivo (EXCEL) con algunas instrucciones y definiciones en el marco de la definición de un plan de pruebas.</t>
  </si>
  <si>
    <t>Se han identificado diferentes fuentes de mejoramiento del software de proyecciones demográficas para su implementación con técnicas probabilísticas en R</t>
  </si>
  <si>
    <t>Los estudios postcensales se realizarán en el marco del acuerdo de cooperación con UNFPA. Actualmente se está cerrando el plan operativo para posteriormente poner en marcha el desarrollo de los estudios postcensales mediante la contratación de los expertos senior.</t>
  </si>
  <si>
    <t>Se implementaron y socializaron las estimaciones de base que incluyen la omisión censal en grupos poblacionales y territorios étnicos (indígenas y NARP), como resultado de técnicas experimetales, resultados disponibles en la web institucional. Así mismo, se completaron los procesos de certificación de población del primer semetre del año</t>
  </si>
  <si>
    <t>Se avanzó significativamente en la estructuración de la propuesta de registro de población étnica, la cual tiene como insumo principal la metodología que busca fortalecer los autocensos indígenas y de comunidades negras.</t>
  </si>
  <si>
    <t>Se realizó la actualización el documento metodológico de la operación estadística  "Censo Habitantes de la Calle", igualmente se ajusto el documento DSO-CHC-CSA-OO1 Diseño de cuadros de salida CHC (1), con los niveles de desagregación geográfica y temática.</t>
  </si>
  <si>
    <t xml:space="preserve">SE avanza en la actualización de la documentación metodológica de acuerdo a resultados de las pruebas focalizadas y correcciones concertadas con la coordinación de acuerdo al conocimiento de los funcionarios en la realización de censos </t>
  </si>
  <si>
    <t>El Sistema de Información y Gestión de las Estadísticas Vitales - SIGEV, desarrollado en convenio con BLOOMBERG/Vital Strategies, automatiza, unifica y facilita actividades de las fases de acopio, producción, análisis de los datos suministrados por las fuentes, a través de los registros administrativos de nacimientos y defunciones ocurridos en el país.
Las estadísticas vitales se fortalecen con el uso del sistema y su madurez y estabilización en el tiempo.</t>
  </si>
  <si>
    <t>Se implementaron y socializaron las estimaciones de base que incluyen la omisión censal en grupos poblacionales y territorios étnicos (indígenas y NARP), como resultado de técnicas experimetales, resultados disponibles en la web institucional. Así mismo, se completaron los procesos de certificación de población del promer semetre del año</t>
  </si>
  <si>
    <t>Se priorizaron los boletines a ser producidos, a los cuales se les hizo función de producción teniendo en cuenta la edición de DICE y la producción de mapas de la DIG. Dos boletines ya están en edición por parte de DICE y dos boletines están en manos de los revisores internos de la DCD. Cada semana, todos los miércoles, se hace una reunión para revisar y dar aportes a los boletines por parte del equipo de la DCD</t>
  </si>
  <si>
    <t>Participación en talleres de capacitación CNT</t>
  </si>
  <si>
    <t xml:space="preserve">Se cuenta con un instrumento de recolección de información para los procesos de restitución de derechos territoriales. No osbtante, se debe seguir aterrizando a las necesidades de cada proceso judicial. </t>
  </si>
  <si>
    <t>Proceso PES</t>
  </si>
  <si>
    <t>PAI_DSCN_1</t>
  </si>
  <si>
    <t>Aporta de manera indirecta al PEI ya que al ser parte de la oferta de información estadística que requiere el país, contribuye a la formulación y evaluación de la política pública y la toma de decisiones.</t>
  </si>
  <si>
    <t>Una (1) ampliación de la publicación de la matriz insumo producto 2017 para ampliar la capacidad analítica del instrumento, finalizada</t>
  </si>
  <si>
    <t>PAI_DSCN_1.1</t>
  </si>
  <si>
    <t>Un (1) archivo de trabajo con el procesamiento de la información analizada, para la matriz insumo producto, finalizado</t>
  </si>
  <si>
    <t>PAI_DSCN_1.2</t>
  </si>
  <si>
    <t>Un (1) boletín técnico y los anexos de publicación respectivos, para la matriz insumo producto finalizados</t>
  </si>
  <si>
    <t>PAI_DSCN_2</t>
  </si>
  <si>
    <t>El aporte al PEI, está relacionado con la calidad del proceso de producción estadística de la DSCN a través del diseño de dicho indicador para las OOEE a cargo de esta dirección</t>
  </si>
  <si>
    <t>Un (1) diseño de indicador de calidad para las OOEE del Sistema de Cuentas Nacionales, finalizado.</t>
  </si>
  <si>
    <t>PAI_DSCN_2.1</t>
  </si>
  <si>
    <t>Un (1) archivo de trabajo con las variables (dimensiones) para diseñar e implementar un indicador de calidad para las OOEE de cuentas nacionales, finalizado .</t>
  </si>
  <si>
    <t>Se elaboró un (1) archivo de trabajp definiendo las variables que se van a tener en cuenta en el diseño del incicador, así como la primera versión de la asignación de porcentajes propuestos para cada fase del modelo GSBPM e igualmente se elaboró el borrador de la HV del indicador.</t>
  </si>
  <si>
    <t>PAI_DSCN_2.2</t>
  </si>
  <si>
    <t>Un (1) documento con las variables y fórmula de cálculo definido, asi como pilotos de resultados para dos de las OOEE de cuentas nacionales, finalizado.</t>
  </si>
  <si>
    <t>PAI_DSCN_2.3</t>
  </si>
  <si>
    <t>Una (1) Hoja de vida o ficha técnica del indicador, finalizado.</t>
  </si>
  <si>
    <t>PAI_DSCN_3</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</si>
  <si>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</si>
  <si>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Un (1) diseño de la medición de la economía digital en Colombia y la capacidad analítica del sector, finalizado</t>
  </si>
  <si>
    <t>PAI_DSCN_3.1</t>
  </si>
  <si>
    <t>Un (1) cronograma de actividades finalizado</t>
  </si>
  <si>
    <t>Se elaboró el cronograma de actividades porvisional para el diseño de la medición de la economía digital</t>
  </si>
  <si>
    <t>PAI_DSCN_3.2</t>
  </si>
  <si>
    <t xml:space="preserve">Un (1) plan general finalizado </t>
  </si>
  <si>
    <t>Se estructuró el plan general en versión provional, para el diseño de la medición de la economía digital</t>
  </si>
  <si>
    <t>PAI_DSCN_3.3</t>
  </si>
  <si>
    <t>Un (1) documento metodológico y 1 ficha metodológica finalizados</t>
  </si>
  <si>
    <t>PAI_DSCN_4</t>
  </si>
  <si>
    <t>Una (1) ampliación de la publicación de la matriz de contabilidad social 2017, para ampliar la capacidad analítica del instrumento, finalizada</t>
  </si>
  <si>
    <t>PAI_DSCN_4.1</t>
  </si>
  <si>
    <t>Un (1) archivo de trabajo con el procesamiento de la información analizada, para la matriz de contabilidad social finalizado.</t>
  </si>
  <si>
    <t>PAI_DSCN_4.2</t>
  </si>
  <si>
    <t>Un (1) boletín técnico y los anexo de publicación respectivos, para la matriz de contabilidad social finalizados.</t>
  </si>
  <si>
    <t>PAI_DSCN_5</t>
  </si>
  <si>
    <t>Un (1) piloto de procesamiento y resultados de los indicadores trimestrales de actividad económica por departamentos</t>
  </si>
  <si>
    <t>PAI_DSCN_5.1</t>
  </si>
  <si>
    <t>Un (1) archivo con la planeación, diseño y diagnóstico, finalizado</t>
  </si>
  <si>
    <t>PAI_DSCN_5.2</t>
  </si>
  <si>
    <t>Una (1) base con el acopio, compilación y centralización  de estadística básica, finalizada</t>
  </si>
  <si>
    <t>PAI_DSCN_5.3</t>
  </si>
  <si>
    <t>Un (1) informe con ejercicios y resultados para un piloto de 8 departamentos (cálculos preliminares), finalizado</t>
  </si>
  <si>
    <t>PAI_DSCN_6</t>
  </si>
  <si>
    <t>Un (1) diseño de la Cuenta Satélite de Transferencias Intergeneracionales para extender y ampliar la capacidad analítica del envejecimiento poblacional y el crecimiento económico, finalizado</t>
  </si>
  <si>
    <t>PAI_DSCN_6.1</t>
  </si>
  <si>
    <t>Se elaboró el cronograma de actividades de la Cuenta Satélite de Transferencias Intergeneracionales</t>
  </si>
  <si>
    <t>PAI_DSCN_6.2</t>
  </si>
  <si>
    <t>Se avanzó en el plan general de la Cuenta Satélite de Transferencias Intergeneracionales, en los componentes de identificación de necesidades y conceptos</t>
  </si>
  <si>
    <t>PAI_DSCN_6.3</t>
  </si>
  <si>
    <t>Un (1) documento metodológico y una (1) ficha metodológica finalizados</t>
  </si>
  <si>
    <t>PAI_DSCN_7</t>
  </si>
  <si>
    <t>Un (1) diseño de la Cuenta Satélite de Bioeconomía para identificar y medir su participación en el Producto Interno Bruto, finalizado</t>
  </si>
  <si>
    <t>Conpes 3934 de 2018</t>
  </si>
  <si>
    <t>PAI_DSCN_7.1</t>
  </si>
  <si>
    <t>Un (1) cronograma finalizado</t>
  </si>
  <si>
    <t>Se elaboró el cronograma de actividades de la Cuenta Satélite de Bioeconomía</t>
  </si>
  <si>
    <t>PAI_DSCN_7.2</t>
  </si>
  <si>
    <t>PAI_DSCN_7.3</t>
  </si>
  <si>
    <t>Un (1) documento metodológico y una (1) ficha metodológica de la Cuenta Satélite de Bioeconomía, finalizados</t>
  </si>
  <si>
    <t>PAI_DSCN_8</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</si>
  <si>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</si>
  <si>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PAI_DSCN_8.1</t>
  </si>
  <si>
    <t>Se elaboró el cronograma de actividades para el desarrollo de los temas asociados a la Cuenta Satélite de Economía del Cuidado</t>
  </si>
  <si>
    <t>PAI_DSCN_8.2</t>
  </si>
  <si>
    <t>Dos (2) informes de gestión de la Ley 1413 de 2010 publicados</t>
  </si>
  <si>
    <t>Se realizól la publicación del XX informe de gestión de la Ley 1413 en página web</t>
  </si>
  <si>
    <t>PAI_DSCN_8.3</t>
  </si>
  <si>
    <t>Un (1) documento de diseño metodológico y resultados preliminares de la matriz de contabilidad social ampliada, finalizado</t>
  </si>
  <si>
    <t>Se realizó reunión de socialización de avances en la matriz de contabilidad social ampliada a la economía del cuidado, por parte de la Universidad Javeriana y se avanzó en la revisión de documentos teóricos relacionados con la Matriz de Contabilidad Social Ampliada</t>
  </si>
  <si>
    <t>PAI_DSCN_9</t>
  </si>
  <si>
    <t>Un (1) diseño de la Cuenta Satélite de Economía Circular para identificar y medir su participación en el Producto Interno Bruto, finalizado</t>
  </si>
  <si>
    <t>PAI_DSCN_9.1</t>
  </si>
  <si>
    <t>Se elaboró el cronograma de actividades de la Cuenta Satélite de Economía Circular</t>
  </si>
  <si>
    <t>PAI_DSCN_9.2</t>
  </si>
  <si>
    <t>PAI_DSCN_9.3</t>
  </si>
  <si>
    <t>Un (1) documento metodológico y una (1) ficha metodológica de la Cuenta Satélite de Economía Circular, finalizados</t>
  </si>
  <si>
    <t>PAI_DSCN_10</t>
  </si>
  <si>
    <t>Un (1) diseño de la Cuenta Satélite de Instituciones sin fines de lucro para extender y ampliar la capacidad analítica del sector, finalizado</t>
  </si>
  <si>
    <t>PAI_DSCN_10.1</t>
  </si>
  <si>
    <t>Se elaboró el cronograma de actividades de la Cuenta Satélite de Instituciones sin Fines de Lucro</t>
  </si>
  <si>
    <t>PAI_DSCN_10.2</t>
  </si>
  <si>
    <t>Se avanzó en el plan general de la Cuenta Satélite de Instituciones sin Fines de Lucro, en los componentes de identificación de necesidades y conceptos</t>
  </si>
  <si>
    <t>PAI_DSCN_10.3</t>
  </si>
  <si>
    <t>La DSCN elaboró un(1) borrador con la propuesta del indicador que medirá  la calidad de la información generada por la Dirección, este indicador tiene en cuenta cada una de las ocho (8) fases del modeloGSBPM así como cada una de las operaciones estadísticas que pertenecen a la DT, cada fase tiene asignado un % y unas variables que permiten la medición objetiva del mismo. También se inición el borrador de la HV del indicador.</t>
  </si>
  <si>
    <t>Durante el primer trimestre de 2021 el equipo técnico de la DSCN, elaboró el cronograma de trabajo para el diseño de la medición de la economía digital. Así, mismo se estructuró el plan de trabajo para el diseño de la medición de la economía digital en versión provisional.</t>
  </si>
  <si>
    <t>El proceso se ha visto afectado por circunstancias de fuerza mayor, relacionadas con el bienestar del profesional a cargo (consecuencia de dos intervenciones quirúrgicas).  Este documento está en revisión por parte de la dirección técnica.</t>
  </si>
  <si>
    <t>El proceso se ha visto afectado por circunstancias de fuerza mayor, relacionadas con el bienestar del profesional a cargo (consecuencia de dos intervenciones quirúrgicas). Este documento está en revisión por parte de la dirección técnica.</t>
  </si>
  <si>
    <t>Se elaboró el cronograma de actividades de la Cuenta Satélite de Transferencias Intergeneracionales, que incluye las fases del proceso estadístico según el GSBPM, las actividades, productos y responsables, y se avanzó en el plan general, en los componentes de identificación de necesidades y conceptos</t>
  </si>
  <si>
    <t>Se elaboró el cronograma de actividades de la Cuenta Satélite de Bioeconomía, que incluye las fases del proceso estadístico según el GSBPM, las actividades, productos y responsables</t>
  </si>
  <si>
    <t>En el marco del desarrollo de la Cuenta Satélite de Economía del Cuidado, se elaboró el cronograma de actividades para el año 2021, se realizó la publicación del XX informe de gestión de la Ley 1413 y se avanzó en la conceptualización de la Matriz de Contabilidad Social Ampliada</t>
  </si>
  <si>
    <t>Se elaboró el cronograma de actividades de la Cuenta Satélite de Economía Circular, que incluye las fases del proceso estadístico según el GSBPM, las actividades, productos y responsables</t>
  </si>
  <si>
    <t>Se elaboró el cronograma de actividades de la Cuenta Satélite de Instituciones sin Fines de Lucro, que incluye las fases del proceso estadístico según el GSBPM, las actividades, productos y responsables, y avanzó en el plan general, en los componentes de identificación de necesidades y conceptos</t>
  </si>
  <si>
    <t>Se acopia la información de los cuadros oferta y utilización, así como también se transforma la información a matrices cuadradas. Se calcula de forma matricial del modelo para las estimaciones. Se verifica la consistencia de la información.</t>
  </si>
  <si>
    <t>Se definieron las variables para el indicador de calidad para las OOEE de cuentas nacionales</t>
  </si>
  <si>
    <t>Se construyó la propuesta de hoja de vida y fórmula del indicador de calidad para las OOEE de cuentas nacionales</t>
  </si>
  <si>
    <t>Avance del documento metodológico de medición de la economía digital, siguiendo los parámetros y contenidos institucionales definidos en la guía para la elaboración del documento metodológico de operaciones estadísticas.</t>
  </si>
  <si>
    <t>Documentos con los lineamientos del proyecto ITAED (Indicadores trimestrales de actividad económica departamental) en donde se detalla el deber ser, los aspectos metodológicos, la planeación y el diagnóstico.</t>
  </si>
  <si>
    <t>Se elaboró el plan general de la cuenta satélite de transferencias intergeneracionales, de acuerdo a los lineamientos del proceso estadístico</t>
  </si>
  <si>
    <t>Se avanzó en el documento metodológico de la cuenta satélite de transferencias intergeneracionales en el componente de diseño temático</t>
  </si>
  <si>
    <t>Se elaboró el plan general de la cuenta satélite de bioeconomía, de acuerdo a los lineamientos del proceso estadístico</t>
  </si>
  <si>
    <t>Se avanzó en el documento metodológico de la cuenta satélite de bioeconomía en los componentes de diseño temático, diseño estadístico, y diseño de acopio y procesamiento</t>
  </si>
  <si>
    <t>Se elaboró el XXI informe de gestión de la Ley 1413 con corte a 30 de junio y se encuentra en proceso de revisión por parte de la DSCN</t>
  </si>
  <si>
    <t>Con el fin de avanzar en la elaboración del diseño temático para el desarrollo metodológico de la matriz de contabilidad social ampliada, se realizaron las siguientes dos actividades: 1) cuatro capacitaciones (COU´s, CEI y Matrices Quién a Quién, Matriz Insumo Producto y Matriz de Contabilidad Social) en los meses de abril y mayo; 2) avance en la revisión de documentos teóricos relacionados con la Matriz de Contabilidad Social Ampliada.</t>
  </si>
  <si>
    <t>Se elaboró el plan general de la cuenta satélite de economía circular, de acuerdo a los lineamientos del proceso estadístico</t>
  </si>
  <si>
    <t>Se avanzó en el documento metodológico de la cuenta satélite de economía circular en los componentes de diseño temático, diseño estadístico, y diseño de acopio y procesamiento</t>
  </si>
  <si>
    <t>Se elaboró el plan general de la cuenta satélite de instituciones sin fines de lucro, de acuerdo a los lineamientos del proceso estadístico</t>
  </si>
  <si>
    <t>Se avanzó en el documento metodológico de la cuenta satélite de instituciones sin fines de lucro en el componente de diseño temático</t>
  </si>
  <si>
    <t>Los archivos de infomación acopiada se encuentra dentro de:
1. Trabajo equivalente a tiempo completo ciiu 4 para multiplicadores de empleo.xlsx y Matriz MN_2015_Ofer_Corr.xlsm
2. La transfomación de las bases de encuentra en modelo D.R
3. El procesamiento de las bases se encuentra en  acopio.RData</t>
  </si>
  <si>
    <t>Se elaboró la propuesta del indicador de Calidad para las OOEE de la DSCN y se socializó con los coordinadores y la dirección técnica.</t>
  </si>
  <si>
    <t xml:space="preserve">El avance logrado refleja el contenido metodológico relacionado con elementos centrales del diseño de la operación estadística entre los que se destacan la consolidación de necesidades de información digital, la formulación de objetivos y alcance de la operación estadística, el marco teórico y conceptual, los referentes de medición, los estándares estadísticos así como avances en la desagregación temática, la exploración de las fuentes de datos y la exploración metodológica que determinaría el proceso de cálculo de estos resultados, principalmente. </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</si>
  <si>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 El documento de planeación, diseño y diagnóstico del ITAED (Indicadores trimestrales de actividad económica departamental) recogen los lineamientos y aspectos metodológicos a seguir para el desarrollo del proyecto; para elo se hizo una investigación de referentes nacionales e internacionales, diagnóstico de información existente y faltante, y en términos generales de la hoja de ruta a seguir.</t>
  </si>
  <si>
    <t>Se elaboró el plan general de la cuenta satélite de transferencias intergeneracionales, de acuerdo a los lineamientos del proceso estadístico y se avanzó en el documento metodológico en los componentes de diseño temático y diseño estadístico</t>
  </si>
  <si>
    <t>Se elaboró el plan general de la cuenta satélite de bioeconomía, de acuerdo a los lineamientos del proceso estadístico y se avanzó en el documento metodológico en los componentes de diseño temático, estadístico, del acopio y del procesamiento</t>
  </si>
  <si>
    <t>En el marco del desarrollo de la Cuenta Satélite de Economía del Cuidado, se elaboró el XXI informe de gestión de la Ley 1413 de 2010 y se encuentra en proceso de revisión por parte de la DSCN para publicación en el mes de julio; se avanzó en la conceptualización de la Matriz de Contabilidad Social Ampliada(MSCA) por medio de reuniones para analizar temáticas relacionadas con la MCSA y en revisión de literatura.</t>
  </si>
  <si>
    <t>Se elaboró el plan general de la cuenta satélite de economía circular, de acuerdo a los lineamientos del proceso estadístico y se avanzó en el documento metodológico en los componentes de diseño temático, estadístico, del acopio y del procesamiento</t>
  </si>
  <si>
    <t>Se elaboró el plan general de la cuenta satélite de instituciones sin fines de lucro, de acuerdo a los lineamientos del proceso estadístico y se avanzó en el documento metodológico en el componente de diseño temático</t>
  </si>
  <si>
    <t>PAI_DIMPE_1</t>
  </si>
  <si>
    <t>El reporte a cargo del país para la transmisión a la OECD permite la incorporación de Colombia en el cálculo de los PPA - Programas de paridad de poder adquisitivo.</t>
  </si>
  <si>
    <t>Un (1) reporte a cargo del país para la transmisión a la OECD y que permita la incorporación de Colombia en el cálculo de los PPA - Programas de paridad de poder adquisitivo, finalizado.</t>
  </si>
  <si>
    <t>PAI_DIMPE_1.1</t>
  </si>
  <si>
    <t>Un (1) documento para el diseño/ rediseño ajustado.</t>
  </si>
  <si>
    <t>Se desarrolló el Manual de recolección de la canasta de Mobiliario y salud, adaptado los lineamientos y canasta internacional, al mercado colombiano</t>
  </si>
  <si>
    <t>PAI_DIMPE_1.2</t>
  </si>
  <si>
    <t>Un (1) desarrollo de requerimientos , ajustes y pruebas de los diferentes componentes que integran el proceso.</t>
  </si>
  <si>
    <t>Se generaron las especificaciones para adaptar el sistema que permite la recolección del IPC a la canasta de mobiliario y salud</t>
  </si>
  <si>
    <t>PAI_DIMPE_1.3</t>
  </si>
  <si>
    <t xml:space="preserve">Una (1) base de datos de registros recolectados o acopiados. </t>
  </si>
  <si>
    <t>Se inició la recolección de la información remitida correspondientes a I trimestre.</t>
  </si>
  <si>
    <t>PAI_DIMPE_1.4</t>
  </si>
  <si>
    <t>Un (1) procesamiento de la información finalizado.</t>
  </si>
  <si>
    <t>Finalizado el procesamiento de información de Servicios correspondientes a I trimestre. El procesamiento de esta actividad hace realación   a varias canastas remitidas de acuerdo a la OECD. La canasta de servicios es una de ella, pero hay otras canastas por procesar en la medida que ingresen a campo, según el cronograma acordado con la OCED</t>
  </si>
  <si>
    <t>PAI_DIMPE_1.5</t>
  </si>
  <si>
    <t xml:space="preserve">Un (1) proceso de análisis terminado </t>
  </si>
  <si>
    <t>Finalizado el proceso de análisis para remitir información a OECD correspondientes a I trimestre. Las tareas de análisis se refieren a las canastas requeridas por la OCED (son varias recolectadas, procesadas y analizadas en diferentes meses del año, segun el requerimiento OECD). En el primer trimetre se finalizaron las tareas para una de esas canastas, la de servicios</t>
  </si>
  <si>
    <t>PAI_DIMPE_2</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</si>
  <si>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</si>
  <si>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PAI_DIMPE_2.1</t>
  </si>
  <si>
    <t>Un (1) procesamiento de datos.</t>
  </si>
  <si>
    <t xml:space="preserve">Se realizaron ejercicios preliminares para los inflactores de los sectores acueducto, energía, carbón y petróleo del IPI </t>
  </si>
  <si>
    <t>PAI_DIMPE_2.2</t>
  </si>
  <si>
    <t xml:space="preserve"> No se presentan avances .Se solicita ajustes a la OPLAN dado que se ajustan tiempos de acuerdo al cronograma de trabajo del IPI</t>
  </si>
  <si>
    <t xml:space="preserve"> NO APLICA</t>
  </si>
  <si>
    <t>PAI_DIMPE_4</t>
  </si>
  <si>
    <t>Las mejoras realizadas a la operación de SIPSA en cumplimiento de la  de la NTC PE 1000: 2020, aporta indirectamente a la estrategía dado que permite obtener información estadística con atributos de relevancia, oportunidad, exactitud y precisión fortalecidos.</t>
  </si>
  <si>
    <t>Una (1) preparación para la certificación SIPSA</t>
  </si>
  <si>
    <t>PAI_DIMPE_4.1</t>
  </si>
  <si>
    <t>Una (1) documento con la relación de las mejoras realizadas a la operación de SIPSA en cumplimiento a la nueva norma técnica.</t>
  </si>
  <si>
    <t>Se realizó  avances sobre el  documento que relaciona las mejoras realizadas a la operación del SIPSA</t>
  </si>
  <si>
    <t>PAI_DIMPE_5</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</si>
  <si>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t>
  </si>
  <si>
    <t>Un (1) aprovechamiento de registros administrativos en convenio con FEDEGAN para mejorar marcos y  producir nueva información.</t>
  </si>
  <si>
    <t>PAI_DIMPE_5.1</t>
  </si>
  <si>
    <t>Un (1) procesamiento de las bases de datos</t>
  </si>
  <si>
    <t xml:space="preserve">Se han desarrollado reuniones de trabajo conjunto con FEDEGAN FNG.
Se conforma un grupo interno para la identificación de necesidades de información relacionadas a los registros administrativos del gremio (Directorios, Marco Maestro Rural, Proyecto CAF, Marco de Leche)  </t>
  </si>
  <si>
    <t>PAI_DIMPE_5.2</t>
  </si>
  <si>
    <t>Una (1) muestra seleccionada a partir del marco muestral actualizado con el registro administrativo</t>
  </si>
  <si>
    <t>PAI_DIMPE_5.3</t>
  </si>
  <si>
    <t>Un (1) cuadros de salida con nuevos resultados a partir de los registros administrativos</t>
  </si>
  <si>
    <t>PAI_DIMPE_6</t>
  </si>
  <si>
    <t>La operación estadística ECSC que implementa un módulo de ciberdelitos, aporta indirectamente al PEI permitiendo obtener información estadística con atributos de relevancia, oportunidad, exactitud y precisión fortalecidos.</t>
  </si>
  <si>
    <t>Una (1) operación estadística ECSC (Encuesta de Convivencia y Seguridad Ciudadana) que implementa un módulo de ciberdelitos para entregar información estadística</t>
  </si>
  <si>
    <t>PAI_DIMPE_6.1</t>
  </si>
  <si>
    <t>Durante el primer trimestre se avanzó en la elaboración de los ajustes requeridos al documento metodológico, de acuerdo con las mejoras realizadas al instrumento de recolección de la encuesta con la inclusión del módulo de ciberdelitos.</t>
  </si>
  <si>
    <t>PAI_DIMPE_6.2</t>
  </si>
  <si>
    <t>Un (1) desarrollo de normas de validación y consistencia</t>
  </si>
  <si>
    <t>Durante el primer trimestre se elaboraron las normas de validación para la realización de la prueba piloto de la inclusión del módulo de ciberdelitos en la Encuesta de Convivencia y Seguridad Ciudadana.</t>
  </si>
  <si>
    <t>PAI_DIMPE_6.3</t>
  </si>
  <si>
    <t xml:space="preserve">Una (1) base de datos recolectados o acopiados. </t>
  </si>
  <si>
    <t>PAI_DIMPE_6.4</t>
  </si>
  <si>
    <t>Un (1) procesamiento de cuadros de salida finalizados</t>
  </si>
  <si>
    <t>PAI_DIMPE_6.5</t>
  </si>
  <si>
    <t xml:space="preserve">Un (1) boletín técnico de resultados terminados </t>
  </si>
  <si>
    <t>PAI_DIMPE_7</t>
  </si>
  <si>
    <t>La operación estadística (IPP) permite estandarizar el clasificador con el cual se recolecta y analiza la información aportando alrededor de un 20% las tareas de rediseño.</t>
  </si>
  <si>
    <t>PAI_DIMPE_7.1</t>
  </si>
  <si>
    <t>Se documentó el procedimiento para la selección de la muestra en las procedencias de X e M,que a su vez, permiten definir la actualización de las fuentes y artículos por recolectar, con el fin de depurar la recolección realizada en CPC 1 y continuar con la misma en la codificación CPC 2, asegurando la necesidad de información en el índice</t>
  </si>
  <si>
    <t>PAI_DIMPE_7.2</t>
  </si>
  <si>
    <t>PAI_DIMPE_7.3</t>
  </si>
  <si>
    <t>PAI_DIMPE_8</t>
  </si>
  <si>
    <t>El enfoque de informalidad con la GEIH para la  actualización de nuevos estandares internacionales en materia de medición de la informalidad, aporta indirectamente al objetivo dado que permite obtener información estadística con atributos de relevancia, oportunidad, exactitud y precisión fortalecidos.</t>
  </si>
  <si>
    <t>PAI_DIMPE_8.1</t>
  </si>
  <si>
    <t>PAI_DIMPE_8.2</t>
  </si>
  <si>
    <t>PAI_DIMPE_9</t>
  </si>
  <si>
    <t>El documento preliminar para la de medición de teletrabajo y trabajo en casa.</t>
  </si>
  <si>
    <t>1 Detección y análisis de necesidades</t>
  </si>
  <si>
    <t>Una (1) documento preliminar para la de medición de teletrabajo y trabajo en casa</t>
  </si>
  <si>
    <t>PAI_DIMPE_9.1</t>
  </si>
  <si>
    <t>Una (1) detección y análisis de requerimientos</t>
  </si>
  <si>
    <t>PAI_DIMPE_10</t>
  </si>
  <si>
    <t>El ajuste de la metodología y el formulario permitirá mejorar la consistencia de la información económica reportada por las empresas que hacen parte del régimen cambiario especial.</t>
  </si>
  <si>
    <t xml:space="preserve">Una (1) metodología y formulario de la EAID ajustado para mejorar la información que reportan las empresas de régimen cambiario especial </t>
  </si>
  <si>
    <t>PAI_DIMPE_10.1</t>
  </si>
  <si>
    <t xml:space="preserve">Se han realizado las sesiones de trabajo con el Banco de la República con el fin de conocer la estimación que realiza esta entidad relacionada con las variables de flujos y saldos de inversión del sector minería y petrolero. </t>
  </si>
  <si>
    <t>PAI_DIMPE_10.2</t>
  </si>
  <si>
    <t>1 Desarrollo de requerimientos , ajustes y pruebas de los diferentes componentes que integran el proceso.</t>
  </si>
  <si>
    <t xml:space="preserve">El equipo técnico ha realizado sesiones de trabajo para evaluar los cambios en el formulario de la EAID. </t>
  </si>
  <si>
    <t>PAI_DIMPE_11</t>
  </si>
  <si>
    <t>La implementación de la encuesta de levantamiento de directorio, permitrirá contar con el listado de empresas que serán objeto de la Encuesta Mensual de Comercio Exterior de Servicios en el año 2022.</t>
  </si>
  <si>
    <t>Una (1) encuesta de levantamiento de directorio para comercio exterior de servicios</t>
  </si>
  <si>
    <t>PAI_DIMPE_11.1</t>
  </si>
  <si>
    <t>Un (1) desarrollo de requerimientos, ajustes y pruebas de los diferentes componentes que integran el proceso.</t>
  </si>
  <si>
    <t>PAI_DIMPE_11.2</t>
  </si>
  <si>
    <t>PAI_DIMPE_11.3</t>
  </si>
  <si>
    <t>PAI_DIMPE_11.4</t>
  </si>
  <si>
    <t>Tareas a cargo del GIT de Precios, se procesó y analizó la información de la canasta recolectada de Servicios y se generó la adaptación de los lineamientos internacionales y canasta del PPA OECD para mobiliario y salud, al tiempo que se diseñó la recolección, utilizando el aplicativo IPC
Las tareas se desarrollaron desde el 15 de enero del presente y de manera recuerrente hasta el 30 de marzo de 2021</t>
  </si>
  <si>
    <t>El  Grupo Interno de Trabado de Industria realizó avances nen el  procesamiento cálculo inflactores IPI entre los meses de enero a marzo 2021.</t>
  </si>
  <si>
    <t xml:space="preserve"> No se presentan avances .Se solicita ajustes a la OPLAN dado que se ajustaron tiempos de acuerdo al cronograma de trabajo del IPI</t>
  </si>
  <si>
    <t>El equipo del GIT Temática Agropecuaria realizó y entregó avances en el documento que describe las mejoras de la operación SIPSA en cumplimiento de la nueva norma técnica</t>
  </si>
  <si>
    <t xml:space="preserve">
El Grupo Temático de la  GIT Temática Agropecuaria realizó la identificación de variables de interés asociadas a las necesidades de información DANE, asi como ejercicios de caracterización inicial de las bases de Excel que contienen la Encuesta de Caracterización Ganadera para 1er y 2do semestre de 2020. Adicionalmente, Grupo de Diseños Muestrales realizó ejercicios de identificación de variables y comprensión de la base de datos entregada por FEDEGAN FNG, que contiene las tablas correspondientes a los registros administrativos RUV y APNV, junto con la Encuesta de Caracterización Ganadera. Ademas se trabajó en el aprovechamiento de la información para generar la muestra para el 1er Ciclo de Vacunación 2021.
"-Para la entrega de la actualización de la información con la actualización del II Ciclo de vacunación 2020, FEDEGAN FNG requirió de un tiempo adicional para verificar la consistencia y completitud de la entrega de la información.
-En DANE Central, se presentan retrasos asociados al número de tablas entregadas por FEDEGAN (aproximadamente 300 tablas). Adicionalmente, esta información venía en formato Oracle, por lo cual requirió un tiempo adicional para incorporar la información en DANE central. "</t>
  </si>
  <si>
    <t>"-Para la entrega de la actualización de la información con la actualización del II Ciclo de vacunación 2020, FEDEGAN FNG requirió de un tiempo adicional para verificar la consistencia y completitud de la entrega de la información.
-En DANE Central, se presentan retrasos asociados al número de tablas entregadas por FEDEGAN (aproximadamente 300 tablas). Adicionalmente, esta información venía en formato Oracle, por lo cual requirió un tiempo adicional para incorporar la información en DANE central. "</t>
  </si>
  <si>
    <t>Esta pendiente la revisión por parte de OPLAN.</t>
  </si>
  <si>
    <t>NO APLICA,  No se presentan avances .Se solicita ajustes a la OPLAN dado que se ajustaron tiempos de acuerdo al cronograma de trabajo del GIT</t>
  </si>
  <si>
    <t>Tareas a cargo del GIT de PRecios y diseños  muestrales.  Con el fin de depurar el directorio de fuentes, sin afectar la comunicación con las mismas, se ha desarrollado la estratégia de actualizar las fuentes y artículos que deben ser recolectados por el índice y permitir que logistica se comunique con las fuentes para continuar con las tomas de precios de artículos en CPC 2, sin correr el riesgo de excluirlas del proceso cuando verdaderamente deben estarse incluyendo.  Tareas de revisión de la documentación y sistemátización de todo el proceso de selección realizadas en el primer trimestre del año.</t>
  </si>
  <si>
    <t>El equipo técnico de la Encuesta Anual de Inversión Directa realizó las sesiones de trabajo con el Banco de la República con el fin de conocer la estimación que realiza esta entidad relacionada con las variables de flujos y saldos de inversión del sector minería y petrolero esto se llevó a cabo durante el I trimestre del 2021.</t>
  </si>
  <si>
    <t>En desarrollo del Manual de recolección de la canasta de Alimentos y bebidas, adaptado los lineamientos y canasta internacional, al mercado colombiano</t>
  </si>
  <si>
    <t>Se generaron las especificaciones para adaptar el sistema que permite la recolección del IPC a la canasta de alimentos</t>
  </si>
  <si>
    <t>Se finalizó la recolección de la información remitida correspondientes a II trimestre.</t>
  </si>
  <si>
    <t xml:space="preserve">Finalizado el procesamiento de información de muebles y artículos de la salud, correspondientes al II trimestre. El procesamiento de esta actividad hace relación   a varias canastas remitidas de acuerdo a la OECD. </t>
  </si>
  <si>
    <t>Durante el segundo trimestre de 2021 el equipo de temática en conjunto con el equipo de deflactores viene trabajando en la construcción de los inflactores necesarios para obtener las cifras del IPI en términos nominales.
-Se realizo ejercicio de inflactor de petróleo con información de exportaciones suministrada por logística comercio exterior del DANE, el cual fue presentado ante la Doctora Dora asesora de dirección quien solicito que se amplié la información de precios de petróleo que es utilizado para consumo interno; para cumplir con esto se realizo solicitud de información de petróleo a la oficina de índices específicamente a IPP
-Se realizo ejercicio del inflactor de carbón con información de exportaciones suministrada por logística de comercio exterior del DANE el cual fue presentado ante la Doctora Dora asesora de dirección quien dio su aprobación para dicho inflactor con una cobertura del 94%
-Por medio de la Oficina de DIRPEN y bajo el acuerdo entre el DANE  gestor de gas se nos asigno usuarios y contraseña para acceder a la plataforma de SEGAS
-Se realizo solicitud de directorio de fuentes de acueducto y gas a IPC y de petróleo y gas a IPP</t>
  </si>
  <si>
    <t>Se realizó  avances sobre el  documento que relaciona las mejoras realizadas a la operación del SIPSA, durante el segundo trimestre 2021</t>
  </si>
  <si>
    <t xml:space="preserve">Se han desarrollado reuniones de trabajo conjunto con FEDEGAN FNG.
Se ha revisado semanalmente los reportes entregado por FEDEGAN, del I Ciclo de vacunación 2021 .
Se genera una propuesta de validación para la encuesta de caracterización ganadera.
 </t>
  </si>
  <si>
    <t>Se han adelantado ejercicios de caracterización para determinar estructuras de conformación del hato bovino en relación con la orientación.</t>
  </si>
  <si>
    <t>Durante el segundo trimestre se avanzó en  el proceso de revisión de pares y ajustes a las observaciones por parte de DIRPEN y Subdirección. Esta pendiente la revisión por parte de OPLAN.</t>
  </si>
  <si>
    <t>Con los ajustes realizados tras la prueba piloto se elaboraron las especificación de validación y consistencia al instrumento de recolección de ECSC</t>
  </si>
  <si>
    <t>Se inicio la recolección de información de la encuesta a partir del 1 de junio de 2021</t>
  </si>
  <si>
    <t>Se documentó el procedimiento para la selección de la muestra en las procedencias de X e M,que a su vez, permiten definir la actualización de las fuentes y artículos por recolectar, con el fin de depurar la recolección realizada en CPC 1 y continuar con la misma en la codificación CPC 2, asegurando la necesidad de información en el índice. (El procedimiento fue objeto de ajuste teniendo en cuenta la dificultad de trabajar con el SA en comercio exterior)</t>
  </si>
  <si>
    <t>La Oficina de Sistemas procesó la información y dispuso las bases de datos preliminares de enero a mayo de 2021 del Paralelo de la GEIH (marco 2018) durante el mes de junio, teniendo en cuenta las preguntas que se incluyeron en el Formulario de Recolección para la clasificación de la población ocupada, en el marco de la actualización de nuevos estándares internacionales en materia de medición de la informalidad.</t>
  </si>
  <si>
    <t>Se realiza trabajo coordinado con el banco de la republica entorno a la finalización de la encuesta y con base a los resultados para verificar la coherencia de los datos para establecer las lecciones aprendidas del diseño de la OE, Lo anterior, es insumo para la construcción de los documentos metodológicos</t>
  </si>
  <si>
    <t>El equipo técnico realizó los ajustes generales y el desarrollo de especificaciones de los  requerimientos y  ajustes  del aplicativo para el  formulario de la EAID de las empresas de régimen cambiario especial,  dando cumplimiento a este hito</t>
  </si>
  <si>
    <t xml:space="preserve">El equipo temático de la Muestra Trimestral de Comercio Exterior de Servicios- MTCES, realizó los archivos de especificaciones necesarios para el diseño del formulario de la Encuesta de Levantamiento de directorio, lo cual es parte de los productos entregables al momento del los desembolso del convenio para la realización del operativo . </t>
  </si>
  <si>
    <t>No se presenta avance</t>
  </si>
  <si>
    <t>Tareas a cargo del GIT de Precios, se procesó y analizó la información de la canasta recolectada de muebles y artículos de la salud y se generó la adaptación de los lineamientos internacionales y canasta del PPA OECD para alimentos, al tiempo que se diseñó la recolección, utilizando el aplicativo IPC
Las tareas se desarrollaron desde abril y hasta el ultimo día hábil de junio de 2021</t>
  </si>
  <si>
    <t>Durante el primer semestre de 2021 el equipo de temática en conjunto con el equipo de deflactores viene trabajando en la construcción de los inflactores necesarios para obtener las cifras del IPI en términos nominales.
-Se realizo ejercicio preliminar del inflactor de  energía con información de XM, el cual fue presentado ante la Doctora Dora asesora de dirección quien solicito ejercicios adicionales.
-Se realizo ejercicio de inflactor de petróleo con información de exportaciones suministrada por logística comercio exterior del DANE, el cual fue presentado ante la Doctora Dora asesora de dirección quien solicito que se amplié la información de precios de petróleo que es utilizado para consumo interno; para cumplir con esto se realizo solicitud de información de petróleo a la oficina de índices específicamente a IPP
-Se realizo ejercicio del inflactor de carbón con información de exportaciones suministrada por logística de comercio exterior del DANE el cual fue presentado ante la Doctora Dora asesora de dirección quien dio su aprobación para dicho infractor con una cobertura del 94%
-Por medio de la Oficina de DIRPEN y bajo el acuerdo entre el DANE  gestor de gas se nos asigno usuarios y contraseña para acceder a la plataforma de SEGAS
-Se realizo ejercicio de infractor de acueducto con información de EAAB, EPM y EMCALI, el cual fue presentado ante la Doctora Dora asesora de dirección quien solicito que se amplié la cobertura; para cumplir con esto se realizo solicitud del directorio de fuentes de información oficina de índices específicamente a IPC</t>
  </si>
  <si>
    <t>"-El grupo de Diseños Muestrales y el grupo de Diseño Temático han realizado el seguimiento y análisis a los registros administrativos y a la encuesta correspondientes al I ciclo de vacunación bovino y bufaino de 2021, como resultado de esta actividad se han relacionado a FEDEGAN los hallazgos encontrados en relación con duplicados RUV, APNV y Encuesta de Caracterización Ganadera.  También se han relacionado posibles inconsistencias registradas en la Encuesta, sobre este particular el DANE ha desarrollado una propuesta de validación para la Encuesta que debe ser analizada por FEDEGAN e ICA, para posteriormente tomar las decisiones correspondientes. 
-Se verificó la completitud de las tablas y fue generada una solicitud a la Oficina de Sistemas del DANE para realizar un cotejo porque las longitudes de las tablas eran diferentes a las entregadas por FEDEGAN
-El grupo de Directorios y la DIG realizaron la actualización correspondiente al Marco Maestro Rural Agropecuario y Directorios de las demás operaciones estadística. "</t>
  </si>
  <si>
    <t>Durante el segundo trimestre, el equipo técnico de la ECSC realizó los ajustes requeridos al documento metodológico a partir de la prueba piloto, así como al formulario de recolección con la inclusión del modulo de ciberdelitos y las preguntas para el convenio de la policía. En articulación con los equipos de sistemas, muestras, logistica,y dice, se realizó el proceso de convocatoria, aprendizaje, selección y contratación de personal para el inicio del operativo de campo, el cual comenzó desde el 1 de junio.</t>
  </si>
  <si>
    <t>Se encuentra pendiente la revisión por pares de la OPLAN para dar  continuidad al proceso de actualización</t>
  </si>
  <si>
    <t>Tareas a cargo del GIT de Precios y diseños  muestrales.  Con el fin de depurar el directorio de fuentes, sin afectar la comunicación con las mismas, se ha desarrollado la estrategia de actualizar las fuentes y artículos que deben ser recolectados por el índice y permitir que logística se comunique con las fuentes para continuar con las tomas de precios de artículos en CPC 2, sin correr el riesgo de excluirlas del proceso cuando verdaderamente deben estarse incluyendo.  Tareas de revisión de la documentación y verificación de resultados generados durante el segundo trimestre de este año, encontrando que el uso de la posición arancelaria representó un reto a la hora de valorar lo pesos por artículo, en las canastas de importados y exportados</t>
  </si>
  <si>
    <t>La Oficina de Sistemas procesó la información y dispuso las bases de datos preliminares de enero a mayo de 2021 del Paralelo de la GEIH (marco 2018) durante el mes de junio, teniendo en cuenta las preguntas que se incluyeron en el Formulario de Recolección para la clasificación de la población ocupada, en el marco de la actualización de nuevos estándares internacionales en materia de medición de la informalidad. Estos resultados parciales han sido revisados por los GIT Temática Mercado Laboral y Diseños Muestrales y presentados en el comité semanal.</t>
  </si>
  <si>
    <t xml:space="preserve">El GIT de comercio durante el II semestre trabajó en la finalización de la encuesta con base a los resultados, esto permitirá verificar la coherencia de los datos para establecer las lecciones aprendidas del diseño de la OE, Lo anterior, es insumo para la construcción de los documentos metodológicos, </t>
  </si>
  <si>
    <t>No se cuenta con personal temático que desarrolle los documentos metodológicos de la OOEE</t>
  </si>
  <si>
    <t xml:space="preserve">El equipo Temático de la Muestra Trimestral de Comercio Exterior de Servicios -MTCES ya trabajó y ha avanzado en la realización de los productos entregables estipulados para los desembolsos del convenio que a la fecha esta en revisión de términos y minuta por parte del BID para su firma y por consiguiente la entrega de los productos. El equipo temático de la MTCES ya tiene los archivos de especificaciones necesarias para el desarrollo del del formulario de recolección del operativo de levantamiento de directorio. 
</t>
  </si>
  <si>
    <t xml:space="preserve">Se encuentra a la espera de la firma y por consiguiente los desembolsos del Convenio que financiará la realización del operativo de recolección de la Encuesta de Levantamiento de Directorio de Comercio Exterior de Servicios </t>
  </si>
  <si>
    <t>Se encuentra a la espera de la firma y por consiguiente los desembolsos del Convenio que financiará la realización del operativo de recolección de la Encuesta de Levantamiento de Directorio de Comercio Exterior de Servicios</t>
  </si>
  <si>
    <t>PAI_DT_1</t>
  </si>
  <si>
    <t>La meta aporta al objetivo de modernizar la gestión territorial del DANE, dado que el esquema de seguimiento de actividades permite fortalecer los procesos y proyectos suministrando información oportuna para la tomas de decisiones.</t>
  </si>
  <si>
    <t>Un (1) esquemas de seguimiento de las actividades de las Direcciones Territoriales</t>
  </si>
  <si>
    <t>PAI_DT_1.1</t>
  </si>
  <si>
    <t>Un (1) documento con el análisis de referentes (benchmarking) y la identificación de los requerimientos, finalizado</t>
  </si>
  <si>
    <t>Las direcciones territoriales realizaron un análisis de los procesos que mayor desgaste generan en las territoriales con el fin de buscar desarrollar una herramienta tecnológica que permita llevar un mayor control sobre el flujo del trabajo.  Con base en este análisis proyectaron un requerimiento al área de sistemas, el cual se viene ajustando en conjunto con base en lo que actualmente se tiene disponible</t>
  </si>
  <si>
    <t>PAI_DT_1.2</t>
  </si>
  <si>
    <t>Un (1) documento de diseño del esquema, finalizado</t>
  </si>
  <si>
    <t>Las direcciones territoriales realizaron una propuesta de esquema como Diagrama de Flujo de la herramienta a desarrollar a la oficina de sistemas, el cual también está siendo usado como insumo en los análisis que se vienen realizando</t>
  </si>
  <si>
    <t>PAI_DT_1.3</t>
  </si>
  <si>
    <t xml:space="preserve">Una (1) fase del diseño, implementada </t>
  </si>
  <si>
    <t>PAI_DT_2</t>
  </si>
  <si>
    <t>El ciclo de capacitaciones aporta directamente a la meta PEI_E21, aumentando el conocimiento de los servidores respecto a la misionalidad de la entidad.</t>
  </si>
  <si>
    <t>Un (1) ciclo de capacitaciones en las Direcciones Territoriales, realizado.</t>
  </si>
  <si>
    <t>PAI_DT_2.1</t>
  </si>
  <si>
    <t>Una (1) matriz de identificación de las necesidades de capacitación y grupos de interés, finalizado</t>
  </si>
  <si>
    <t>Las direcciones territoriales fueron convocadas por OPLAN y el área de GH para presentar las necesidades de capacitación o refuerzos de conceptos que se observan en el personal de las territoriales.  Estas necesidades fueron remitidas oportunamente y están sirviendo como insumo en la consolidación de un plan de capacitación único para las territoriales
DT_Manizales:  Internamente en la Dirección Territorial Centro Occidente, se realizó una indagación acerca de las necesidades de capacitación vs. el Plan Institucional de
 Capacitación - PIC, establecido en la Entidad.
DT Cali: La DTN encuestó a responsables de procesos y demas personal de la DTN, determinando las necesidades de capacitación bajo las dos ópticas y por grupos de interés.</t>
  </si>
  <si>
    <t>PAI_DT_2.2</t>
  </si>
  <si>
    <t>Asistencia del personal de las territoriales al ciclo de capacitación agendado por DANE Central, cumplido</t>
  </si>
  <si>
    <t>PAI_DT_2.3</t>
  </si>
  <si>
    <t>Evidencias del ciclo de capacitaciones, cumplido</t>
  </si>
  <si>
    <t>PAI_DT_3</t>
  </si>
  <si>
    <t>Aporta indirectamente al PEI_E15, con lo cual se pretende crear espacios de cooperación institucional que brinden a las partes beneficios de carácter misional y operativo</t>
  </si>
  <si>
    <t xml:space="preserve">Catorce (14) acuerdos con universidades o centros culturales, para fortalecer actividades operativas de las sedes en el territorio, formalizados.  </t>
  </si>
  <si>
    <t>PAI_DT_3.1</t>
  </si>
  <si>
    <t>Dos (2) convenios realizado por la Dirección Territorial Centro - Bogotá</t>
  </si>
  <si>
    <t>Se trabajó en el establecimiento de los lineamientos para la generación de convenios entre las territoriales y OPLAN, así mismo, se generaron comunicaciones con entidades en Villavicencio y Tunja</t>
  </si>
  <si>
    <t>PAI_DT_3.2</t>
  </si>
  <si>
    <t>Tres (3) convenios realizados por la Dirección Territorial Sur Occidental - Cali</t>
  </si>
  <si>
    <t>PAI_DT_3.3</t>
  </si>
  <si>
    <t>Dos (2) convenios realizados por la Dirección Territorial Centro Occidente - Manizales</t>
  </si>
  <si>
    <t>PAI_DT_3.4</t>
  </si>
  <si>
    <t>Cuatro (4) convenios realizados por la Dirección Territorial Noroccidente - Medellín</t>
  </si>
  <si>
    <t>PAI_DT_3.5</t>
  </si>
  <si>
    <t>Un (1)  convenio realizado por la Dirección Territorial Centro Oriente - Bucaramanga</t>
  </si>
  <si>
    <t>DT Bucaramanga: El 16 de febrero se estableció contacto conla Gobernacion de Santander para desarrollar un Convenio Interadministrativo con el fin fomentar la cultura estadistica en el Dpto y sus usuarios que son los municipios. A partir de alli se han desarrollado (3) reuniones de trabajo con DIRPEN y Banco de Datos DANE CENTRAL con el fin de avanzar en el desarrollo tecnico y juridico del Convenio</t>
  </si>
  <si>
    <t>PAI_DT_3.6</t>
  </si>
  <si>
    <t>Dos (2) convenios realizados por la Dirección Territorial Norte - Barranquilla</t>
  </si>
  <si>
    <t>PAI_DT_4</t>
  </si>
  <si>
    <t>Las fichas de manual de funciones aporta indirectamente al PEI en un 2%, dando cumplimiento al objetivo estratégico de mejorar el bienestar, las competencias y las habilidades de los servidores y estará ajustado a las directrices vigentes del área de Gestión Humana</t>
  </si>
  <si>
    <t>Fichas de manual de funciones para las Direcciones Territoriales acordes a los lineamientos establecidos por Gestión Humana, realizadas</t>
  </si>
  <si>
    <t>PAI_DT_4.1</t>
  </si>
  <si>
    <t xml:space="preserve">Un (1) documento de identificación de necesidades de perfiles, competencias y funciones de las Direcciones Territoriales para el cumplimiento de su quehacer, finalizado </t>
  </si>
  <si>
    <t>Las direcciones territoriales presentaron a la Dirección Nacional una propuesta de estructura ideal en las territoriales de acuerdo a las actividades que allí se realizan, la cual está siendo analizada desde GH sin recibir una aprobación.  Teniendo en cuenta dichas necesidades y el trabajo requerido para ajustar los manuales se creo una matriz global que permite articular las necesidades territoriales para ajustar propósito, funciones, competencias y núcleos básico del conocimiento de todos los cargos</t>
  </si>
  <si>
    <t>PAI_DT_4.2</t>
  </si>
  <si>
    <t>Un (1) documento soporte de la revisión de la existencia de la necesidad en las fichas de los manuales existentes, desarrollado</t>
  </si>
  <si>
    <t>En conjunto con todas las territoriales se creo una matriz con la información de las necesidades de ajuste, articulación y normalización del manual requerido teniendo en cuenta las necesidades de personal</t>
  </si>
  <si>
    <t>PAI_DT_4.3</t>
  </si>
  <si>
    <t>Un (1) documento con la propuesta de Fichas de manual de funciones para las Direcciones Territoriales, elaborado</t>
  </si>
  <si>
    <t>Las direcciones territoriales han presentado en conjunto una propuesta a la oficina de sistemas, en la cual se plantea un esquema y un flujograma para el desarrollo de una herramienta que permita hacer gestión en las territoriales.  Esta propuesta está siendo analizada por la oficina de sistemas y venimos trabajando en conjunto para consolidar una propuesta definitiva que sea realizable y en la cual se haga uso de los recursos y herramientas que tenemos disponibles actualmente</t>
  </si>
  <si>
    <t xml:space="preserve">Las direcciones territoriales trabajaron de la mano con OPLAN y GH la identificación de necesidades del personal respecto a capacitaciones y refuerzo de conceptos.  </t>
  </si>
  <si>
    <t>Las direcciones territoriales buscan a través de estos convenios tener alternativas para atender diferentes necesidades que se han evidenciado, a la vez que se fortalecen las relaciones con otras entidades en el territorio.  Actualmente estamos en acercamientos con las instituciones educativas identificadas mientras se define un formato de acuerdo por parte de todas las áreas del DANE involucradas en este proceso.</t>
  </si>
  <si>
    <t>Las direcciones territoriales presentaron una propuesta de estructura ideal en las territoriales que está siendo analizada por GH.  Adicionalmente, se creo un archivo que articula las necesidades de personal con los manuales actuales para su fortalecimiento</t>
  </si>
  <si>
    <t>El hito no se reporta en un 100% debido a que la propuesta presentada por las direcciones territoriales aún no ha sido aprobada por GH</t>
  </si>
  <si>
    <t>Se presento un avance el I trimestre</t>
  </si>
  <si>
    <t>Los servidores de las Direcciones Territoriales haciendo usos de las TIC, participaron en las capacitaciones programadas por Gestión Humana que tenían como objetivo fortalecer las competencias y habilidades en temas claves de la gestión institucional. Adicionalmente las Direcciones Territoriales realizaron capacitaciones extensivas del SGSST de la Entidad cumpliendo los lineamientos normativos dirigidas a todo el personal.</t>
  </si>
  <si>
    <t xml:space="preserve">Las Direcciones Territoriales adelantaron durante el trimestre a través de un instrumento colaborativo y el planteamiento centrado en la función de producción, un ejercicio con múltiples revisiones que contiene las fichas de manual de todos roles asociados a  las actividades adelantadas en la cadena de valor del proceso administrativo y operativo de las territoriales. Esta actividad contó con la colaboración y acompañamiento de Gestión Humana. </t>
  </si>
  <si>
    <t xml:space="preserve">En cumplimento del ciclo de capacitación definido en articulación con Gestión Humana y OPLAN, las Direcciones Territoriales con el compromiso permanente de lograr que el equipo humano este en constate fortalecimiento de conocimientos y habilidades esenciales para el cumplimiento de su labor, participaron en los diferentes espacios de capacitación organizados por el DANE CENTRAL. </t>
  </si>
  <si>
    <t xml:space="preserve">Las direcciones territoriales buscan a través de estos convenios tener alternativas para atender diferentes necesidades que se han evidenciado, a la vez que se fortalecen las relaciones con otras entidades en el territorio.  Actualmente estamos en acercamientos con las instituciones educativas identificadas para llegar a acuerdos de cooperación. </t>
  </si>
  <si>
    <t xml:space="preserve">Las Direcciones territoriales durante el II trimestre adelantaron un ejercicio colaborativo que permitió como resultado obtener un instrumento de Manual de Funciones Territorial, el cual fue revisado múltiples veces por el equipo asignado y los funcionarios de Gestión Humana delegados con el objetivo de garantizar armonía, estandarización y una visión sistemática territorial.  </t>
  </si>
  <si>
    <t>PAI_DT CALI_1</t>
  </si>
  <si>
    <t>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t>
  </si>
  <si>
    <t>Un (1) aplicativo para el control de inventario de elementos devolutivos asignados a contratistas desarrollado e implementado</t>
  </si>
  <si>
    <t>PAI_DT CALI_1.1</t>
  </si>
  <si>
    <t>Un (1) documento de especificaciones para la realización de pruebas funcionales al aplicativo elaborado</t>
  </si>
  <si>
    <t>Los profesionales de sistemas de la Dirección Territorial elaboraron un documento de especificaciones para las prubeas funcionales del aplicativo, en donde se explican detalladamente las 16 tareas a desarrollar, los resultados esperados y los pre-requisitos para cada una de ellas. Este documento contiene instrucciones de manejo de la plataforma y campos para el diligenciamiento por parte de los usuarios de prueba.</t>
  </si>
  <si>
    <t>PAI_DT CALI_1.2</t>
  </si>
  <si>
    <t>Un (1) informe de resultado de las pruebas finalizado</t>
  </si>
  <si>
    <t>Los profesionales de sistemas de la Dirección Territorial Sur Occidente seleccionaron aleatoriamente a algunos asistentes técnicos, realizaron un entrenamiento vía videollamada, enviaron el instructivo de pruebas, dieron plazo de dos semanas para su ejecución, recibieron seis informes y elaboraron un documento descriptivo del resultado de las 96 pruebas efectuadas. El documento recoge los hallazgos de correcciones necesarias, sugerencias de usabilidad y ajustes antes de pasar a producción.</t>
  </si>
  <si>
    <t>PAI_DT CALI_1.3</t>
  </si>
  <si>
    <t>Un (1) aplicativo con los ajustes solicitados en las pruebas entregado</t>
  </si>
  <si>
    <t>PAI_DT CALI_1.4</t>
  </si>
  <si>
    <t>Un (1) manual de instalación y uso del aplicativo terminado</t>
  </si>
  <si>
    <t>PAI_DT CALI_1.5</t>
  </si>
  <si>
    <t>Una (1) sesión de entrenamiento en el uso del aplicativo a las demás DT, finalizado</t>
  </si>
  <si>
    <t>PAI_DT CALI_2</t>
  </si>
  <si>
    <t>La herramienta aportará indirectamente al objetivo estratégico de modernizar la gestión territorial del DANE, facilitando el seguimiento al flujo en el proceso de contratación y agilizando la realización de los contratos de PSP en la territorial.</t>
  </si>
  <si>
    <t>Una (1) herramienta para el control del flujo del proceso de contratación implementada</t>
  </si>
  <si>
    <t>PAI_DT CALI_2.1</t>
  </si>
  <si>
    <t>Un (1) documento con accesos compartidos para el personal que participa del proceso de contratación, elaborado</t>
  </si>
  <si>
    <t>La Dirección Territorial SurOccidente, aprovechando las herramientas de Office 365, creó un grupo en MS Teams denominado Contratación DTSO, el cual tiene como integrantes a todos aquellos que participan del proceso pre-contractual y contractual en la territorial. Dentro de este equipo de trabajo se comparten archivos, instructivos, guías y material de apoyo. El profesional de gestión estratégica, diseñó junto al director territorial un flujo de trabajo con listas desplegables y formatos de celdas, que funciona como lista de chequeo a través de todos los pasos que sigue un contrato desde su requerimiento de personal hasta el inicio del mismo.</t>
  </si>
  <si>
    <t>PAI_DT CALI_2.2</t>
  </si>
  <si>
    <t>Tres (3) sesiones de entrenamiento en el uso, acceso y diligenciamiento del formato compartido para control de flujo, realizadas</t>
  </si>
  <si>
    <t>La Dirección Territorial SurOccidente, a través del equipo de trabajo Contratación DTSO en MS Teams, realizó tres sesiones de entrenamiento y sensibilización en el uso de la herramienta dispuesta en el equipo de trabajo, con la participación, sugerencias y retroalimentación de los profesionales que participan del proceso. Se incorporaron sus recomendaciones y ajustaron los campos que generaban dudas o cuellos de botella.</t>
  </si>
  <si>
    <t>PAI_DT CALI_2.3</t>
  </si>
  <si>
    <t>A través de los ingenieros de sistemas de la Territorial SurOccidente, se han adelantado las validaciones para evaluar la viabilidad de automatizar la generación de informe aprovechando la herramienta que ya está diseñada y puesta en ejecución. Se han propuesto alternativas para el descargue y la consolidación de información que permitirán reducir el tiempo de elaoración de informes tales como el formato de jóvenes (Función Pública), reporte SIRECI (Contraloría), actas de inicio, aprobación de pólizas, etc.</t>
  </si>
  <si>
    <t>PAI_DT CALI_2.4</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</si>
  <si>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con el fin de efectuar los ajustes correspondientes y perfeccionar así la usabilidad de este aplicativo antes de socializarlo con las demás territoriales.</t>
  </si>
  <si>
    <t>La Dirección Territorial SurOccidente ha diseñado un aplicativo para el control de inventario de elementos devolutivos entregados a personal operativo. El mismo fue sometido a pruebas por diferentes usuarios internos, a través de la realización de 16 tareas</t>
  </si>
  <si>
    <t>Los profesionales de sistemas de la Dirección Territorial Sur Occidente efectuaron diferentes ajustes y correcciones al aplicativo, se tuvieron en cuenta las retroalimentaciones propuestas en las pruebas de escritorio. Se han incorporado cambios estéticos, de diseño, de usabilidad y del modelo funcional para garantizar la mejor experiencia de usuario final.</t>
  </si>
  <si>
    <t>Los profesionales de sistemas de la Territorial SurOccidente junto con el profesional de direccionamiento estratégico e integrantes de la MPTMC generaron tres estrategias de automatización: (1) macro para la elaboración de formato de jóvenes (Función Pública) con la información contenida en el tablero de contro, (2) código ejecutable en R para el cruce de información entre el tablero de control y los contratos contenidos y publicados en SECOP II con fines de validar completitud y (3) programa en python para la revisión automática de formatos de entes de control entre los documentos pre contractuales. Además se establecieron nuevos procesos para automatizar, ajustando el hito.</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</si>
  <si>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quienes han estado trabajando en los ajustes correspondientes, perfeccionando así la usabilidad de este aplicativo antes de socializarlo con las demás territoriales.</t>
  </si>
  <si>
    <t>PES, GBS</t>
  </si>
  <si>
    <t>La Dirección Territorial SurOccidente ha puesto en funcionamiento un flujo de control compartido a través de las herramientas de trabajo colaborativo. A partir de diferentes implementaciones se han construido automatizaciones para algunas tareas de revisión de documentación y de elaboración de informes. Con ello se han disminuido los tiempos empleados en la validación de documentos, cruces de bases de datos y extracción de reporte de jóvenes. Se han formulado otras automatizaciones a realizar, con lo cual se solicitó modificación del hito.</t>
  </si>
  <si>
    <t>GBS, GCO, GFI</t>
  </si>
  <si>
    <t>PAI_FONDANE_1</t>
  </si>
  <si>
    <t>Aporta directamente a la estrategia de capacidad metodológica dada que ayuda en el cumplimiento del indicador de operaciones estadísticas nuevas o rediseñadas que atienden necesidades del país</t>
  </si>
  <si>
    <t>Dieciocho (18) convenios y contratos interadministrativos para el sistema estadistico nacional</t>
  </si>
  <si>
    <t>PAI_FONDANE_1.1</t>
  </si>
  <si>
    <t>Doce (12) convenios para el  fortalecimiento de la capacidad de producción de información estadística de las entidades del SEN</t>
  </si>
  <si>
    <t>Se han desarrollado dos (2) convenios con entidades del orden distrital e internacional para adelantar actividades asociadas a la recolección de información estadística en temas de convivencia y seguridad, y de planeación distrital.</t>
  </si>
  <si>
    <t>PAI_FONDANE_1.2</t>
  </si>
  <si>
    <t>La entidad logró desarrollar convenios de trabajo interinstitucional con entidades del orden distrital e internacional, los cuales buscan aunar esfuerzos entre el DANE/FONDANE y las entidades firmantes para la recolección de información estadística necesaria para el análisis y comprensión de las temáticas objeto de estudio, como son seguridad y convivencia, y planeación y diseño de políticas públicas a nivel distrital.</t>
  </si>
  <si>
    <t>DANE/FONDANE llevó a cabo negociaciones con entidades del orden nacional y distrital como Ministerio del Interior, Unidad de Planeación Minero Energética, Dirección General Marítima e Instituto Distrital de Recreación y Deporte, con el fin de aunar esfuerzos técnicos, administrativos y financieros para el diseño de las respectivas cuentas satélites en los respectivos sectores, no obstante, los procesos han tomado más tiempo toda vez que se han adelantando ajustes a las propuestas de trabajo (documentos técnico-económicos) por parte de las entidades.</t>
  </si>
  <si>
    <t>Durante el II trimestre la entidad adelanto con éxito diferentes negociaciones que permitieron la suscripción de ocho (8) convenios con entidades del orden nacional e internacional, con las cuales se adelantarán diferentes actividades asociadas al Fortalecimiento de la capacidad de producción de información estadística del SEN Nacional</t>
  </si>
  <si>
    <t>Se lograron firmar dos (2) contratos interadministrativos para evaluar operaciones estadísticas de entidades pertenecientes al SEN.</t>
  </si>
  <si>
    <t>Las áreas de la entidad han desarrollado las diferentes actividades que han permitido la suscripción de convenios y/o contratos con entidades del SEN, buscando garantizar la producción de información estadística necesaria, así cómo todo lo referente a las evaluaciones de calidad. Con este avance, se podrán tener diferentes productos estadísticos claves en áreas como mercado laboral, calidad de vida, migración, temas institucionales, entre otros.</t>
  </si>
  <si>
    <t>PES</t>
  </si>
  <si>
    <t>Dado que durante el primer semestre el Comité de Expertos en Pobreza ha priorizado las publicaciones de pobreza monetaria (que se llevó a cabo el 29 de abril) y pobreza multidimensional, no fue posible agendar sesiones con el Comité para avanzar en el rediseño del IPM en la primera mitad de este año. No obstante, una vez se culminen las discusiones que conlleven a la publicación del IPM 2020, la prioridad del Comité será avanzar en el rediseño del IPM.</t>
  </si>
  <si>
    <t>PO_OPLAN_1</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</si>
  <si>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</si>
  <si>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</si>
  <si>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Doce (12) seguimiento a los instrumentos de planeación institucional, modernizada y articulada</t>
  </si>
  <si>
    <t>PO_OPLAN_1.1</t>
  </si>
  <si>
    <t>Doce (12) informes de seguimiento de los instrumentos de planeación realizados.</t>
  </si>
  <si>
    <t>Se brindaron los lineamientos, el acompañamiento y el seguimiento durante la primera semana de cada mes para el reporte de los proyectos de inversión den SPI</t>
  </si>
  <si>
    <t>PO_OPLAN_1.2</t>
  </si>
  <si>
    <t>Veinticinco (25) reportes de entidades externas de seguimiento a los proyectos de inversión realizados</t>
  </si>
  <si>
    <t>Se brindaron lineamientos y seguimiento a los reportes de enero, febrero y marzo de seguimiento a los proyectos de inversión en la plataforma SPI del DNP durante la primera semana de cada mes y se realizó el reporte de enero, febrero y marzo del trazador presupuestal de Grupos Étnicos en el SUIFP DEL DNP.</t>
  </si>
  <si>
    <t>Se brindaron lineamientos y seguimiento a los reportes de abril, mayo y junio de seguimiento a los proyectos de inversión en la plataforma SPI del DNP durante la primera semana de cada mes y se realizó el reporte de abril, mayo y junio del trazador presupuestal de Grupos Étnicos en el SUIFP DEL DNP.</t>
  </si>
  <si>
    <t>PO_OPLAN_2</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</si>
  <si>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</si>
  <si>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Un (1) ejercicio de seguimiento a la ejecución presupuestal del sector para la vigencia 2021, finalizada</t>
  </si>
  <si>
    <t>PO_OPLAN_2.1</t>
  </si>
  <si>
    <t>Una (1) actualización en el aplicativo SUIFP de los proyectos de inversión a Decreto de liquidación 2021 realizada</t>
  </si>
  <si>
    <t>18/01/2021</t>
  </si>
  <si>
    <t>Se brindaron los lineamientos para la actualización de los proyectos de inversión por correo el 19 de enero y se verificó la actualización de todos los proyectos de inversión.</t>
  </si>
  <si>
    <t>PO_OPLAN_2.2</t>
  </si>
  <si>
    <t>Doce (12) reportes mensuales de seguimiento a la ejecución presupuestal de la entidad realizados</t>
  </si>
  <si>
    <t>Se realizó el seguimiento a la ejecución presupuestal mensual de los recursos de funcionamiento y los 13 proyectos de inversión.</t>
  </si>
  <si>
    <t>PO_OPLAN_2.3</t>
  </si>
  <si>
    <t xml:space="preserve">Trámites presupuestales requeridos por las áreas realizados </t>
  </si>
  <si>
    <t>Se realizó el trámite de dos traslados presupuestales. El primer traslado presupuestal fue requerido por el GIT Censo Económico y por Logística, y se radicó en el Ministerio de Hacienda el 25 de febrero de 2021. El segundo traslado presupuestal fue solicitado por Secretaría General y se radicó en el Ministerio de Hacienda el 9 de abril de 2021.</t>
  </si>
  <si>
    <t>Se realizó el trámite de vigencias futuras para el proyecto de inversión de Logística por valor de $31.724.155.489. La solicitud fue aprobada por el Ministerio de Hacienda el 11 de junio de 2021.</t>
  </si>
  <si>
    <t>PO_OPLAN_3</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</si>
  <si>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</si>
  <si>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Un (1) documento de mejora del aplicativo del sistema de gestión (Isolución), realizado.</t>
  </si>
  <si>
    <t>PO_OPLAN_3.1</t>
  </si>
  <si>
    <t>Un (1) diagnóstico de funcionalidades del sistema</t>
  </si>
  <si>
    <t>PO_OPLAN_3.2</t>
  </si>
  <si>
    <t xml:space="preserve">Una (1) propuesta y cronograma de mejora del sistema </t>
  </si>
  <si>
    <t xml:space="preserve">Se inicio la elaboración de la propuesta de mejora del sistema </t>
  </si>
  <si>
    <t>PO_OSIS_1</t>
  </si>
  <si>
    <t>Cuatro (4) grupos de sistemas de información, aplicativos, componentes, módulos para operaciones estadísticas agropecuarias, ambientales, de curso y capital social, de infraestructura, de mercado laboral, de pobreza, y económicas, soportados y mantenidos (SI y OE)</t>
  </si>
  <si>
    <t>Plan de Acción (PA) 2020</t>
  </si>
  <si>
    <t>PO_OSIS_1.1</t>
  </si>
  <si>
    <t>Un (1) grupo de sistemas de información, aplicativos, componentes, módulos para operaciones estadísticas económicas (servicios, industria, comercio) soportados y mantenidos.</t>
  </si>
  <si>
    <t>En el primer trimestre de 2021  la Oficina de Sistemas a través de su GIT realizó ajustes al aplicativo de Comex, mantenimiento y Encuesta de Licores
En el primer trimestre de 2021 la Oficina de Sistemas a través de su GIT realizó ajustes a los diferentes módulos del sistema de la Anual y Mensual de Comercio</t>
  </si>
  <si>
    <t>PO_OSIS_1.2</t>
  </si>
  <si>
    <t>Un (1) grupo de sistemas de información, aplicativos, componentes, módulos para operaciones estadísticas sociales, soportados y mantenidos</t>
  </si>
  <si>
    <t>En el primer trimestre de 2021 la Oficina de Sistemas a través de su GIT  realizó los ajustes solicitados a los siguientes aplicativos:
GEIH, GEIH PARALELA, MULTIPROPOSITO de acuerdo al documento metodológico de las operaciones estadísticas. De igual forma desarrolló el aplicativo de captura para la piloto de la encuesta ESCSC</t>
  </si>
  <si>
    <t>PO_OSIS_1.3</t>
  </si>
  <si>
    <t xml:space="preserve">En el primer trimestre de 2021 la Oficina de Sistemas a través de su GIT Desarrolló los módulos de IPOC, ELIC, IIOC, inicio del desarrollo de Cartera Hipotecaria y Financiación de Vivienda </t>
  </si>
  <si>
    <t>PO_OSIS_1.4</t>
  </si>
  <si>
    <t>En el primer trimestre de 2021 la Oficina de Sistemas a través de su GIT realizó mantenimiento y puesta en producción de la Encuesta Anual Y Mensual de Industria y la Encuesta de Innovación Tecnológica</t>
  </si>
  <si>
    <t>PO_OSIS_2</t>
  </si>
  <si>
    <t>Un (1) sistema de información para el soporte de los procesos administrativo y de apoyo a la gestión de la entidad, soportados y mantenidos</t>
  </si>
  <si>
    <t>PO_OSIS_2.1</t>
  </si>
  <si>
    <t>Un (1) grupo de sistemas de información para el soporte de los procesos administrativo y de apoyo a la gestión de la entidad, soportados y mantenidos</t>
  </si>
  <si>
    <t xml:space="preserve">
En el primer trimestre de 2021 la Oficina de Sistemas a través de su GIT  desarrolló el módulo de monitoreo y control de la encuesta multipropósito.</t>
  </si>
  <si>
    <t xml:space="preserve">La Oficina de Sistemas a través de su GIT   cumplió con los requerimientos solicitados en el  primer trimestre de soporte y mantenimiento. Para la encuesta Anual de Servicios se ajustaron  los requerimientos y se están desarrollando para poner el aplicativo en producción. </t>
  </si>
  <si>
    <t xml:space="preserve">La Oficina de Sistemas a través de su GIT   trabajó en el sistema de monitoreo  de  las operaciones estadísticas. </t>
  </si>
  <si>
    <t>En el segundo trimestre de 2021  la Oficina de Sistemas a través de su GIT realizó soporte y ajustes a los aplicativos de Comercio, Industria, Servicios y mantenimiento a la Encuesta Anual de Servicios.
En el primer trimestre de 2021 la Oficina de Sistemas a través de su GIT realizó ajustes a los diferentes módulos del sistema de la Anual y Mensual de Comercio</t>
  </si>
  <si>
    <t>En el segundo trimestre de 2021 la Oficina de Sistemas a través de su GIT  realizó los ajustes solicitados a los siguientes aplicativos:
GEIH, GEIH PARALELA de acuerdo al documento metodológico de las operaciones estadísticas.</t>
  </si>
  <si>
    <t xml:space="preserve">La Oficina de Sistemas a través de su GIT   cumplió con los requerimientos solicitados en el  segundo trimestre de soporte y mantenimiento de la operaciones estadísticas agropecuarias, ambientales, de curso y capital social, de infraestructura, de mercado laboral, de pobreza, y económicas. Para la encuesta Anual de Servicios se realizaron las pruebas y luego se colocó el sistema en producción. 
</t>
  </si>
  <si>
    <t xml:space="preserve">La Oficina de Sistemas en el  segundo trimestre a través de su GIT   cumplió con los requerimientos solicitados  de soporte y mantenimiento a los procesos administrativos e inició la implementación de los módulos correspondientes a la fase 2. </t>
  </si>
  <si>
    <t>SG_ADMI_1</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</si>
  <si>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</si>
  <si>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Una (1) estrategia para el fortalecimiento administrativo de los procesos de Gestión de Bienes y Servicios, finalizada.</t>
  </si>
  <si>
    <t>Planificación interna</t>
  </si>
  <si>
    <t>SG_ADMI_1.1</t>
  </si>
  <si>
    <t>Un (1) diagnóstico de elementos en bodega consolidado.</t>
  </si>
  <si>
    <t>SG_ADMI_1.2</t>
  </si>
  <si>
    <t>Un (1) archivo de elementos clasificado y proceso de bajas finalizado.</t>
  </si>
  <si>
    <t>SG_ADMI_1.3</t>
  </si>
  <si>
    <t>Un (1) documento de siniestralidad del programa de seguros finalizado.</t>
  </si>
  <si>
    <t>SG_ADMI_1.4</t>
  </si>
  <si>
    <t>Un (1) plan de mantenimiento y sostenibilidad (PMAS) aprobado.</t>
  </si>
  <si>
    <t>SG_ADMI_1.5</t>
  </si>
  <si>
    <t>Un (1) plan de mantenimiento y sostenibilidad (PMAS) ejecutado.</t>
  </si>
  <si>
    <t>SG_ADMI_2</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</si>
  <si>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</si>
  <si>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Un (1) contrato de intermediación comercial con CISA para la enajenación de bienes muebles, de propiedad del DANE - FONDANE, ejecutado.</t>
  </si>
  <si>
    <t>SG_ADMI_2.1</t>
  </si>
  <si>
    <t xml:space="preserve">Un (1) contrato de intermediación suscrito. </t>
  </si>
  <si>
    <t>SG_ADMI_2.2</t>
  </si>
  <si>
    <t xml:space="preserve">Un (1) informe del contrato de intermediación ejecutado. </t>
  </si>
  <si>
    <t xml:space="preserve">El GIT Almacén e Inventarios, de acuerdo con los compromisos adquiridos, en el mes de junio se finalizó el diagnóstico de elementos en bodega consolidado, el cual arrojó un total  de 11.577 Dispositivos Móviles de Captura de las marcas Huawei y Hewlett-Packard (HP) validados por la oficina de sistemas, para ser dados de baja. Adicionalmente, se identificaron por parte del área administrativa 71 elementos del mobiliario que se encuentran en mal estado e inservibles, que se incluyeron en el diagnóstico. </t>
  </si>
  <si>
    <t>El programa de seguros del Área Administrativa, efectuó seguimiento a los siniestros que reportaron las diferentes territoriales durante los meses a corte del mes junio, ésta información fue el insumo para tramitar la reposición ante la aseguradora como resultado se elaboró el informe de siniestralidad del II trimestre 2021.</t>
  </si>
  <si>
    <t>El GIT Servicios Administrativos cumplió con la ejecución de 49 actividades conforme a la programación de mantenimientos locativo y contratación de bienes y servicios en este segundo trimestre ( Abril, Mayo y Junio).</t>
  </si>
  <si>
    <t>En el segundo trimestre del año se adelantaron las gestiones encaminadas a la enajenación de  los  bienes identificados por la entidad para  subastar, como  resultado se suscribió el contrato interadministrativo de comercialización de bienes muebles   No. 010 de 2021 , entre DANE, FONDANE y CISA.</t>
  </si>
  <si>
    <t>SG_FIN_1</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</si>
  <si>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</si>
  <si>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Un (1) proceso de control y seguimiento para la gestión financiera DANE - FONDANE, aplicado.</t>
  </si>
  <si>
    <t>SG_FIN_1.1</t>
  </si>
  <si>
    <t xml:space="preserve">Doce (12) listas de chequeo de la elaboración y presentación de las conciliaciones definidas en el Manual de Políticas Contables, verificadas. </t>
  </si>
  <si>
    <t xml:space="preserve">Se realizó la verificación mediante lista de chequeo de la elaboración y presentación de las conciliaciones contables enviadas por correo electrónico de los periodos correspondientes a Enero, Febrero y Marzo de 2021. </t>
  </si>
  <si>
    <t>SG_FIN_1.2</t>
  </si>
  <si>
    <t>Veinticuatro (24) estados financieros (12 DANE - 12 FONDANE), elaborados.</t>
  </si>
  <si>
    <t xml:space="preserve">Se realizó elaboración  y publicación del Estado Financiero y sus notas contables correspondiente al periodo de Diciembre de la vigencia 2020. </t>
  </si>
  <si>
    <t>SG_FIN_1.3</t>
  </si>
  <si>
    <t>Veinticuatro (24) informes de ejecución presupuestal (12 DANE - 12 FONDANE), elaborados.</t>
  </si>
  <si>
    <t>SG_FIN_1.4</t>
  </si>
  <si>
    <t xml:space="preserve">Doce (12) informes de seguimiento a la programación y ejecución PAC DANE, elaborados. </t>
  </si>
  <si>
    <t>Se elaboraron 3 informes en donde se evidencia la programación y ejecución de PAC correspondientes a los periodos de Enero, Febrero y Marzo de 2021.</t>
  </si>
  <si>
    <t>SG_FIN_2</t>
  </si>
  <si>
    <t>10.   Gestión documental</t>
  </si>
  <si>
    <t>Un (1) proceso de control y seguimiento a PQRSD del proceso de Gestión Financiera, aplicado.</t>
  </si>
  <si>
    <t>SG_FIN_2.1</t>
  </si>
  <si>
    <t xml:space="preserve">Once (11) informes de seguimiento y control a las solicitudes de PQRSD, finalizados. </t>
  </si>
  <si>
    <t xml:space="preserve">Se realizó la verificación mediante lista de chequeo de la elaboración y presentación de las conciliaciones contables enviadas por correo electrónico de los periodos correspondientes a Abril, Mayo y Junio de 2021. </t>
  </si>
  <si>
    <t xml:space="preserve">Se elaboraron y publicaron 10 Estados Financieros correspondientes a los meses de Enero, Febrero, Marzo, Abril y Mayo de 2021. </t>
  </si>
  <si>
    <t xml:space="preserve">Se elaboraron y publicaron 6 informes de ejecución presupuestal 3 DANE y 3 FONDANE correspondientes a los periodos de Abril, Mayo y Junio de 2021. </t>
  </si>
  <si>
    <t xml:space="preserve">Se elaboraron 3 informes en donde se evidencia la programación y ejecución de PAC correspondientes a los periodos de Abril, Mayo y Junio de 2021. </t>
  </si>
  <si>
    <t xml:space="preserve">Se realizó la verificación mediante lista de chequeo de la elaboración y presentación de las conciliaciones contables enviadas por correo electrónico de los periodos correspondientes a Abril, Mayo y Junio de 2021. 
Se elaboraron y publicaron 10 Estados Financieros correspondientes a los meses de Enero, Febrero, Marzo, Abril y Mayo de 2021.
Se elaboraron y publicaron 6 informes de ejecución presupuestal 3 DANE y 3 FONDANE correspondientes a los periodos de Abril, Mayo y Junio de 2021.
Se elaboraron 3 informes en donde se evidencia la programación y ejecución de PAC correspondientes a los periodos de Abril, Mayo y Junio de 2021. 
 </t>
  </si>
  <si>
    <t>Proceso Gestión Financiera - GFI</t>
  </si>
  <si>
    <t>PO_SG_GH_1</t>
  </si>
  <si>
    <t>Un (1) contrato de actividades de formación para fortalecer las competencias y capacidades técnicas de los servidores en temas misionales, ejecutado.</t>
  </si>
  <si>
    <t>Plan Estratégico Institucional (PEI)  2019 – 2022</t>
  </si>
  <si>
    <t>PO_SG_GH_1.1</t>
  </si>
  <si>
    <t>Un (1) documento de los requerimientos técnicos para contratación de la capacitación, elaborado.</t>
  </si>
  <si>
    <t>PO_SG_GH_1.2</t>
  </si>
  <si>
    <t>Un (1) contrato interadministrativo para la prestación de servicios de capacitación perfeccionado.</t>
  </si>
  <si>
    <t>PO_SG_GH_1.3</t>
  </si>
  <si>
    <t>Un (1) informe de la ejecución del contrato elaborado, con el registro de actividades realizadas.</t>
  </si>
  <si>
    <t>El GIT Área de Gestión Humana realizó el documento de requerimientos técnicos para el contrato de actividades de formación para fortalecer las competencias y capacidades técnicas de los servidores en temas misionales, ejecutado.</t>
  </si>
  <si>
    <t>Una vez suscrito el convenio se dio inicio con la recepción de las fichas de los cursos y hojas de vida de los docentes,  estableciendo fechas para la ejecución de los cursos.</t>
  </si>
  <si>
    <t>PO_DICE_1</t>
  </si>
  <si>
    <t>Esta meta contribuye a la reformulación del proyecto de inversión de DIMCE que permita el fortalecimiento de la difusión de la información estadística producida por el DANE Nacional para el 2022</t>
  </si>
  <si>
    <t>1. Planeación Institucional</t>
  </si>
  <si>
    <t>Un (1) proyecto de inversión 2022 de DIMCE, formulado</t>
  </si>
  <si>
    <t>PO_DICE_1.1</t>
  </si>
  <si>
    <t>Un (1) análisis con la identificación de las necesidades para el fortalecimiento de la difusión de la información estadística finalizado</t>
  </si>
  <si>
    <t>Se realizó la entrega del documento "anteproyecto de presupuesto para el proyecto de inversión 2022". En este documento se encuentra la definición de productos, actividades y recursos de inversión necesarios el día 15 de marzo de 2021.</t>
  </si>
  <si>
    <t>PO_DICE_1.2</t>
  </si>
  <si>
    <t xml:space="preserve">Un (1) proyecto de inversión finalizado </t>
  </si>
  <si>
    <t>Se realizan mesas de trabajo con la Oficina Asesora de Planeación para la revisión del anteproyecto para iniciar los tramites respectivos para la aprobación del proyecto por parte del Departamento Nacional de Planeación.</t>
  </si>
  <si>
    <t>PO_DICE_2</t>
  </si>
  <si>
    <t>Tiene como objetivo realizar la planeación anual para el cumplimiento de las metas del Plan Estratégico Institucional.</t>
  </si>
  <si>
    <t>6. Fortalecimiento organizacional y simplificación de procesos</t>
  </si>
  <si>
    <t>Dos (2) planes institucionales, formulados</t>
  </si>
  <si>
    <t>PO_DICE_2.1</t>
  </si>
  <si>
    <t>Una (1) formulación finalizado</t>
  </si>
  <si>
    <t>Se formularon las actividades e indicadores para:
Plan Anticorrupción y Atención al Ciudadano 
Plan de Acción DICE 2021- 2022
Una vez aprobado y por solicitud de la Oficina Asesora de Planeación se realizó la publicación de los planes en la pagina web de la entidad.</t>
  </si>
  <si>
    <t>PO_DICE_2.2</t>
  </si>
  <si>
    <t>Una (1) matriz de seguimiento finalizada</t>
  </si>
  <si>
    <t>Se realiza el primer seguimiento al cumplimiento de las metas del plan de acción, este fue presentado en comité directivo el día martes 20 de abril.</t>
  </si>
  <si>
    <t>PO_DICE_3</t>
  </si>
  <si>
    <t>La meta contribuye al objetivo específico dado que contribuye en la producción del material para el registro de las encuestas realizadas y así  asegurar la calidad estadística en procesos y resultados.</t>
  </si>
  <si>
    <t>Un (1) reporte mensual con la información de las impresiones realizadas en el marco de las operaciones estadísticas producidas por el DANE, finalizado</t>
  </si>
  <si>
    <t xml:space="preserve">Plan Estratégico Institucional (PEI)  2019 – 2022 </t>
  </si>
  <si>
    <t>PO_DICE_3.1</t>
  </si>
  <si>
    <t xml:space="preserve">El  Grupo Interno de Trabajo del Taller de Ediciones realizó la entrega del informe con el reporte de impresiones realizadas durante los meses de enero, febrero y marzo. </t>
  </si>
  <si>
    <t xml:space="preserve">Se realizó la entrega del documento "anteproyecto de presupuesto para el proyecto de inversión 2022". En este documento se encuentra la definición de productos, actividades y recursos de inversión necesarios. </t>
  </si>
  <si>
    <t>Se entregó la formulación de las actividades e indicadores para:
Plan Anticorrupción y Atención al Ciudadano 
Plan de Acción DICE 2021- 2022
Una vez aprobado y por solicitud de la Oficina Asesora de Planeación se realizó la publicación de los planes en la pagina web de la entidad.</t>
  </si>
  <si>
    <t>Se entrega reporte para los meses de enero, febrero y marzo con la información de las impresiones realizadas en el marco de las operaciones estadísticas producidas por el DANE.</t>
  </si>
  <si>
    <t xml:space="preserve">El anteproyecto que tenía como objetivo ampliar el horizonte del proyecto de inversión “FORTALECIMIENTO DE LA DIFUSIÓN DE LA INFORMACIÓN ESTADÍSTICA PRODUCIDA POR EL DANE” hasta el 2022, fue aprobado por el Departamento Nacional de Planeación.  Se entrega como evidencia la Ficha EBI del Sistema Unificado de Inversiones y Finanzas Publicas – SUIFP. </t>
  </si>
  <si>
    <t>Se realizó el segundo seguimiento al cumplimiento de las metas del plan de acción (II trimestre)  y el primer seguimiento a la ejecución de las metas del Plan de Anticorrupción y Atención al Ciudadano (I cuatrimestre).</t>
  </si>
  <si>
    <t>El  Grupo Interno de Trabajo del Taller de Ediciones realizó la entrega del informe con el reporte de impresiones realizadas durante los meses de abril, mayo y junio.</t>
  </si>
  <si>
    <t xml:space="preserve">Se entrega finalizado y aprobada la ampliación del proyecto de inversión hasta el 2022. </t>
  </si>
  <si>
    <t xml:space="preserve">De conformidad con la formulación e implementación de los Planes Institucionales, se entregan las matrices de seguimiento que evidencian las acciones ejecutadas para el cumplimiento de las metas propuestas. </t>
  </si>
  <si>
    <t>Se entrega reporte para los meses de abril, mayo y junio con la información de las impresiones realizadas en el marco de las operaciones estadísticas producidas por el DANE.</t>
  </si>
  <si>
    <t>SISCONPES</t>
  </si>
  <si>
    <t>Plan Estratégico Institucional</t>
  </si>
  <si>
    <t>PO_DCD_1</t>
  </si>
  <si>
    <t>Una (1) base de datos con información estadística de nacimientos y defunciones a nivel nacional para el registro de hechos vitales en Colombia, producida.</t>
  </si>
  <si>
    <t>PO_DCD_1.1</t>
  </si>
  <si>
    <t>Tres (3) publicaciones (boletín, presentación y cuadros de salida) preliminar 2020 y 2021.</t>
  </si>
  <si>
    <t>El grupo de EEVV el 26 de marzo de 2021 publica en la página web el boletín técnico Estadísticas Vitales (EEVV) Cuarto trimestre 2020pr</t>
  </si>
  <si>
    <t>PO_DCD_1.2</t>
  </si>
  <si>
    <t>El grupo de EEVV el 26 de marzo de 2021 publica en la página web los cuadros de salidas de nacimientos y defunciones donde se puede consultar el número de nacimientos y defunciones en Colombia, para el acumulado 2020pr, para el IV trimestre 2020pr, así como las cifras preliminares del año corrido 2021pr</t>
  </si>
  <si>
    <t>PO_DCD_2</t>
  </si>
  <si>
    <t xml:space="preserve">Operaciones estadísticas que implementan acciones de mejora en la metodología (procesos e instrumentos) y resultados. Esta meta aporta de manera DIRECTA a los entregables:  Formatos implementados en cinco departamentos del país (Formato de notificación de muerte y nacimiento de personas pertenecientes a grupos étnicos). </t>
  </si>
  <si>
    <t>Dos (2) formatos (mínimo) para la recolección de información estadística de nacimiento y muerte para grupos étnicos, ajustados.</t>
  </si>
  <si>
    <t>PO_DCD_2.1</t>
  </si>
  <si>
    <t>Formatos de notificación para grupos étnicos: ajustados</t>
  </si>
  <si>
    <t>PO_DCD_2.2</t>
  </si>
  <si>
    <t>Formatos de notificación para grupos étnicos: implementados</t>
  </si>
  <si>
    <t>PO_DCD_3</t>
  </si>
  <si>
    <t>Tres (3) bases de datos y dos (2) informes con el seguimiento y las gestiones correspondientes para apoyar la recuperación, que hace el sector salud, de los hechos vitales identificados como faltantes a partir del cruce periódico realizado con la Registraduría Nacional del Estado Civil.</t>
  </si>
  <si>
    <t>PO_DCD_3.1</t>
  </si>
  <si>
    <t>Tres (3) cruces de contraste con la RNEC: Reporte Excel trimestral con los hechos vitales que se encuentran en la base de la RNEC y que no se encontraron en las bases de publicación del DANE, para enviar al MSPS entidad que se encargará de la recuperación de estos hechos vitales, realizados</t>
  </si>
  <si>
    <t>Se adapto el esquema de descarga del RUAF de los registros correspondiente a los años antes del 2020</t>
  </si>
  <si>
    <t>PO_DCD_3.2</t>
  </si>
  <si>
    <t>Dos (2) informes con los totales de los hechos recuperados e ingresados en la base del RUAF-ND, realizados.</t>
  </si>
  <si>
    <t>PO_DCD_4</t>
  </si>
  <si>
    <t>La operación de Proyecciones de Población aporta datos desagregados por edades , sexo y área para todas las entidades territoriales</t>
  </si>
  <si>
    <t>Un (1) conjunto de proyecciones de derivados para facilitar el análisis sectorial, realizado.</t>
  </si>
  <si>
    <t>PO_DCD_4.1</t>
  </si>
  <si>
    <t>Un (1) Cuadro de salida de la población económicamente activa estimada.</t>
  </si>
  <si>
    <t>se ha realizado avance en la elaboración del cuadro de salida de las proyecciones de población Indígena en resguardos estimados.</t>
  </si>
  <si>
    <t>PO_DCD_4.2</t>
  </si>
  <si>
    <t>Un (1) Cuadro de salida de la población en edad escolar estimada.</t>
  </si>
  <si>
    <t>Se esta estructurando a la fecha los planes de trabajo para el diseño del cuadro.</t>
  </si>
  <si>
    <t>PO_DCD_4.3</t>
  </si>
  <si>
    <t>Un (1) Cuadro de salida de los años de vida perdidos por principales causas de muerte estimados.</t>
  </si>
  <si>
    <t>PO_DCD_4.4</t>
  </si>
  <si>
    <t>Un (1) Cuadro de salida de la población en edad de trabajar estimada.</t>
  </si>
  <si>
    <t>PO_DCD_4.5</t>
  </si>
  <si>
    <t>Un (1) Cuadro de salida de las proyecciones de población Indígena en resguardos estimados.</t>
  </si>
  <si>
    <t>PO_DCD_4.6</t>
  </si>
  <si>
    <t>Un (1) Anuario de movimientos de viajeros internacionales</t>
  </si>
  <si>
    <t>Se avanzó en la elaboración del anuario estadístico de movimientos internacionales, el cual se  publicó en la página web de la entidad el 5 de abril de 2021 y se está avanzando en la gestión del anuario 2020 que se publicará en el 2021.</t>
  </si>
  <si>
    <t>PO_DCD_4.7</t>
  </si>
  <si>
    <t>Un (1) Registro Estadístico de Migrantes Internacionales -REMI actualizado.</t>
  </si>
  <si>
    <t>Avance en la actualización del REMI</t>
  </si>
  <si>
    <t>PO_DCD_5</t>
  </si>
  <si>
    <t>Operaciones estadísticas que ampliaron su desagregación geográfica a nivel departamental o municipal. Esta meta impacta de manera INDIRECTA el entregable: Información resultante del Censo Nacional de Población y Vivienda (estudios postcensales)</t>
  </si>
  <si>
    <t>Una (1) base de datos con la relación de usuarios internos y externos de la información poblacional y demográfica, para atender los requerimientos de información de la DCD, procesada y difundida</t>
  </si>
  <si>
    <t>PO_DCD_5.1</t>
  </si>
  <si>
    <t>Una (1) bases de datos con la clasificación temática de las solicitudes de información población y demográfica, realizada.</t>
  </si>
  <si>
    <t>Se avanza con la caracterización de usuarios de información sociodemográfica durante el trimestre</t>
  </si>
  <si>
    <t>PO_DCD_5.2</t>
  </si>
  <si>
    <t>Estandarización de procesamientos especializados y respuesta tipo realizadas, para atender las solicitudes de información poblacional y demográfica de los usuarios.</t>
  </si>
  <si>
    <t>PO_DCD_6</t>
  </si>
  <si>
    <t>Un (1) sistema de gestión documental, almacenamiento y custodia para la conservación de la información producida en desarrollo del  Censo Nacional de Población y Vivienda 2018, actualizado.</t>
  </si>
  <si>
    <t>PO_DCD_6.1</t>
  </si>
  <si>
    <t>Sistema de gestión documental del CNPV , para los documento digitales, actualizado en los repositorios definidos.</t>
  </si>
  <si>
    <t>Con cargo a la vigencia futura autorizada, se llevó a cabo la adición para la vigencia 2021, del contrato de arrendamiento No. CO1.PCCNTR.1310808 de 2020 celebrado con el proveedor Ensobramatic, para garantizar el almacenamiento de la producción documental del Censo Nacional de Población y Vivienda 2018.</t>
  </si>
  <si>
    <t>PO_DCD_6.2</t>
  </si>
  <si>
    <t>Bodegaje material CNPV 2018 realizado.</t>
  </si>
  <si>
    <t>En el primer trimestre de 2021, se ha avanzado en la organización, eliminación de duplicados y organización de carpetas, de la producción documental digital del Censo Nacional de Población y Vivienda 2018, disponible en el servidor \\systema44\CNPV; se avanzó en la revisión de las carpetas: producción estadística ejecución, y análisis.</t>
  </si>
  <si>
    <t>PO_DCD_7</t>
  </si>
  <si>
    <t>Bases de datos y procesamientos especializados que permitan visibilizar la información demográfica de grupos étnicos, implementadas.</t>
  </si>
  <si>
    <t>PO_DCD_7.1</t>
  </si>
  <si>
    <t xml:space="preserve">Un (1) visor de información sociodemográfica de pueblos indígenas, elaborado  </t>
  </si>
  <si>
    <t>PO_DCD_7.2</t>
  </si>
  <si>
    <t>Un (1)  micrositio de información del pueblo wayuu, elaborado</t>
  </si>
  <si>
    <t>PO_DCD_7.3</t>
  </si>
  <si>
    <t>Un (1) visor de información sociodemográfica de población negra, afrocolombiana, raizal y palenquera, elaborado</t>
  </si>
  <si>
    <t>En el mes de marzo el GIT EEVV publica en la página web el boletín técnico y los cuadros de salida correspondientes a nacimiento y defunciones Estadísticas cifras oficiales Estadísticas vitales Trimestre IV de 2020pr, año corrido 2020pr y enero 2021pr</t>
  </si>
  <si>
    <t xml:space="preserve">se inicio el proceso de implementación del formato de notificación de nacimiento con la Asociación de parteras y parteros interracial de Choco ASOREDIPAR
</t>
  </si>
  <si>
    <t>Se captaron y recuperaron hechos vitales correspondiente a vigencias anteriores al 2020</t>
  </si>
  <si>
    <t>El avance cualitativo es aplicación de técnicas de estimación en atención a los requerimientos del área de muestreo de la entidad para la calibración de las encuestas sociales</t>
  </si>
  <si>
    <t>Se llevó a cabo la adición para la vigencia 2021, del contrato de arrendamiento No. CO1.PCCNTR.1310808 de 2020 celebrado con el proveedor Ensobramatic, para garantizar el almacenamiento de la producción documental del Censo Nacional de Población y Vivienda 2018 y se ha avanzado en la organización documental digital.</t>
  </si>
  <si>
    <t>El grupo de EEVV el 25 de junio de 2021 publico en la página WEB, la informaón de nacimentos, defuncioes fetales y no fetales , correspondiente al primer trimestre 2021, pr.</t>
  </si>
  <si>
    <t>Se realiza el cruce programado para el periodo.</t>
  </si>
  <si>
    <t>Revisión de algoritmos de estimación</t>
  </si>
  <si>
    <t>Elaboración y análisis de indicadores base de estimación</t>
  </si>
  <si>
    <t xml:space="preserve">Estimaciones hasta la fecha son los AEVP para las 67 enfermedades del Sistema 6-67 para 2018. Para la estimación de 2020 se ha aproximado una primera versión de la curva de mortalidad qx con la información preliminar de Estadísticas Vitales. </t>
  </si>
  <si>
    <t>Estimaciones para todas las entidades territoriales de la PET del periodo 2020-2021</t>
  </si>
  <si>
    <t xml:space="preserve">Certificación al DNP vigencia 2022 con corte Junio 30 de 2021 </t>
  </si>
  <si>
    <t>Publicación en la web institucional</t>
  </si>
  <si>
    <t>Actualización de las estimaciones 2019 con corte al I-trim con base en el acumulado anual a 2020</t>
  </si>
  <si>
    <t>El repositorio del CNPV se encuentra actualizado casi en su totalidad</t>
  </si>
  <si>
    <t>Se realizan los pagos correspondientes</t>
  </si>
  <si>
    <t>Se elaboró y publicó el visor de pueblos indígenas</t>
  </si>
  <si>
    <t>Se avanzó en el procesamiento de las tablas para alimentar el micrositio. Asimismo, se consolidó el temario del sitio web</t>
  </si>
  <si>
    <t>Se avanza en la elaboración de dos visores de información: i) tierras de comunidades negras; ii) Población NARP a nivel departamental</t>
  </si>
  <si>
    <t>En el mes de junio el GIT EEVV publica en la página web la información con los cuadros de salida correspondientes a nacimiento y defunciones Estadísticas cifras oficiales Estadísticas vitales del primer trimestre 2021 pr.</t>
  </si>
  <si>
    <t xml:space="preserve">Se realizó el cruce de información entre las bases recibidas de la RNEC con la base del RUAF-ND, con el fin de determinar los registros que están en las bases de la RNEC pero no se encuentran en el Ruaf-ND y remitir al MSPS para su respectiva recuperación. La información corresponde a lo inscrito en la RNEC en el primer trimestre de 2021. Es importante aclarar que la competencia de la recuperación en territorio recae sobre el sector salud y su ente rector, el Ministerio de Salud. </t>
  </si>
  <si>
    <t xml:space="preserve">Proceso PES
 </t>
  </si>
  <si>
    <t>Se consolida el sistema de gestión documental, almacenamiento y custodia para la conservación de la información producida en desarrollo del  Censo Nacional de Población y Vivienda 2018</t>
  </si>
  <si>
    <t>Se avanza con la meta de visibilizar grupos étnicos mediante la consolidación de herramientas para la visibilización de dicha información</t>
  </si>
  <si>
    <t>PO_DSCN_1</t>
  </si>
  <si>
    <t>Una (1) publicación de la matriz de usos importados y nacionales, finalizada</t>
  </si>
  <si>
    <t>PO_DSCN_1.1</t>
  </si>
  <si>
    <t>Una (1) base de datos con información acopiada para la matriz de usos importados y nacionales finalizada</t>
  </si>
  <si>
    <t>PO_DSCN_1.2</t>
  </si>
  <si>
    <t>Un (1) archivo de trabajo con el procesamiento de la información acopiada, para la matriz de usos importados y nacionales finalizada</t>
  </si>
  <si>
    <t>Un (1) boletín técnico y 1 anexo de publicación, para la matriz de usos importados y nacionales finalizados</t>
  </si>
  <si>
    <t>PO_DSCN_2</t>
  </si>
  <si>
    <t>Una (1) publicación de la matriz de trabajo, finalizada</t>
  </si>
  <si>
    <t>PO_DSCN_2.1</t>
  </si>
  <si>
    <t>Una (1) base de datos con información acopiada para la matriz de trabajo finalizada</t>
  </si>
  <si>
    <t>Se realizó el acopio de información básica para la construcción de la matriz de trabajo</t>
  </si>
  <si>
    <t>PO_DSCN_2.2</t>
  </si>
  <si>
    <t>Un (1) archivo de trabajo con el procesamiento de la información acopiada, para la matriz de trabajo finalizada</t>
  </si>
  <si>
    <t>PO_DSCN_2.3</t>
  </si>
  <si>
    <t>Un (1) boletín técnico y 1 anexo de publicación, para la matriz de trabajo finalizada</t>
  </si>
  <si>
    <t>PO_DSCN_3</t>
  </si>
  <si>
    <t>Una (1) publicación de las cuentas anuales por bienes y servicios para los años 2018 def y 2019 provisional, finalizada</t>
  </si>
  <si>
    <t>PO_DSCN_3.1</t>
  </si>
  <si>
    <t>Una (1) base de datos con información acopiada para las cuentas anuales de bienes y servicios finalizada</t>
  </si>
  <si>
    <t>PO_DSCN_3.2</t>
  </si>
  <si>
    <t>Un (1) archivo de trabajo con el procesamiento, consolidación y síntesis, para las cuentas de bienes y servicios finalizada</t>
  </si>
  <si>
    <t>Se elaboraron los archivos de trabajo con la consolidación, matrices y síntesis de las CNA</t>
  </si>
  <si>
    <t>PO_DSCN_3.3</t>
  </si>
  <si>
    <t>Un (1) boletín técnico y 1 anexo de publicación, para las cuentas de bienes y servicios finalizados</t>
  </si>
  <si>
    <t>PO_DSCN_4</t>
  </si>
  <si>
    <t>Aporta de manera indirecta al PEI ya que ampliará la oferta de información estadística que requiere el país, contribuyendo a la formulación y evaluación de la política pública y la toma de decisiones.</t>
  </si>
  <si>
    <t>Una (1) base de datos con información acopiada para las estimaciones de las cuentas anuales por bienes y servicios para los años 2019 def y 2020 provisional, finalizada</t>
  </si>
  <si>
    <t>PO_DSCN_4.1</t>
  </si>
  <si>
    <t>Un (1) cronograma de trabajo para el desarrollo de las estimaciones para las cuentas anuales de bienes y servicios para los años 2019 def y 2020 provisional finalizado</t>
  </si>
  <si>
    <t>PO_DSCN_4.2</t>
  </si>
  <si>
    <t>PO_DSCN_4.3</t>
  </si>
  <si>
    <t>Un (1) archivo de trabajo con el procesamiento y consolidación de información preliminar, para las cuentas  de bienes y servicios finalizado</t>
  </si>
  <si>
    <t>PO_DSCN_5</t>
  </si>
  <si>
    <t>Una (1) publicación de la Productividad Total de Factores años 2018 definitivo, 2019 provisional y 2020 preliminar, finalizada.</t>
  </si>
  <si>
    <t>PO_DSCN_5.1</t>
  </si>
  <si>
    <t>PO_DSCN_5.2</t>
  </si>
  <si>
    <t>Un (1) documento metodológico actualizado según las recomendaciones internacionales más recientes, finalizado.</t>
  </si>
  <si>
    <t>Fue elaborado un documento metodológico actualizado según las recomendaciones internacionales acordadas por el proyecto LAKLEMS.</t>
  </si>
  <si>
    <t>PO_DSCN_5.3</t>
  </si>
  <si>
    <t>Un (1) boletín técnico y sus respectivos anexos estadísticos de publicación, finalizados</t>
  </si>
  <si>
    <t>PO_DSCN_6</t>
  </si>
  <si>
    <t>Una (1) publicación de las cuentas anuales por sector institucional para los años 2018 def y 2019 provisional, finalizada</t>
  </si>
  <si>
    <t>PO_DSCN_6.1</t>
  </si>
  <si>
    <t>Una (1) base de datos con información acopiada para las cuentas por sector institucional finalizada</t>
  </si>
  <si>
    <t>Se construyó la base de datos con la información acopiada y cargada en el módulo informático de las CNA</t>
  </si>
  <si>
    <t>PO_DSCN_6.2</t>
  </si>
  <si>
    <t>Un (1) archivo de trabajo con el procesamiento, consolidación y síntesis, para las cuentas por sector institucional finalizada</t>
  </si>
  <si>
    <t>Se construyeron los archivos de trabajo y se cargó en el módulo informático de las CNA</t>
  </si>
  <si>
    <t>PO_DSCN_6.3</t>
  </si>
  <si>
    <t>Un (1) boletín técnico y 1 anexo de publicación, para las cuentas por sector institucional finalizados</t>
  </si>
  <si>
    <t>Se generaron el boletín técnico y los anexos de publicación correspondientes</t>
  </si>
  <si>
    <t>PO_DSCN_7</t>
  </si>
  <si>
    <t>PO_DSCN_7.1</t>
  </si>
  <si>
    <t>Una (1) base de datos con información acopiada por fuente del gasto por finalidad del gobierno de acuerdo con la clasificación COFOG, finalizada.</t>
  </si>
  <si>
    <t>PO_DSCN_7.2</t>
  </si>
  <si>
    <t>Un (1) archivo de trabajo con el procesamiento  y consolidación del gasto por finalidad del gobierno de acuerdo con la clasificación COFOG, finalizado.</t>
  </si>
  <si>
    <t>PO_DSCN_7.3</t>
  </si>
  <si>
    <t>Un (1) boletín técnico y 1 anexo de publicación del gasto por finalidad del gobierno de acuerdo con la clasificación COFOG, finalizados.</t>
  </si>
  <si>
    <t>PO_DSCN_8</t>
  </si>
  <si>
    <t>Un (1) envío a la OCDE del anexo de gasto social público y privado anual 2020 provisional, de acuerdo con la metodología SOCX-OCDE para la economía total, entregado.</t>
  </si>
  <si>
    <t>PO_DSCN_8.1</t>
  </si>
  <si>
    <t>Una (1) base de datos con información acopiada  del gasto social público y privado de acuerdo con la metodología SOCX-OCDE, finalizada.</t>
  </si>
  <si>
    <t>PO_DSCN_8.2</t>
  </si>
  <si>
    <t>Un (1) archivo de trabajo con el procesamiento y consolidación del gasto social público y privado de acuerdo con la metodología SOCX-OCDE, finalizado</t>
  </si>
  <si>
    <t>PO_DSCN_8.3</t>
  </si>
  <si>
    <t>Un  (1) envío  a la OCDE del anexo de gasto social público y privado de acuerdo con la metodología SOCX-OCDE, finalizados</t>
  </si>
  <si>
    <t>PO_DSCN_9</t>
  </si>
  <si>
    <t>Una (1) base de datos con información acopiada para las estimaciones de las cuentas anuales por sector institucional para los años 2019 def y 2020 provisional, finalizada</t>
  </si>
  <si>
    <t>PO_DSCN_9.1</t>
  </si>
  <si>
    <t>PO_DSCN_9.2</t>
  </si>
  <si>
    <t>PO_DSCN_9.3</t>
  </si>
  <si>
    <t>PO_DSCN_10</t>
  </si>
  <si>
    <t>Una (1) publicación del Producto Interno Bruto por departamentos año 2018 definitivo y 2019 provisional. Valor agregado por municipio, años 2018 definitivo y 2019 provisional, finalizada.</t>
  </si>
  <si>
    <t>PO_DSCN_10.1</t>
  </si>
  <si>
    <t>Una (1) base de datos con información acopiada de estadística básica por departamento y municipio, finalizada</t>
  </si>
  <si>
    <t>PO_DSCN_10.2</t>
  </si>
  <si>
    <t>Un (1) archivo de trabajo analizado y consolidado por departamento y municipio, finalizado.</t>
  </si>
  <si>
    <t>Se realizó la consolidación y análisis de las investigaciones con enfoque territorial: Análisis cuentas departamentales, consolidación cuentas departamentales, análisis municipal, consolidación valor agregado municipal</t>
  </si>
  <si>
    <t>PO_DSCN_10.3</t>
  </si>
  <si>
    <t>PO_DSCN_11</t>
  </si>
  <si>
    <t>Una (1) publicación del Producto Interno Bruto por departamentos año 2020 preliminar, finalizada</t>
  </si>
  <si>
    <t>PO_DSCN_11.1</t>
  </si>
  <si>
    <t>Una (1) base de datos con información acopiada de estadística básica por departamento, finalizada</t>
  </si>
  <si>
    <t>PO_DSCN_11.2</t>
  </si>
  <si>
    <t>Un (1) archivo de trabajo analizado y consolidado por departamento, finalizado.</t>
  </si>
  <si>
    <t>PO_DSCN_11.3</t>
  </si>
  <si>
    <t>Un (1) boletín técnico y anexos estadísticos de publicación, finalizados</t>
  </si>
  <si>
    <t>PO_DSCN_12</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</si>
  <si>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</si>
  <si>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PO_DSCN_12.1</t>
  </si>
  <si>
    <t>Siete (7) bases de datos con información acopiada para las cuentas ambientales y económicas, finalizadas</t>
  </si>
  <si>
    <t>Se realizó gestión para el acopio de las fuentes de información internas y externas, para la CAE-FE, CAE-ARME, CAE-FB, CAEB, CAE-AATA, CAEFM-RS; y se realizó el acopio de las fuentes para la CAE-FE, CAE-FB, CAEFM-RS, y CAE-AATA</t>
  </si>
  <si>
    <t>PO_DSCN_12.2</t>
  </si>
  <si>
    <t>Siete (7) archivos de trabajo con el procesamiento de la información acopiada, para las cuentas ambientales y económicas, finalizados</t>
  </si>
  <si>
    <t>Se avanzó en el procesamiento de información para el cálculo de la CAE-FE, CAE-FB, CAEB y CAE-AATA</t>
  </si>
  <si>
    <t>PO_DSCN_12.3</t>
  </si>
  <si>
    <t>Siete (7) boletines técnicos y siete (7) anexos de publicación para las cuentas ambientales y económicas finalizados</t>
  </si>
  <si>
    <t>PO_DSCN_12.4</t>
  </si>
  <si>
    <t>Siete (7) documentos metodológicos para las cuentas ambientales finalizados</t>
  </si>
  <si>
    <t>PO_DSCN_13</t>
  </si>
  <si>
    <t>Una (1) publicación de la Cuenta Satélite de las Tecnologías de la Información y las Comunicaciones (CSTIC), finalizada</t>
  </si>
  <si>
    <t>PO_DSCN_13.1</t>
  </si>
  <si>
    <t>Un (1) archivo de trabajo con el procesamiento de la información acopiada para la CSTIC, finalizado</t>
  </si>
  <si>
    <t>Se procesaron las bases de datos de las fuentes de la CSTIC y se generaron los resultados de la matriz de producción, las cuentas de producción y generación del ingreso, los balances oferta utilización y la matriz de trabajo</t>
  </si>
  <si>
    <t>PO_DSCN_13.2</t>
  </si>
  <si>
    <t>Un (1) boletín técnico y un (1) anexo de publicación de la CSTIC, finalizados</t>
  </si>
  <si>
    <t>Se elaboró el boletín técnico y los anexos de la CSTIC correspondientes a 2019 provisional y 2020 preliminar</t>
  </si>
  <si>
    <t>PO_DSCN_14</t>
  </si>
  <si>
    <t>Una (1) publicación de la Cuenta Satélite de Turismo (CST), finalizada</t>
  </si>
  <si>
    <t>PO_DSCN_14.1</t>
  </si>
  <si>
    <t>Una (1) base de datos con información acopiada para la CST finalizada</t>
  </si>
  <si>
    <t>Se realizó capacitación de la fase de acopio y se realizó la gestión para el acopio de las bases de datos de las fuentes de información de la CST</t>
  </si>
  <si>
    <t>PO_DSCN_14.2</t>
  </si>
  <si>
    <t>Un (1) archivo de trabajo con el procesamiento de la información acopiada para la CST finalizada</t>
  </si>
  <si>
    <t>Se avanzó en el procesamiento de la base de datos correspondiente a Migración Colombia y de la GEIH</t>
  </si>
  <si>
    <t>PO_DSCN_14.3</t>
  </si>
  <si>
    <t>Un (1) boletín técnico y un (1) anexo de publicación de la CST, finalizados</t>
  </si>
  <si>
    <t>PO_DSCN_15</t>
  </si>
  <si>
    <t>Una (1) publicación de la Cuenta Satélite de Cultura y Economía Naranja (CSCEN), finalizada</t>
  </si>
  <si>
    <t>Plan de Acción (PA) 2021</t>
  </si>
  <si>
    <t>PO_DSCN_15.1</t>
  </si>
  <si>
    <t>Una (1) base de datos con información acopiada para la CSCEN finalizada</t>
  </si>
  <si>
    <t xml:space="preserve">Se realizó capacitación de la fase de acopio y se realizó la gestión para el acopio de las bases de datos de las fuentes de información de la CSCEN. </t>
  </si>
  <si>
    <t>PO_DSCN_15.2</t>
  </si>
  <si>
    <t>Un (1) archivo de trabajo con el procesamiento de la información acopiada para la CSCEN finalizado</t>
  </si>
  <si>
    <t>Se avanzó en el procesamiento de las cuentas de producción y generación del ingreso a precios corrientes para las actividades de: edición de libros, diarios y revistas y otras; exhibición de cine, radiodifusión, TV abierta y por suscripción; diseño y publicidad; fabricación de juegos y juguetes, joyas e instrumentos musicales; educación superior cultural y creativa; producción de malta, elaboración de cerveza y otras bebidas malteadas; tejeduría y acabado de productos textiles; fabricación de tejidos de punto y ganchillo</t>
  </si>
  <si>
    <t>PO_DSCN_15.3</t>
  </si>
  <si>
    <t>Un (1) boletín técnico y un (1) anexo de publicación de la CSCEN, finalizados</t>
  </si>
  <si>
    <t>PO_DSCN_16</t>
  </si>
  <si>
    <t>Una (1) publicación de la Cuenta Satélite de la Agroindustria del Arroz, finalizada</t>
  </si>
  <si>
    <t>PO_DSCN_16.1</t>
  </si>
  <si>
    <t>Una (1) base de datos con información acopiada para la Cuenta Satélite de la Agroindustria del Arroz, finalizada</t>
  </si>
  <si>
    <t>Se realizó gestión y acopio de la información de SIPSA correspondiente a los productos y subproductos del arroz en molino 2013-2021.</t>
  </si>
  <si>
    <t>PO_DSCN_16.2</t>
  </si>
  <si>
    <t>Un (1) archivo de trabajo con el procesamiento de la información acopiada para la Cuenta Satélite de la Agroindustria del Arroz, finalizado</t>
  </si>
  <si>
    <t>PO_DSCN_16.3</t>
  </si>
  <si>
    <t>Un (1) boletín técnico y 1 anexo de publicación de la Cuenta Satélite de la Agroindustria del Arroz, finalizada</t>
  </si>
  <si>
    <t>PO_DSCN_17</t>
  </si>
  <si>
    <t>Una (1) publicación de la Cuenta Satélite de Cultura y Economía Naranja Bogotá (CSCENB), finalizada</t>
  </si>
  <si>
    <t>PO_DSCN_17.1</t>
  </si>
  <si>
    <t>Una (1) base de datos con información acopiada para la CSCENB finalizada</t>
  </si>
  <si>
    <t>PO_DSCN_17.2</t>
  </si>
  <si>
    <t>Un (1) archivo de trabajo con el procesamiento de la información acopiada para la CSCENB finalizada</t>
  </si>
  <si>
    <t>PO_DSCN_17.3</t>
  </si>
  <si>
    <t>Un (1) boletín técnico y un (1) anexo de publicación de la CSCENB, finalizados</t>
  </si>
  <si>
    <t>PO_DSCN_18</t>
  </si>
  <si>
    <t>Una (1) publicación de la Cuenta Satélite de la Agroindustria Avícola, finalizada</t>
  </si>
  <si>
    <t>PO_DSCN_18.1</t>
  </si>
  <si>
    <t>Una (1) base de datos con información acopiada para la Cuenta Satélite de la Agroindustria Avícola, finalizada</t>
  </si>
  <si>
    <t>PO_DSCN_18.2</t>
  </si>
  <si>
    <t>Un (1) archivo de trabajo con el procesamiento de la información acopiada para la Cuenta Satélite de la Agroindustria Avícola, finalizado</t>
  </si>
  <si>
    <t>PO_DSCN_18.3</t>
  </si>
  <si>
    <t>Un (1) boletín técnico y un (1) anexo de publicación de la Cuenta Satélite de la Agroindustria Avícola, finalizados</t>
  </si>
  <si>
    <t>PO_DSCN_19</t>
  </si>
  <si>
    <t>Una (1) publicación de la Cuenta Satélite de Salud (CSS), finalizada</t>
  </si>
  <si>
    <t>PO_DSCN_19.1</t>
  </si>
  <si>
    <t>Una (1) base de datos con información acopiada para la CSS finalizada</t>
  </si>
  <si>
    <t>Se realizó gestión y acopio de información de Sanidad Militar y Sanidad Policía. Adicionalmente se realizó el acopio de la base de datos de ADRES subsidiado y Supersalud, a través de la página web.</t>
  </si>
  <si>
    <t>PO_DSCN_19.2</t>
  </si>
  <si>
    <t>Un (1) archivo de trabajo con el procesamiento de la información acopiada para la CSS finalizado</t>
  </si>
  <si>
    <t>PO_DSCN_19.3</t>
  </si>
  <si>
    <t>Un (1) boletín técnico y un (1) anexo de publicación de la CSS, finalizados</t>
  </si>
  <si>
    <t>PO_DSCN_20</t>
  </si>
  <si>
    <t>Una (1) publicación de la Cuenta Satélite de la Agroindustria del Maíz, Sorgo y Soya, finalizada</t>
  </si>
  <si>
    <t>PO_DSCN_20.1</t>
  </si>
  <si>
    <t>Una (1) base de datos con información acopiada para la Cuenta Satélite de la Agroindustria del Maíz, Sorgo y Soya, finalizada</t>
  </si>
  <si>
    <t>PO_DSCN_20.2</t>
  </si>
  <si>
    <t>Un (1) archivo de trabajo con el procesamiento de la información acopiada para la Cuenta Satélite de la Agroindustria del Maíz, Sorgo y Soya, finalizado</t>
  </si>
  <si>
    <t>PO_DSCN_20.3</t>
  </si>
  <si>
    <t>Un (1) boletín técnico y un (1) anexo de publicación de la Cuenta Satélite de la Agroindustria del Maíz, Sorgo y Soya, finalizados</t>
  </si>
  <si>
    <t>PO_DSCN_21</t>
  </si>
  <si>
    <t>Cuatro (4) estimaciones preliminares (internas) del PIB trimestral por el enfoque del ingreso y de las cuentas por sector institucional para los periodos: cuarto trimestre de 2020, y los tres primeros trimestre de 2021, finalizadas.</t>
  </si>
  <si>
    <t>PO_DSCN_21.1</t>
  </si>
  <si>
    <t>Cuatro (4) bases de datos con información acopiada para el enfoque del ingreso y de las cuentas por sector institucional para los periodos: cuarto trimestre de 2020, y los tres primeros trimestre de 2021, finalizadas.</t>
  </si>
  <si>
    <t xml:space="preserve">Se obtiene la base datos de la información básica para la elaboración de la cuentas nacionales  trimestrales por sector institucional </t>
  </si>
  <si>
    <t>PO_DSCN_21.2</t>
  </si>
  <si>
    <t>Cuatro (4) archivos de trabajo con el procesamiento, consolidación y síntesis  para el enfoque del ingreso y de las cuentas por sector institucional para los periodos: cuarto trimestre de 2020, y los tres primeros trimestre de 2021, finalizadas.</t>
  </si>
  <si>
    <t>Se realiza el proceso de consolidación y síntesis de las cuentas nacionales trimestrales por sector institucional</t>
  </si>
  <si>
    <t>PO_DSCN_21.3</t>
  </si>
  <si>
    <t>Cuatro (4) boletines técnicos y sus respectivos anexos de publicación para el enfoque del ingreso y de las cuentas por sector institucional para los periodos: cuarto trimestre de 2020, y los tres primeros trimestre de 2021, finalizados.</t>
  </si>
  <si>
    <t>Se elaboran los anexos de publicación de las cuentas nacionales trimestrales por sector institucional</t>
  </si>
  <si>
    <t>PO_DSCN_22</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</si>
  <si>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</si>
  <si>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Cuatro (4) publicaciones del PIB trimestral por los enfoques de la producción y el gasto para los periodos: cuarto trimestre de 2020, y los tres primeros trimestre de 2021, finalizadas.</t>
  </si>
  <si>
    <t>PO_DSCN_22.1</t>
  </si>
  <si>
    <t>Cuatro (4) bases de datos con información acopiada para los enfoques de la producción y el gasto para los periodos: cuarto trimestre de 2020, y los tres primeros trimestre de 2021, finalizadas.</t>
  </si>
  <si>
    <t>Se realizó el acopio completo de la información básica para el cálculo del PIB, de sus dos enfoques, correspondiente al cuarto trimestre de 2020.</t>
  </si>
  <si>
    <t>PO_DSCN_22.2</t>
  </si>
  <si>
    <t>Cuatro (4) archivos de trabajo con el procesamiento, consolidación y síntesis  para los enfoques de la producción y el gasto para los periodos: cuarto trimestre de 2020, y los tres primeros trimestre de 2021, finalizadas.</t>
  </si>
  <si>
    <t>PO_DSCN_22.3</t>
  </si>
  <si>
    <t>Cuatro (4) boletines técnicos y sus respectivos anexos de publicación para los enfoques de la producción y el gasto para los periodos: cuarto trimestre de 2020, y los tres primeros trimestre de 2021, finalizados.</t>
  </si>
  <si>
    <t xml:space="preserve">Se publicó el boletín técnico y los anexos estadísticos, con los resultados del Producto Interno Bruto del cuarto trimestre de 2020 y año total. </t>
  </si>
  <si>
    <t>PO_DSCN_23</t>
  </si>
  <si>
    <t>Doce (12) publicaciones del Indicador de Seguimiento a la Economía ISE para los periodos: noviembre y diciembre de 2020, y los meses de enero a octubre de 2021, finalizadas.</t>
  </si>
  <si>
    <t>PO_DSCN_23.1</t>
  </si>
  <si>
    <t>Doce (12) bases de datos con información acopiada por actividad económica, para los periodos: noviembre y diciembre de 2020, y los meses de enero a octubre de 2021, finalizadas.</t>
  </si>
  <si>
    <t>Se realizó el acopio completo de la información básica para los cálculos del ISE del mes de noviembre y diciembre de 2020; y enero de 2021</t>
  </si>
  <si>
    <t>PO_DSCN_23.2</t>
  </si>
  <si>
    <t>Doce (12) archivos de trabajo con el procesamiento, consolidación y síntesis, para los periodos: noviembre y diciembre de 2020, y los meses de enero a octubre de 2021, finalizadas.</t>
  </si>
  <si>
    <t>PO_DSCN_23.3</t>
  </si>
  <si>
    <t>Doce (12) boletines técnicos y sus respectivos anexos de publicación, para los periodos: noviembre y diciembre de 2020, y los meses de enero a octubre de 2021, finalizadas.</t>
  </si>
  <si>
    <t xml:space="preserve">Se publicó el boletín técnico y los anexos estadísticos, con los resultados del ISE para los meses de noviembre y diciembre de 2020; y enero de 2021. </t>
  </si>
  <si>
    <t>En el marco del desarrollo de la Cuenta Satélite Ambiental (CSA), se avanzó en el acopio y análisis de información de las cuentas ambientales y económicas de: flujos de energía, flujos del bosque, residuos sólidos, y actividades ambientales y transacciones asociadas</t>
  </si>
  <si>
    <t xml:space="preserve">Se realizó procesamiento de las bases de datos de las encuestas económicas y los registros administrativos para generar los resultados de la CSTIC correspondientes a la matriz de producción, las cuentas de producción y generación del ingreso, los balances oferta utilización y la matriz de trabajo. Se elaboraron los productos de publicación (boletín técnico y anexos) y se realizó la publicación el día 19 de marzo de 2021 </t>
  </si>
  <si>
    <t>Se realizó capacitación de la fase de acopio para la CST y se realizó la gestión para el acopio de las bases de datos de la EGIT y Migración Colombia. Se avanzó en el procesamiento de las bases correspondientes a Migración Colombia; y GEIH para la matriz de trabajo</t>
  </si>
  <si>
    <t>Está pendiente el acopio de la información correspondiente a la ANTV (el acopio se realiza a través de página web y aún no se encuentra actualizada).</t>
  </si>
  <si>
    <t>Se realizó gestión y acopio de la información de SIPSA correspondiente a los productos y subproductos del arroz en molino 2013-2021, para la cuenta satélite de la agroindustria del arroz.</t>
  </si>
  <si>
    <t xml:space="preserve">El GIT de indicadores y cuentas trimestrales de bienes y servicios realizó la publicación del Producto Interno Bruto del cuarto trimestre de 2020 y año total, desde sus dos enfoques (producción y gasto); el día 15 de febrero de 2021. Para cada uno de los enfoques se realizó el acopio completo de la información, la consolidación y síntesis de resultados a cabalidad y sin ningún contratiempo. </t>
  </si>
  <si>
    <t xml:space="preserve">El GIT de indicadores y cuentas trimestrales de bienes y servicios realizó las publicaciones del Indicador de Seguimiento a la Economía de los meses de noviembre y diciembre de 2020; y enero de 2021; los días 18 de enero, 15 de febrero y 18 de marzo de 2021, respectivamente. Para cada una de las publicaciones se realizó el acopio completo de la información, la consolidación y síntesis de resultados a cabalidad y sin ningún contratiempo. </t>
  </si>
  <si>
    <t>Se elaboraron los productos de publicación y realizó la publicación en la página web de la matriz de trabajo</t>
  </si>
  <si>
    <t>Se avanzó en la consolidación de las fuentes de información transformadas a la clasificación COFOG</t>
  </si>
  <si>
    <t>Se realizó el acopio de la estadística básica usada para la medición del PIB por departamentos del año 2020 preliminar.</t>
  </si>
  <si>
    <t>Se realizó la consolidación y análisis de las investigaciones con enfoque territorial: Análisis cuentas departamentales, consolidación cuentas departamentales.</t>
  </si>
  <si>
    <t>Se realizó gestión para el acopio de las fuentes de información internas y externas, para la CAE-ARME, CAE-AATA, CAEFM-RS, CAE-FA, CAEFM-EA; y se realizó el acopio de las fuentes para la CAE-ARME, CAE-AATA, CAEFM-RS, CAE-FA, CAEFM-EA</t>
  </si>
  <si>
    <t>Se avanzó en el procesamiento de información para el cálculo de la CAE-FE, CAE-FB, CAEB, CAE-AATA, CAE-ARME,CAE-FA, CAEFM-RS</t>
  </si>
  <si>
    <t xml:space="preserve">Se publicaron resultados (boletín técnico y anexos) de las cuentas ambientales y económicas de: flujos de energía y flujos del bosque  </t>
  </si>
  <si>
    <t>Se realizó el procesamiento de las bases de datos correspondientes a Migración Colombia, GEIH y Encuesta de Gasto Interno de Turismo para los años 2019 y 2020</t>
  </si>
  <si>
    <t>Se publicó en página web los productos de publicación de la CST el día 14 de mayo de 2021</t>
  </si>
  <si>
    <t>Se realizó el acopio del total de fuentes de información (EAS, EAM, EAC, EDUC, EMMET, EMS, MINEDUCACION, DIAN, SIET, SUPERSOCIEDADES, Estadísticas del libro)</t>
  </si>
  <si>
    <t>Se realizó el procesamiento del total de bases de datos para la CSCEN, correspondientes a los años 2019 y 2020 y se realizó la síntesis de información para generar las cuentas de producción y generación del ingreso, los balances oferta utilización, ocupados y trabajos equivalentes a tiempo completo</t>
  </si>
  <si>
    <t xml:space="preserve">Se avanzó en el anexo de publicación de ocupados y trabajos equivalentes a tiempo completo de la CSCEN </t>
  </si>
  <si>
    <t>Se realizó el acopio de las bases de datos correspondientes a las áreas sembradas y cosechadas de arroz, producción de arroz y precio promedio</t>
  </si>
  <si>
    <t xml:space="preserve">Se realizó el procesamiento de áreas sembradas de arroz y precios SIPSA </t>
  </si>
  <si>
    <t>Se realizó el acopio de información correspondiente a la Encuesta Anual de Servicios; Encuesta Mensual de Servicios y Encuesta Mensual Manufacturera con Enfoque Territorial</t>
  </si>
  <si>
    <t>Se realizó el acopio de información correspondiente a encasetamientos, costos, inventarios y producción</t>
  </si>
  <si>
    <t>Se realizó acopio del catálogo de información financiera de Supersalud y Ministerio de Salud para EPS e IPS; movilidad régimen contributivo; EPS públicas régimen contributivo; y EPS públicas régimen subsidiado</t>
  </si>
  <si>
    <t xml:space="preserve">Se realizó el acopio de la información correspondiente a los indicadores cerealistas de Fenalce </t>
  </si>
  <si>
    <t xml:space="preserve">Se publicó el boletín técnico y los anexos estadísticos, con los resultados del Producto Interno Bruto del primer trimestre de 2021. </t>
  </si>
  <si>
    <t>Se realizó el acopio completo de la información básica para los cálculos del ISE de los meses de febrero, marzo y abril de 2021</t>
  </si>
  <si>
    <t xml:space="preserve">Se publicó el boletín técnico y los anexos estadísticos, con los resultados del ISE para los meses de febrero, marzo y abril de 2021. </t>
  </si>
  <si>
    <t>Se realizó el acopio de todas las bases de datos que sirven de insumo para la elaboración de la matriz de usos importados y nacionales, y se avanzó en la construcción del Código en el software estadístico R para el cálculo de la matriz de usos importados y nacionales.</t>
  </si>
  <si>
    <t>Se culminó el procesamiento de las bases de datos correspondientes, se realizó la síntesis de información para generar los cuadros de salida y productos de publicación de la matriz de trabajo. Finalmente se realizó la publicación de la matriz de trabajo en la página web del DANE, en la fecha establecida.</t>
  </si>
  <si>
    <t xml:space="preserve">En el marco del desarrollo de la Cuenta Satélite Ambiental (CSA), se avanzó en el acopio y análisis de información de las cuentas ambientales y económicas de: flujos del bosque, residuos sólidos, actividades ambientales y transacciones asociadas, activos minero energéticos, flujos del agua y emisiones al aire. Se avanzó en el procesamiento de información para el cálculo de la CAE-FE, CAE-ARME, CAE-FB, CAEB, CAE-AATA, CAE-FA, CAEFM-RS. Se realizó publicación de resultados de las cuentas ambientales y económicas de: flujos de energía y flujos del bosque.  </t>
  </si>
  <si>
    <t>Se culminó el procesamiento de las bases de datos correspondientes a Migración Colombia, GEIH y Encuesta de Gasto Interno de Turismo para los años 2019 y 2020, y se realizó la síntesis de información para generar los cuadros de salida y productos de publicación de la CST. El día 14 de mayo se realizó la publicación de la CST en la página web del DANE</t>
  </si>
  <si>
    <t>Se realizó el acopio del total de fuentes de información para la Cuenta Satélite de Cultura y Economía Naranja y se procesaron las bases de datos para el cálculo de las cuentas de producción y generación del ingreso de las 101 actividades económicas, agregación por segmentos y áreas. Se procesó la información para elaborar los balances oferta utilización y los ocupados y trabajos equivalentes a tiempo completo; y se avanzó en la elaboración del anexo de publicación de ocupados y TETC.</t>
  </si>
  <si>
    <t xml:space="preserve">Se realizó el acopio de las bases de datos correspondientes a las áreas sembradas y cosechadas de arroz, producción de arroz y precio promedio; y se avanzó en el procesamiento de las bases de área sembradas y precios para el cálculo de la producción de arroz </t>
  </si>
  <si>
    <t>Se realizó capacitación de la fase de acopio para la CSCEN Bogotá y se realizó el acopio de las bases de datos correspondientes a la Encuesta Anual de Servicios; Encuesta Mensual de Servicios y Encuesta Mensual Manufacturera con Enfoque Territorial, para la cuenta satélite de cultura y economía naranja de Bogotá</t>
  </si>
  <si>
    <t>Se realizó el acopio de las bases de datos correspondientes a encasetamientos, costos, inventarios y producción para la cuenta satélite de la agroindustria avícola</t>
  </si>
  <si>
    <t>Se realizó el acopio de la información correspondiente a los indicadores cerealistas de Fenalce, que incluye información relacionada con producción, importaciones, y precios de los cereales en Colombia</t>
  </si>
  <si>
    <t>Se realizó la publicación de la serie 2016_1 a 2020_1, cumpliendo con los tiempos establecidos.</t>
  </si>
  <si>
    <t>PO_DIMPE_1</t>
  </si>
  <si>
    <t xml:space="preserve">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 Operación continua. </t>
  </si>
  <si>
    <t>PO_DIMPE_1.1</t>
  </si>
  <si>
    <t>Una (1) matriz para la identificación de necesidades de información estadística para la caracterización de grupos de interés del DANE. diligenciada para el correspondiente análisis.</t>
  </si>
  <si>
    <t>Se cuenta con la matriz de caracterización</t>
  </si>
  <si>
    <t>PO_DIMPE_1.2</t>
  </si>
  <si>
    <t>Metodología de diseño del ICOCIV, un índice nuevo cuya difusión se realizó por primera vez, el primer trimestre de 2021</t>
  </si>
  <si>
    <t>PO_DIMPE_1.3</t>
  </si>
  <si>
    <t>Un (1) documento que presente el desarrollo de requerimientos , ajustes y pruebas de los diferentes componentes que integran el proceso estadístico para la OE finalizado.</t>
  </si>
  <si>
    <t>Revisión de la actualización del nivel flexible del IPC, se adjunta la revisión final de la canasta IPC</t>
  </si>
  <si>
    <t>PO_DIMPE_1.4</t>
  </si>
  <si>
    <t>Bases de cálculo IPC. Tres bases de datos (Enero, febrero y marzo), disponibles en Oracle, pero de las cuales no es posible compartir información. Se adjunta boletín final que describe resultados</t>
  </si>
  <si>
    <t>PO_DIMPE_1.5</t>
  </si>
  <si>
    <t>Proceso de revisión para las bases IPC de enero, febrero y marzo finalizados, se adjunta documento final resultado</t>
  </si>
  <si>
    <t>PO_DIMPE_1.6</t>
  </si>
  <si>
    <t>Un (1) proceso de análisis terminado.</t>
  </si>
  <si>
    <t>PO_DIMPE_2</t>
  </si>
  <si>
    <t>La producción de información continua sobre las operaciones estadísticas que se investigan en el sector servicios, entregadas para difusión, aporta indirectamente al cumplimiento  de la estrategia de la Capacidad Metodológica</t>
  </si>
  <si>
    <t xml:space="preserve">Una (1) producción de información continua sobre las operaciones estadísticas que se investigan en el sector servicios, entregadas para difusión. Operación continua. </t>
  </si>
  <si>
    <t>PO_DIMPE_2.1</t>
  </si>
  <si>
    <t>El equipo temático del GIT Servicios diligenció y entregó al equipo de calidad de DIMPE las matrices de identificación de necesidades de información de los meses correspondientes.</t>
  </si>
  <si>
    <t>PO_DIMPE_2.2</t>
  </si>
  <si>
    <t>El equipo Temático de la MTA ha adelantado los pasos necesarios para el rediseño de la operación estadística</t>
  </si>
  <si>
    <t>PO_DIMPE_2.3</t>
  </si>
  <si>
    <t xml:space="preserve">Un (1) proceso de la construcción de las OE aplicado. </t>
  </si>
  <si>
    <t>PO_DIMPE_2.4</t>
  </si>
  <si>
    <t>Un (1) proceso de recolección o acopio de las OE aplicado.</t>
  </si>
  <si>
    <t xml:space="preserve">El equipo logístico realizó la recolección y acopio de la información de los periodos correspondientes de las encuestas de Servicios
</t>
  </si>
  <si>
    <t>PO_DIMPE_2.5</t>
  </si>
  <si>
    <t>Los equipos Temático y de Diseños Muestrales realizaron el procesamiento de la información de los meses correspondientes de las encuestas de servicios</t>
  </si>
  <si>
    <t>Se efectuaron las publicaciones correspondientes de las Encuestas de Servicios</t>
  </si>
  <si>
    <t>PO_DIMPE_3</t>
  </si>
  <si>
    <t xml:space="preserve">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 Operación continua. </t>
  </si>
  <si>
    <t>PO_DIMPE_3.1</t>
  </si>
  <si>
    <t>El GIT Temática Mercado Laboral diligenció y reportó mensualmente la matriz para la identificación de necesidades de información estadística para la caracterización de grupos de interés del DANE.</t>
  </si>
  <si>
    <t>PO_DIMPE_3.2</t>
  </si>
  <si>
    <t>Un (1) documento metodológico para el diseño/ rediseño ajustado.</t>
  </si>
  <si>
    <t>El GIT Temática Mercado Laboral adaptó el rediseño en la Metodología para el Paralelo de la GEIH. El documento se encuentra en revisión de pares desde el 24-dic-2020.</t>
  </si>
  <si>
    <t>PO_DIMPE_3.3</t>
  </si>
  <si>
    <t>El GIT Temática Mercado Laboral desarrolló las versiones del Formulario de Recolección del Paralelo de la GEIH para los dos primeros trimestres de 2021.</t>
  </si>
  <si>
    <t>PO_DIMPE_3.4</t>
  </si>
  <si>
    <t>Una (1) base de datos de registros recolectados.</t>
  </si>
  <si>
    <t>El Área de Logística y Producción de Información envió mensualmente las bases de datos iniciales con los registros recolectados por medio de la GEIH y la Oficina de Sistemas dispuso las bases de datos finales de cada mes.</t>
  </si>
  <si>
    <t>PO_DIMPE_3.5</t>
  </si>
  <si>
    <t>La Oficina de Sistemas procesó la información mensualmente y dispuso los cuadros de salida de la GEIH.</t>
  </si>
  <si>
    <t>PO_DIMPE_3.6</t>
  </si>
  <si>
    <t>Un (1) análisis de productos y resultados de la información estadística terminados.</t>
  </si>
  <si>
    <t>El GIT Temática Mercado Laboral generó mensualmente el Boletín Técnico con los principales indicadores del mercado laboral, a partir de la información producida por medio de la GEIH.</t>
  </si>
  <si>
    <t>PO_DIMPE_4</t>
  </si>
  <si>
    <t>La producción de información de seguridad y convivencia ciudadana aporta indirectamente al cumplimiento del objetivo estratégico de capacidad metodológica, dado que se actualizarán las cifras de victimización, denuncia y percepción de seguridad.</t>
  </si>
  <si>
    <t xml:space="preserve">Una (1) producción de información estadística sobre temáticas de seguridad y convivencia ciudadana para obtener datos relacionados con victimización, denuncia y percepción de seguridad, actualizada. </t>
  </si>
  <si>
    <t>PO_DIMPE_4.1</t>
  </si>
  <si>
    <t>Se elaboraron las matrices de identificación de necesidades para los meses de enero, febrero y marzo, según las solicitudes recibidas.</t>
  </si>
  <si>
    <t>PO_DIMPE_4.2</t>
  </si>
  <si>
    <t>Un (1) documento metodológico para el diseño ajustado.</t>
  </si>
  <si>
    <t>Durante el primer trimestre se avanzó en la elaboración de los ajustes requeridos al documento metodológico, de acuerdo con las mejoras realizadas al instrumento de recolección de la encuesta.</t>
  </si>
  <si>
    <t>PO_DIMPE_4.3</t>
  </si>
  <si>
    <t>Un (1) desarrollo de requerimientos, ajustes y pruebas de los diferentes instrumentos de recolección que integran el proceso estadístico, finalizado</t>
  </si>
  <si>
    <t>Durante el primer trimestre se definió el formulario de recolección para la realización de la prueba piloto de la inclusión del módulo de ciberdelitos en la Encuesta de Convivencia y Seguridad Ciudadana.</t>
  </si>
  <si>
    <t>PO_DIMPE_4.4</t>
  </si>
  <si>
    <t>PO_DIMPE_4.5</t>
  </si>
  <si>
    <t>30/10/2021</t>
  </si>
  <si>
    <t>PO_DIMPE_4.6</t>
  </si>
  <si>
    <t>PO_DIMPE_5</t>
  </si>
  <si>
    <t>La producción de información sobre democracia, participación, transparencia y capital social aporta indirectamente al cumplimiento de la estrategia de la Capacidad Metodológica, dado que se entregarán las cifras de cultura política.</t>
  </si>
  <si>
    <t>PO_DIMPE_5.1</t>
  </si>
  <si>
    <t>PO_DIMPE_5.2</t>
  </si>
  <si>
    <t>PO_DIMPE_5.3</t>
  </si>
  <si>
    <t>Durante el primer trimestre se realizaron las mesas de trabajo con usuarios de la encuesta y el equipo ODS para realizar los ajustes al formulario de recolección de la Encuesta de Cultura Política.</t>
  </si>
  <si>
    <t>PO_DIMPE_5.4</t>
  </si>
  <si>
    <t>PO_DIMPE_6</t>
  </si>
  <si>
    <t>PO_DIMPE_6.1</t>
  </si>
  <si>
    <t>PO_DIMPE_6.2</t>
  </si>
  <si>
    <t>Durante el primer trimestre se realizaron ajustes al documento metodológico, de acuerdo con los comentarios recibidos por parte de los pares revisores.</t>
  </si>
  <si>
    <t>PO_DIMPE_7</t>
  </si>
  <si>
    <t xml:space="preserve">Una (1) producción de información estadística periódica para la medición de la dinámica del sector constructor, actualizada. </t>
  </si>
  <si>
    <t>PO_DIMPE_7.1</t>
  </si>
  <si>
    <t>Se diligenciaron tres matrices de necesidades para los meses de enero, febrero y marzo 2021</t>
  </si>
  <si>
    <t>PO_DIMPE_7.2</t>
  </si>
  <si>
    <t>1. Avance en el ajuste el documento metodológico de la OOEE CHV según requerimientos de pares técnicos. En revisión por parte del coordinación del GIT
2. Documento y ficha metodológica de IIOC cargado e ISOLUCION y revisado por Coordinación del GIT y Dirección Técnica. Pendiente aprobación por la Subdirección.
3. Documento y ficha metodológica del IPOC aprobada en ISOLUCION
4. Presentación de avance de la exploración temática y diseño preliminar del instrumento de recolección</t>
  </si>
  <si>
    <t>PO_DIMPE_7.3</t>
  </si>
  <si>
    <t>Un (1) desarrollo de requerimientos , ajustes y pruebas de los diferentes instrumentos de recolección que integran el proceso estadístico.</t>
  </si>
  <si>
    <t>1. Avance en la elaboración del esquema general Módulo de cálculo y análisis_20210324 para el SIPOC, como insumo para la construcción de historias de usuario por parte de OSIS
2. Construcción de requerimientos e historias de usuario con la función de producción (logística y sistemas) para los aplicativos de EC y ECG</t>
  </si>
  <si>
    <t>PO_DIMPE_7.4</t>
  </si>
  <si>
    <t>1. En ELIC el operativo recolección durante enero 2021 (publica cifras en febrero 2021 corte diciembre 2020), operativo recolección durante febrero 2021 (publica cifras en marzo 2021 corte enero 2021) y operativo recolección durante marzo 2021 (publica cifras en abril 2021 corte febrero 2021)
2. En EC el operativo de recolección durante enero 2021 (publica cifras en febrero 2021 corte diciembre 2020), operativo recolección durante febrero 2021 (publica cifras en marzo 2021 corte enero 2021) y operativo recolección durante marzo 2021 (publica cifras en abril 2021 corte febrero 2021)
3. En ECG el operativo de recolección durante enero 2021 (publica cifras en enero 2021 corte diciembre 2020), operativo recolección durante febrero 2021 (publica cifras en febrero 2021 corte enero 2021) y operativo recolección durante marzo 2021 (publica cifras en marzo 2021 corte febrero 2021)
4. En IIOC el operativo de recolección durante enero 2021 (publica cifras en febrero 2021 corte cuarto trimestre 2020)
5. En IPOC el operativo de recolección durante enero 2021 (publica cifras en febrero 2021 corte cuarto trimestre 2020)
6. En CEED el operativo de recolección durante los meses de enero, febrero y marzo del 2021 corresponden a las tres fases de recolección de cifras corte I trimestre del 2021, cuyas cifras se publicarán en mayo 2021</t>
  </si>
  <si>
    <t>PO_DIMPE_7.5</t>
  </si>
  <si>
    <t>RELACIÓN DE EVIDENCIAS DEL AVANCE CUALITATIVO
1. En ELIC se procesaron bases durante enero 2021 para publicación de cifras corte noviembre 2020, durante febrero 2021 se procesaron bases para publicación de cifras corte diciembre 2020 y se procesaron bases durante marzo 2021 para publicación de cifras corte enero 2021
2. En EC se procesaron bases durante enero 2021 para publicación de cifras corte diciembre 2020, durante febrero 2021 se procesaron bases para publicación de cifras corte enero 2021 y se procesaron bases durante marzo 2021 para publicación de cifras corte febrero 2021
3. En ECG se procesaron bases durante enero 2021 para publicación de cifras corte enero 2020, durante febrero 2021 se procesaron bases para publicación de cifras corte febrero 2021 y se procesaron bases durante marzo 2021 para publicación de cifras corte marzo 2021
4. En IIOC se procesaron bases durante enero y febrero 2021 para publicación de cifras corte cuarto trimestre 2020
5. En IPOC se procesaron bases durante enero y febrero 2021 para publicación de cifras corte cuarto trimestre 2020
6. En CEED se procesaron bases durante enero y febrero 2021 para publicación de cifras corte cuarto trimestre 2020</t>
  </si>
  <si>
    <t>PO_DIMPE_7.6</t>
  </si>
  <si>
    <t>1. En ELIC se procesó análisis y elaboraron productos de difusión durante enero 2021 para publicación de cifras corte noviembre 2020, durante febrero 2021 se procesó análisis y elaboraron productos de difusión para publicación de cifras corte diciembre 2020 y se procesó análisis y elaboraron productos de difusión durante marzo 2021 para publicación de cifras corte enero 2021
2. En EC se procesó análisis y elaboraron productos de difusión durante enero 2021 para publicación de cifras corte diciembre 2020, durante febrero 2021 se procesó análisis y elaboraron productos de difusión para publicación de cifras corte enero 2021 y se procesó análisis y elaboraron productos de difusión durante marzo 2021 para publicación de cifras corte febrero 2021
3. En ECG se procesó análisis y elaboraron productos de difusión durante enero 2021 para publicación de cifras corte enero 2020, durante febrero 2021 se procesó análisis y elaboraron productos de difusión para publicación de cifras corte febrero 2021 y se procesó análisis y elaboraron productos de difusión durante marzo 2021 para publicación de cifras corte marzo 2021
4. En IIOC se procesó análisis y elaboraron productos de difusión durante enero y febrero 2021 para publicación de cifras corte cuarto trimestre 2020
5. En IPOC se procesó análisis y elaboraron productos de difusión durante enero y febrero 2021 para publicación de cifras corte cuarto trimestre 2020
6. En CEED se procesó análisis y elaboraron productos de difusión durante enero y febrero 2021 para publicación de cifras corte cuarto trimestre 2020</t>
  </si>
  <si>
    <t>PO_DIMPE_8</t>
  </si>
  <si>
    <t xml:space="preserve">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 </t>
  </si>
  <si>
    <t>PO_DIMPE_8.1</t>
  </si>
  <si>
    <t xml:space="preserve">El equipo técnico de comercio exterior realiza mensualmente la identificación de necesidades de información, con el fin de implementar mejoras en las operaciones estadísticas y/o dar respuesta a las necesidades de los diferentes usuarios de información. 
</t>
  </si>
  <si>
    <t>PO_DIMPE_8.2</t>
  </si>
  <si>
    <t xml:space="preserve">El equipo temático del GIT comercio se encuentra realizando la actualización de la metodología de exportaciones e importaciones. </t>
  </si>
  <si>
    <t>PO_DIMPE_8.3</t>
  </si>
  <si>
    <t xml:space="preserve">El equipo temático del GIT comercio, está en proceso de revisión del formulario de la Encuesta Anual de Inversión Directa. </t>
  </si>
  <si>
    <t>PO_DIMPE_8.4</t>
  </si>
  <si>
    <t>Una (1) base de datos de información recolectada</t>
  </si>
  <si>
    <t xml:space="preserve">El equipo técnico genero las bases de datos mensuales de exportaciones, importaciones y trimestral de comercio exterior de servicios. </t>
  </si>
  <si>
    <t>PO_DIMPE_8.5</t>
  </si>
  <si>
    <t xml:space="preserve">El equipo técnico del GIT Comercio realizó el procesamiento de las bases mensuales de exportaciones e importaciones, y trimestral de comercio exterior de servicios. </t>
  </si>
  <si>
    <t>PO_DIMPE_8.6</t>
  </si>
  <si>
    <t>Un (1) proceso de análisis de consistencia económica, terminado.</t>
  </si>
  <si>
    <t xml:space="preserve">El equipo técnico del GIT Comercio realizó el análisis de contexto de la información a publicar correspondientes a comercio exterior de bienes y servicios. </t>
  </si>
  <si>
    <t>PO_DIMPE_9</t>
  </si>
  <si>
    <t xml:space="preserve">Una (1) producción de información coyuntural y estructural del comercio interno, con el fin de proporcionar información mensual y anual que permita conocer la dinámica y características del sector comercio en Colombia, actualizada. </t>
  </si>
  <si>
    <t>PO_DIMPE_9.1</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</si>
  <si>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</si>
  <si>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PO_DIMPE_9.2</t>
  </si>
  <si>
    <t>El equipo temático del GIT comercio desarrolló la actualización de la metodología de EAC</t>
  </si>
  <si>
    <t>PO_DIMPE_9.3</t>
  </si>
  <si>
    <t xml:space="preserve">El equipo técnico generó las bases de datos mensuales de la EMC y Pulso Empresarial </t>
  </si>
  <si>
    <t>PO_DIMPE_9.4</t>
  </si>
  <si>
    <t xml:space="preserve">El equipo técnico del GIT Comercio realizó el procesamiento de las bases mensuales de EMC y Pulso Empresarial </t>
  </si>
  <si>
    <t>PO_DIMPE_9.5</t>
  </si>
  <si>
    <t xml:space="preserve">El equipo técnico del GIT Comercio realizó el análisis de contexto de la información a publicar correspondientes a la EMC y Pulso Empresarial </t>
  </si>
  <si>
    <t>PO_DIMPE_10</t>
  </si>
  <si>
    <t xml:space="preserve">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 </t>
  </si>
  <si>
    <t>PO_DIMPE_10.1</t>
  </si>
  <si>
    <t xml:space="preserve">El equipo técnico del GIT Comercio implementó mejoras en el aplicativo de captura con el fin de optimizar el proceso de creación de códigos únicos. </t>
  </si>
  <si>
    <t>PO_DIMPE_10.2</t>
  </si>
  <si>
    <t xml:space="preserve">El equipo técnico generó las bases de datos para la certificación de precios imputados. </t>
  </si>
  <si>
    <t>PO_DIMPE_10.3</t>
  </si>
  <si>
    <t xml:space="preserve">El equipo técnico del GIT Comercio realizó el procesamiento de las bases correspondientes a las certificaciones de precios imputados, modificados y actualizados. Así como el procesamiento de la información de PVPAPN. </t>
  </si>
  <si>
    <t>PO_DIMPE_10.4</t>
  </si>
  <si>
    <t xml:space="preserve">El equipo técnico del GIT Comercio realizó el análisis de contexto de la información a publicar correspondientes a PVPLVA - PVPAPN. </t>
  </si>
  <si>
    <t>PO_DIMPE_11</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</si>
  <si>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</si>
  <si>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 xml:space="preserve">Una (1) producción de información estadística de la Encuesta de Calidad de Vida con el fin de obtener datos relacionados con las condiciones de vida de los hogares y generar insumos para la generación del IPM a nivel departamental, actualizada. </t>
  </si>
  <si>
    <t>PO_DIMPE_11.1</t>
  </si>
  <si>
    <t>Se generaron las matrices para la identificación de necesidades de información estadística para la caracterización de grupos de interés de forma mensual.</t>
  </si>
  <si>
    <t>PO_DIMPE_11.2</t>
  </si>
  <si>
    <t>Un (1) documento para el diseño ajustado.</t>
  </si>
  <si>
    <t>PO_DIMPE_11.3</t>
  </si>
  <si>
    <t>PO_DIMPE_11.4</t>
  </si>
  <si>
    <t>PO_DIMPE_11.5</t>
  </si>
  <si>
    <t>PO_DIMPE_11.6</t>
  </si>
  <si>
    <t>Un (1) proceso de análisis preliminar, terminado.</t>
  </si>
  <si>
    <t>PO_DIMPE_12</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</si>
  <si>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</si>
  <si>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Una (1) producción de información estadística de la Encuesta Nacional de Uso del Tiempo con el fin de obtener datos relacionados con las actividades de trabajo remunerado y no remunerado, actualizada</t>
  </si>
  <si>
    <t>PO_DIMPE_12.1</t>
  </si>
  <si>
    <t>PO_DIMPE_12.2</t>
  </si>
  <si>
    <t>Metodología de la Encuesta Nacional de Uso del tiempo Ajustada, pendiente por aprobación en ISOLUSION</t>
  </si>
  <si>
    <t>PO_DIMPE_12.3</t>
  </si>
  <si>
    <t>Un (1) documento que presente el desarrollo de requerimientos , ajustes de los diferentes componentes que integran el proceso estadístico para la OE finalizado.</t>
  </si>
  <si>
    <t>30/08/2021</t>
  </si>
  <si>
    <t>El GIT Curso y Calidad de Vida desarrolló la versión del Formulario de Recolección del  operativo 2020 - 2021</t>
  </si>
  <si>
    <t>PO_DIMPE_12.4</t>
  </si>
  <si>
    <t>La Oficina de Sistemas dispone las bases de datos actualizados semanalmente en systema44.</t>
  </si>
  <si>
    <t>PO_DIMPE_12.5</t>
  </si>
  <si>
    <t>PO_DIMPE_12.6</t>
  </si>
  <si>
    <t>PO_DIMPE_13</t>
  </si>
  <si>
    <t>La producción de información recurrente de las estadísticas industriales aporta indirectamente al cumplimiento del objetivo estratégico de capacidad metodológica, dado que se entregarán las cifras principales sobre industria manufacturera</t>
  </si>
  <si>
    <t xml:space="preserve">Una (1) producción de información recurrente y oportuna de las estadísticas industriales para obtener datos relacionados con la producción, personal ocupado, entre otros, actualizada. </t>
  </si>
  <si>
    <t>PO_DIMPE_13.1</t>
  </si>
  <si>
    <t>PO_DIMPE_13.2</t>
  </si>
  <si>
    <t>Un (1) documento para el diseño actualizado.</t>
  </si>
  <si>
    <t>Metodología de la Encuesta Mensual Manufacturera con Enfoque Territorial - EMMET y Ficha de Diligenciamiento y Formulario actualizado de la Encuesta Anual Manufacturera EAM</t>
  </si>
  <si>
    <t>PO_DIMPE_13.3</t>
  </si>
  <si>
    <t>Desarrollo de requerimientos de la EMMET y la EAM</t>
  </si>
  <si>
    <t>PO_DIMPE_13.4</t>
  </si>
  <si>
    <t>Una (1) base de datos de información recolectada o acopiada</t>
  </si>
  <si>
    <t>Registro de las carpetas donde reposan las bases de datos EMMET (por reserva estadísticas y tamaño del archivo no se pueden compartir)</t>
  </si>
  <si>
    <t>PO_DIMPE_13.5</t>
  </si>
  <si>
    <t>Registro de las carpetas donde reposan el procesamiento de la EMMET (por reserva estadística no se puede compartir)</t>
  </si>
  <si>
    <t>PO_DIMPE_13.6</t>
  </si>
  <si>
    <t>Un (1) proceso de análisis de consistencia y contexto económico, terminado.</t>
  </si>
  <si>
    <t>Actas de precomités EMMET periodos Noviembre-Diciembre 2020 y Enero 2021 que reportan los análisis de consistencia, así como los informes de contexto y archivos de variaciones y contribuciones nacional y regional para estos periodos publicados en el primer trimestre 2021</t>
  </si>
  <si>
    <t>PO_DIMPE_14</t>
  </si>
  <si>
    <t xml:space="preserve">Una (1) producción de información estadística de la Encuesta Ambiental Industrial y generar los insumos requeridos para la publicación de resultados, actualizados. Operación Anual </t>
  </si>
  <si>
    <t>PO_DIMPE_14.1</t>
  </si>
  <si>
    <t xml:space="preserve">Mensualmente se diligenció el formato Matriz para la identificación de necesidades de información estadística para la caracterización de grupos de interés del DANE, relacionando cada uno de las necesidades de información </t>
  </si>
  <si>
    <t>PO_DIMPE_14.2</t>
  </si>
  <si>
    <t>Una (1) documento para el diseño ajustado.</t>
  </si>
  <si>
    <t>Se proyecta Metodología EAI 2019 con base en la revisión de pares de la metodología 2018</t>
  </si>
  <si>
    <t>PO_DIMPE_14.3</t>
  </si>
  <si>
    <t>Un (1) desarrollo de un procedimiento de pruebas para el instrumento de recolección de la EAI.</t>
  </si>
  <si>
    <t>Primer versión del procedimientos de pruebas de la EAI</t>
  </si>
  <si>
    <t>PO_DIMPE_14.4</t>
  </si>
  <si>
    <t>Base de datos EAI 2019 validada a 14_04_2021</t>
  </si>
  <si>
    <t>PO_DIMPE_14.5</t>
  </si>
  <si>
    <t>Base de revisión variaciones y contribuciones EAI 2019</t>
  </si>
  <si>
    <t>PO_DIMPE_14.6</t>
  </si>
  <si>
    <t>Primer versión del Boletín EAI 2019</t>
  </si>
  <si>
    <t>PO_DIMPE_15</t>
  </si>
  <si>
    <t>Cuatro (4) producciones de información continua sobre las operaciones estadísticas que se investigan en el sector de servicios - EGIT, difundidas. Operación continua.</t>
  </si>
  <si>
    <t>PO_DIMPE_15.1</t>
  </si>
  <si>
    <t>El equipo temático de la EGIT diligenció y entregó al equipo de calidad de DIMPE las matrices de identificación de necesidades de información de los meses correspondientes.</t>
  </si>
  <si>
    <t>PO_DIMPE_15.2</t>
  </si>
  <si>
    <t>Los equipos Temático y de Diseños muestrales realizaron la revisión para las mejoras de las proyecciones de la OE con el CNPV 2018.</t>
  </si>
  <si>
    <t>PO_DIMPE_15.3</t>
  </si>
  <si>
    <t>El equipo logístico y de Sistemas de la EGIT realizó la recolección y acopio de la información de los periodos correspondientes de la EGIT.</t>
  </si>
  <si>
    <t>PO_DIMPE_15.4</t>
  </si>
  <si>
    <t>Los equipos Temático y de Diseños Muestrales realizaron el procesamiento de la información de los meses correspondientes de la EGIT.</t>
  </si>
  <si>
    <t>PO_DIMPE_15.5</t>
  </si>
  <si>
    <t>Se efectuaron las publicaciones correspondientes al IV trimestre de 2020 y al año 2020 de la Encuesta de Gasto Interno en Turismo.</t>
  </si>
  <si>
    <t>PO_DIMPE_16</t>
  </si>
  <si>
    <t>La producción periódica de información agropecuaria aporta indirectamente al cumplimiento del objetivo estratégico de capacidad metodológica, suministrando cifras del sector agropecuario a nivel nacional.</t>
  </si>
  <si>
    <t>PO_DIMPE_16.1</t>
  </si>
  <si>
    <t>ENA-ESAG-ENAM-SIPSA Esta Matriz se actualiza mensualmente, para el correspondiente análisis</t>
  </si>
  <si>
    <t>PO_DIMPE_16.2</t>
  </si>
  <si>
    <t>ESAG.  Se está elaborando la actualización de la metodología de la ESAG
ENA. Formulario rediseñado incluyendo las necesidades de información de ODS, Agrosavia  y  Minagricultura entre otros actores a partir del trabajo realizado mediante el convenio DANE- Minciencias</t>
  </si>
  <si>
    <t>PO_DIMPE_16.3</t>
  </si>
  <si>
    <t>ESAG. Se actualizaron las especificaciones de validación y consistencia de la información para el rediseño, las cuales ya fueron entregadas a través de la plataforma de la Mesa de servicios del DANE a la oficina de sistemas
ENA. Prueba de escritorio aplicada al formulario.</t>
  </si>
  <si>
    <t>PO_DIMPE_16.4</t>
  </si>
  <si>
    <t xml:space="preserve">ESAG. Se anexa la base de datos de equinos. Esta base se ha recolectado a través de un formulario en Excel en las cuatro fuentes que realizan sacrificio de estas especies en el país,.  Se anexa archivo. 70% de avance </t>
  </si>
  <si>
    <t>PO_DIMPE_16.5</t>
  </si>
  <si>
    <t>ESAG. Se han procesado y publicado los meses de noviembre y diciembre de 2020 y enero y febrero de 2021</t>
  </si>
  <si>
    <t>PO_DIMPE_16.6</t>
  </si>
  <si>
    <t>ESAG. Se han analizado y publicado los meses de noviembre y diciembre de 2020 y enero y febrero de 2021. 25% de avance de las publicaciones programadas para esta vigencia</t>
  </si>
  <si>
    <t>PO_DIMPE_17</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</si>
  <si>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</si>
  <si>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 xml:space="preserve">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 </t>
  </si>
  <si>
    <t>PO_DIMPE_17.1</t>
  </si>
  <si>
    <t>Se realizó unas mesas de trabajo con los diferentes entidades en el marco del SIECI y con Banca delas oportunidades.</t>
  </si>
  <si>
    <t>PO_DIMPE_17.2</t>
  </si>
  <si>
    <t>Se redactó un documento metodológico para la incorporación del modulo de inclusión financiera en el formulario de EMICRON</t>
  </si>
  <si>
    <t>PO_DIMPE_17.3</t>
  </si>
  <si>
    <t>Se realizan las especificaciones de validación y consistencia al formulario y las pruebas de escritorio</t>
  </si>
  <si>
    <t>PO_DIMPE_17.4</t>
  </si>
  <si>
    <t>Una (1) base de datos de información recolectada.</t>
  </si>
  <si>
    <t>Se generan bases de datos semanales para el análisis de la información 2021. También se inicio el proceso de anonimización de la base EMICRO 2020</t>
  </si>
  <si>
    <t>PO_DIMPE_17.5</t>
  </si>
  <si>
    <t>Un (1) procesamiento de la base de datos finalizado.</t>
  </si>
  <si>
    <t>Se procesa y se generan los cuadros de salida de los resultados de la EMICRON 2020</t>
  </si>
  <si>
    <t>PO_DIMPE_17.6</t>
  </si>
  <si>
    <t>Un (1) proceso de análisis de información y elaboración de productos, terminado.</t>
  </si>
  <si>
    <t>Se publican los resultados: Boletín técnico, presentaciones, anexos e informes.</t>
  </si>
  <si>
    <t xml:space="preserve">Tareas a cargo del GIT de Precios, se procesó y analizó la información recolectada para los tres meses del primer trimestre del año, correspondientes al IPC, igualmente se implementaron los ajustes a la canasta (nivel flexible) del índice para 2021
Igualmente, se desarrolló la metodología de diseño del ICOCIV, un índice nuevo a cargo del DANE
 </t>
  </si>
  <si>
    <t>El equipo de la Oficina de Sistemas, el equipo Logístico, de Diseños muestrales y temático de la operación estadística compiló las evidencias de necesidades de información estadística. El equipo logístico garantizó el operativo de campo y la consistencia de la información. El equipo de Sistemas y de Diseños muestrales generó las bases para revisión de información, El equipo de Diseños muestrales generó los cuados de salida para la publicación de la información. El equipo Temático articuló a los equipos que participan de la las operaciones estadísticas de Servicios y procesó la información y realizó los productos de publicación que se encuentran en la página web del DANE, esto
 se realizó con la articulación de los equipos que participan en algunos de los procesos mencionados.
También se ha contado con el apoyo de la DIG para la consecución del directorio final para el rediseño de Agencias de viaje</t>
  </si>
  <si>
    <t>Todas las dependencias que intervienen en la GEIH realizaron las actividades de su competencia en la recolección, procesamiento y análisis, que produjo información estadística continua mensual referente a la temática relacionada, así como la atención de requerimientos para la mejora de la operación durante el primer trimestre de 2021. Además, el GIT Temática Mercado Laboral adaptó el documento metodológico y desarrolló el formulario y el Manual de Recolección del rediseño para el Paralelo de la GEIH en el mismo periodo.</t>
  </si>
  <si>
    <t>Durante el primer trimestre, el equipo técnico de la ECSC realizó los ajustes requeridos al documento metodológico, así como al formulario de recolección para la prueba piloto de la inclusión del módulo de ciberdelitos. La prueba piloto del mismo se aplicó en el mes de marzo.</t>
  </si>
  <si>
    <t xml:space="preserve">Durante el primer trimestre, el equipo técnico de la ECP realizó la mesas de trabajo con usuarios de la información y el equipo de ODS para realizar los ajustes requeridos al formulario de recolección. </t>
  </si>
  <si>
    <t>Durante el primer trimestre se solicitaron los ajustes requeridos por los pares revisores al documento metodológico. Igualmente, se avanzó en la revisión de la tabla maestra de la ELCO, su proceso de anonimización y construcción de panel ELPS.</t>
  </si>
  <si>
    <t>El  GIT Temática de infraestructura (Temática), GIT Encuestas de Infraestructura (Logística) y Oficina de Sistemas realizó mesas de trabajo, ajuste de documentos, procesamiento de bases, elaboración de boletines y, crítica y análisis de información
las cuales se desarrollaron el  04 enero - 31 de marzo 2021</t>
  </si>
  <si>
    <t xml:space="preserve">El equipo técnico de comercio exterior realiza mensualmente los procesos de diseño y análisis de información de comercio exterior de bienes y servicios. </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</si>
  <si>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</si>
  <si>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 xml:space="preserve">El equipo técnico de las operaciones estadísticas de PVPLVA  - PVPAPN realizaron la publicación de las certificaciones de precios  de venta al público, así como la publicación de PVPAPN cuya última publicación se realizó el 18 de marzo. </t>
  </si>
  <si>
    <t xml:space="preserve">El equipo técnico del GIT comercio implementa lo establecido en la metodología de PVPLVA - No hay modificación alguna del citado documento). </t>
  </si>
  <si>
    <t>El GIT Curso y Calidad de Vida realizó la identificación de necesidades y diligenció la matriz de requerimientos mensualmente durante el primer trimestre de 2021</t>
  </si>
  <si>
    <t>Todas las dependencias que intervienen en el operativo de la ENUT realizaron las actividades de su competencia en la recolección, procesamiento y análisis, que produjo información estadística durante el primer trimestre de 2021. Además, el GIT Curso y Calidad de Vida realizó la identificación de necesidades y diligenció la matriz mensualmente, ajusto la metodología de acuerdo a los procedimientos y surtió el proceso de revisión de pares y desarrolló y ajusto el formulario para la recolección. La oficina de sistemas envía semanalmente la base actualizada del operativo de campo en la ruta indicada \\systema44.dane.gov.co\ENUT\ENUT\ENUT_2020_2021\Bases para la respectiva revisión del grupo temático de la ENUT.</t>
  </si>
  <si>
    <t xml:space="preserve">Todas las dependencias que intervienen en el operativo de la EMMET realizaron las actividades de su competencia en la recolección, procesamiento y análisis, que produjo información estadística durante los periodos de noviembre/2020 ,diciembre/2020 y enero/2021. Además, el GIT Industria realizó la identificación de necesidades de información y diligenció la matriz mensualmente. Por otra parte, se ajustó la metodología de la EMMET de acuerdo con los procedimientos y se desarrollaron pruebas y ajustes en el aplicativo para el operativo de recolección de la EAM 2020 y su correspondiente ajuste del formulario. </t>
  </si>
  <si>
    <t>El equipo de trabajo de la Encuesta Ambiental Industrial (Git Temática Ambiental, GIT – Área de logística y producción de la información, Git Sistemas de Información Técnica, Git Diseños Muestrales) desarrolló del proceso de actualización de documentación para la EAI 2020, análisis de información de información y consolidación de productos de publicación de la EAI 2019 entre enero y marzo de 2021</t>
  </si>
  <si>
    <t xml:space="preserve">El equipo de la Oficina de Sistemas, el equipo Logístico, de Diseños muestrales y temático de la operación estadística, compiló las evidencias de necesidades de información estadística. El equipo logístico garantizó el operativo de campo y la consistencia de la información. El equipo de Sistemas generó las bases para revisión de información, El equipo de Diseños muestrales generó los cuados de salida para la publicación de la información, así como los ejercicios preliminares para las proyecciones con el CNPV 2018. el equipo Temático articuló a los equipos que participan de la EGIT Y procesó la información y realizó los productos de publicación que se encuentran en la página web del DANE, se realizó con la articulación de los equipos que participan en algunos de los procesos mencionados.
</t>
  </si>
  <si>
    <t>La Coordinación temática Agropecuaria ha realizado avances en la metas propuestas para suplir las continuas y nuevas necesidades de información de los usuarios, dentro de un proceso de mejora continua.</t>
  </si>
  <si>
    <t xml:space="preserve">
El grupo de trabajo de la Encuesta de Micronegocios 
realizó la elaboración del diseño, especificaciones, formulario,  procesamiento y elaboración de productos de publicación esto se desarrolló en el primer trimestre del 2021</t>
  </si>
  <si>
    <t>Revisión de la metodología IPP</t>
  </si>
  <si>
    <t>Actualización de la matriz de especificaciones de los artículos del IPC</t>
  </si>
  <si>
    <t>Bases de cálculo IPC. Tres bases de datos (abril, mayo y junio), disponibles en Oracle, pero de las cuales no es posible compartir información. Se adjunta boletín final que describe resultados</t>
  </si>
  <si>
    <t>Proceso de revisión para las bases IPC de abril, mayo y junio finalizados, se adjunta documento final resultado</t>
  </si>
  <si>
    <t>Proceso de revisión para las bases IPC de abril, mayo y junio, finalizados, se adjunta documento final resultado</t>
  </si>
  <si>
    <t>El GIT Temática Mercado Laboral ajustó la Metodología del Paralelo de la GEIH con las observaciones que fueron recibidas por DIRPEN y la Subdirección, como parte del equipo de revisión de pares. El documento se está actualizando en su versión definitiva con la revisión interna del equipo de Rediseño.</t>
  </si>
  <si>
    <t>El GIT Temática Mercado Laboral desarrolló las versiones del Manual de Recolección y Conceptos Básicos y del Formulario del Paralelo de la GEIH para el tercer trimestre de 2021.</t>
  </si>
  <si>
    <t>Se elaboraron las matrices de identificación de necesidades para los meses de abril, mayo y junio, según las solicitudes recibidas.</t>
  </si>
  <si>
    <t>Durante el segundo trimestre se definió el formulario de recolección incluyendo el módulo de ciberdelitos en la Encuesta de Convivencia y Seguridad Ciudadana.</t>
  </si>
  <si>
    <t xml:space="preserve"> No se presentan avances .Se solicita ajustes a la OPLAN dado que se ajustaron tiempos de acuerdo al cronograma de trabajo del GIT</t>
  </si>
  <si>
    <t>Durante el segundo trimestre se continuaron las mesas de trabajo con usuarios de la encuesta y el equipo ODS y partir de estas mesas se incluyeron los ajustes al formulario de recolección de la Encuesta de Cultura Política.</t>
  </si>
  <si>
    <t>Durante el segundo trimestre se realizaron ajustes al documento metodológico, de acuerdo con los comentarios recibidos por parte de los pares revisores. Esta pendiente el ajuste relacionado con el componente de diseño de muestral</t>
  </si>
  <si>
    <t>Se diligenciaron tres matrices de necesidades para los meses de abril y mayo 2021</t>
  </si>
  <si>
    <t>1. Documento metodológico de la OOEE CHV en proceso de aprobación en ISOLUCION. Pendiente aprobación por la Subdirección.
2. Documento y ficha metodológica de IIOC cargado en ISOLUCION y revisado por Coordinación del GIT y Dirección Técnica. Pendiente aprobación por la Subdirección.
3. Documento especificaciones y validación CHV aprobado en ISOLUCION
4. Avance plan general IMA (Indicador de Mezcla Asfáltica) y ajustes diseño instrumento de recolección
5. Diccionario de datos CHV aprobado en ISOLUCION
6. Documento y ficha metodológico de la OOEE CEED en proceso de aprobación en ISOLUCION. Pendiente aprobación por la Subdirección.
7. Documento Plan General CEED enviado a revisión de pares técnicos el 18 de junio 2021
8. Instrumento de recolección CEED (formulario) aprobado en ISOLUCION
9. Documento y ficha metodológico de la OOEE ECG enviado a revisión de pares técnicos el 24 de junio 2021
10. Documento planear y coordinar EC en proceso de cargue ISOLUCION
11. Procedimiento de análisis de contexto, coherencia y consistencia EC en proceso de cargue ISOLUCION
12. Documento y ficha metodológico de la OOEE ELIC enviado a revisión de pares técnicos el 30 de mayo y 02 de junio de 2021 respectivamente
13. Documento y ficha metodológico de la OOEE FIVI enviado a revisión de pares técnicos el 29 de abril 2021
14. Documento procedimiento de análisis de contexto, coherencia y consistencia FIVI. Pendiente aprobación Dirección Técnica</t>
  </si>
  <si>
    <t>1. Envío de historias de usuario aprobadas a la OSIS de los módulos de novedades y, cálculo y análisis
2. Elaboración y revisión historias de usuario para cemento y concreto de carátula, reportes, novedades y directorio EC y ECG</t>
  </si>
  <si>
    <t>1. En ELIC el operativo recolección durante abril 2021 (publica cifras en mayo 2021 corte marzo 2021), operativo recolección durante mayo 2021 (publica cifras en junio 2021 corte abril 2021)
2. En EC el operativo recolección durante abril 2021 (publica cifras en mayo 2021 corte marzo 2021), operativo recolección durante mayo 2021 (publica cifras en junio 2021 corte abril 2021)
3. En ECG el operativo recolección durante abril 2021 (publica cifras en abril 2021 corte marzo 2021), operativo recolección durante mayo 2021 (publica cifras en mayo 2021 corte abril 2021) y operativo recolección durante junio 2021 (publica cifras en junio 2021 corte mayo 2021)
4. En IPOC el operativo de recolección durante abril (cifras publicadas mayo 2021 corte primer trimestre 2021) y junio 2021 (publica cifras en agosto 2021 corte segundo trimestre 2021)
5. En CEED el operativo de recolección durante los meses de abril, mayo y junio del 2021 corresponden a las tres fases de recolección de cifras corte II trimestre del 2021, cuyas cifras se publicarán en agosto 2021
6. En FIVI el operativo de recolección durante abril (cifras publicadas mayo 2021 corte primer trimestre 2021)
7. En CHV el operativo de recolección durante abril (cifras publicadas mayo 2021 corte primer trimestre 2021)</t>
  </si>
  <si>
    <t>RELACIÓN DE EVIDENCIAS DEL AVANCE CUALITATIVO
1. En ELIC se procesaron bases durante abril 2021 para publicación de cifras corte febrero 2021, durante mayo 2021 para publicación de cifras corte marzo 2021 y durante junio 2021 para publicación de cifras corte abril 2021
2. En EC se procesaron bases durante abril 2021 para publicación de cifras corte febrero 2021, durante mayo 2021 para publicación de cifras corte marzo 2021 y durante junio 2021 para publicación de cifras corte abril 2021
3. En ECG se procesaron bases durante abril 2021 para publicación de cifras corte abril 2021,  durante mayo 2021 para publicación de cifras corte mayo 2021 y durante junio 2021 para publicación de cifras corte junio 2021
4. En IPOC se procesaron bases durante abril y mayo 2021 para publicación de cifras corte primer trimestre 2021
5. En CEED se procesaron bases durante abril y mayo 2021 para publicación de cifras corte primer trimestre 2021
6. En CHV se procesaron bases durante abril y mayo 2021 para publicación de cifras corte primer trimestre 2021
7. En FIVI se procesaron bases durante abril y mayo 2021 para publicación de cifras corte primer trimestre 2021</t>
  </si>
  <si>
    <t>1. En ELIC se procesó análisis y elaboraron productos de difusión durante abril 2021 para publicación de cifras corte febrero 2021, durante mayo 2021 se procesó análisis y elaboraron productos de difusión para publicación de cifras corte marzo 2021 y durante junio 2021 se procesó análisis y elaboraron productos de difusión para publicación de cifras corte abril 2021
2. En EC se procesó análisis y elaboraron productos de difusión durante abril 2021 para publicación de cifras corte febrero 2021, se procesó análisis y elaboraron productos de difusión durante mayo 2021 para publicación de cifras corte marzo 2021 y se procesó análisis y elaboraron productos de difusión durante junio 2021 para publicación de cifras corte abril 2021
3. En ECG se procesó análisis y elaboraron productos de difusión durante abril 2021 para publicación de cifras corte abril 2021, durante mayo 2021 se procesó análisis y elaboraron productos de difusión para publicación de cifras corte mayo 2021 y se procesó análisis y elaboraron productos de difusión durante junio 2021 para publicación de cifras corte junio 2021
4. En IPOC se procesó análisis y elaboraron productos de difusión durante mayo 2021 para publicación de cifras corte primer trimestre 2021
5. En CEED se procesó análisis y elaboraron productos de difusión durante mayo 2021 para publicación de cifras corte primer trimestre 2021
6. En CHV se procesó análisis y elaboraron productos de difusión durante mayo 2021 para publicación de cifras corte primer trimestre 2021
7. En FIVI se procesó análisis y elaboraron productos de difusión durante mayo 2021 para publicación de cifras corte primer trimestre 2021</t>
  </si>
  <si>
    <t>El equipo temático del GIT comercio desarrolló la actualización de la metodología de EMC y se surtió el proceso de revisión de pares para proceder al cargue en ISOLUCIÓN</t>
  </si>
  <si>
    <t xml:space="preserve">El equipo técnico generó las bases de datos mensuales de la EMC </t>
  </si>
  <si>
    <t>El equipo técnico del GIT Comercio realizó el procesamiento de las bases mensuales de EMC</t>
  </si>
  <si>
    <t>El equipo técnico del GIT Comercio realizó el análisis de contexto de la información a publicar correspondientes a la EMC</t>
  </si>
  <si>
    <t>Mejoras implementadas y funcionales</t>
  </si>
  <si>
    <t>El equipo técnico del GIT Comercio realizó el procesamiento de las bases correspondientes a las certificaciones de precios imputados, modificados y actualizados.</t>
  </si>
  <si>
    <t>El equipo técnico del GIT Comercio realizó el análisis de contexto de la información a publicar correspondientes a PVPLVA - PVPCT</t>
  </si>
  <si>
    <t>Se diligenció la matriz para la identificación de necesidades de información estadística para la caracterización de grupos de interés correspondientes a los meses de abril y mayo</t>
  </si>
  <si>
    <t>Se adelantó la elaboración el documento se hicieron los ajustes recomendados por los pares.</t>
  </si>
  <si>
    <t xml:space="preserve"> Se avanzó en el diseño del formulario con baso a los primeros requerimientos de información requeridos.</t>
  </si>
  <si>
    <t>Se conformaron y revisaron las tablas de bases de datos de la ECV 2020</t>
  </si>
  <si>
    <t>Se llevo a cabo el procesamiento de las bases de datos y la generación de los cuadros de salida.</t>
  </si>
  <si>
    <t xml:space="preserve">Se elaboraron dos boletines con resultados de la encuesta y del déficit habitacional </t>
  </si>
  <si>
    <t>Metodología de la Encuesta Nacional de Uso del tiempo Ajustada, pendiente por aprobación en ISOLUSION, Director del DANE solicitó una versión editable.</t>
  </si>
  <si>
    <t>La Oficina de Sistemas dispone las bases de datos actualizadas semanalmente en systema44.</t>
  </si>
  <si>
    <t>Procesamiento de la base de la ENUT para los meses de septiembre a diciembre del 2020 para publicación parcial de la ENUT, con la elaboración de 18 cuadros de salida.</t>
  </si>
  <si>
    <t>Resultados parciales de la ENUT 2020 - 2021 para los meses de septiembre a diciembre del 2020, publicación de resultados en un webinar, anexos, presentación y boletín.</t>
  </si>
  <si>
    <t xml:space="preserve">manual de diligenciamiento encuesta anual manufacturera </t>
  </si>
  <si>
    <t>Actas de precomités EMMET periodos  febrero-abril  2021 que reportan los análisis de consistencia, así como los informes de contexto y archivos de variaciones y contribuciones nacional y regional para estos periodos publicados en el segundo trimestre 2021</t>
  </si>
  <si>
    <t xml:space="preserve">Se proyectó la Metodología EAI 2019 con base en la revisión de pares de la metodología 2018. </t>
  </si>
  <si>
    <t xml:space="preserve">
Siguiendo el procedimiento de pruebas definido, se realizaron las pruebas del aplicativo de la EAI 2020, para cada uno de los roles y módulos que componen la EAI 2020</t>
  </si>
  <si>
    <t>Base de datos EAI 2019 validada a 14_04_2021
Con esta información se realizó la publicación de la EAI 2019, el 23 de abril de 2021</t>
  </si>
  <si>
    <t>Los resultados de la EAI 2019 fueron publicados el 23 de abril de 2021, cumpliendo con el cronograma establecido</t>
  </si>
  <si>
    <t>Publicación del boletín de la EAI 2019</t>
  </si>
  <si>
    <t>ESAG.  La metodología y ficha metodológica  de la ESAG, se encuentra en ruta de revisión.
ENA. Formulario rediseñado incluyendo las necesidades de información de ODS, Agrosavia Minagricultura y enfocado a dar respuesta a los indicadores ODS  (12.3.1, 2.4, 1, y 5.a.1)</t>
  </si>
  <si>
    <t xml:space="preserve">ESAG. Se anexa la base de datos de equinos. Esta base se ha recolectado a través de un formulario en Excel en las cuatro fuentes que realizan sacrificio de estas especies en el país,.  Se anexa archivo. 50% de avance </t>
  </si>
  <si>
    <t>ESAG. Se han procesado y publicado en este trimestre los meses de marzo, abril y mayo de 2021</t>
  </si>
  <si>
    <t>ESAG. Se han analizado y publicado los meses de marzo, abril y mayo de 2021. 50% de avance de las publicaciones programadas para esta vigencia</t>
  </si>
  <si>
    <t>Se realizó el registro en la matriz para la identificación de necesidades de información estadística para la caracterización de grupos de interés del DANE, para el diseño del SIECI</t>
  </si>
  <si>
    <t>Se ajustó la metodología EMICRON de acuerdo con los cambios operativos que se dieron en el 2020. En este momento ya surtió la revisión de pares y se encuentra en la Subdirección para  revisión y aprobación.</t>
  </si>
  <si>
    <t>Se elaboraron las especificaciones en los nuevos módulos de los aplicativos de captura se remiten al área de sistemas</t>
  </si>
  <si>
    <t>Se generó la base de datos de información recolectada del año 2020, se entrega base trimestral 2021</t>
  </si>
  <si>
    <t>Se realiza el procesamiento de la base de datos finalizado del año 2020, se entrega base trimestral 2021</t>
  </si>
  <si>
    <t>Se realiza el proceso de análisis de información y elaboración de productos, terminado.</t>
  </si>
  <si>
    <t>Tareas a cargo del GIT de Precios, se procesó y analizó la información recolectada para los tres meses del segundo trimestre del año, correspondientes al IPC e igualmente se avanzó en los ajustes de los documentos metodológicos del IPP</t>
  </si>
  <si>
    <t>Todas y cada una de las dependencias que intervienen en la GEIH realizaron las actividades de su competencia en la recolección, procesamiento y análisis, que produjo información estadística continua mensual referente a la temática relacionada, así como la atención de requerimientos para la mejora de la operación durante el segundo trimestre de 2021. Además, durante este mismo periodo, el GIT Temática Mercado Laboral revisó y avanzó en la actualización del documento metodológico, y desarrolló el Manual de Recolección y el Formulario del Paralelo de la GEIH para el tercer trimestre de 2021.</t>
  </si>
  <si>
    <t xml:space="preserve">Durante el segundo trimestre, el equipo técnico de la ECSC realizó los ajustes requeridos al documento metodológico a partir de la prueba piloto, así como al formulario de recolección con la inclusión del modulo de ciberdelitos y las preguntas para el convenio de la policía. En articulación con los equipos de sistemas, muestras, logística dice, se realizó el proceso de convocatoria, aprendizaje, selección y contratación de personal para el inicio del operativo de campo, el cual comenzó desde el 1 de junio.
</t>
  </si>
  <si>
    <t>Durante el segundo trimestre el equipo temático continuó las consultas con usuarios y los ajustes a los instrumentos del cuestionario. Con los equipos técnicos, se preparó los materiales para la convocatoria, aprendizaje y banco de preguntas de la encuesta. A la fecha la encuesta no cuenta con recursos asignadas.</t>
  </si>
  <si>
    <t>No se cuenta con recursos para la ejecución de este hito</t>
  </si>
  <si>
    <t>Durante el segundo trimestre se solicitaron los ajustes requeridos por los pares revisores al documento metodológico. El equipo temático y de sistemas avanzaron en el proceso de anonimización y construcción de cuadros de salida para el panel ELPS.</t>
  </si>
  <si>
    <t>Falta los ajustes de diseños muestrales a las observaciones de los pares</t>
  </si>
  <si>
    <t>El  GIT Temática de infraestructura (Temática), GIT Encuestas de Infraestructura (Logística) y Oficina de Sistemas realizó mesas de trabajo, ajuste de documentos, procesamiento de bases, elaboración de boletines y, crítica y análisis de información las cuales se desarrollaron el  01 abril - 30 de junio 2021</t>
  </si>
  <si>
    <t>El documento se encuentra en la subdirección surtiendo la revisión de pares desde el mes de marzo</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</si>
  <si>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Adicionalmente se realiza el análisis de la información y la elaboración de productos para la publicación de resultados </t>
  </si>
  <si>
    <t xml:space="preserve">El equipo técnico de las operaciones estadísticas de PVPLVA  - PVPCT realizaron la publicación de las certificaciones de precios  de venta al público, así como la publicación de PVPAPN cuya última publicación se realizó el 18 de marzo. </t>
  </si>
  <si>
    <t xml:space="preserve"> El equipo de trabajo de la Encuesta de calidad de vida durante el II trimestre trabajó en  la revisión de la bases de datos, procesamientos y análisis.
 </t>
  </si>
  <si>
    <t>No se presenta avance en el hito</t>
  </si>
  <si>
    <t>Se continua con los diagnósticos del sistema a fin de elaborar el documento de mejoramiento basados en elementos técnicos y pruebas de funcionalidad</t>
  </si>
  <si>
    <t xml:space="preserve">En el segundo trimestre de 2021 la Oficina de Sistemas a través de su GIT Desarrolló los módulos para los sistema de la ELIC y la IIOC, se compartió el cronograma a de actividades a los usuarios y se inicio el desarrollo de Cartera Hipotecaria de Vivienda. También se inicio el levantamiento de requerimientos del sistema de concreto premezclado y cemento gris. </t>
  </si>
  <si>
    <t>Un (1) grupo de sistemas de información de operaciones estadísticas de índices y agropecuarias, soportados y mantenidos</t>
  </si>
  <si>
    <t>En el primer trimestre 2021 el GIT Almacén e Inventarios, realizó una validación de los elementos en las bodegas nuevo y reintegrado, con énfasis en los Dispositivos Móviles de Captura susceptibles a ser dados de baja, teniendo en cuenta su marca y la fecha de ingreso al almacén. Con la oficina de sistemas se adelantaron reuniones solicitando el cronograma de trabajo y disponer el personal necesario para realizar la revisión, validación y diagnóstico de los elementos para identificar aquellos que deben ser dados de baja.</t>
  </si>
  <si>
    <t>Las acciones desarrolladas en el primer trimestre fortalecen la gestión de bienes y servicios en la entidad en cuanto a la identificación de necesidades y la determinación de activos en mal estado o desuso, que conlleve a depurar los inventarios, así como establecer la planeación de los mantenimientos necesarios para garantizar el cuidado y conservación de las instalaciones en DANE central. Con corte a 31 marzo se han ejecutado 61.694.940 en contratos de prestación de servicios.</t>
  </si>
  <si>
    <t>Las acciones desarrolladas fortalecen la gestión de bienes en la entidad en cuanto a la identificación de necesidades y la determinación de activos en mal estado o desuso, que derivan en la depuración de los inventarios, mediante el trámite del procedimiento de baja. Con lo anterior, se cuenta con mayores espacios de almacenamiento en las bodegas de la entidad, así como con información actualizada de los elementos tecnológicos y de mobiliario a disposición de los requerimientos operativos y de funcionamiento, para el cumplimiento de los objetivos de la entidad. El  programa de seguros ha fortalecido la gestión del proceso mediante el seguimiento al cumplimiento de reporte de siniestros a nivel nacional y las alertas  en los casos que se requieran, teniendo en cuenta que  el aumento de  la siniestralidad en el último trimestre, de igual  manera la ejecución de las actividades programadas del PMAS  también aportan de manera significativa  en el desarrollo de la misionalidad institucional,</t>
  </si>
  <si>
    <t>El GIT gestión Área Administrativa recibió aceptación de la oferta  por parte de la Secretaría General el 3 de marzo como punto de partida para iniciar el proceso de elaboración de los estudios previos y sus anexos, estos documentos se remitieron a la Oficina Asesora Jurídica para revisión y ajustes, instancia que informó aprobación de la minuta y el ECO el 24 de mayo fecha en que se firmó el contrato Interadministrativo de comercialización de bienes muebles   No. 010 de 2021 , entre DANE, FONDANE y CISA.</t>
  </si>
  <si>
    <t>Se realizó la verificación mediante lista de chequeo de la elaboración y presentación de las conciliaciones contables enviadas por correo electrónico de los periodos correspondientes a Enero, Febrero y Marzo de 2021. 
Se realizó elaboración  y publicación del Estado Financiero y sus notas contables correspondiente al periodo de Diciembre de la vigencia 2020. 
Se elaboraron y publicaron 8 informes de ejecución presupuestal 4 DANE y 4 FONDANE correspondientes a los periodos de Diciembre 2020, Enero, Febrero y Marzo 2021. 
Se elaboraron 3 informes en donde se evidencia la programación y ejecución de PAC correspondientes a los periodos de Enero, Febrero y Marzo de 2021.</t>
  </si>
  <si>
    <t xml:space="preserve">Se elaboraron y publicaron 8 informes de ejecución presupuestal 4 DANE y 4 FONDANE correspondientes a los periodos de Diciembre 2020, Enero, febrero y Marzo 2021. </t>
  </si>
  <si>
    <t>Se generaron 2 informes de seguimiento de PQRSD del proceso, correspondientes a los periodos de Enero y Febrero, identificando 40 radicados entre peticiones y documentos informativos de los cuales la mayoría recibieron respuesta dentro de los términos. los demás se relacionaron como documentos de apoyo y no requerían respuesta.</t>
  </si>
  <si>
    <t>Para el primer trimestre del año se realizó la actualización de las TRD del Grupo Interno de Trabajo de Tesorería aclarando que hay dos tipos documentales que no pertenecen a la gestión del GIT, según las instrucciones dadas por Gestión Documental el pasado 10/02/2021 como lo evidencia el correo electrónico. 
Se generaron 2 informes de seguimiento de PQRSD del proceso, correspondientes a los periodos de Enero y Febrero, identificando 40 radicados entre peticiones y documentos informativos de los cuales la mayoría recibieron respuesta dentro de los términos. los demás se relacionaron como documentos de apoyo y no requerían respuesta.</t>
  </si>
  <si>
    <t>Se generaron 3 informes de seguimiento de PQRSD del proceso, correspondientes a los periodos de Marzo Abril y Mayo, identificando radicados entre peticiones y documentos informativos de los cuales la mayoría recibieron respuesta dentro de los términos. los demás se relacionaron como documentos de apoyo y no requerían respuesta.</t>
  </si>
  <si>
    <t>Las actividades de formación en temas misionales de la entidad, aportarán en un  2,59% al cumplimiento del objetivo estratégico de mejorar el bienestar, las competencias y las habilidades de los servidores. 
Las temáticas en que se capaciten los servidores contribuirán al buen desempeño de las actividades misionales.</t>
  </si>
  <si>
    <t>Durante el mes de junio el GIT Desarrollo de Personal con el acompañamiento de la DIMPE y DIRPEN  adelantó la revisión de las fichas del contenido de los cursos entregados por la UNAL.
El 17 de junio se dio inicio al curso R Nivel básico compuesto por 16 horas</t>
  </si>
  <si>
    <t>Una (1) publicación (boletín, presentación y bases de datos) definitiva año 2020</t>
  </si>
  <si>
    <t>El 27 de febrero en reunión con las organizaciones wayuu, se recibió los últimos ajustes a los formatos de notificación de nacimiento y defunción en lengua wayunaiki, quedando listo para su uso.</t>
  </si>
  <si>
    <t>Se realizó la implemtanción del formato de nacimiento con las parteras de choco, adscrito a a la asociación ASOREDIPAR</t>
  </si>
  <si>
    <t>Se completaron los procesos de certificación de población del primer semestre del año, adicionalmente, se priorizaron los boletines a ser producidos, a los cuales se les hizo función de producción teniendo en cuenta la edición de DICE y la producción de mapas de la DIG. Dos boletines ya están en edición por parte de DICE y dos boletines están en manos de los revisores internos de la DCD. Cada semana, todos los miércoles, se hace una reunión para revisar y dar aportes a los boletines por parte del equipo de la DCD</t>
  </si>
  <si>
    <t>Continuar con el análisis sociodemográfico, con el aprovechamiento de los resultados del CNPV 2018.</t>
  </si>
  <si>
    <t>Para atender estos requerimientos se cuenta con información estandarizada y procesamientos establecidos para requerimiento. Para caracterizar dichos requerimientos se produjo la matriz de información de caracterización de usuarios</t>
  </si>
  <si>
    <t>Se acopió toda la información que sirve de insumo para la elaboración de la matriz de usos importados y nacionales: Matriz de Consumo Intermedio, Matriz de Producción, archivos de Síntesis de las cuentas nacionales anuales, base de datos de importaciones (DIAN y ZF), Modulo materias primas de la Encuesta Anual Manufacturera.</t>
  </si>
  <si>
    <t xml:space="preserve">Se avanzó en la construcción de código en R que servirá para realizar el cálculo de la matriz de usos importados y nacionales. </t>
  </si>
  <si>
    <t>Durante el primer trimestre de 2021 el equipo técnico de la DSCN, realizó el acopio de la información básica para la elaboración de la matriz complementaria al marco central de las cuentas nacionales (Matriz de Trabajo). Así, mismo se inicio el proceso de revisión de consistencia de la misma, mediante pruebas de cobertura, calidad y continuidad.</t>
  </si>
  <si>
    <t>Se realizó el procesamiento de la información acopiada, con el fin de generar los resultados finales de la matriz de trabajo</t>
  </si>
  <si>
    <t>Se construyó la base de datos con la información acopiada y cargada en el modo informático de las CNA</t>
  </si>
  <si>
    <t>En el primer trimestre de 2021 la DSCN, culminó la elaboración y publicación de las cuentas nacionales anuales correspondientes al año 2019 provisional y 2018 definitivo. Se trabajó la base de datos definitiva en el módulo informático, se procesó, consolidó y se realizó la síntesis general del marco central. De igual manera, se elaboró el boletín técnico y los anexos estadísticos donde se presentan las series encadenadas de volumen con año de referencia 2015 para el Producto Interno Bruto (PIB) desde el enfoque de la producción y el gasto; así mismo se reflejan los resultados a precios corrientes, desde el enfoque de la producción, el gasto y el ingreso, y los agregados macroeconómicos fundamentales, resultado de la síntesis macroeconómica de las cuentas de bienes y servicios.</t>
  </si>
  <si>
    <t>Se realizó y publicó el boletín técnico y los anexos de las CNA 2019p y 2018</t>
  </si>
  <si>
    <t>Un (1) documento de plan de trabajo que contenga las mejoras y actualizaciones del marco central para las cuentas de bienes y servicios finalizado</t>
  </si>
  <si>
    <t>Una (1) base de datos con información acopiada de estadística básica para las variables relacionadas con capital y trabajo, finalizada</t>
  </si>
  <si>
    <t>Fue construida una base de datos con información acopiada de estadística básica para las variables relacionadas con capital y trabajo.</t>
  </si>
  <si>
    <t xml:space="preserve">Fueron realizados los cálculo de la PTF lo que permitió la publicación de la Productividad Total de Factores años 2018 definitivo, 2019 provisional y 2020 preliminar, así como la elaboración de un documento metodológico de acuerdo con los lineamientos del proyecto LEKLEMS. </t>
  </si>
  <si>
    <t>Fueron generados el boletín técnico y los anexos estadísticos de publicación de  la PTF y de los acervos de capital</t>
  </si>
  <si>
    <t>En el primer trimestre de 2021 la DSCN, culminó la elaboración y publicación de las cuentas nacionales anuales correspondientes al año 2019 provisional y 2018 definitivo. Se trabajó la base de datos definitiva en el módulo informático, se procesó, consolidó y se realizó la síntesis general del marco central. De igual manera, se elaboró el boletín técnico y los anexos  los agregados macroeconómicos  y el cuadro económico integrado fundamentales, resultado de la síntesis macroeconómica de las cuentas de las cuentas de sectores institucionales.</t>
  </si>
  <si>
    <t xml:space="preserve">Una (1) publicación del gasto por finalidad anual 2020 provisional para el gobierno general por subsector central, local y seguridad social según la clasificación COFOG para representar los gastos del gobierno en la economía, analizada. </t>
  </si>
  <si>
    <t>Se realizaron la bases de datos y la consolidación de la fuente SIIF, FUT y regalías  transformadas a la clasificación COFOG</t>
  </si>
  <si>
    <t>Un (1) cronograma de trabajo para el desarrollo de las estimaciones para las cuentas anuales por sector institucional  para los años 2019 def y 2020 provisional finalizado</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</si>
  <si>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</si>
  <si>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</si>
  <si>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Se realizó el acopio de la estadística básica usada para la medición del PIB por departamentos y valor agregado por municipios.</t>
  </si>
  <si>
    <t>Acopio de estadística básica por actividades económicas por departamentos y municipios; crítica y análisis a la estadística básica, cálculo de indicadores sectoriales por departamentos y municipios; cálculo y medición del valor agregado a nivel territorial, cálculo del producto interno bruto; consolidaciones y síntesis por departamentos y municipios, preparación cuadros de salida, publicaciones de las investigaciones con enfoque territorial: PIB por departamentos y valor agregado por municipios</t>
  </si>
  <si>
    <t>Se realizó la publicación en la página web, se adjuntan los siguientes 7 archivos: PIB total, por actividades económicas, por departamentos, por regiones, serie retropolada, valor agregado por municipios y boletín técnico</t>
  </si>
  <si>
    <t>Se realizó la publicación en la página web, se adjuntan los siguientes 8 archivos: PIB total, por actividades económicas, por departamentos, por regiones, serie retropolada, boletín técnico, presentación rueda de prensa, comunicado de prensa.</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</si>
  <si>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</si>
  <si>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Se realizó acopio del catálogo de información financiera de Supersalud y Ministerio de Salud para EPS e IPS; movilidad régimen contributivo; públicas régimen contributivo; y públicas régimen subsidiado, para la cuenta satélite de salud. Adicionalmente se avanzó en el procesamiento de la conciliación de EPS contributivo privado, movilidad y contributivo público para 2020</t>
  </si>
  <si>
    <t>Se avanzó en el procesamiento de la conciliación de EPS contributivo privado, movilidad y contributivo público para 2020</t>
  </si>
  <si>
    <t>Se realizo el ejercicio en tiempo real y se desarrollaron las diferentes fases del proceso respetando los tiempo definidos</t>
  </si>
  <si>
    <t>Para el primer trimestre de 2021, se realizó la consolidación y síntesis del PIB, desde los enfoques de la producción y el gasto, correspondiente al cuarto trimestre de 2020 y año total, esta publicación incluye las cifras de las Cuentas Anuales 2018 definitivo y 2019 provisional.</t>
  </si>
  <si>
    <t>Para el segundo trimestre de 2021, se realizó la consolidación y síntesis del PIB, desde los enfoques de la producción y el gasto, correspondiente primer trimestre de 2021, esta publicación incluye la revisión de las cifras del año 2020 preliminar.</t>
  </si>
  <si>
    <t>Para el primer trimestre de 2021, se realizaron 3  consolidaciones y síntesis del ISE, de los meses de noviembre y diciembre de 2020; y enero de 2021 .</t>
  </si>
  <si>
    <t>Para el segundo trimestre de 2021, se realizaron 3  consolidaciones y síntesis del ISE, de los meses de febrero, marzo y abril de 2021 .</t>
  </si>
  <si>
    <t>La producción de información recurrente de los índices de precios y costos aporta indirectamente al cumplimiento  de la estrategia de la Capacidad Metodológica, dado que se entregarán las cifras de los Índices de Precios y Costos.</t>
  </si>
  <si>
    <t>La producción de información de la operación estadística aporta directamente (10%) a la estrategia de la Capacidad Metodológica, debido a que atiende las necesidades de información de los grupos de interés en cuanto a la temática relacionada</t>
  </si>
  <si>
    <t>La producción de información sobre las condiciones de vida de los hogares y personas aporta indirectamente al cumplimiento de la estrategia de la Capacidad Metodológica, dado que se entregarán las cifras con corte longitudinal de la ELCO y se actualizará el marco de la muestra para la próxima aplicación.</t>
  </si>
  <si>
    <t>La producción de información estadística periódica para la medición de la dinámica del sector constructor, aporta indirectamente al cumplimiento de la estrategia de la Capacidad Metodológica, dado que se entregarán las cifras actualizadas.</t>
  </si>
  <si>
    <t>La producción de información coyuntural de exportaciones e importaciones de bienes y servicios, aporta indirectamente al cumplimiento de la estrategia de la capacidad metodológica, dado que proporcionará estadísticas mensuales y anuales que permita conocer la posición internacional del país.</t>
  </si>
  <si>
    <t>La producción de información coyuntural y estructural del comercio interno, aporta indirectamente con el cumplimiento de la estrategia de la Capacidad Metodológica, dado que proporcionará información mensual y anual que permita conocer la dinámica y características del sector comercio en Colombia.</t>
  </si>
  <si>
    <t>La certificación y seguimiento del precio de venta al público de licores, vinos, aperitivos y similares, cigarrillos y tabaco elaborado y precios de artículos de primera necesidad, aporta indirectamente con el cumplimiento de la estrategia de la Capacidad Metodológica, dado que atenderá lo establecido en las leyes 1816 y 1819 de 2016; y en el decreto 507 de 2020.</t>
  </si>
  <si>
    <t>La operación y levantamiento de información de la ENUT 2020 - 2021 se ha venido realizando por el equipo temático, logístico, muestras y sistemas de la ENUT, sin embargo el procesamiento de información, elaboración de documentos de publicación, expuesta a solicitudes y demás los ha venido realizando el equipo temático del GIT Curso y Calidad de Vida, que entre abril y junio estuvo compuesto por Iván Rolando Castillo, Camila Valentina Moreno y David Siervo. La publicación preliminar de los 4 primeros meses del operativo correspondientes a septiembre a diciembre del año 2020 se realizó el 23 de marzo.</t>
  </si>
  <si>
    <t xml:space="preserve">Todas las dependencias que intervienen en el operativo de la EMMET realizaron las actividades de su competencia en la recolección, procesamiento y análisis, que produjo información estadística durante los periodos estadísticos  de febrero a mayo de 2021. Además, el GIT Industria realizó la identificación de necesidades de información y diligenció la matriz mensualmente. Por otra parte, se ajustó manual de diligenciamiento de  la EAM de acuerdo con los cambios y desagregaciones requeridos  para la recolección del periodo estadístico 2020. </t>
  </si>
  <si>
    <t>La producción periódica de información de la encuesta ambiental industrial aporta indirectamente al cumplimiento de la estrategia de capacidad metodológica, dado que se entregan cifras sobre el desempeño ambiental de las industrias.</t>
  </si>
  <si>
    <t>En el desarrollo de la investigación participaron los profesionales de los Grupos Internos de Trabajo del Tema Ambiental de las áreas temática, logística, sistemas, muestras y DICE . 
Durante el segundo trimestre de 2021, se cumplieron cada una de las fases del proceso estadístico relacionadas con el procesamiento, análisis y difusión de resultados de la EAI 2019. 
Este trabajo permitió cumplir con la fecha de publicación de resultados de la EAI2019
Adicionalmente, durante este trimestres, como parte del proceso de mejoramiento de la EAI, e GIT Temática Ambiental realizó una  consulta, a las entidades del SINA, con el fin de identificar las necesidades sobre la encuesta.
"</t>
  </si>
  <si>
    <t>Las producciones de información continua sobre las operaciones estadísticas que se investigan en el sector de servicios - EGIT, aporta indirectamente al cumplimiento de la estrategia de capacidad metodológica.</t>
  </si>
  <si>
    <t>Una (1) producción estadística en temas agropecuarios para la ampliación de contenidos temáticos que supla las nuevas necesidades de información de los usuarios, actualizada. Operación continua.</t>
  </si>
  <si>
    <t xml:space="preserve">El equipo de trabajo de Micronegocios durante el II trimestre  adelantó  lo correspondiente a los productos de publicación del I trimestre 2021, así mismo se realizó la anonimización de la base 2020 para EMICRON. Se elabora el proyecto de resolución y plan general del SIECI publicado en la página web el 30 junio. </t>
  </si>
  <si>
    <t xml:space="preserve">Se realizó el seguimiento y publicación de los reportes de los siguientes instrumentos de planeación: Plan de Acción Institucional  2020 reporte IV trimestre, Plan Estratégico Institucional reporte II semestre y Plan Anticorrupción y Atención al Ciudadano 2020 reporte III cuatrimestre. </t>
  </si>
  <si>
    <t>Durante el segundo trimestre del año, el GIT de Planeación Estratégica realizo el seguimiento del I Cuatrimestre del Plan Anticorrupción y Atención al Ciudadano 2021 (PAAC) y remitió a la Oficina de Control Interno (OCI) la matriz consolidada y evidencias en su ejercicio de primera línea de defensa. Así mismo, se llevo a cabo el primer seguimiento trimestral del Plan de Acción Institucional 2021 (PAI), resultado de este seguimiento se elaboró el informe que consolida el estado de avance de las metas e hitos programados por las áreas, y se identificaron las primeras alertas de incumplimiento, este seguimiento se encuentra publico en la pagina oficial del DANE.</t>
  </si>
  <si>
    <t xml:space="preserve">La Oficina Asesora de Planeación - OPLAN, ha realizado el seguimiento y socialización de los resultados de sus instrumentos de planeación, con el fin de identificar los logros y avances alcanzados por las áreas, dependencias y direcciones territoriales durante la vigencia. Con corte al primer semestre del año, el GIT de Planeación Estratégica ha realizado el seguimiento de cierre a los planes de la vigencia 2020 (IV trimestre del PAI, II semestre del PEI y III cuatrimestre del PAAC) correspondiente a la vigencia 2021, se ha elaborado el informe de seguimiento del PAI (I trimestre) y la consolidación de avances del Plan Anticorrupción y Atención al Ciudadano (PAAC).  </t>
  </si>
  <si>
    <t>Se ha cumplido con los ciclos de actualización  de las fichas EBI de los proyectos de inversión según el ciclo presupuestal y con el respectivo seguimiento a la ejecución presupuestal. Así mismo, se han atendido todos los trámites presupuestales requeridos por las dependencias.</t>
  </si>
  <si>
    <t xml:space="preserve">Se inicio el diagnóstico de los módulos de indicadores, riesgos y documental a fin de establecer su funcionalidad  </t>
  </si>
  <si>
    <t>Se iniciaron los diagnósticos del sistema a fin de elaborar el documento de mejoramiento basados en elementos técnicos y pruebas de funcionalidad</t>
  </si>
  <si>
    <t xml:space="preserve">Se tiene el diagnóstico de los módulos, documental, mejora y SST </t>
  </si>
  <si>
    <t xml:space="preserve">El GIT Área de Gestión Humana realizó el documento de los requerimientos técnicos para la contratación de la capacitación. </t>
  </si>
  <si>
    <t>Se realizó la implantación del formato de nacimiento con las parteras de Chocó, adscrito a la asociación ASOREDIPAR</t>
  </si>
  <si>
    <t>Se hizo recuperación de información para los años anteriores a 2020</t>
  </si>
  <si>
    <t>Se realizó capacitación de la fase de acopio para la CSCEN y se realizó la gestión para el acopio de las bases de datos de las encuestas económicas y la GEIH. Se avanzó en el procesamiento de las cuentas de producción y generación del ingreso a precios corrientes para las actividades de: edición de libros, diarios y revistas y otras; exhibición de cine, radiodifusión, TV abierta y por suscripción; diseño y publicidad; fabricación de juegos y juguetes, joyas e instrumentos musicales; educación superior cultural y creativa; producción de malta, elaboración de cerveza y otras bebidas malteadas; tejeduría y acabado de productos textiles; fabricación de tejidos de punto y ganchillo</t>
  </si>
  <si>
    <t>Un (1) grupo de sistemas de información, aplicativos, componentes, módulos para  operaciones estadísticas de infraestructura, soportados y mantenidos</t>
  </si>
  <si>
    <t>Para el primer trimestre se elaboró el PMAS con las actividades necesarias para conservar en buen estado de uso las instalaciones en DANE CENTRAL y se presentó en reunión para aprobación de la Coordinación Administrativa. Se realizó una inspección con el personal de mantenimiento al estado de pintura de la sede Central.</t>
  </si>
  <si>
    <t>Se ha cumplido con los ciclos de actualización  de las fichas EBI de los proyectos de inversión según el ciclo presupuestal, se realizó el seguimiento a la ejecución presupuestal mensual de los recursos de funcionamiento y los 13 proyectos de inversión, de igual manera se realizó el trámite de vigencias futuras para el proyecto de inversión de Logística</t>
  </si>
  <si>
    <t>Hito finalizado en el I trimestre</t>
  </si>
  <si>
    <t>En el segundo trimestre de 2021 la Oficina de Sistemas a través de su GIT realizó los ajustes solicitados a los siguientes aplicativos:
Registro único de Vacunación (RUV) y Encuesta Nacional Agropecuaria (ENA) de acuerdo al documento metodológico de las operaciones estadísticas.</t>
  </si>
  <si>
    <t>En el segundo trimestre de 2021  la Oficina de Sistemas a través de su GIT Sistemas de Información brindó soporte a lo usuarios de Kactus e inició la implementación de los módulos correspondientes a la fase 2.</t>
  </si>
  <si>
    <t>No Aplica para este trimestre</t>
  </si>
  <si>
    <t>No se presentó reporte de avance para el II trimestre</t>
  </si>
  <si>
    <t>No se presentan avances .Se solicita ajustes a la OPLAN dado que se ajustaron tiempos de acuerdo al cronograma de trabajo del GIT</t>
  </si>
  <si>
    <t>Meta finalizada en el I trimestre</t>
  </si>
  <si>
    <t xml:space="preserve"> GIT de Desarrollo de Personal y la Oficina Asesora Jurídica gestionaron la firma del contrato interadministrativo con la Universidad Nacional con el objeto de Contratar el Servicio de entrenamiento y aprendizaje dirigido a los servidores del Departamento Administrativo Nacional de Estadística DANE, para fortalecer sus competencias en el levantamiento de la información con calidad, cobertura y oportunidad, que les permita gestionar bases de datos, depurar la información estadística, planificar operaciones, recolectar la información y así contribuir al cumplimiento de la misión institucional </t>
  </si>
  <si>
    <t>El grupo de EEVV el 25 de junio de 2021 publico en la página WEB, la informaron de nacimientos, defunciones fetales y no fetaes , correspondiente al primer trimestre 2021, pr.</t>
  </si>
  <si>
    <t>Se realizó la  publicación del Producto Interno Bruto por departamentos año 2020, se adjuntan los siguientes 8 archivos: PIB total, por actividades económicas, por departamentos, por regiones, serie retropolada, boletín técnico, presentación rueda de prensa, comunicado de prensa.</t>
  </si>
  <si>
    <t>El equipo logístico realizó la recolección y acopio de la información de los periodos correspondientes de las encuestas de Servicios</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</si>
  <si>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</si>
  <si>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La Coordinación Temática Agropecuaria ha realizado avances en la metas propuestas para suplir las continuas y nuevas necesidades de información de los usuarios, dentro de un proceso de mejora continua.</t>
  </si>
  <si>
    <t>ESAG. Se actualizaron las especificaciones de validación y consistencia de la y se está trabajando el desarrollo con base en las mismas.(100%)
ENA. Prueba de campo mediante pretest para afianzar los objetivos propuestos en el cuestionario ENA 2021.</t>
  </si>
  <si>
    <t>No se presenta reporte de avance para el II trimestre</t>
  </si>
  <si>
    <t>Valor recursos de FUNCIONAMIENTO (pesos)</t>
  </si>
  <si>
    <t>Valor recursos de FUNCIONAMIENTO (pesos) Actualizado</t>
  </si>
  <si>
    <t>Valor recursos de FUNCIONAMIENTO (pesos) Ejecutado con corte al 31 de marzo</t>
  </si>
  <si>
    <t>Valor recursos de INVERSIÓN
(pesos)</t>
  </si>
  <si>
    <t>Valor recursos de INVERSIÓN
(pesos) (Actualizado)</t>
  </si>
  <si>
    <t>Valor recursos de INVERSIÓN
(pesos) (Actualizado) Ejecutado con corte al 31 de marzo</t>
  </si>
  <si>
    <t xml:space="preserve">Proyecto de inversión / Concepto de gasto </t>
  </si>
  <si>
    <t>Cod Proyecto</t>
  </si>
  <si>
    <t>Nombre producto 
Ficha EBI</t>
  </si>
  <si>
    <t xml:space="preserve">Rubro presupuestal </t>
  </si>
  <si>
    <t>Recursos por producto</t>
  </si>
  <si>
    <t>FORTALECIMIENTO DE LA CAPACIDAD TECNICA Y ADMINISTRATIVA</t>
  </si>
  <si>
    <t>CAPA_TEC</t>
  </si>
  <si>
    <t>Documentos de planeación</t>
  </si>
  <si>
    <t>C-0499-1003-6-0-0499054-02</t>
  </si>
  <si>
    <t>Servicios de información actualizados</t>
  </si>
  <si>
    <t>C-0499-1003-6-0-0499062-02</t>
  </si>
  <si>
    <t>.</t>
  </si>
  <si>
    <t>Servicio de Implementación Sistemas de Gestión</t>
  </si>
  <si>
    <t>C-0499-1003-6-0-0499060-02</t>
  </si>
  <si>
    <t>FORTALECIMIENTO Y MODERNIZACION DE LAS TICS</t>
  </si>
  <si>
    <t>SISTEM</t>
  </si>
  <si>
    <t xml:space="preserve">Servicios de información para la gestión administrativa </t>
  </si>
  <si>
    <t>FORTALECIMIENTO DE LA DIFUSION</t>
  </si>
  <si>
    <t>DIFUSION</t>
  </si>
  <si>
    <t>Servicio de información estadística sobre registro y satisfacción ciudadana y atención de trámites y servicios del Estado</t>
  </si>
  <si>
    <t>C-0401-1003-29-0-0401101-02</t>
  </si>
  <si>
    <t>Servicio de Información Implementado</t>
  </si>
  <si>
    <t>C-0401-1003-29-0-0401102-02</t>
  </si>
  <si>
    <t>Servicio de evaluación del proceso estadístico</t>
  </si>
  <si>
    <t>C-0401-1003-26-0-0401096-02</t>
  </si>
  <si>
    <t>Bases de Datos del Marco Geoestadístico Nacional</t>
  </si>
  <si>
    <t>CARÁCTER SOCIODEMOGRAFICO- 2017011000343</t>
  </si>
  <si>
    <t>BASES DE DATOS DE LA TEMATICA DE SALUD</t>
  </si>
  <si>
    <t>CUADROS DE RESULTADOS PARA LA TEMATICA DEMOGRAFICA Y POBLACIONAL</t>
  </si>
  <si>
    <t>ESTUDIOS POSTCENSALES</t>
  </si>
  <si>
    <t>CUENTAS NACIONALES Y MACROECONOMIA</t>
  </si>
  <si>
    <t>CUENTAS_N</t>
  </si>
  <si>
    <t>Boletines Técnicos De Las Cuentas Anuales De Bienes Y Servicios</t>
  </si>
  <si>
    <t>C-0401-1003-25-0-0401075-02</t>
  </si>
  <si>
    <t>Boletines Técnicos De Las Cuentas Anuales De Sectores Institucionales</t>
  </si>
  <si>
    <t>C-0401-1003-25-0-0401083-02</t>
  </si>
  <si>
    <t>Boletines Técnicos De Las Cuentas Departamentales</t>
  </si>
  <si>
    <t>C-0401-1003-25-0-0401076-02</t>
  </si>
  <si>
    <t>Boletines Técnicos De La Cuenta Satélite De Medio Ambiente.</t>
  </si>
  <si>
    <t>C-0401-1003-25-0-0401082-02</t>
  </si>
  <si>
    <t>Boletines Técnicos De La Cuenta Satélite De Cultura</t>
  </si>
  <si>
    <t>C-0401-1003-25-0-0401078-02</t>
  </si>
  <si>
    <t>Boletines Técnicos De La Cuenta Satélite De Turismo</t>
  </si>
  <si>
    <t>C-0401-1003-25-0-0401077-02</t>
  </si>
  <si>
    <t>Boletines Técnicos De La Cuenta Satélite Piloto De Agroindustria</t>
  </si>
  <si>
    <t>C-0401-1003-25-0-0401080-02</t>
  </si>
  <si>
    <t>PLANTA DE PERSONAL</t>
  </si>
  <si>
    <t>A-01-01</t>
  </si>
  <si>
    <t>Boletines Técnicosdel PIB Nacional</t>
  </si>
  <si>
    <t>C-0401-1003-25-0-0401084-02</t>
  </si>
  <si>
    <t>Boletines Técnicos del indicador de Seguimiento a la Economía -ISE</t>
  </si>
  <si>
    <t>C-0401-1003-25-0-0401099-02</t>
  </si>
  <si>
    <t>LOGISTICA</t>
  </si>
  <si>
    <t>LOGIST</t>
  </si>
  <si>
    <t>Bases de Datos de la temática de Pobreza y Condiciones de Vida</t>
  </si>
  <si>
    <t>C-0401-1003-24-0-0401005-02</t>
  </si>
  <si>
    <t>TEMAS SOCIALES</t>
  </si>
  <si>
    <t>T_SOCIALES</t>
  </si>
  <si>
    <t>Boletines Técnicos de la Temática Pobreza y Condiciones de Vida</t>
  </si>
  <si>
    <t>C-0401-1003-23-0-0401021-02</t>
  </si>
  <si>
    <t>Cuadros de resultados para la temática de pobreza y condiciones de vida</t>
  </si>
  <si>
    <t>C-0401-1003-23-0-0401037-02</t>
  </si>
  <si>
    <t>Bases de datos de la Temática de Precios y Costos</t>
  </si>
  <si>
    <t>C-0401-1003-24-0-0401071-02</t>
  </si>
  <si>
    <t>Bases de datos de la Temática de Construcción</t>
  </si>
  <si>
    <t>C-0401-1003-24-0-0401065-02</t>
  </si>
  <si>
    <t>TEMAS ECONOMICOS</t>
  </si>
  <si>
    <t>T_ECONOMICOS</t>
  </si>
  <si>
    <t>Cuadros de resultados para la temática de precios y costos</t>
  </si>
  <si>
    <t>C-0401-1003-22-0-0401038-02</t>
  </si>
  <si>
    <t>Boletines Técnicos Temática Construcción</t>
  </si>
  <si>
    <t>C-0401-1003-22-0-0401010-02</t>
  </si>
  <si>
    <t>Cuadros de Resultados para la temática construcción</t>
  </si>
  <si>
    <t>C-0401-1003-22-0-0401060-02</t>
  </si>
  <si>
    <t>ARQ_APL_2021</t>
  </si>
  <si>
    <t>OPLAN_2021_DP</t>
  </si>
  <si>
    <t>SUBDIR_CAPAD_2021_DP</t>
  </si>
  <si>
    <t>OPLAN_2021_SISG</t>
  </si>
  <si>
    <t>Proceso de Gestión del Talento Humano</t>
  </si>
  <si>
    <t>FORTALECIMIENTO DE LA DIFUSIÓN</t>
  </si>
  <si>
    <t>FORT_DIFUSION_2021_COM</t>
  </si>
  <si>
    <t>Servicio de información implementado</t>
  </si>
  <si>
    <t>FORT_DIFUSION_2021_DIF</t>
  </si>
  <si>
    <t>FORTALECIMIEINTO CAPACIDAD TÉCNICA Y ADMINISTRATIVA</t>
  </si>
  <si>
    <t>COM_2021_SIA</t>
  </si>
  <si>
    <t>CARÁCTER SOCIODEMOGRÁFICO</t>
  </si>
  <si>
    <t>Bases de Datos de la temática de salud</t>
  </si>
  <si>
    <t xml:space="preserve"> C-0401-1003-20-0-0401006-02</t>
  </si>
  <si>
    <t>EEVV-2021-BD</t>
  </si>
  <si>
    <t xml:space="preserve"> C-0401-1003-20-0-0401006-03</t>
  </si>
  <si>
    <t xml:space="preserve"> C-0401-1003-20-0-0401006-04</t>
  </si>
  <si>
    <t>Cuadros de resultados para la temática de demografía y población</t>
  </si>
  <si>
    <t>C-0401-1003-20-0-0401032-02</t>
  </si>
  <si>
    <t>PPED-2021-CR</t>
  </si>
  <si>
    <t>Documentos de estudios postcensales temáticas demográficas y poblacionales</t>
  </si>
  <si>
    <t>C-0401-1003-20-0-0401053-02</t>
  </si>
  <si>
    <t>CSDM-CNPV-2021-DEP</t>
  </si>
  <si>
    <t>ETN-2021-CR</t>
  </si>
  <si>
    <t>Valor recursos de FUNCIONAMIENTO (pesos) 
Actualizado</t>
  </si>
  <si>
    <t>Valor recursos de INVERSIÓN
(pesos) Actualizado</t>
  </si>
  <si>
    <t>Plan (relacionar el mismo que se encuentra en SPGI)</t>
  </si>
  <si>
    <t xml:space="preserve"> </t>
  </si>
  <si>
    <t>DESARROLLO CENSO ECONOMICO NACIONAL</t>
  </si>
  <si>
    <t>Bases de Datos del Marco Geoestadístico Nacional CE</t>
  </si>
  <si>
    <t>C-0401-1003-28-0-0401003-02</t>
  </si>
  <si>
    <t>Documentos metodológicos CE</t>
  </si>
  <si>
    <t>• CENSO_ECONOMICO_2021_DIG_BDMGN
• CENSO_ECONOMICO_2021_DIG_BDMGN
• CENSO_ECONOMICO_2021_DIMPE_BDMGN
• CENSO_ECONOMICO_2021_DIRPEN_BDMGN
• CENSO_ECONOMICO_2021_LOG_BDMGN
• CENSO_ECONOMICO_2021_SECGEN_BDMGN
• CENSO_ECONOMICO_2021_SISTEMAS_BDMGN</t>
  </si>
  <si>
    <t>• CENSO_ECONOMICO_2021_SECGEN_DM
• CENSO_ECONOMICO_2021_SISTEMAS_DM</t>
  </si>
  <si>
    <t>Fortalecimiento de la capacidad técnica administrativa</t>
  </si>
  <si>
    <t>DOCUMETOS DE PLANEACIÓN</t>
  </si>
  <si>
    <t>C-0499-1003-6-0-0499054-02-11*</t>
  </si>
  <si>
    <t>JURIDICA_2021_DP</t>
  </si>
  <si>
    <t>Servicios de información para
la gestión administrativa</t>
  </si>
  <si>
    <t>ARQ_TEC_2021
ARQ_APL_2021</t>
  </si>
  <si>
    <t>MEJORAMIENTO INFRAESTRUCTURA Y EQUIPAMIENTO FISICO</t>
  </si>
  <si>
    <t>Sedes mantenidas</t>
  </si>
  <si>
    <t>Fortalecimento de la Capacidad Técnica y Administrativa</t>
  </si>
  <si>
    <t>Documento de Planeacion</t>
  </si>
  <si>
    <t>Fortalecimiento de la Capacidad  Técnica y Administrativa</t>
  </si>
  <si>
    <t xml:space="preserve">
$ 12.942.216
</t>
  </si>
  <si>
    <t xml:space="preserve">
$ 1.050.600
</t>
  </si>
  <si>
    <t>DESARROLLO CENSO ECONÓMICO NACIONAL</t>
  </si>
  <si>
    <t>C-0401-1003-28-0-0401003 -02</t>
  </si>
  <si>
    <t>ADQUISICIÓN DE BIENES Y SERVICIOS/ LEVANTAMIENTO DE INFORMACIÓN ESTADÍSTICA CON CALIDAD, COBERTURA Y OPORTUNIDAD NACIONAL</t>
  </si>
  <si>
    <t>Base de datos temática comercio interno, pobreza y condiciones de vida</t>
  </si>
  <si>
    <t>C-0401-1003-24-0-0401061-02</t>
  </si>
  <si>
    <t>Base de datos temática de mercado</t>
  </si>
  <si>
    <t>Base de datos temática de pobreza y condiciones de vida</t>
  </si>
  <si>
    <t>Base de datos temática de construcción</t>
  </si>
  <si>
    <t>ADQUISICIÓN DE BIENES Y SERVICIOS - BASES DE DATOS DE LA TEMÁTICA DE COMERCIO INTERNO - LEVANTAMIENTO DE INFORMACIÓN ESTADÍSTICA CON CALIDAD, COBERTURA Y OPORTUNIDAD NACIONAL</t>
  </si>
  <si>
    <t>BASES DE DATOS DE LA TEMÁTICA DE COMERCIO INTERNO
BASES DE DATOS DE LA TEMÁTICA DE POBREZA Y CONDICIONES DE VIDA</t>
  </si>
  <si>
    <t>C-0401-1003-24-0-0401064-02
C-0401-1003-24-0-0401005-02</t>
  </si>
  <si>
    <t>BASES DE DATOS DE LA TEMÁTICA DE MERCADO
BASES DE DATOS DE LA TEMÁTICA DE POBREZA Y CONDICIONES DE VIDA
BASES DE DATOS DE LA TEMÁTICA DE SEGURIDAD Y DEFENSA
BASES DE DATOS DE LA TEMÁTICA DE CULTURA</t>
  </si>
  <si>
    <t>C-0401-1003-24-0-0401004-02
C-0401-1003-24-0-0401005-02
C-0401-1003-24-0-0401067-02
C-0401-1003-24-0-0401066-02</t>
  </si>
  <si>
    <t>ADQUISICIÓN DE BIENES Y SERVICIOS - BASES DE DATOS DE LA TEMÁTICA DE CONSTRUCCIÓN - LEVANTAMIENTO DE INFORMACIÓN ESTADÍSTICA CON CALIDAD, COBERTURA Y OPORTUNIDAD NACIONAL</t>
  </si>
  <si>
    <t>BASES DE DATOS DE LA TEMÁTICA DE CONSTRUCCIÓN</t>
  </si>
  <si>
    <t>ADQUISICIÓN DE BIENES Y SERVICIOS - BASES DE DATOS DE LA TEMÁTICA DE PRECIOS Y COSTOS - LEVANTAMIENTO DE INFORMACIÓN ESTADÍSTICA CON CALIDAD, COBERTURA Y OPORTUNIDAD NACIONAL</t>
  </si>
  <si>
    <t>BASES DE DATOS DE LA TEMÁTICA DE PRECIOS Y COSTOS</t>
  </si>
  <si>
    <t>BASES DE DATOS DE LA TEMÁTICA DE COMERCIO INTERNO</t>
  </si>
  <si>
    <t>C-0401-1003-24-0-0401064-02</t>
  </si>
  <si>
    <t>ADQUISICIÓN DE BIENES Y SERVICIOS - BASES DE DATOS DE LA TEMÁTICA DE SERVICIOS - LEVANTAMIENTO DE INFORMACIÓN ESTADÍSTICA CON CALIDAD, COBERTURA Y OPORTUNIDAD NACIONAL</t>
  </si>
  <si>
    <t>BASES DE DATOS DE LA TEMÁTICA DE SERVICIOS</t>
  </si>
  <si>
    <t>C-0401-1003-24-0-0401072-02</t>
  </si>
  <si>
    <t>ADQUISICIÓN DE BIENES Y SERVICIOS - BASES DE DATOS DE LA TEMÁTICA DE COMERCIO INTERNACIONAL - LEVANTAMIENTO DE INFORMACIÓN ESTADÍSTICA CON CALIDAD, COBERTURA Y OPORTUNIDAD NACIONAL</t>
  </si>
  <si>
    <t>BASES DE DATOS DE LA TEMÁTICA DE COMERCIO INTERNACIONAL</t>
  </si>
  <si>
    <t>C-0401-1003-24-0-0401063-02</t>
  </si>
  <si>
    <t>ADQUISICIÓN DE BIENES Y SERVICIOS - BASES DE DATOS DE LA TEMÁTICA AGROPECUARIA - LEVANTAMIENTO DE INFORMACIÓN ESTADÍSTICA CON CALIDAD, COBERTURA Y OPORTUNIDAD NACIONAL</t>
  </si>
  <si>
    <t>BASES DE DATOS DE LA TEMÁTICA AGROPECUARIA</t>
  </si>
  <si>
    <t>Documentos Metodológicos DICE</t>
  </si>
  <si>
    <t>C-0401-1003-29-0-0401103-02</t>
  </si>
  <si>
    <t xml:space="preserve">SERVICIO DE INFORMACIÓN IMPLEMENTADO </t>
  </si>
  <si>
    <t>SERVICIO DE INFORMACIÓN IMPLEMENTADO</t>
  </si>
  <si>
    <t>Documentos Metodológicos</t>
  </si>
  <si>
    <t>FORT_DIFUSION_2021_GRUPOS_INTERES</t>
  </si>
  <si>
    <t>CARÁCTER SOCIODEMOGRAFICOS - HONORARIOS</t>
  </si>
  <si>
    <t>BASES DE DATOS DE LA TEMÁTICA DE SALUD</t>
  </si>
  <si>
    <t>C-0401-1003-20-0-0401006-02</t>
  </si>
  <si>
    <t>C-0401-1003-20-0-0401053</t>
  </si>
  <si>
    <t>BOLETINES TÉCNICOS DE LA TEMATICA DEMOGRAFICA Y POBLACIONAL</t>
  </si>
  <si>
    <t>C-0401-1003-20-0-0401016-02</t>
  </si>
  <si>
    <t>DOCUMENTOS METODOLOGICOS</t>
  </si>
  <si>
    <t>C-0401-1003-20-0-0401044-02</t>
  </si>
  <si>
    <t>CARÁCTER SOCIODEMOGRAFICO</t>
  </si>
  <si>
    <t>EEVV-201-BD</t>
  </si>
  <si>
    <t xml:space="preserve"> C-0401-1003-20-0-0401032-02</t>
  </si>
  <si>
    <t xml:space="preserve"> C-0401-1003-20-0-0401053-03</t>
  </si>
  <si>
    <t>Boletines Técnicos de la Temática Demografía y Población</t>
  </si>
  <si>
    <t xml:space="preserve"> C-0401-1003-20-0-0401016-02</t>
  </si>
  <si>
    <t>UERA-2021-BT</t>
  </si>
  <si>
    <t xml:space="preserve">Cuadros de resultados para la temática de demografía y población- </t>
  </si>
  <si>
    <t xml:space="preserve">Documentos metodológicos  </t>
  </si>
  <si>
    <t>CHC-2021-DM</t>
  </si>
  <si>
    <t>Bases de Datos de la temática  de salud</t>
  </si>
  <si>
    <t xml:space="preserve"> C-0401-1003-20-0-0401053-02</t>
  </si>
  <si>
    <t>-</t>
  </si>
  <si>
    <t>Fortalecimiento y Modernizacion de las TICs</t>
  </si>
  <si>
    <t>C-0499-1003-5</t>
  </si>
  <si>
    <t>Fortalecimiento de la capacidad de producción de información estadística del SEN</t>
  </si>
  <si>
    <t>Servicio de información de las estadística de las entidades del sistema estadístico nacional</t>
  </si>
  <si>
    <t>C-0401-1003-3-0-0401090-02</t>
  </si>
  <si>
    <t>C-0401-1003-3-0-0401095-02</t>
  </si>
  <si>
    <t>Valor recursos de FUNCIONAMIENTO (pesos) 
Ejecutado con corte al 31 de junio</t>
  </si>
  <si>
    <t>Valor recursos de INVERSIÓN
(pesos) 
 Ejecutado con corte al 31 de junio</t>
  </si>
  <si>
    <t>Fortalecimiento de la Capacidad Técnica y Administrativa</t>
  </si>
  <si>
    <t>LEVANTAMIENTO DE LA INFORMACIÓN CON CALIDAD, COBERTURA Y OPORTUNIDAD</t>
  </si>
  <si>
    <t>Bases de Datos de la temática de Mercado Laboral</t>
  </si>
  <si>
    <t>C-0401-1003-24-0-0401004-02</t>
  </si>
  <si>
    <t>DIR_SUB_TRV_2021_LOG</t>
  </si>
  <si>
    <t>LEVANTAMIENTO Y ACTUALIZACIÓN DE ESTADÍSTICAS EN TEMAS SOCIALES NACIONAL</t>
  </si>
  <si>
    <t>POBREZA_2021_MEDIDAS_DE_POBREZA</t>
  </si>
  <si>
    <t xml:space="preserve">BOLETINES TÉCNICOS DE LA TEMÁTICA POBREZA Y CONDICIONES DE VIDA </t>
  </si>
  <si>
    <t>CUADROS DE RESULTADOS PARA LA TEMÁTICA DE POBREZA Y CONDICIONES DE VIDA</t>
  </si>
  <si>
    <t xml:space="preserve"> CUADROS DE RESULTADOS PARA LA TEMÁTICA DE POBREZA Y CONDICIONES DE VIDA</t>
  </si>
  <si>
    <t>DISTINTAS A MEMBRESÍAS</t>
  </si>
  <si>
    <t>A-03-02-02-105-002</t>
  </si>
  <si>
    <t>A03_2021_OCDE</t>
  </si>
  <si>
    <t>OCI_CAPAD_2021</t>
  </si>
  <si>
    <t>C-0499-1003-5-0-0499001-02-11</t>
  </si>
  <si>
    <t>C-0499-1003-7-0-0499016-02</t>
  </si>
  <si>
    <t>AMFIS_2021</t>
  </si>
  <si>
    <t>SUBDIR_CAPAD_2021</t>
  </si>
  <si>
    <t xml:space="preserve"> C_INTERNO_2021</t>
  </si>
  <si>
    <t xml:space="preserve"> C_INTERNO_2021
POBREZA_2021</t>
  </si>
  <si>
    <t>LOG_TRV_2021
POBREZA_2021
SEGURIDAD_2021_ECSC_</t>
  </si>
  <si>
    <t>CONSTRUCCION_2021</t>
  </si>
  <si>
    <t>PRECIOS_2020_IPC</t>
  </si>
  <si>
    <t>SERVICIOS_2020</t>
  </si>
  <si>
    <t>C_INTERNAL_2021</t>
  </si>
  <si>
    <t xml:space="preserve">AGROPECUARIA_2019_SIPSA </t>
  </si>
  <si>
    <t>CABSS_2021</t>
  </si>
  <si>
    <t>CASIND_2021</t>
  </si>
  <si>
    <t>LEVANTAMIENTO Y ACTUALIZACIÓN DE ESTADÍSTICAS EN TEMAS ECONÓMICOS</t>
  </si>
  <si>
    <t>CUADROS DE RESULTADOS PARA LA TEMÁTICA DE PRECIOS Y COSTOS</t>
  </si>
  <si>
    <t>C-0401-1003-22-0-0401038</t>
  </si>
  <si>
    <t>TE_PRECIOS_2021_PPA</t>
  </si>
  <si>
    <t>CUADROS DE RESULTADOS PARA LA TEMÁTICA DE INDUSTRIA</t>
  </si>
  <si>
    <t>C-0401-1003-22-0-0401035</t>
  </si>
  <si>
    <t>TE_INDUSTRIA_2021_IPI</t>
  </si>
  <si>
    <t>BOLETINES TÉCNICOS DE LA TEMÁTICA AGROPECUARIA</t>
  </si>
  <si>
    <t>C-0401-1003-22-0-0401007</t>
  </si>
  <si>
    <t>TE_AGRO_2021_SIPSA_TH</t>
  </si>
  <si>
    <t>CUADROS DE RESULTADOS PARA LA TEMÁTICA AGROPECUARIA</t>
  </si>
  <si>
    <t>C-0401-1003-22-0-0401026</t>
  </si>
  <si>
    <t>TE_AGRO_2021_SIPSA</t>
  </si>
  <si>
    <t>TE_AGRO_2021_ESTUDIOS_AGROPECUARIOS</t>
  </si>
  <si>
    <t>LEVANTAMIENTO Y ACTUALIZACIÓN DE ESTADÍSTICAS EN TEMAS SOCIALES</t>
  </si>
  <si>
    <t>BOLETINES TÉCNICOS TEMÁTICA DE LA SEGURIDAD Y DEFENSA</t>
  </si>
  <si>
    <t xml:space="preserve">
C-0401-1003-23-0-0401023</t>
  </si>
  <si>
    <t xml:space="preserve">
    TS_SEGURIDAD_2021_ECSC
</t>
  </si>
  <si>
    <t xml:space="preserve">CUADROS DE RESULTADOS PARA LA TEMÁTICA DE SEGURIDAD Y DEFENSA
</t>
  </si>
  <si>
    <t>C-0401-1003-23-0-0401040</t>
  </si>
  <si>
    <t xml:space="preserve">   TS_SEGURIDAD_2021_ECSC
</t>
  </si>
  <si>
    <t xml:space="preserve">
CUADROS DE RESULTADOS PARA LA TEMÁTICA DE PRECIOS Y COSTOS
</t>
  </si>
  <si>
    <t>TE_PRECIOS_2021_IPP</t>
  </si>
  <si>
    <t xml:space="preserve">BOLETINES TÉCNICOS DE LA TEMÁTICA PRECIOS Y COSTOS
</t>
  </si>
  <si>
    <t>C-0401-1003-22-0-0401022</t>
  </si>
  <si>
    <t>C-0401-1003-23-0-0401020</t>
  </si>
  <si>
    <t xml:space="preserve">   TS_MERCADO_2021_GEIH_URBANA
</t>
  </si>
  <si>
    <t>BOLETINES TÉCNICOS DE LA TEMÁTICA MERCADO LABORAL</t>
  </si>
  <si>
    <t>TS_MERCADO_2021_GEIH_URBANA</t>
  </si>
  <si>
    <t>BOLETINES TÉCNICOS DE LA TEMÁTICA COMERCIO INTERNACIONAL</t>
  </si>
  <si>
    <t>C-0401-1003-22-0-0401009</t>
  </si>
  <si>
    <t xml:space="preserve">  TE_C_INTERNAL_2021_MTCES
</t>
  </si>
  <si>
    <t>CAPAD_2021</t>
  </si>
  <si>
    <t>CD_2021</t>
  </si>
  <si>
    <t>CSA_2021</t>
  </si>
  <si>
    <t>CABBS_2021</t>
  </si>
  <si>
    <t>DSCN_CT_ISE_CABSS_2021</t>
  </si>
  <si>
    <t>CABSS_CSPA_2021</t>
  </si>
  <si>
    <t>ISE_CABBS_2021</t>
  </si>
  <si>
    <t xml:space="preserve">CUADROS DE RESULTADOS PARA LA TEMÁTICA DE PRECIOS Y COSTOS
</t>
  </si>
  <si>
    <t>TE_PRECIOS_2021_IPC
TE_PRECIOS_2021_IPP
TE_PRECIOS_2021_ICCP</t>
  </si>
  <si>
    <t xml:space="preserve">
BOLETINES TÉCNICOS DE LA TEMÁTICA PRECIOS Y COSTOS
</t>
  </si>
  <si>
    <t>TE_PRECIOS_2021_ICCP
TE_PRECIOS_2021_IPC
TE_PRECIOS_2021_IPP</t>
  </si>
  <si>
    <t xml:space="preserve">
BOLETINES TÉCNICOS PARA LA TEMÁTICA DE SERVICIOS
</t>
  </si>
  <si>
    <t>C-0401-1003-22-0-0401015</t>
  </si>
  <si>
    <t xml:space="preserve">
    TE SERVICIOS 2021 EAS
</t>
  </si>
  <si>
    <t>CUADROS DE RESULTADOS PARA LA TEMÁTICA DE SERVICIOS</t>
  </si>
  <si>
    <t>C-0401-1003-22-0-0401041</t>
  </si>
  <si>
    <t>TE_SERVICIOS_2021_EMS</t>
  </si>
  <si>
    <t>C-0401-1003-23-0-0401023</t>
  </si>
  <si>
    <t xml:space="preserve">TS_SEGURIDAD_2021_ECSC
</t>
  </si>
  <si>
    <t>TS_SEGURIDAD_2021_ECSC</t>
  </si>
  <si>
    <t>CUADROS DE RESULTADOS PARA LA TEMÁTICA DE SEGURIDAD Y DEFENSA</t>
  </si>
  <si>
    <t xml:space="preserve">
BOLETINES TÉCNICOS DE LA TEMÁTICA CULTURA
</t>
  </si>
  <si>
    <t>C-0401-1003-23-0-0401014</t>
  </si>
  <si>
    <t xml:space="preserve">    TS_CULTURA_2021_ECP
</t>
  </si>
  <si>
    <t xml:space="preserve">BOLETINES TÉCNICOS TEMÁTICA CONSTRUCCIÓN
</t>
  </si>
  <si>
    <t>C-0401-1003-22-0-0401010</t>
  </si>
  <si>
    <t xml:space="preserve">
    TE_CONSTRUCCION_2021_IIOC
    TE_CONSTRUCCION_2021_IPOC
TE_CONSTRUCCION_2021_CONCRETO
    TE_CONSTRUCCION_2021_CGRIS
    TE_CONSTRUCCION_2021_CEED
    TE_CONSTRUCCION_2021_IEAC
</t>
  </si>
  <si>
    <t xml:space="preserve">BOLETINES TÉCNICOS DE LA TEMÁTICA COMERCIO INTERNACIONAL
</t>
  </si>
  <si>
    <t>TE_C_INTERNAL_2021_EAID</t>
  </si>
  <si>
    <t>CUADROS DE RESULTADOS PARA LA TEMÁTICA DE COMERCIO INTERNACIONAL</t>
  </si>
  <si>
    <t>C-0401-1003-22-0-0401028</t>
  </si>
  <si>
    <t xml:space="preserve">  TE_C_INTERNAL_2021_EXPO_IMPO
</t>
  </si>
  <si>
    <t xml:space="preserve">BOLETINES TÉCNICOS DE LA TEMÁTICA COMERCIO INTERNO
</t>
  </si>
  <si>
    <t>C-0401-1003-22-0-0401012</t>
  </si>
  <si>
    <t xml:space="preserve"> TE_C_INTERNO_2021_EMCM
</t>
  </si>
  <si>
    <t xml:space="preserve">   TE_PRECIOS_2021_PVPLVA
</t>
  </si>
  <si>
    <t xml:space="preserve">BOLETINES TÉCNICOS DE LA TEMÁTICA POBREZA Y CONDICIONES DE VIDA
</t>
  </si>
  <si>
    <t>C-0401-1003-23-0-0401021</t>
  </si>
  <si>
    <t>TS_POBREZA_2021_ENUT</t>
  </si>
  <si>
    <t xml:space="preserve">CUADROS DE RESULTADOS PARA LA TEMÁTICA DE INDUSTRIA
</t>
  </si>
  <si>
    <t xml:space="preserve">C-0401-1003-22-0-0401035
</t>
  </si>
  <si>
    <t>TE_INDUSTRIA_2021_EMMET</t>
  </si>
  <si>
    <t>BOLETINES TÉCNICOS DE LA TEMÁTICA INDUSTRIA</t>
  </si>
  <si>
    <t>C-0401-1003-22-0-0401019</t>
  </si>
  <si>
    <t xml:space="preserve">  TE_INDUSTRIA_2021_ EMMET_
TE_INDUSTRIA 2021 EAM</t>
  </si>
  <si>
    <t>BOLETINES TÉCNICOS DE LA TEMÁTICA AMBIENTAL</t>
  </si>
  <si>
    <t>C-0401-1003-22-0-0401008</t>
  </si>
  <si>
    <t>TE_AMBIENTAL_2021_EAI</t>
  </si>
  <si>
    <t>BOLETINES TÉCNICOS PARA LA TEMÁTICA DE SERVICIOS</t>
  </si>
  <si>
    <t>TS_POBREZA_2021_EGIT</t>
  </si>
  <si>
    <t xml:space="preserve">
BOLETINES TÉCNICOS DE LA TEMÁTICA AGROPECUARIA
</t>
  </si>
  <si>
    <t>TE_AGRO_2021_AGROPECUARIO</t>
  </si>
  <si>
    <t>BOLETINES TÉCNICOS DE LA TEMÁTICA COMERCIO INTERNO</t>
  </si>
  <si>
    <t>TE_INTERNO_2021_EMICRON</t>
  </si>
  <si>
    <t>FORTALECIMIENTO DE LA CAPACIDAD TÉCNICA Y ADMINISTRATIVA DE LOS PROCESOS DE LA ENTIDAD NACIONAL</t>
  </si>
  <si>
    <t>DOCUMENTOS DE LINEAMIENTOS TÉCNICOS</t>
  </si>
  <si>
    <t>C-0499-1003-6-0-0499053-02</t>
  </si>
  <si>
    <t>FORTALECIMIENTO DE LA CAPACIDAD DE PRODUCCIÓN DE INFORMACIÓN ESTADÍSTICA DEL SEN. NACIONAL</t>
  </si>
  <si>
    <t>SERVICIO DE INFORMACIÓN DE LAS ESTADÍSITICAS DE LAS ENTIDADES DEL SITEMA ESTAD´SITICO NACIONAL</t>
  </si>
  <si>
    <t xml:space="preserve"> FORTALECIMIENTO DE LA PRODUCCIÓN DE ESTADÍSTICAS SUFICIENTES Y DE CALIDAD, MEDIANTE LA COORDINACIÓN Y REGULACIÓN DEL SEN NACIONAL</t>
  </si>
  <si>
    <t xml:space="preserve">SERVICIO DE ARTICULACIÓN DEL SISTEMA ESTADÍSTICO NACIONAL </t>
  </si>
  <si>
    <t>DTEC_2021_ARTI_SEN</t>
  </si>
  <si>
    <t>SDP_MULTIP_2021_DIMPE</t>
  </si>
  <si>
    <t>PAI_POBREZA_4</t>
  </si>
  <si>
    <t xml:space="preserve"> Un (1) reporte de la estimación de ingreso disponible utilizando encuesta de hogares y registros administrativos.</t>
  </si>
  <si>
    <t>PAI_POBREZA_4.1</t>
  </si>
  <si>
    <t>Un (1) documento de metadatos para la construcción del ingreso disposible de acuerdo con las especificaciones definidas por la Organización para la Cooperación y el Desarrollo Económico (OCDE)</t>
  </si>
  <si>
    <t>Cálculo preliminar del ingreso disponible incorporando información de registros administrativos relacionados con aportes a seguridad social a la encuesta de hogares.</t>
  </si>
  <si>
    <t>PAI_POBREZA_4.2</t>
  </si>
  <si>
    <t xml:space="preserve"> Un (1) cálculo preliminar del ingreso disponible incorporando información de registros administrativos relacionados con aportes a seguridad social a la encuesta de hogares.</t>
  </si>
  <si>
    <t>Valor recursos de FUNCIONAMIENTO (pesos) 
Ejecutado con corte al 30 de septiembre</t>
  </si>
  <si>
    <t>Valor recursos de INVERSIÓN
(pesos) 
 Ejecutado con corte al 30 de septiembre</t>
  </si>
  <si>
    <t>Presentaciones</t>
  </si>
  <si>
    <t>El 2 de septiembre de 2021 se realizó la publicación del Índice de Pobreza Multidimensional (IPM)</t>
  </si>
  <si>
    <t xml:space="preserve">Anexos (nacional y departamental), boletín, comunicado de prensa y presentación de la rueda de prensa </t>
  </si>
  <si>
    <t>Se publicó el Índice de Pobreza Multidimensional en la página web del DANE</t>
  </si>
  <si>
    <t>Tres (3) productos de publicación de indicadores del Índice de Pobreza Multidimensional (IPM): anexo técnico de inasistencia escolar, presentaciones territoriales, presentaciones con enfoque diferencial</t>
  </si>
  <si>
    <t>El 2 de septiembre de 2021 se realizó la publicación del anexo técnico de la medición de inasistencia escolar. Así mismo, se han realizado presentaciones territoriales y presentacioes de pobreza multidimensional con enfoque diferencial.</t>
  </si>
  <si>
    <t>Anexo técnico de inasistencia escolar, dos presentaciones territoriales, dos presentaciona de IPM con enfoque diferencial</t>
  </si>
  <si>
    <t>Cuatro (4) productos de publicación nacional y departamental: anexo, boletín (nota metodológica), comunicado de prensa y presentación</t>
  </si>
  <si>
    <t>Anexos, comunicado de prensa, comunicado de expertos, presentación</t>
  </si>
  <si>
    <t>Anexo nacional, anexo departamental, presentación rueda de prensa, comunicado de prensa</t>
  </si>
  <si>
    <t>Hito cumplido en trimestre II</t>
  </si>
  <si>
    <t>Meta cumplida en trimestre II</t>
  </si>
  <si>
    <t>Mapas interactivos 
https://dane.maps.arcgis.com/apps/MapSeries/index.html?appid=da783fe120e0420288ab7e1aedb7ef7b</t>
  </si>
  <si>
    <t>Un (1) documento del proceso del proceso de rediseño de la metodología del IPM, realizado</t>
  </si>
  <si>
    <t>Registro de los avances de las mesas de discusión de actualización con el Comité de expertos, finalizado.</t>
  </si>
  <si>
    <t xml:space="preserve">Presentación </t>
  </si>
  <si>
    <t>Se llevaron a cabo tres comités de expertos para definir los principios orientadores del IPM en el marco del rediseño, y se llevó a cabo un comité para revisar la dimensión de salud.</t>
  </si>
  <si>
    <t>Presentaciones del comité de expertos</t>
  </si>
  <si>
    <t>Se han llevado a cabo comités para la revisión de indicadores en el marco del rediseño del IPM</t>
  </si>
  <si>
    <t>Un (1) documento con los avances y desarrollos del proceso de rediseño de la metodología del IPM</t>
  </si>
  <si>
    <t>Se elaboró documento borrador con principales revisiones de indicadores del IPM</t>
  </si>
  <si>
    <t>Documento con principales revisiones - rediseño IPM</t>
  </si>
  <si>
    <t>No Aplica</t>
  </si>
  <si>
    <t>No se presentan avances en la meta</t>
  </si>
  <si>
    <t>Se realizó una presentación con la homologación preliminar de variables que solicita la Organización para el Desarrollo y la Cooperación Económica (OCDE) y los criterios de definición de la variable de ingreso disposible.</t>
  </si>
  <si>
    <t>Presentación con revisión normativa_211026_Ingreso_Disponible</t>
  </si>
  <si>
    <t>Se han desarrollado las rutinas preliminares para la estimación del ingreso disposible.</t>
  </si>
  <si>
    <t>Se construyeron las rutinas que derivan en el indicador preliminar de ingreso disponible.</t>
  </si>
  <si>
    <t>Códigos para el cálculo de ingreso disponible</t>
  </si>
  <si>
    <t>% AVANCE CUANTITATIVO 
(HITO / I TRIMESTRE)</t>
  </si>
  <si>
    <t>AVANCE CUALITATIVO
(HITO / I TRIMESTRE)</t>
  </si>
  <si>
    <t>EVIDENCIA</t>
  </si>
  <si>
    <t>ESTADO ESPERADO 
(HITO)</t>
  </si>
  <si>
    <t>ESTADO REAL 
(HITO)</t>
  </si>
  <si>
    <t>AVANCE CUALITATIVO 
META / I TRIMESTRE</t>
  </si>
  <si>
    <t xml:space="preserve">AVANCE ESPERADO 
META </t>
  </si>
  <si>
    <t xml:space="preserve">AVANCE REAL 
META </t>
  </si>
  <si>
    <t>ESTADO ESPERADO
(META)</t>
  </si>
  <si>
    <t>ESTADO REAL
(META)</t>
  </si>
  <si>
    <t>OBSERVACIONES
(En caso de que el % de avance cuantitativo sea menor al % de avance esperado, por favor justifique las razones del incumplimiento)</t>
  </si>
  <si>
    <t xml:space="preserve"> Invitación al primer taller de implementación de la guía para la inclusión del enfoque diferencial e interseccional en la producción estadística del sistema estadístico nacional.
</t>
  </si>
  <si>
    <t>En gestión</t>
  </si>
  <si>
    <t>Documento en Word</t>
  </si>
  <si>
    <t>Terminado</t>
  </si>
  <si>
    <t>Hito finalizado el trimestre pasado</t>
  </si>
  <si>
    <t>Meta finalizada el trimestre pasado</t>
  </si>
  <si>
    <t xml:space="preserve">Documento en Word de una Nota estadística y documento en Excel de los Procesamientos, personas con dificultades en los niveles 1 o 2. </t>
  </si>
  <si>
    <t xml:space="preserve"> $                                                                   -</t>
  </si>
  <si>
    <t>Dados los estudios adicionales sobre la Encuesta de Calidad de vida 2020, los resultados de ésta encuesta tardaron más de lo esperado en cerrarse, motivo por el cual, esta caracterización continúa en construcción y estará lista al último trimestre de 2021. Ya se cuenta con una primera presentación que guiará el contenido de la nota.</t>
  </si>
  <si>
    <t>Presentación en POWER POINT de PERSONAS CON DISCAPACIDAD Y  PERSONAS CUIDADORAS</t>
  </si>
  <si>
    <t>Durante este trimestre se elaboró la presentación POWER POINT de personas con discapacidad y  personas cuidadoras así como estudios adicionales sobre la Encuesta de Calidad de vida 2020, los resultados de ésta encuesta tardaron más de lo esperado en cerrarse, motivo por el cual, esta caracterización continúa en construcción y estará lista al último trimestre de 2021. Ya se cuenta con una primera presentación que guiará el contenido de la nota.</t>
  </si>
  <si>
    <t>Sin iniciar</t>
  </si>
  <si>
    <t>Se helaboro la nota estadística de brecha salarial de género con base en la información de diversas fuentes estadísticas sobre algunos de sus indicadores que permiten dar cuenta de la realidad de la población.</t>
  </si>
  <si>
    <t>La nota estadística de brecha salarial de género se elaboró y se encuentra en el link https://www.dane.gov.co/index.php/servicios-al-ciudadano/servicios-informacion/serie-notas-estadisticas</t>
  </si>
  <si>
    <t>Avance esperado para el siguiente trimestre</t>
  </si>
  <si>
    <t xml:space="preserve">Documento que se encuentra publicado en el siguiente link https://www.dane.gov.co/files/investigaciones/genero/publicaciones/boletin-diferencias-estadisticas-a-partir-GEIH-ENUT.pdf </t>
  </si>
  <si>
    <t>Se publicó la nota estadística Población migrante venezolana, un panorama con enfoque de género, en conjunto con la organización Lady Smith</t>
  </si>
  <si>
    <t>La nota estadística se encuentra publicada en: https://www.dane.gov.co/index.php/servicios-al-ciudadano/servicios-informacion/serie-notas-estadisticas</t>
  </si>
  <si>
    <t xml:space="preserve">El GEDI, se encuentra elaborando una nota en conjunto con la organización QUANTA, esta se encuentra en un avance del 50% del proceso de elaboración. </t>
  </si>
  <si>
    <t xml:space="preserve">Esta nota se encuentra en un ducumento en word. </t>
  </si>
  <si>
    <t>Archivo propuesta en Excel</t>
  </si>
  <si>
    <t xml:space="preserve">Las propuestas, para la conmemoración del día Internacional del Trabajo Doméstico, para la conmemoración del Día internacional de la mujer afrolatinoamericana, afrocaribeña y de la diáspora, la conmemoración del Día Internacional de la Mujer Indígena y la Nota estadística de Población fuera de la fuerza laboral con enfoque de género para el tercer trimestre se realizaron en su totalidad, igualmente se hicieron sugerencias al equipo de redes sociales y se retroalimentaron piezas finales. </t>
  </si>
  <si>
    <t xml:space="preserve">Piezas día de la mujer disponibles en: https://twitter.com/DANE_Colombia/status/1368964729243197442?s=20
</t>
  </si>
  <si>
    <t>https://twitter.com/DANE_Colombia/status/1373686353410592775</t>
  </si>
  <si>
    <t>https://www.instagram.com/p/CPJB6FxpNpN/
https://www.instagram.com/p/CQWxFOrJ1On/</t>
  </si>
  <si>
    <t>https://twitter.com/DANE_Colombia/status/1399042325192626179/photo/1</t>
  </si>
  <si>
    <t>https://twitter.com/DANE_Colombia/status/1403783204901994496
https://twitter.com/DANE_Colombia/status/1403736350096904193
https://twitter.com/DANE_Colombia/status/1403731315090804736</t>
  </si>
  <si>
    <t>Se elaboró la propuesta, para la conmemoración del día Internacional del Trabajo Doméstico, se hicieron sugerencias al equipo de redes sociales y se retroalimentaron piezas finales</t>
  </si>
  <si>
    <t>Esta nota se encuentra enel siguiente link https://twitter.com/DANE_Colombia/status/1418257538647220224 y en el https://twitter.com/DANE_Colombia/status/1418353194443452417</t>
  </si>
  <si>
    <t>Se elaboró la propuesta de contenido para la conmemoración del Día internacional de la mujer afrolatinoamericana, afrocaribeña y de la diáspora, se hicieron sugerencias al equipo de redes sociales y se retroalimentaron piezas finales.</t>
  </si>
  <si>
    <t xml:space="preserve">Esta nota estadística se encuentra en el siguiente link  https://twitter.com/DANE_Colombia/status/1419329089232572422 </t>
  </si>
  <si>
    <t>Se elaboró propuesta de contenido para la conmemoración del Día Internacional de la Juventud, se hicieron sugerencias al equipo de redes sociales y se retroalimentaron piezas finales</t>
  </si>
  <si>
    <t xml:space="preserve">Esta nota estadística se encuentra en el siguiente link https://twitter.com/DANE_Colombia/status/1415833468366426114  </t>
  </si>
  <si>
    <t>Se elaboró propuesta de contenido para la conmemoración del Día Internacional de la Mujer Indígena, se hicieron sugerencias al equipo de redes sociales y se retroalimentaron piezas finales.</t>
  </si>
  <si>
    <t>Esta nota estadística se encuentra en el siguiente link  https://twitter.com/DANE_Colombia/status/1434563616573956100</t>
  </si>
  <si>
    <t>Una (1) Nota estadística, elaborada</t>
  </si>
  <si>
    <t xml:space="preserve">Nota estadística de Población fuera de la fuerza laboral con enfoque de género </t>
  </si>
  <si>
    <t>Esta nota estadística se encuentra en el siguiente link https://www.dane.gov.co/index.php/servicios-al-ciudadano/servicios-</t>
  </si>
  <si>
    <t xml:space="preserve">está en la pagina web del DANE: https://www.dane.gov.co/files/investigaciones/planes-departamentos-ciudades/210219-Caqueta-Florencia-GEDI-v-completa.pdf </t>
  </si>
  <si>
    <t xml:space="preserve">Durante el tercer trimestre de 2021, hemos generado las siguientes presentaciones: 
- Presentación sobre Brecha Salarial de Género en Colombia (Notas Estadísticas). 
Presentación sobre división sexual del trabajo para el Gender Statics Expert Group Conference (septiembre 2021). 
- Presentación sobre pobreza con enfoque de género para el Gender Statics Expert Group Conference (septiembre 2021)
</t>
  </si>
  <si>
    <t>Estas notas estadisticas se encuentra en un ducumento en POWER POINT. Y en el link https://www.dane.gov.co/index.php/servicios-al-ciudadano/servicios-informacion/serie-notas-estadisticas</t>
  </si>
  <si>
    <t xml:space="preserve">Durante este tercer trimestre de 2021 para este Meta se generaron las siguientes presentaciones: 
- Brecha Salarial de Género en Colombia (Notas Estadísticas). 
- División sexual del trabajo para el Gender Statics Expert Group Conference (septiembre 2021). 
- Pobreza con enfoque de género para el Gender Statics Expert Group Conference (septiembre 2021)
- Igualmente durante este trimestre se realizó el Evento Brecha Salarial de Género en Colombia. 
Cumpliendo de esta manera con cada uno de los Hitos para cumplir con la Meta propuesta  
</t>
  </si>
  <si>
    <t xml:space="preserve">  Las publicaciones y videos de eventos se encuentran en el canal oficial de youtube del DANE. Sobre inactividad, se encuentra en el siguiente link https://www.dane.gov.co/index.php/estadisticas-por-tema/enfoque-diferencial-e-interseccional/enfoque-de-genero) y el de resultados de la ENUT (acá el video: https://www.youtube.com/watch?v=n-YTfixxtzk).</t>
  </si>
  <si>
    <t>Evento Brecha Salarial de Género en Colombia</t>
  </si>
  <si>
    <t>Esta nota estadistica se encuentra en el link https://www.youtube.com/watch?v=RXcHX67EzWM</t>
  </si>
  <si>
    <t xml:space="preserve">El GEDI realizó retroalimentación y propuestas del formulario de la Encuesta Pulso de la Migración, para su fortalecimiento en enfoque diferencial. 
2. El GEDI ha acompañado el mejoramiento del formulario de Pulso Social, proponiendo los módulos especializados en anticoncepción y gestión menstrual. 
3. El GEDI realizó análisis y propuestas de mejoramiento a la ENA (Encuesta Nacional Agropecuaria) 
</t>
  </si>
  <si>
    <t>La propuesta de la Encuesta Pulso de la Migración esta se encuentra en Execel, El mejoramiento de pulso social se encuentra en PDF y la Propuesta al formulario de la ENA se encuentra en un ducumento en word.</t>
  </si>
  <si>
    <t>Dentro de los hitos para cumplir con esta meta el GEDI realizó retroalimentación y propuestas al formulario de la Encuesta Pulso de la Migración, para su fortalecimiento en enfoque diferencial, igualmente ha acompañado el mejoramiento del formulario de Pulso Social, proponiendo los módulos especializados en anticoncepción y gestión menstrual y por último el GEDI realizó análisis y propuestas de mejoramiento a la ENA (Encuesta Nacional Agropecuaria) llegando con estas actividades realizadas al cumplimiento de los porcentajes propuestos para este tercer trimestre</t>
  </si>
  <si>
    <t xml:space="preserve">Documento en wort </t>
  </si>
  <si>
    <t>Como los estudios adicionales sobre la Encuesta de Calidad de vida 2020, los resultados de ésta han tardado un poco más de lo esperado en cerrarse, sin embargo ya se cuenta con una primera presentación que guiará el contenido de la nota.</t>
  </si>
  <si>
    <t xml:space="preserve">Tablero de control con solicitudes de demanda y oferta de intercambio de conocimiento, misiones, eventos y videoconferencias. </t>
  </si>
  <si>
    <t xml:space="preserve"> COOP_2021_DLT </t>
  </si>
  <si>
    <t xml:space="preserve">Mediante el trámite de 125 solicitudes/requerimientos internacionales durante el III trimestre se alcanzó un 2,22% del total de la meta anual establecida (8%), contribuyendo a que el avance semestral frente a la meta anual sea del 6,39%  (350solicitudes).
La Oficina de Relacionamiento  entendiendo que el DANE es el coordinador del Sistema Estadístico Nacional - SEN,  ha enfocado sus esfuerzos en el establecimiento de alianzas estratégicas con actores estratégicos del ambito  internacional con el fin de fortalecer las capacidades estadísticas nacionales.
</t>
  </si>
  <si>
    <t>Mediante el trámite de 125 solicitudes/requerimientos internacionales durante el III trimestre el cual tuvo un aporte 2,2% con respecto al avance de la meta anual establecida (8%), y en donde se identificó un avance porcentual del 76% sobrepasando la meta establecida para el III trimestre en 1% por encima.</t>
  </si>
  <si>
    <t>NA</t>
  </si>
  <si>
    <t>Contrato entre el Banco Interamericano de Desarrollo -BID  y el DANE</t>
  </si>
  <si>
    <t xml:space="preserve">Convenio Interadministrativo celebrado entre el Instituto Distrital de Recreación y Deporte – IDRD y Departamento Administrativo Nacional de Estadística (DANE) y el Fondo Rotatorio del Departamento Administrativo Nacional de Estadística – FONDANE </t>
  </si>
  <si>
    <t xml:space="preserve">El pasado mes de septiembre, el Departamento Adminitrativo Nacional Estadística- DANE junto con el Organización de las Naciones Unidas para la Alimentación y la Acricultura FAO llevaron adelante el desarrollo y firma de una carta acuerdo cuyo objetivo sera contribuir al desarrollo de herramientas para la medición y monitoreio apropiado del ODS 2.4.1 Y ODS 1.2.3
 </t>
  </si>
  <si>
    <t xml:space="preserve">Carta Acuerdi entre el Departamento Administrativo Nacional de Estadística DANE y Organización de las Naciones Unidas para la Alimentación y la Acricultura FAO </t>
  </si>
  <si>
    <t xml:space="preserve"> $                                                              -</t>
  </si>
  <si>
    <t>1 agenda tentativa para el desarrollo de la  Undécima Reunión de la Conferencia Estadística de las Américas de la Comisión Económica para América Latina y el Caribe</t>
  </si>
  <si>
    <t>Programa Agenda preliminar Undécima Reunión de la Conferencia Estadística de las Américas de la Comisión Económica para América Latina y el Caribe</t>
  </si>
  <si>
    <t>Con el objetivo de empezar el desarrollo de la Undécima Reunión de la Conferencia Estadística de las Américas de la Comisión Económica para América Latina y el Caribe el DANE en su rol de Presidente junto con la CEPAL desarrollaron la primer propuesta del programa preliminar que tendrá como objetivo establecer e identificar las principales temáticas y prioridades desarrollarse en la Conferencia la cual está prevista desarrollarse del 23 al 25 de noviembre.</t>
  </si>
  <si>
    <t>CENSOECONOMICO</t>
  </si>
  <si>
    <t>• 30042021_FORMATO_TERCER_INFORME_OPERATIVO_CONTEO (1)</t>
  </si>
  <si>
    <t>Hito finalizado en el II trimestre</t>
  </si>
  <si>
    <t>• Se realizó 1 base de datos alfanumérica del marco censal cual contiene indicadores calculados para cada nivel territorial organizados en cuatro temáticas:
(1) Unidades económicas por sector económico: industria, comercio, servicios, construcción y transporte.
 (2) Unidades económicas por tipo: establecimientos fijos, semifijos, vivienda con actividad económica y los puestos móviles.
 Estos últimos corresponden a la economía de la calle. 
(3) Unidades económicas según vacancia, que se divide en unidades ocupadas y desocupadas
 (4) Edificaciones que al momento de la recolección de información del CNUE, se encontraban en obra (edificaciones en obra).   Estos Indicadores fueron generados por el GIT-I+D de la DIG.
• Se realizó un informe final del Conteo Nacional de Unidades Económicas del 15 de mayo al 30 de julio, en el cual se detallan los aspectos del diseño del operativo como la convocatoria, aprendizaje y esquema operativo; en la etapa operativa se especifican los aspectos principales de la sensibilización, recolección, supervisión, cobertura e instrumentos de recolección; para finalmente detallar el total de unidades económicas registradas, factores de calidad, oportunidad y las estrategias de recolección seleccionadas a partir de la situación presentada en el  marco de la pandemia por Covid-19.</t>
  </si>
  <si>
    <t>• gdb_tb_unidades_economicas.gdb(1)
• Diccionario_tb_UE</t>
  </si>
  <si>
    <t>Se realizó una base de datos alfanumérica del Marco Censal a partir de los resultados generados del operativo de campo del Conteo Nacional de Unidades Económicas a nivel nacional.</t>
  </si>
  <si>
    <t>• Resultados CNUE2021 - Departamento
• Anexo 2  CNUE2021-Municipio
• BD_UE.txt</t>
  </si>
  <si>
    <t>• 30042021_FORMATO_TERCER_INFORME_OPERATIVO_CONTEO</t>
  </si>
  <si>
    <t>Se realizó el informe final del Conteo Nacional de Unidades Económicas en el cual se evidencian las coberturas del operativo de campo a nivel nacional. Se incluye la información de las áreas no municipalizadas.</t>
  </si>
  <si>
    <t>• 20210825_INFORME FINAL OPERATIVO_NAL DE CONTEO DE UNIDADES ECONOMICAS</t>
  </si>
  <si>
    <t>No aplica para el III trimestre</t>
  </si>
  <si>
    <t>Imagen del Modulo_adminitracionSPGI</t>
  </si>
  <si>
    <t>El módulo de administracion del SPGI se encuentra terminado y funcional en ambiente de desarrollo. Está pendiente la validación de su funcionalidad cuando se cuente con ambiente de pruebas.</t>
  </si>
  <si>
    <t xml:space="preserve">wexford01.dane.gov.co </t>
  </si>
  <si>
    <t>Debido a problemas de conexión y disponibilidad de los servidores del DANE, durante los meses de Abril a Mayo de 2021, se generó un retraso significativo en el cronograma planteado para la realización de la meta. 
Se continua avanzando en la generacion de los modulos estratégico, configuración y planeación</t>
  </si>
  <si>
    <t>Imagen Modulo_presupuestosSPGI</t>
  </si>
  <si>
    <t>El módulo de asignación y programación presupuestal se encuentra terminado y funcional en ambiente de desarrollo.</t>
  </si>
  <si>
    <t>Imagen_Modulo_Intrumentos_planeación_MetasSPGI</t>
  </si>
  <si>
    <t>Se cuenta con el modulo en ambiente de Desarrollo. Está pendiente la validación de su funcionalidad cuando se cuente con ambiente de pruebas.</t>
  </si>
  <si>
    <t>Se cuenta con el modulo en ambiente de desarrollo, sin embargo no se cumple al 100% el hito dado que está pendiente la validación de su funcionalidad cuando la Oficina de sistemas habilite el ambiente de pruebas.</t>
  </si>
  <si>
    <t>Imagen_TableroControlSPGI</t>
  </si>
  <si>
    <t xml:space="preserve">Se avanzo en la construcción del tablero de control, sin embargo se dio prioridad a los demás modulos que son necesarios para la planeación 2022 </t>
  </si>
  <si>
    <t xml:space="preserve">Una (1) estrategia de capacitación y acompañamiento, que fortalezca el conocimiento en los procesos presupuestales de la Entidad, finalizada. </t>
  </si>
  <si>
    <t>Un (1) presentación de capacitación y acompañamiento, diseñada</t>
  </si>
  <si>
    <t>No aplica para este trimestre</t>
  </si>
  <si>
    <t xml:space="preserve">Una (1) capacitación general, realizada </t>
  </si>
  <si>
    <t>Sensibilización Anteproyecto de presupuesto
2.7 Formularios de programación  Anteproyecto  2022 Funcionamiento FONDANE Ingreso y Gasto
2.7 Formularios de programación  Anteproyecto  2022 Funcionamiento necesidad real - DANE
2.7 Formularios de programación  Anteproyecto  2022 Funcionamiento Topes - DANE
2.8 Formulario Planta anteproyecto DANE 2022
2021_Planta_DANE
Anteproyecto DANE_FONDANE 2022_VF JD</t>
  </si>
  <si>
    <t>Finalizado I trimestre</t>
  </si>
  <si>
    <t>3.3. Correo lineamientos POAI 2022
Filtros de calidad  FONDANE
Filtros de calidad Carácter sociodemográfico
Filtros de calidad Censo Económico
Filtros de calidad Difusión
Filtros de calidad DIRPEN- POAI 2022
Filtros de calidad Fortalecimiento de la capacidad
Filtros de calidad Información geoespacial
Filtros de calidad Logística- POAI
Filtros de calidad Proyecto Cuentas Nacionales
Filtros de calidad proyecto de Infraestructura- POAI 2022
Filtros de calidad proyecto Gestión documental- POAI 2022
Filtros de calidad Temas económicos
Filtros de calidad Temas sociales
Filtros de calidad TICs</t>
  </si>
  <si>
    <t>PRESENTACION MGMP 2022-2025 - DNP - MHCP - Sector_Información_Estadística_V_Final</t>
  </si>
  <si>
    <t>La Oficina Asesora de Planeación realizó el ejercicio de distribución de la cuota de recursos de inversión 2022 asignada por el Departamento Nacional de Planeación. Se elaboró y cargó el ejercicio de programación presupuestal 2022 (Proyecto de Presupuesto) de DANE y FONDANE en la plataforma SUIFP del DNP el 11 de julio de 2021</t>
  </si>
  <si>
    <t>Proyecto de Presupuesto DANE
Proyecto de Presupuesto FONDANE
CUOTA FINAL 2022 V3</t>
  </si>
  <si>
    <t>Correo formulario diagnóstico reestructuración de Proyectos de inversión
Plan de reestructuración_Obs LinaC.
Plan reestructuración de proyectos y diagnóstico
Reunión con Subdirección- Presentación Disgnóstico Plan de reestructuración</t>
  </si>
  <si>
    <t xml:space="preserve">Con el avance en cuatro de los siete proyectos definidos en el plan de reestructuración de proyectos se presenta un avance satisfactorio en la implementación de dicho plan. </t>
  </si>
  <si>
    <t>Envío propuesta de Plan de reestructuración de proyectos de inversión
Plan de reestructuración_Obs LinaC.
Plan reestructuración de proyectos y diagnóstico
Preguntas orientadoras reestructuración de proyectos</t>
  </si>
  <si>
    <t>Escenarios de reestructuración de proyectos de inversión 2021_VF (1) (1)
Capacitación en formulación de proyectos de inversión
Revisión final  proyecto DIMPE-DSCN (1)
FICHA PARA FORMULACIÓN DE PROYECTOS ENVIADO A OPLAN
Asistencia mesas de trabajo para la formulación de proyectos de inversión(1-40) (3) (1)</t>
  </si>
  <si>
    <t>Se realizaron 28 mesas de trabajo con las Direcciones Técnicas para la formulación de los proyectos de inversión. Se ha avanzado en la formulación de árbol de problemas, árbol de objetivos cadena de valor y documentos técnicos de cuatro proyectos de inversión: "Fortalecimiento de la producción de información estadística estadística analizada", "Integración de la información Geoespacial en el proceso estadístico", "Fortalecimiento de la gestión del conocimiento de la información estadística y la cultura estadística" y "Innovación, prospectiva  e investigación estadística".</t>
  </si>
  <si>
    <t>Asistencia mesas de trabajo para la formulación de proyectos de inversión(1-209)</t>
  </si>
  <si>
    <t>Metodología de integración - Plan de integración</t>
  </si>
  <si>
    <t>Hito terminado en el I trimestre</t>
  </si>
  <si>
    <t>El sistema integrado de gestión viene estructurando los elementos de alto nivel (contexto, manual SIG, Revisión por la dirección entre otros) facilitando la gestión y labor coordinada entre los sistemas de gestión de la entidad en especial con el sistema de seguridad y salud en el trabajo y se inicio con ambiental y seguridad de la información esto a fin de disminuir el desgaste administrativo en su implementación y un funcionamiento eficaz, eficiente y efectivo de los procesos de la entidad.</t>
  </si>
  <si>
    <t>Borrador de Política de Calidad - Metodología de formulación</t>
  </si>
  <si>
    <t>Borrador de Política de Calidad</t>
  </si>
  <si>
    <t>Se sigue trabajando en la  elaboración de la política de calidad, teniendo en cuenta los requisitos de la norma ISO 9001:2015, la misión, visión y contexto de la organización a fin de que sea coherente con los objetivos de la entidad</t>
  </si>
  <si>
    <t>Borrador de Política</t>
  </si>
  <si>
    <t>http://isolucionpro.dane.gov.co/Isolucion40Dane/Documentacion/frmEditarArticulo.aspx?CodArticulo=MTYzMjM=</t>
  </si>
  <si>
    <t>Borrador Procedimeinto cargado en Isolución,  http://isolucionpro.dane.gov.co/Isolucion40Dane/Documentacion/frmEditarArticulo.aspx?CodArticulo=MTYzMjM=</t>
  </si>
  <si>
    <t xml:space="preserve">El procedimiento de auditorias integradas se encuentra en actualización en Isolución en su versión 7, a fin de que cumpla con los requisitos del sistema y aporte al control del mismo, se estima que en el IV trimestre se finalice su flujo de revisión y aprobación </t>
  </si>
  <si>
    <t>Isolucion auditoria - Documento en word donde se evidencia a través de pantallazo el borrador del Procedimeinto cargado en Isolución,  http://isolucionpro.dane.gov.co/Isolucion40Dane/Documentacion/frmEditarArticulo.aspx?CodArticulo=MTYzMjM=</t>
  </si>
  <si>
    <t>http://isolucionpro.dane.gov.co/Isolucion40Dane/Documentacion/frmEditarArticulo.aspx?CodArticulo=MTUwNTY=</t>
  </si>
  <si>
    <t>Hito terminado en el II trimestre</t>
  </si>
  <si>
    <t>http://isolucionpro.dane.gov.co/Isolucion40Dane/Documentacion/frmEditarArticulo.aspx?CodArticulo=MTAzMDk=</t>
  </si>
  <si>
    <t xml:space="preserve">El manual del sistema integrado de gestión versión 14 se encuentra en actualización en Isolución incluyendo elementos de integración entre sistemas generando un menor desgaste administrativo </t>
  </si>
  <si>
    <t>contexto estratégico SST</t>
  </si>
  <si>
    <t>Contexto integrado</t>
  </si>
  <si>
    <t xml:space="preserve">modulo de mejoramiento Isolución </t>
  </si>
  <si>
    <t xml:space="preserve">Seguimiento Planes de mejora modulo de mejoramiento isolución </t>
  </si>
  <si>
    <t>Se adelantan las acciones pertinentes para el cierre de brechas detectadas en auditoria interna a fin de tener el sistema listo para recibir auditoria de certificación en la vigencia 2021</t>
  </si>
  <si>
    <t xml:space="preserve">estudio previo </t>
  </si>
  <si>
    <t>Se realizó la radicación del estudio prervio en contratación para continuar con el proceso precontractual</t>
  </si>
  <si>
    <t>CDP 107921 DANE
Matriz de Riesgos Auditoria 2021
Correo soporte contractual 1
Correo soporte contractual 2
Correo soporte contractual 3</t>
  </si>
  <si>
    <t>Diagnostico del SGA</t>
  </si>
  <si>
    <t>Ya se tienen el diagnostico de las brechas del SGA y  plan de certificación definitivo con fines de certificación,se  inicio fase de implementación en el tercer trimestre de la vigencia</t>
  </si>
  <si>
    <t>Plan de  implementación del SGA</t>
  </si>
  <si>
    <t>Plan de implentación SGA</t>
  </si>
  <si>
    <t>Se inicio la elaboración y aprobación de los elementos que componen el sistema, la guia  de las Buenas Prácticas para el Manejo de los Residuos Sólidos, Líquidos y Peligrosos del DANE - FONDANE._v1 ya se encuentra aprobada</t>
  </si>
  <si>
    <t>Diagnostico del SST</t>
  </si>
  <si>
    <t>Ya se tienen el diagnóstico de las brechas del SSTy se tiene  el plan de trabajo definitivo con fines de certificación, se  inicia fase de implementación.</t>
  </si>
  <si>
    <t>Plan de trabajo ISO 45001</t>
  </si>
  <si>
    <t>El SST viene avanzando con la construcción de los entregables propuestos en el plan de impelentación de buena marena gracias a que el sst tiene requisitos de cumplimiento legal resolucion 0312</t>
  </si>
  <si>
    <t>Borrador diagnostic  ISO 27001</t>
  </si>
  <si>
    <t>Se establecio el diagnóstico del SSI</t>
  </si>
  <si>
    <t>Diagnóstico SSI - DANE Evaluación MSPI REV 24092021 - editable</t>
  </si>
  <si>
    <t>Se tiene  el diagnóstico de las brechas del SST y el plan de trabajo definitivo con fines de certificación, la fase   implementación avanza gracias a los adelantos realzados con la resolución 0312.</t>
  </si>
  <si>
    <t>Plan de seguridad y privacidad en borrador</t>
  </si>
  <si>
    <t xml:space="preserve">Se establecio el plan de implementación </t>
  </si>
  <si>
    <t>Plan de seguridad y privacidad dela información</t>
  </si>
  <si>
    <t xml:space="preserve">Se vienen adelantando los inventarios de información </t>
  </si>
  <si>
    <t>MICROSITIO ACTIVOS DE LA INFORMACION
Registro-de-activos-de-informacion Aprendizaje Institucional
Registro-de-activos-de-informacion COMUNICACIONES
Registro-de-activos-de-informacion Direccion Estrategico
Registro-de-activos-de-informacion Gestion Contractual
Registro-de-activos-de-informacion Gestion de Bienes y servicios
Registro-de-activos-de-informacion Gestion DE INFORMACION Y DOCUMENTAL
Registro-de-activos-de-informacion Gestion JURIDICA
Registro-de-activos-de-informacion Gestion PRODUCCION ESTADISTICA
Registro-de-activos-de-informacion Gestion PROVEEDORES DE DATOS
Registro-de-activos-de-informacion Gestion REGULACION
Registro-de-activos-de-informacion Gestion TALENTO HUMANO</t>
  </si>
  <si>
    <t xml:space="preserve">programa de auditorias </t>
  </si>
  <si>
    <t>Se etsablecio el plan de auditoria interna donde se inclut¡yen las operaciones estadistcias priorizadas, se ralizo el curso de formación de auditores integrales</t>
  </si>
  <si>
    <t xml:space="preserve">Se finalizó el curso de auditores integrales realizado con SGS a 30 servidores </t>
  </si>
  <si>
    <t xml:space="preserve">Interpretación ISO 27001-2013
Presentación ISO 19011_2018
Presentación Mod.1 - Introducción
Traduccion_propia_ISO45001_2018 
</t>
  </si>
  <si>
    <t xml:space="preserve">Se cuenta con el progrma de auditorias y con los auditores debidamnete certificados </t>
  </si>
  <si>
    <t>Certificado de auditor SGS
Programa de auditoria SIG 2021</t>
  </si>
  <si>
    <t>2doInfSegIndicadores2020  
3InfSegPAACyRIESGOS2020sep-dic_2020 
INFORME_DNDA_2020_PRELIMINAR
Informe_Plan de Acción_II SEM_2020
INFORME_PRELIMINAR_SEG_COMITE_CONCILIACIÓN_II_SEM_2020</t>
  </si>
  <si>
    <t>1erInfPreliminarSeguimientoAcuerdoDeGestión2020y2021
1erInftrim2021SeguAusteridadGasto DANE-FONDANE
1erInfTrimestral2021preliminarSeguimientoPM_INTyCGR
4InfTrimestral2020SegAusteridadGastoDANE- FONDANE V2.docx
INF_PRELIMINAR_EKOGUI DANE-FONDANE II SEM_2020  Rad_20211400006943
Informe_preliminar_PAAC_Riesgos_I_Cuatrimestre_2021  Rad_20211400015103</t>
  </si>
  <si>
    <t>Se desarrollo y avanzó en la elaboración de 7 Informes preliminares realizados y radicados durante el 3er trimestre 2021.</t>
  </si>
  <si>
    <t xml:space="preserve">1erInfpreliminarSegIndicadores2021Jun
2Inftrimestral2021PreliminarSeguimientoAusterida_20211400017623
INF_PREL_SEGUIM_EKOGUI_DANE-FONDANE_ISEM_2021. Rad 2021140000093P
Inf_Transp_y_Acceso_Inf_Pub_I_2021_Preliminar
Informe preliminar 2do_seguimiento PM-2021
Informe_Preli_Plan_acción_I sem_2021
INF_PRELI_COMITE_CONC_ISEM_2021_Rad_ 2021140000153P
</t>
  </si>
  <si>
    <t xml:space="preserve">La OCI realizó 7  informes preliminares  durante el 3er trimestre 2021. Los 7 informes preliminares fueron sobre los temas:
1erInfpreliminarSegIndicadores2021Jun
2Inftrimestral2021PreliminarSeguimientoAusterida_20211400017623
INF_PREL_SEGUIM_EKOGUI_DANE-FONDANE_ISEM_2021. Rad 2021140000093P
Inf_Transp_y_Acceso_Inf_Pub_I_2021_Preliminar
Informe preliminar 2do_seguimiento PM-2021
Informe_Preli_Plan_acción_I sem_2021
INF_PRELI_COMITE_CONC_ISEM_2021_Rad_ 2021140000153P
La OCI realizó 9  informes finales durante el 3er trimestre 2021 sobre los siguientes  temas:
Final_SeguimientoAusteridad Rad_202120211400018943
INF_FINAL_SEGUIM_EKOGUI_DANE-FONDANE_ISEM_2021
Inf_Transp_y_Acceso_Inf_Pub_I_2021_FINAL
INFORME_CHIP SEGUNDO SEMESTRE_2021_Rad_20211400020283
Reporte_seguimiento a posibles actos de corrupción julio_2021
Evaluación_Acuerdos_Gestión_09_2021_Rad_2021140000023P
Informe-sci-parametrizado_DANE_I_Sem_2021_publicación
Reporte de seguimiento a posibles actos de corrupción o irregularidades agosto 2021140000013P
Reporte de seguimiento a posibles actos de corrupción o irregularidades - Secretaría de Transparencia de la Presidencia DANE – FONDANE- junio 2021 20211400015543
 </t>
  </si>
  <si>
    <t>3InfinalSegPAACyRIESGOS2020sep-dic_Rad_
Alcance_InfSeg SINERGIAoct-dic2020_
CERTIFICACION II SEMESTRE 2020- FONDANE
CERTIFICACION II SEMESTRE 2020_DANE
CertificadoDiligenciamientoRDM11
Evaluación_Consolidada_Secretaría_General_2020 
Evaluación_Dependencias DTMDE 
Evaluación_Dependencias GCO 
Evaluación_Dependencias._DIG_2020 
Evaluación_Dependencias_2021_Administrativa
Evaluación_Dependencias_2021_Bogotá 
Evaluación_Dependencias_2021_Cali 
Evaluación_Dependencias_2021_DIMCE  
Evaluación_Dependencias_2021_Sistemas
Evaluación_Dependencias_Barranquilla 
Evaluación_Dependencias_Bucaramanga
Evaluación_Dependencias_CID_2020  
Evaluación_Dependencias_DCD_2020
Evaluación_Dependencias_DIMPE_LOGISTICA 
Evaluación_Dependencias_DSCN 
Evaluación_Dependencias_GFI_2020 
Evaluación_Dependencias_GTH_2020 
Evaluación_Dependencias_Manizales 
Evaluación_Dependencias_OCI
EvXdependencia2020_Subdirección 
EvXdependencia2021 DIRPEN
EvXdependencia2021 Oplan-Fondane 
EvXdependencia2021_Dirección
Formato_Evaluación_Dependencias- GJU_2020
FormularioDiligenciadoRDM10_
INFORME CIC_DANE_2020
INFORME CIERRE FINANCIERO 2020_DANE 
INFORME DE CIC_FONDANE_2020
Informe_Definitivo_Seguimiento_Politicas SIIF 
Informe_Final_Planes_Acción_IISem_2020 
INFORME_SEG_COMITE_CONCILIACION II SEM_2020
informe-pormenorizado-II-2020
InfSeg SINERGIAoct-dic2020
Memo_Central_2020
Reporte de seguimiento a posibles actos de corrupción o irregularidades 
Respuesta Requerimiento Camara de Representante_2021</t>
  </si>
  <si>
    <t xml:space="preserve">Informe Final de seguimiento_Plan de Mejoramiento_INT_CGR
INFORME_DNDA_2020_FINAL  Rad_20211400008233
Informe final primer Arqueo a la Caja menor de DANE 2021V2
INFORME_CHIP_I_TRIMESTRE_2021_Rad_20211400013023
Registro y control a Planes de Mejoramiento 1° trimestre 2021  Rad_20211400012753
Informe final de Seguimiento a Planes de Mejoramiento 1er trimestre 2021
SegMejor_Archivistivo_orfeo 20211400011923
2°InFinalSemestral2020seguimientoPQRSD 
4°InfTrim2020SegEjecuciónYreservasPr$ptls
Alcance 1er Informe Trimestral 2021 Seguimiento Austeridad del Gasto DANE- FONDANE
1erInfTrimestral2021SeguimientoAusteridaDelGasto
4°InFinalTrimestral2020SegAusteridadGastoDANE- FONDANE 
1erInfSeguimientoAcuerdoDeGestión2020y2021 final radicado
2°InFinalSegSemestral2020aEKOGUI DANE-FONDANE
2doInfSegIndicadores_Final_2020   Rad_20211400007703
Aclaración2doInfSegIndicadores2020Dic (1)
Alcance_InfSeg SINERGIAoct-dic2020_ Rad_20211400006503
Informe_seguimiento_CHIP_IV Trimestre_2020  Rad_20211400006923 </t>
  </si>
  <si>
    <t>Se desarrollo y avanzó en la elaboración, radicación y publicación de 9 informes finales  durante el 3er trimestre 2021.</t>
  </si>
  <si>
    <t>Final_SeguimientoAusteridad Rad_202120211400018943
INF_FINAL_SEGUIM_EKOGUI_DANE-FONDANE_ISEM_2021
Inf_Transp_y_Acceso_Inf_Pub_I_2021_FINAL
INFORME_CHIP SEGUNDO SEMESTRE_2021_Rad_20211400020283
Reporte_seguimiento a posibles actos de corrupción julio_2021
Evaluación_Acuerdos_Gestión_09_2021_Rad_2021140000023P
Informe-sci-parametrizado_DANE_I_Sem_2021_publicación
Reporte de seguimiento a posibles actos de corrupción o irregularidades agosto 2021140000013P
Reporte de seguimiento a posibles actos de corrupción o irregularidades - Secretaría de Transparencia de la Presidencia DANE – FONDANE- junio 2021 20211400015543</t>
  </si>
  <si>
    <t xml:space="preserve">La Oficina de Control Interno (OCI) realizó 9 informes finales durante el 3er trimestre 2021. El no cumplimiento de los demás informes finales ocurrió por la demora en la remisión de la respuesta a estos por parte de las diferentes dependencias; así mismo, la atención a los requerimientos y mesas de trabajo que la Jefatura ha tenido que atender en virtud de la Auditoría de Cumplimiento a los Proyectos de Inversión del Censo Económico; Logística y TICS que adelanta la Contraloría General de la República ha hecho que la Jefatura no pueda revisar los informes preliminares y finales oportunamente. </t>
  </si>
  <si>
    <t xml:space="preserve">
TALLER INICIAL (1)
ESTRUCTURA TALLERES OCI
PLAN DE TRABAJO TALLERES
Asistencia preparación Talleres 26 03 2021(1-5) (1)
Asistencia reunión taller autocontrol 13 abril 2021 4_30 p.m(1-8)
I REUNION TALLERES OCI(1-4) (1)_09_03_2021
Reunión consulta autocontrol CID(1-5) 16_03_2021
FORMULARIO_PREINSCRIPCION
Decreto 2106 de 2019
6.Global IFC methodology_CSA June 2009
396_INS-EV-EI-002_V1(MA)
2017_10_02_Actualizacion_guia_rol_oci
2017-06-14_Meci2016_actualizada
CEVG01 GUIA AUTOCONTROL
Guia para ejercer el Autocontrol Minsalud
guia_gestion_riesgo_corrupcion
GUIA_PRACTICA_DE_AUTOCONTROL_EMSERPA
GuiaAutovaloracion
Manual del SCI
Manual_SAGRLAFT
ponencia_hermes_rodriguez_u_tadeo
PROPUESTA DE MODELO DE CONTROL INTERNO
RolOficinas
Sem_970
SuarezMolinaDanielArmando2018
Guia Autovaloración del control DAFP (1) (1)</t>
  </si>
  <si>
    <t xml:space="preserve">La OCI realizo el taller de sensiblización de autocontrol el 21 de mayo de 2021 ,para lo cual se cuenta con el correo de preinscripción,  presentación, video y  lista de asistencia,   evaluacion, talleres,  el restante  material forma parte de trabajo realizo para dar cumplimiento a esta actividad.
La OCI realizo el 10 de junio de 2021 el  taller  el autocontrol como la clave  del control interno organizacional dirigido a los coordinadores y representantes de la mesa permanente, para lo cual se cuenta con el siguiente material (pieza de  invitación para el grupo objetivo, correos reuniones de trabajo grupo autocontrol,  conferencia autocontrol, recoradatorio para el dia del  taller, presentación, evaluación video y lista de asistencia. </t>
  </si>
  <si>
    <t>Correo de preinscripción,  presentación sensibilizacion autocontrol, video y  lista de asistencia, certificación asistencia,  evaluacion, talleres</t>
  </si>
  <si>
    <t>En el mes de Julio del 2021, se realizó el taller de Análisis de Causas, cuyo objetivo principal fue ejercitar a los servidores de la Mesa Permanente de Trabajo para la Mejora Continua MPTMC y líderes de Proceso en la selección y aplicación de las metodologías para la identificación y análisis de causa raíz, así como la definición de los planes de mejoramiento.
La OCI realizo el en el 3er trimestre de 2021  el envio de tres tips de autocontrol como la clave  del control interno organizacional dirigido a los coordinadores y representantes de la mesa permanente, en la siguientes fechas  Correo_ tips autocontrol_29 julio_21, Correo_Tips planes de mejoramiento 2 agosto_21, Correo_ tips autocontrol_sep 15_21</t>
  </si>
  <si>
    <t>Preparación taller, capacitación, lista de asistencia, talleres sesiones</t>
  </si>
  <si>
    <t>La OCI realizó 1 taller causa raiz asi: (este taller se desarrolló en dos sesiones, el 08 de julio se impartió el tema teórico conceptual, mientras que para el 09 de julio se desarrollaron sesiones prácticas con los asistentes).
Asi mismo la  OCI en este 3er trimestre se divulgaron 3 tips de autoncontrol como la clave  del control interno organizacional</t>
  </si>
  <si>
    <t>CulturaControl Interno
CulturaControlInternoRtaDAFP2021</t>
  </si>
  <si>
    <t>Pieza de  invitación para el grupo objetivo, correos reuniones de trabajo grupo autocontrol,  conferencia autocontrol, recordatorio para el dia del  taller, presentación, video y  evaluación, lista de asistencia.</t>
  </si>
  <si>
    <t>Correo_ tips autocontrol_29 julio_21, Correo_Tips planes de mejoramiento 2 agosto_21, Correo_ tips autocontrol_sep 15_21 junto con las dispositivas que se enviaron en la fechas antes mencionadas</t>
  </si>
  <si>
    <t>Presentación ante el Comité Directivo del plan de trabajo.
Plan de trabajo
Acta número 4 del Comité de Conciliación, realizado el  23 de febrero de 2021</t>
  </si>
  <si>
    <t>Al cierre del trimestre III se puede observar que se avanzó de manera positiva con el cumplimiento de los hitos establecidos en la meta definida como un  proceso de acompañamiento jurídico al DANE a nivel Central y a las Sedes, para el fortalecimiento de las buenas prácticas en la prevención del daño antijurídico.</t>
  </si>
  <si>
    <t>Gestión Jurídica - GJU</t>
  </si>
  <si>
    <t>DOCUMENTOS DE PLANEACIÓN</t>
  </si>
  <si>
    <t>Durante este periodo se realizaron diez (10) mesas de contexto con las direcciones territoriales y sedes con mayor litigiosidad, así:
1.	DT Centro Occidente Manizales -21 de julio de 2021.
2.	Sede Armenia – 23 de julio de 2021.
3.	DT Centro Bogotá – 29 de julio de 2021.
4.	Sede Neiva -5 de agosto de 2021.
5.	DT Suroccidente Cali -24 de agosto de 2021.
6.	DT  Pasto 6 de septiembre de 2021
7.	DT Norte Barranquilla – 22 de septiembre de 2021
8.	Sede Valledupar -24 de septiembre de 2021
9.	DT Noroccidente Medellín 27 de septiembre de 2021
10.	DT Centro Oriente Bucaramanga - 27 de septiembre de 2021
Los temas tratados en las sesiones fueron:
Contexto de la litigiosidad Nacional y Territorial
Daño antijurídico - Noción
Acción de repetición y llamamiento en garantía con fines de repetición – Noción
Resultados - Contexto de las Direcciones Territoriales
Análisis Oficina Asesora Jurídica y Noción de Contrato Realidad
Panel – Propuestas desde el ámbito Territorial
Compromisos para la Mesa de Seguimiento</t>
  </si>
  <si>
    <t>Se cuenta con la siguiente información como evidencia del desarrollo de las mesas de contexto:
•	Presentaciones en power point con la información socializada a cada una de las sedes.
•	Grabaciones de las reuniones en formato MP4.
•	Listado de asistencia con la información de los participantes.</t>
  </si>
  <si>
    <t>Se realizaron tres (3) mesas de trabajo con las áreas del nivel central, así:
1.	El día 29 de septiembre  de 2021 se realizó una mesa en la que se contó con la participación de: GIT PQRSD, Oficina de Control Interno, Gestión Humana, Gestión Administrativa y Control Interno Disciplinario.
2.	El día 30 de septiembre  de 2021 se realizó una mesa en la que se contó con la participación de: La Dirección de Difusión, Mercadeo y Cultura Estadística, la Dirección de Regulación. Planeación, Estandarización y Normalización, Dirección de Geoestadística y  la  Dirección de Síntesis y Cuentas Nacionales
3.	El día 30 de septiembre de 2021 se realizó una mesa en la que se contó con la participación del Área de Logística y Producción de Información, Secretaria General y la Oficina de Sistemas.</t>
  </si>
  <si>
    <t>Se cuenta con la siguiente información como evidencia del desarrollo de las mesas de trabajo con las áreas del nivel central:
•	Presentaciones en power point con la información socializada a cada una de áreas del nivel central.
•	Grabaciones de las reuniones en formato MP4.
•	Listado de asistencia con la información de los participantes.</t>
  </si>
  <si>
    <t>Correo electrónico
Informe de seguimiento  aplicativo PPDA</t>
  </si>
  <si>
    <t>Dos (2) oficios</t>
  </si>
  <si>
    <t xml:space="preserve">Respecto a las mesas de seguimiento a los indicadores de resultado de la Política de Prevención del daño antijurídico -PPDA, se realizó una mesa de trabajo para la socialización y revisión de avances del desarrollo del aplicativo de  Liquidación de Sentencias, esta mesa contó con la participación del área de Gestión Humana, la Oficina de Sistemas y la Oficina Asesora Jurídica. </t>
  </si>
  <si>
    <t>Se cuenta con la siguiente información como evidencia del desarrollo de la mesa de seguimiento a los indicadores de resultado de la Política de Prevención del daño antijurídico -PPDA.
•	Acta de reunión .
•	Listado de asistencia con la información de los participantes.</t>
  </si>
  <si>
    <t>Plan de trabajo para el proceso de acompañamiento jurídico a las Sedes del DANE del procedimiento administrativo sancionatorio</t>
  </si>
  <si>
    <t>Al cierre del trimestre III se puede observar que se avanzó de manera positiva con la realización de una jornada de socialización del procedimiento administrativo sancionatorio.</t>
  </si>
  <si>
    <t xml:space="preserve">El 23 de septiembre de 2021, se realizó la primera jornada de socialización del procedimiento administrativo sancionatorio, esta socialización contó con la participación de las siguientes sedes del DANE: Cúcuta, DANE Central, Villavicencio, TUNJA, Bucaramanga, NEIVA, Territorial Centro Oriente, Bogotá, Manizales, Pereira e Ibagué.
Los temas tratados en la sesión fueron:
•	Introducción.
•	Actualización del Procedimiento Administrativo Sancionatorio
•	Sustento legal del Procedimiento Administrativo Sancionatorio
•	Criterios Técnicos del Procedimiento Administrativo Sancionatorio
•	Aplicación del Procedimiento Administrativo Sancionatorio </t>
  </si>
  <si>
    <t>Se cuenta con la siguiente información como evidencia del desarrollo de la primera  Jornada de socialización de la aplicación de la actualización del Procedimiento Administrativo Sancionatorio para la imposición de multas por renuencia a suministrar información:
•	PPT Procedimiento Administrativo Sancionatorio PPT territoriales 2.
• Grabación de la primera jornada de socialización
•	Criterios a tener en cuenta para el inicio del proceso administrativo de imposición de sanción a las fuentes renuentes.
•	GJU-030-PDT-001 -procedimiento administrativo sancionatorio para la imposición de multas
•	Memoria Justificativa proceso sancionatorio
•	Soporte Técnico Lineamientos rectores PAS fuentes renuentes
•	Resolución 0559 Del 14 de mayo de 2020
•	Resolución 1067 del 28 de septiembre de 2020</t>
  </si>
  <si>
    <t>Un (1) documento con la revisión y análisis de la documentación</t>
  </si>
  <si>
    <t>Al cierre del trimestre III se logró avanzar con la revisión, actualización y creación de nuevos documentos (formatos y procedimientos) para el fortalecimiento de la gestión contractual de convenios, contratos interadministrativos y acuerdos interinstitucionales:</t>
  </si>
  <si>
    <t>Plan de trabajo con la información de la documentación_ convenios contratos y acuerdos interinstitucionales</t>
  </si>
  <si>
    <t>1.Procedimiento Precontractual contratación directa contratos interadministrativos convenios de cooperación yo asociación DEF
2.Acta de Liquidación Bilateral de Convenios - Contratos Interadministrativos
3. Informe Final de Supervisión V. Ajustada equipo OAJ
4.Procedimiento para el funcionamiento de la Mesa de Trabajo de Convenios y Contratos del DANE y FONDANE
5.Formato control de ingreso de documentos al expediente V. 30 de mayo de 2021
6.Formato de Estudios Previos_ Contratación directa DANE-FONDANE v2</t>
  </si>
  <si>
    <t xml:space="preserve">Se cuenta con los siguientes documentos correspondientes a la meta sobre el  fortalecimiento de la gestión contractual de convenios, contratos interadministrativos y acuerdos interinstitucionales:
1.	Procedimiento Precontractual, contratación directa, contratos interadministrativos; convenios de cooperación y/o asociación.
2.	Formato  de estudios previos – convenios, contratos interadministrativos y acuerdos interinstitucionales
3.	Formato de Control de ingreso de documentos al expediente
4.	Procedimiento para el funcionamiento de la Mesa de Trabajo de Convenios y Contratos del DANE y FONDANE.
5.	Formato de  acta de Liquidación Bilateral de Convenios y Contratos Interadministrativos
6.	Formato de informe Final de Supervisión de Convenios y Contratos Interadministrativos
7.	Procedimiento Etapa contractual Convenios y Contratos Interadministrativos 
8.	Formato de minuta de Convenios y Contratos Interadministrativos 
9.	Formato de acta de inicio de Convenios y Contratos Interadministrativos
10.	Formato de acta de cierre  o terminación de un acuerdo internacional
</t>
  </si>
  <si>
    <t>Los diez (10) documentos referenciados para ser actualizados o creados en la plataforma de isolución.</t>
  </si>
  <si>
    <t>Plan de trabajo normativa estrategia para unificar la normativa de la entidad</t>
  </si>
  <si>
    <t xml:space="preserve">
Al cierre del trimestre III se logró avanzar con la realización de las tres mesas de trabajo en las que se contó con la participación de un representante de las áreas misionales y transversales; así como con un delegado de las sedes; en estas mesas se lograron importes avances en lo relacionados con la unificación normativa y en la construcción de un primer  borrador del Procedimiento para la organización y publicación de la normativa del DANE en página web /Biblioteca Jurídica.</t>
  </si>
  <si>
    <t xml:space="preserve">El 6 de agosto de 2021 se realizó la primera mesa de trabajo para la unificación de la normativa, esta mesa contó con la participación de las siguientes áreas y sedes de la entidad:  Administrativa - Territorial Norte, 	Oficina de control interno, Control Interno Disciplinario, Dirección de Geoestadística, Dirección de Síntesis y Cuentas Nacionales, OAJ, Oficina Asesora de Planeación, Oficina de Sistemas, Territorial Sur Occidente, DICE, Dirección de Metodología y Producción Estadística,  Censos y Demografía, Gestión Humana
Área Financiera y DIRPEN. En esta mesa de trabajo se trataron los siguientes temas: 1.  Socialización normatividad Intranet/web externa (DICE) 2. Estructura y definición de normativa (OAJ) 3.Resolución 501 de 2020 (OAJ).4.Conclusiones del estudio de la normatividad allegada. (OAJ)5. Compromisos para la siguiente mesa
El 28 de agosto de 2021 se realizó la segunda mesa de trabajo para la unificación de la normativa, esta mesa contó con la participación 28 colaboradores de la entidad que habían participado anteriormente en la primera mesa. En esta mesa de trabajo se trataron los siguientes temas: 1. Socialización resultados compromisos (OAJ) 2. Panel de trabajo (OAJ - Participantes) 3. Elaboración procedimiento para la organización y publicación de la normativa DANE (OAJ - Participantes) 4. Compromisos para la siguiente mesa.
El 23 de septiembre de 2021 se realizó la tercera mesa de trabajo para la unificación de la normativa, esta mesa contó con la participación 11 colaboradores de la entidad de algunas áreas que habían participado anteriormente en la primera y segunda mesa. En esta mesa de trabajo se trataron los siguientes temas: 1. Socialización resultados compromisos (OAJ)2. Revisión y respuesta a los comentarios al procedimiento normativa (OAJ- MIEMBROS DE NORMATIVA) 3. Varios.  </t>
  </si>
  <si>
    <t>Se cuenta con la siguiente información como evidencia del desarrollo de las tres (3) mesas de trabajo realizadas con las áreas involucradas:
•	Presentaciones en power point con la información socializada a los participantes.
•	Grabaciones de las reuniones en formato MP4.
•	Listado de asistencia con la información de los participantes</t>
  </si>
  <si>
    <t>Documento preliminar reglamentación</t>
  </si>
  <si>
    <t>Al cierre del trimestre III se logró avanzar en la construcción del reglamento de Votación Subcomité de Reserva, para establecer lineamientos generales respecto al trámite de solicitudes ordinarias o excepcionales tratadas por el subcomité en sesiones ordinarias o extraordinarias.</t>
  </si>
  <si>
    <t>Documento preliminar componentes principales de la reglamentación</t>
  </si>
  <si>
    <t>Un (1) documento</t>
  </si>
  <si>
    <t xml:space="preserve">Se cuenta con el documento preliminar que contiene los componentes principales de la reglamentación, el cual contiene:
Tramite de solicitudes 
Recepción de solicitudes 
verificación Quorum 	
Pasos a seguir cuando esté aprobado 
Tipos de solicitud  </t>
  </si>
  <si>
    <t>Se cuenta con el reglamento Votación Subcomité de Reserva, el documento contiene los siguientes artículos.
ARTÍCULO 1. Objetivo Del Reglamento 
ARTÍCULO 2. Alcance de aplicación
ARTÍCULO 2. Definiciones 
ARTÍCULO 3. Sesiones del subcomité de aseguramiento de la reserva estadística 
ARTÍCULO 4. Quorum decisorio para las decisiones del subcomité
ARTÍCULO 5. Tipo de Votación
ARTÍCULO 6. Abstención de votación
ARTÍCULO 7. Medios de Votación 
ARTÍCULO 8. Procedimiento para la votación</t>
  </si>
  <si>
    <t>Reglamento Votación Subcomité de Reserva</t>
  </si>
  <si>
    <t xml:space="preserve">Cinco (5) servicios de intercambio de información e interoperabilidad a través de tecnologías de la información y las comunicaciones prestados por el grupo de gestión de datos,para el fortalecimiento de la producción y difusión de estadística del DANE, implementados </t>
  </si>
  <si>
    <t>Documento de la especificación  técnica
Modelo de datos del proyecto de intercambio de información e interoperabilidad asociados a la Encuesta Mensual de Alojamiento (EMA)</t>
  </si>
  <si>
    <t>1 servicio implementado de interoperabilidad de EMA con Geoportales
1 catálogo actualizado con el servicio implementado de interoperabilidad de EMA
2 documentos de especificación de interoperabilidad de SIPSA y Contaduría General de la Nación
2 modelos de datos de interoperabilidad de SIPSA Y Contaduría General de la Nación</t>
  </si>
  <si>
    <t>Se realizó la documentación de la especificación de requerimientos de intercambio de información para los dos proyectos de interoperabilidad de actualización del DNI con el registro administrativo del SECOP I y el reporte de IPC e IPP para consumo por parte de ENEL-Codensa, generando de igual forma los dos modelos de interoperabilidad correspondientes al proyecto de actualización del DNI con el registro administrativo del SECOP I y el modelo de interoperabilidad de IPC e IPP para reporte a ENEL-Codensa.
Se realizó la implementación del servicio de interoperabilidad de indicadores de SIPSA para consumo por parte del Sistema de Consulta de SIPSA implementado por la DICE, así como por parte del Geoportal del DANE. De igual forma se implementó el servicio de interoperabilidad de Información Contable Pública de Convergencia reportada por la Contaduría General de la Nación al DANE.
Se actualizó el Catálogo de Servicios de Infomración con el servicio de interoperabilidad de indicadores de SIPSA con el Sistema de Consulta implementado por la DICE y por el Geoportal del DANE construido por la DIG, así como el servicio de interoperabilidad de la Información Contable Püblica de Convergencia reportada por la Contaduría General de la Nación al DANE.</t>
  </si>
  <si>
    <t>* Dos documentos de especificación de dos proyectos de intercambio de información e interoperabilidad correspondientes a interoperabilidad de actualización del DNI con el registro administrativo del SECOP I y el reporte de IPC e IPP para consumo por parte de ENEL-Codensa
* Dos modelos de datos de dos proyectos de intercambio de información e interoperabilidad correspondientes a interoperabilidad de actualización del DNI con el registro administrativo del SECOP I y el reporte de IPC e IPP para consumo por parte de ENEL-Codensa
* Dos servicios implementados de dos proyectos de intercambio de información e interoperabilidad correspondientes al reporte de la Información Contable Pública de Convergencia reportada por la Contaduría General de la Nación al DANE así como el servicio de  interperablidad de indicadore de SIPSA con el Sistema de Consulta de SIPSA de DICE y el Geoportal del DANE
* Un catálogo actualizado con dos servicios implementados de dos proyectos de intercambio de información e interoperabilidad correspondientes al reporte de la Información Contable Pública de Convergencia reportada por la Contaduría General de la Nación al DANE así como el servicio de  interperablidad de indicadores de SIPSA con el Sistema de Consulta de SIPSA de DICE y el Geoportal del DANE</t>
  </si>
  <si>
    <t>La Oficina de Sistemas durante el tercer trimestre a través de su GIT implementó dos servicios de Intercambio de información e interoperabilidad, un catálogo de componentes de información con dos servicios de intercambio de información e interoperabilidad, dos documentos de especificaciones técnicas y dos modelos de datos de interoperabilidad. Así mismo, documentó un modelo conceptual y lógico de datos e implementó un modelo físico de datos para custodia, procesamiento y disposición.  Atendió los requerimientos de almacenamiento, custodia, automatización y disposición de la información para la operaciones estadística y proyectos misionales de la entidad, correspondiente al tercer trimestre del 2021.</t>
  </si>
  <si>
    <t>GTE</t>
  </si>
  <si>
    <t>Un (1) servicio de custodia, procesamiento y disposición de información prestados por el grupo de gestión de datos para la publicación y difusión de información de OOEE y proyectos misionales, implementado</t>
  </si>
  <si>
    <t>Documento de la Arquitectura de Solución para el lago de datos On Premise. 
Documento de Arquitectura de Solución para el lago de datos en la nube base para selección del proveedor. 
Reporte del sistema de gestión de incidencias de la Oficina de Sistemas - GLPI, con los requerimientos de almacenamiento, custodia, automatización y disposición de información  atendidos en los meses de febrero y marzo.</t>
  </si>
  <si>
    <t>Documento de instalación del lago de datos On Premise en producción. 
Documento de pruebas de rendimiento del lago de datos On Premise en producción. 
Documentos generados de las mesas de trabajo con las áreas para el desarrollo de pilotos en el lago de datos On Premise.
Documentación resultado de la evaluación de proveedores de lago de datos en la nube.
Reporte del sistema de gestión de incidencias de la Oficina de Sistemas - GLPI, con los requerimientos de almacenamiento, custodia, automatización y disposición de información  atendidos en los meses de abril, mayo y junio.</t>
  </si>
  <si>
    <t>Se documentó el modelo conceptual y lógico de datos para custodia, procesamiento y disposición correspondiente a la Encuesta de Calidad de Vida (ECV), Encuesta Nacional Agropecuaria (ENA)  y Datos Maestros de Personas y Empresas, así como, se implementó el modelo físico de datos de la ENA y ECV.  Por otra parte, se brindó atención a los requerimientos de almacenamiento, custodia, automatización y disposición de la información para las Operaciones Estadísticas.</t>
  </si>
  <si>
    <t>Documento del Modelo Conceptual de Datos para custodia, procesamiento y disposición. 
Documento del Modelo Lógico de Datos para custodia, procesamiento y disposición.  
Documento del Modelo Físico de Datos para custodia, procesamiento y disposición.
Reporte del sistema de gestión de incidencias de la Oficina de Sistemas - GLPI, con los requerimientos de almacenamiento, custodia, automatización y disposición de información  atendidos en los meses de julio, agosto y septiembre.</t>
  </si>
  <si>
    <t>Creacion_baseEspejo
Despliegue_Monitoreo
ELIMINACIÓN DE MANZANAS SANTA ROSA DE VITERBO-15693
eliminar_manzanas_medellin
Manual_Actualizado_Conteo
manzanas_repetidas
Montaje_nuevo_backend_monitoreo_conteo
Novedades
Soporte_MOnitoreo
Version_2_5_6</t>
  </si>
  <si>
    <t>Conteo, correo de entrega de la base consolidada al grupo de la DIG.</t>
  </si>
  <si>
    <t>Se realizó soporte del directorio base del aplicativo de unidades de apoyo.</t>
  </si>
  <si>
    <t>Unidades de Apoyo:
Soporte directorio</t>
  </si>
  <si>
    <t>La Oficina de Sistemas durante el tercer trimestre a través de su GIT realizó las pruebas a los desarrollos del Sistema de Monitoreo, sistema de Construcción, aplicativo de barrido y moviles. Tambien realizó el soporte al directorio de unidades de apoyo.</t>
  </si>
  <si>
    <t>20201125_Gantt - Conteo
20210209_Manual_Usuario_AppGeo_Conteo_CE
AnalisisReq_APK_Conteo_Censo_Economico_v5
APP_DMC_CE-master-e934b9b479fb3e958e3273cd7627eb1c44aedff5
Conteo_-_Paquetes_de_trabajo20201125-882-sosfw8</t>
  </si>
  <si>
    <t>Unidades Auxiliares, código del aplicativo
Formulario de Barrido, código del aplicativo</t>
  </si>
  <si>
    <t>Se desarrolló y se realizaron pruebas a los aplicativos de Construcción, Barrido y Moviles.</t>
  </si>
  <si>
    <t>Sistema de Construcción:
Actas, Planeación (Flujos, especificaciones y validaciones) y Pruebas
Barrido y Moviles: 
Pruebas</t>
  </si>
  <si>
    <t>20210123_Manual_Transporte_CNUE
20211226_Manual_Monitoreo
Correo_BHV_Log
Matriz de Pruebas - Transportes
Scrum Transportes</t>
  </si>
  <si>
    <t>MATRIX, código del aplicativo para la Clasificación Automática código CIIU</t>
  </si>
  <si>
    <t>Se continuo con el desarrollo y puesta en producción del sistema de Monitoreo</t>
  </si>
  <si>
    <t xml:space="preserve">Sistema de monitoreo Censo Económico </t>
  </si>
  <si>
    <t>Dos (2) plataformas tecnológicas estandarizadas (Plataforma de Cómputo / almacenamiento y Plataforma de Redes) acorde a las buenas prácticas de operación de TI, soportadas (PT)</t>
  </si>
  <si>
    <t>1. REPORTE CARPETAS COMPARTIDAS
2. Ventanas de mantenimiento   RED 
3. Correo Electronico Uso OFFICE 365
4. REPORTE  CUENTAS DE USUARIO  Cuentas de Usuario 
5. Dispositivos moviles 
6. Equipos de computo
7. Sitios Web
8. VPN
9. REPORTE wifi
10. Roles proxy-Fortinet - Fase III (es) PROXY 
11. CONECTIVIDAD
12. LICENCIAMIENTO Y SOPORTE ORACLE
13. Renovacion Sw DMC
14. CUSTODIA MEDIOS</t>
  </si>
  <si>
    <t>1. Carpetas compartidas
2. Ventanas de mantenimiento Red
3. Correo Electronico
4. Cuenta de Usuario
5. Dispositivos Moviles de captura
6.  Sumimas
7. Sitios Web
8. VPN
9. Wifi
10. Roles proxy-Fortinet - Fase III 
11. CONECTIVIDAD
12. LICENCIAMIENTO Y SOPORTE ORACLE
13. Renovacion Sw DMC</t>
  </si>
  <si>
    <t>La Oficina de Sistemas a través del  GIT realizó las siguientes actividades en sus servicios tecnológicos:  
1. Carpetas compartidas: Ampliacion de capacidad de almacenamiento con la reciente adquisición de cómputo y almacenamiento
2. Red: Renovacion de swtiches de piso en Dane Central
3. Correo electrónico:
 Avance de la migracion a office 365 
4. Cuenta de usuario: Creación de matríz de política y ajustes al proceso GTE.
5. Dispositivos móviles de captura (DMC): Para los nuevos dispositivos esta en construccion el procedimiento de alistamiento DMC.
6. Equipos de cómputo: Puesta en funcionamiento de equipos de escritorio recientemente adquiridos con los lineamientos de vinculación a red DANE. Proceso Sumimas
7. Sitios web: Ajustes a capacidad de procesamiento del sitio web Dane con la reciente adquisición de cómputo y almacenamiento
8. VPN: Ampliación de la capacidad en la navegacion haciendo uso de la VPN Dane.
9. Wifi: Ajustes a la red segura para funcionarios Dane.
10.  Elaboración de documentos para la renovación anual y soporte del licenciamiento Oracle de la Entidad.
11. Elaboración de documentos para contratar la actualización de software de gestión, parches de seguridad, disponibilidad, funcionalidad.</t>
  </si>
  <si>
    <t xml:space="preserve">1. Carpetas compartidas
2. Red
2. Ventanas de mantenimiento
3. Correo Electronico
4. Cuenta de Usuario
5. Dispositivos Moviles de captura
6. Equipos de computo
7. Sitios Web
8. VPN
9. Wifi
10. Contrato Oracle Linux y Horas Oracle
10. O.C 68182 -Oracle
11. 2445317 SISDATA
</t>
  </si>
  <si>
    <t xml:space="preserve">Durante el tercer  trimestre de 2021  la Oficina de Sistemas  a través de su GIT realizó la migracion de sus bases de datos Oracle al cluster de virtualizacion Oracle KVM -construcción de documentos para la adquisición del nuevo core de datos, todo esto en el marco de  buenas prácticas de operación de TI y  permitiendo la estandarización de  las  plataformas tecnológicas. </t>
  </si>
  <si>
    <t>Reuniones realizadas con los fabricantes de componentes activos de red en materia de seguridad informática. 
Documento preliminar de especificaciones técnicas de la nueva solución de core</t>
  </si>
  <si>
    <t>APROBACION
PLIEGOS</t>
  </si>
  <si>
    <t xml:space="preserve">1. Construccion de los pliegos para el proceso de Core y Centro de datos. 2 - Aprobacion de compras para salir al proceso de estudios previos   </t>
  </si>
  <si>
    <t>DANE CORE III Trimestre
RV__Proceso_SASI__ADQUISICIÓN_DE_UNA_SOLUCIÓN_TECNOLÓGICA_DE_COMUNICACIONES_..._</t>
  </si>
  <si>
    <t>Levantamiento de Requerimientos Sistema Encuestas Anual de Comercio y  del sistema de la Encuesta Anual de Servicios</t>
  </si>
  <si>
    <t>La Oficina de Sistemas en el tercer trimestre realizó el levantamiento de requerimientos con los grupos de trabajo para las investigaciones de la Encuestas Anual de Comercio y  del sistema de la Encuesta Anual de Servicios. Tambien inició el desarrollo de la estructura de la base de datos a traves del framework Spring Boot para la Encuesta Anual de Servicios.</t>
  </si>
  <si>
    <t>Encuestas Anual de Comercio:
Levantamiento de Requerimientos Sistema 
 Encuesta Anual de Servicios:
Levantamiento de Requerimientos Sistema 
Desarrollo de DTO en Spring Boot</t>
  </si>
  <si>
    <t xml:space="preserve"> La Oficina de Sistemas a través de su GIT  cumplió con el levantamiento de los requerimientos solicitados para el tercer trimestre de la EAC Y EAS. Tambien  inició con el desarrollo de los objeto de la base de datos para el tercer trimestre de la EAS, así mismo, continuó con la implementación de los módulos correspondientes a la fase 2 e inició la implementación de la fase 3 Contratistas.</t>
  </si>
  <si>
    <t>PAI_OSIS_4.2 REUNIONES CONTRATACION</t>
  </si>
  <si>
    <t>ANEXO 2 FICHA TECNICA CONDICIONES CARACTERISTICAS TECNICAS
AnlisisdelSectorKactus_contratistas
EstudiosPrevioKACTUS_contratistas
Propuesta comercial Kactus DANE-2021-01-12 Fases 3 IMPLANTACION
Reuniones con el Proveedor
Anexo Compras Publicas simulador77.iad-software-i-fabricantesv</t>
  </si>
  <si>
    <t>Se realizó el proceso de contratación y se dio inicio a la ejecución del contrato de implementación del módulo de contratistas</t>
  </si>
  <si>
    <t>Cronograma Definitivo Kactus_Contratistas v5.pdf
F-CS-031_Acta_de_Recibo_de_Estructuras–de_Datos_a_Migrar.pdf
F-CS-047_Acta_cierre_de fase.pdf
F-CS-063_Gestion_de_Riesgos.xlsx
F-CS-079_Acta_de_ Inicio_de_consultoria(publicas) v2.pdf
PLAN DE MIGRACION Definitivo v4.xls</t>
  </si>
  <si>
    <t xml:space="preserve"> Matriz  de necesidades de Infraestructura finalizada. Acta de aprobación matriz infraestructura. </t>
  </si>
  <si>
    <t>Con corte a septiembre 30  de 2021, se han comprometido recursos por valor de $381.548.648,40 y el porcentaje de ejecución es del 47,69%. Se han realizado 24 contratos la mayoría de los cuales corresponden a mantenimientos recurrentes a nivel nacional. Los traslados de las sedes de Qubdó, Armenia y Popayán se encuentran en proceso.</t>
  </si>
  <si>
    <t>Sedes Mantenidas</t>
  </si>
  <si>
    <t>Plan de Infraestructura 2021 y el acta de aprobación con las conclusiones de la reunión con el Sr. Director.</t>
  </si>
  <si>
    <t>El total de recursos comprometidos hasta septiembre 30 nos da un valor de $ 381.548.648,40 pesos para un avance en la ejecución del 47,69%.</t>
  </si>
  <si>
    <t>Informe de seguimiento a la ejecución del plan de infraestructura.
Seguimiento Matriz Infraestructura</t>
  </si>
  <si>
    <t>Cuadro de asistentes a las capacitaciones dadas por el SIIF Nación, y correos electrónicos con las confirmaciones de inscripción a las capacitaciones</t>
  </si>
  <si>
    <t xml:space="preserve">Se realizaron dos (2) capacitaciones relacionadas con los módulos del SIIF Nación las cuales se dieron de forma virtual y mediante inscripción.
Se realizaron dos (2) capacitaciones relacionadas con los temas de Cálculo IBC Seguridad Social desarrollada el día 30/08/2021 y la otra capacitación relacionada en temas varios de la gestión financiera el día 15/09/2021. En las dos capacitaciones mencionadas anteriormente asistieron responsables de las Direcciones Territoriales y DANE Central. </t>
  </si>
  <si>
    <t xml:space="preserve">Citación de las reuniones, Listas de Asistencia y Presentaciones relacionadas con los temas. </t>
  </si>
  <si>
    <t xml:space="preserve">Se realizaron dos (2) capacitaciones relacionadas con los temas de Cálculo IBC Seguridad Social desarrollada el día 30/08/2021 y la otra capacitación relacionada en temas varios de la gestión financiera el día 15/09/2021. En las dos capacitaciones mencionadas anteriormente asistieron responsables de las Direcciones Territoriales y DANE Central. </t>
  </si>
  <si>
    <t xml:space="preserve">Citación de las reuniones,  y Listas de Asistencia. </t>
  </si>
  <si>
    <t>Se adjunto dos actas de reunión del equipo encargado de realizar revisión de la documentación vigente en materia contractual.</t>
  </si>
  <si>
    <t>Acta de reunión 030 de fecha 30 de abril de 2021</t>
  </si>
  <si>
    <t>CAPAC_TEC</t>
  </si>
  <si>
    <t>El AGCP realizó la revisión  y el análisis de la normatividad respecto del manual de contratacion que actualmente se encuetra vigente en el DANE  y FONDANE, cuyo objeto es proponer una actualización del Manual de Contratación</t>
  </si>
  <si>
    <t>Gestón Contractual- GCO</t>
  </si>
  <si>
    <t>Documento de Analisis de Manual de Contratacion</t>
  </si>
  <si>
    <t>Se presenta documento preliminar de informe final sobre la pertinencia de actualizar el manual de contratatación.</t>
  </si>
  <si>
    <t>Documento preliminar</t>
  </si>
  <si>
    <t>Se adjuntan 5 pdf de las respuestas de 5 Territoriales mediante correo electrónico.</t>
  </si>
  <si>
    <t>Se realizarón capacitaciones  a nivel nacional dirigidos a todos los funcionarios y contratistas que quieran participar en los webinar con el fin de actualizarlos en temas relacionados con la contratación en DANE Y FONDANE.</t>
  </si>
  <si>
    <t>Documento de diseño de capacitaciones.</t>
  </si>
  <si>
    <t>Se realizarón dos capacitaciones a través de webinares sobre temas que previamente se habían planeado, sobre circular 027 y Manual de Contratación.</t>
  </si>
  <si>
    <t>Presentación y lista de asistencia</t>
  </si>
  <si>
    <t>Se realizola medición del impacto de las capacitaciones a través de encuesta sobre los temas tratados en cada capacitación.</t>
  </si>
  <si>
    <t>Lista de asistencia y evaluación.</t>
  </si>
  <si>
    <t>Planta a 31 enero 2021</t>
  </si>
  <si>
    <t>El GIT Área de Gestión Humana está gestionando la organización, creación y/o renombramiento de los actos administrativos objeto de la meta, realizando la verificación física de los actos administrativos frente a los actos administrativos dispuestos dentro de la carpeta electrónica en systema78, con el fin de asegurar su disponibilidad electrónica.
El avance global a corte del 30 de septiembre relaciona la gestión de los años 2010 al 2013 finalizada.
Así mismo, se continúa complementando en el systema78 el archivo electrónico con las hojas de vida de los servidores activos a partir de la organización, creación y/o renombramiento de los actos administrativo gestionados durante el tercer trimestre, incluyendo los de la vigencia 2021. 
En cumplimiento de los lineamientos establecidos por la entidad relacionados con la seguridad de la información y teniendo en cuenta las características de la información que se dispone en el servidor "systema78" relacionados con los actos administrativos y el archivo electrónico de las hojas de vida de los servidores, cuya consulta tiene carácter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t>
  </si>
  <si>
    <t>Gestón del Talento Humano - GTH</t>
  </si>
  <si>
    <t>SEC_CAPAD_2021_DP</t>
  </si>
  <si>
    <t>Pantallazos Actos Administrativos Systema78</t>
  </si>
  <si>
    <t xml:space="preserve">El GIT Área de Gestión Humana ha gestionado y completado durante el tercer trimestre de 2021  la organización, creación y/o renombramiento de los actos administrativos de los años 2010, 2011, 2012 Y 2013 y de manera simultánea, se están integrando al archivo los actos administrativos correspondientes a la vigencia 2021. </t>
  </si>
  <si>
    <t>Pantallazos Actos Administrativos Systema78 III trimestre</t>
  </si>
  <si>
    <t>Pantallazos Archivo electrónico hojas de vida Systema78</t>
  </si>
  <si>
    <t>El GIT Área de Gestión Humana, gestionó durante el tercer trimestre de 2021 la disposición de los actos administrativos de la vigencia 2021 para los servidores activos  y lo correspondiente a los actos administrativos de años comprendidos entre el 2010 y 2013 se están complementando de acuerdo a la capacidad que en el momento presenta el servidor systema78 y sobre la cual, se ha solicitado a la Oficina de Sistemas mejorar su capacidad.</t>
  </si>
  <si>
    <t>Cronograma MFCL 2021
Caja de Herramientas DT
Presentación orientadores</t>
  </si>
  <si>
    <t>La  Secretaria  General - Área de Gestión  Humana publicaron en la intranet el proyecto del Manual Específico de Funciones y Competencias Laborales (MEFCL) del 9 al 17 de  agosto de 2021, junto  con un formulario mediante el cual se recibieron las observaciones realizadas por parte de los servidores públicos de la entidad, en relación con los  propósitos, funciones, núcleos básicos del conocimiento y conocimientos básicos o esenciales. 
Las observaciones recibidas por parte de los servidores  y las organizaciones sindicales fueron analaizadas con los Directores Territoriales y Técnicos, Jefes de Oficina y Coordinadores de Área, determinando la procedencia de acogerlas o no con lo cual se finalizaron los ajustes a las fichas del manual.</t>
  </si>
  <si>
    <t>Formato entrega de MEFCL al Director
Documentación Observaciones al MEFCL</t>
  </si>
  <si>
    <t xml:space="preserve">La Secretaría General a través del Área de Gestión Humana realizó la depuración y unificación del documento final del Manual Específico de Funciones y de Competencias Laborales - MEFCL del DANE, analizadas con los jefes de las dependencias todas las observaciones y comentarios allegados por parte de los servidores y las organizaciones sindicales, procediendo a expedir la Resolución No. 1017 del 03 de septiembre de 2021, "Por la cual se adopta el Manual Específico de Funciones y de Competencias Laborales para los empleos de la planta de personal del Departamento Administrativo Nacional de Estadística -DANE". Finalmente el 10 de septiembre se publicó en la página web de la entidad la mencionada resolución y el correspondiente "Anexo de la Resolución No. 1017 del 03 de septiembre de 2021, por lo cual se adopta el Manual Específico de Funciones y de Competencias Laborales - DANE" integrado por 2007 páginas. </t>
  </si>
  <si>
    <t>El Área de Gestión Humana sistematizó la información recibida y que posteriormente fue analizada, unificando en un documento definitivo constituido por 2007 páginas y denominado "Anexo de la Resolución No. 1017 del 03 de septiembre de 2021, por lo cual se adopta el Manual Específico de Funciones y de Competencias Laborales - DANE"</t>
  </si>
  <si>
    <t xml:space="preserve">Anexo de la Res-1017 del 2021 Modifica-MEFCL DANE 31068
</t>
  </si>
  <si>
    <t>El Área de Gestión Humana el día 9 de agosto de 2021 envió a publicar el proyecto de resolución de adopción del manual y el documento preliminar del Manual Específico del Funciones y Competencias Laborales para revisión de los servidores de la planta de personal, habilitando un formulario de Microsoft Forms para recibir y atender observaciones.</t>
  </si>
  <si>
    <t xml:space="preserve">Publicación danenet del proyecto de resolución y documento preliminar
</t>
  </si>
  <si>
    <t>El Área de Gestión Humana el día  10 de septiembre de 2021 realizó la publicación de la Resolución N° 1017 del 3 de septiembre de 2021  "Por la cual se adopta el Manual Específico de Funciones y de Competencias Laborales para los empleos de la planta de personal del Departamento Administrativo Nacional de Estadística -DANE" en la página web de la entidad, con el respectivo anexo técnico, el cual contiene las fichas.</t>
  </si>
  <si>
    <t xml:space="preserve">Resolución No. 1017 del 03 de septiembre de 2021, por lo cual se adopta el Manual Específico de Funciones y de Competencias Laborales - DANE
</t>
  </si>
  <si>
    <t xml:space="preserve">
Disponibilidad Encargos Enero,Febrero y Marzo
</t>
  </si>
  <si>
    <t xml:space="preserve">CDP Mayo </t>
  </si>
  <si>
    <t>El Área de Gestión Humana solicitó al Área Financiera un certificado de disponibilidad presupuestal -CDP que ampare todos los cargos vacantes que puedan ser provistos en cualquier modalidad (encargo,provisional o concursos de méritos) de acuerdo con la asignación presupuestal que tiene la entidad para gastos de personal.
El 11 de agosto del 2021 mediante radicado N° 20213210020183 el coordinador del GIT Presupuesto certificó dispinibilidad para proveer 537 vacantes.</t>
  </si>
  <si>
    <t>Certificado Disponibilidad Presupuestal  cargos - Agosto</t>
  </si>
  <si>
    <t xml:space="preserve">El Área de Gestión Humana a través del GIT de Evaluación y Carrera teniendo el cuenta la disponibilidad presupuestal aprobada, durante el tercer trimestre gestionó la provisión de 5 cargos (3 nombramientos provisionales y 2 encargos).
Teniendo en cuenta la disponibilidad certificada mediante radicado N° 20213210020183 por el coordinador del GIT Presupuesto, el Área de Gestión Humana adelantó las actividades correspondietes a la planeación del concurso de méritos con al CNSC para proveer de manera definitiva 537 vacantes de Carrera Administrativa.
</t>
  </si>
  <si>
    <t>Informe estudio técnico</t>
  </si>
  <si>
    <t>Informe actos administrativos</t>
  </si>
  <si>
    <t>Documentos y Cronograma GTH 2021</t>
  </si>
  <si>
    <t>Publicación ISOLUCION GTH-070-PDT-003; GTH-070-PDT-003-f-002 y GTH-070-PDT-008</t>
  </si>
  <si>
    <t>Publicación Isolución documentos actualizados</t>
  </si>
  <si>
    <t>Entrega resultados encuesta EDI</t>
  </si>
  <si>
    <t>Informe de Evaluación de los resultados de la medición del Clima Laboral: campos de intervención</t>
  </si>
  <si>
    <t>Al 30 de septiembre, el Área de Gestión Humana continuó con la implementación de las actividades del cronograma en las cuales se las ha realizado un seguimiento mensual. 
Se ratifica que se están cumpliendo las actividades y productos programados acorde con los tiempos definidos.</t>
  </si>
  <si>
    <t>Cronograma de actividades para el fortalecimiento del  Clima Laboral</t>
  </si>
  <si>
    <t xml:space="preserve">Seguimiento Cronograma Clima Laboral 30 Junio
</t>
  </si>
  <si>
    <t>A partir del cronograma consolidado, el Área de Gestión Humana realizó seguimientos mensuales en julio, agosto y septiembre a la ejecución de las catividades definidas en el marco del programa y se consolidaron las evidencias de las actividades y productos adelantados con corte del 30 de septiembre. Se avanzó en las actividades de bienestar, capacitación y de difusión programadas, por lo tanto, se concluye que el cronograma se está cumpliendo de acuerdo con los tiempos establecidos.</t>
  </si>
  <si>
    <t xml:space="preserve">30 de julio seguimiento Clima Laboral 
30 de agosto  seguimiento Clima Laboral
30 de septiembre seguimiento Clima Laboral
Evidencias implementación actividades Clima Laboral 2021 
</t>
  </si>
  <si>
    <t>Como se reportó en el segundo trimestre, el programa de fortalecimiento territorial ya fue formulado</t>
  </si>
  <si>
    <t>systema20.dane.gov.co/Seg_Planes_institucionales/05_Subdirección/PAI_SUBDI_1/</t>
  </si>
  <si>
    <t>La meta avanza con normalidad</t>
  </si>
  <si>
    <t>Se ha hecho el seguimiento a las acciones que fortalecen la capacidades territoriales,</t>
  </si>
  <si>
    <t>Reconversión proceso operativo_V6_9 03 2021</t>
  </si>
  <si>
    <t>ACTA DE REUNIÓN ESTADO DE SUBMESAS DE INFORMACION ECONOMIA CIRCULAR 17.03.2021   ACTA DE REUNIÓN 2do Taller interno de identificación de fuentes, usuarios y necesidades de información CSECI 19.03.2021  ACTA DE REUNIÓN [MinAmbiente – DANE] Economía Circular 26.03.2021  ACTA DE REUNIÓN TALLER DE IDENTIFICACION DE FUENTES, USUARIOS Y NECESIDADES DE INFORMACION_CSECI  ACTA DE REUNIÓN MINISTERIO DE AMBIENTE_DANE_18.03.2021   ACTA DE REUNIÓN ESTADO DE SUBMESAS ECONOMIA CIRCULAR 16.03.2021</t>
  </si>
  <si>
    <t>Tres actas, una agenda y dos PPTs</t>
  </si>
  <si>
    <t>Se desarrolló la segunda sesión anual de la Mesa de Información de Economía Circular y varias de sus submesas. Sesionó la Mesa de Información de Economía Naranja.</t>
  </si>
  <si>
    <t>systema20.dane.gov.co/Seg_Planes_institucionales/05_Subdirección/PAI_SUBDI_2/</t>
  </si>
  <si>
    <t>https://www.dane.gov.co/files/investigaciones/notas-estadisticas/abr-2021-nota-estadistica-perspectivas-RELAB-economia-naranja.pdf</t>
  </si>
  <si>
    <t>Una PPT con los resultados de la revisión de la CSCEN y un PDF con la nota estadística</t>
  </si>
  <si>
    <t>Se publicó el Tercer Reporte de Economía Circular. Se publicó el Quinto Eeporte de Economía Naranja</t>
  </si>
  <si>
    <t>Hito cumplido en el I trimestre</t>
  </si>
  <si>
    <t>Para el avance de la meta para realizar el fortalecimiento de la función operativa, sus aportes para este informe se define por medio de la actualización en el marco geoestadístico, dando avance al operativo de actualización de las manzanas, con el aplicativo de novedades, logrando realizar los talleres prácticos a las áreas que interactúan con el módulo de novedades, y finalmente con la proyección del rediseño de la recolección de la Encuesta Ambiental Industrial, en donde se realizan los aportes de actualización de sus procesos que fortalecen la función operativa.</t>
  </si>
  <si>
    <t>Archivo con la muestra de la operación de las manzanas a recontar.</t>
  </si>
  <si>
    <t>Se avanza en la ejecución del operativo de recuento en las manzanas para su actualización en el marco geoestadístico nacional, este con reportes periódicos a la DIG y se proyecta la finalización de este operativo para el mes de octubre.</t>
  </si>
  <si>
    <t>Reporte de bases de información con la actualización de manzanas.</t>
  </si>
  <si>
    <t>Se realizan talleres prácticos en los cuales se generan ajustes por parte de la ingeniera Magda Perea los cuales en cada mesa de trabajo se aplican, la próxima mesa de trabajo está programada para la semana del 19 al 22 de octubre.</t>
  </si>
  <si>
    <t>Informes de avance y bases de pruebas.</t>
  </si>
  <si>
    <t>Actas de reuniones de mesas de trabajo, archivo con el cronograma de trabajo y documentos soporte.</t>
  </si>
  <si>
    <t>Se reliza el envío por correo electrónico,  las observaciones y modificaciones correspondientes a los documentos soportes del rediseño de la Encuesta Ambiental Industrial EAI, definiendo algunos detalles de presupuesto y recursos del rediseño.</t>
  </si>
  <si>
    <t>Correos de respuesta y observaciones correspondientes.</t>
  </si>
  <si>
    <t>Propuesta ajuste_ proceso selección_subdirección_12 03_2021</t>
  </si>
  <si>
    <t>Meta Finalizada en el II trimestre</t>
  </si>
  <si>
    <t>Propuesta ajuste_ proceso selección_todos_25 03 2021</t>
  </si>
  <si>
    <t>Procedimiento de selección de personal operativo en formato pdf y publicado</t>
  </si>
  <si>
    <t>Hito cumplido en el II trimestre</t>
  </si>
  <si>
    <t>Listas de asistencias de la socialización del procedimiento de selección de personal operativo.</t>
  </si>
  <si>
    <t>Críticas de costeo.rar</t>
  </si>
  <si>
    <t>Presentación de informe con los resultados de la critica a los presupuestos de las operaciones estadisticasPresentación de informe con los resultados de la critica a los presupuestos de las operaciones estadisticas</t>
  </si>
  <si>
    <t>Para el sistema de costos se logra el avance para el cargue de las operaciones estadísticas que se operan en el segundo semestre del presente año, al igual que el cargue de proyección de operaciones estadísticas nuevas para su revisión por parte de las coordinaciones correspondientes.</t>
  </si>
  <si>
    <t>Archivos de la herramienta de costos con las operaciones estadisticas implementadas en un 50%</t>
  </si>
  <si>
    <t xml:space="preserve">Se realiza la consolidación de las bases de costeo para un total de 38 operaciones a ejecutar en el segundo semestre del presente año, a las cuales se les aplica al cargue del sistema de costos. </t>
  </si>
  <si>
    <t>Archivo comprimido con las carpetas de cada operación en la cual registra la base de presupuesto y el archivo del sistema de costos.</t>
  </si>
  <si>
    <t>Se realiza el cargue del presupuesto definido para la Encuesta Ambiental Industrial al sistema de costos.</t>
  </si>
  <si>
    <t>Archivo de excel con ejecución de macro del sistema de costos para la EAI
20210928_Sistema_Costos_EAI</t>
  </si>
  <si>
    <t>Bases de costeo de las rutas</t>
  </si>
  <si>
    <t>Se reciben la programación de las rutas para su definición de cobertura geográfica en el sistema de costos, se está pendiente la base presupuestal de la operación para su cargue total.</t>
  </si>
  <si>
    <t>Archivo excel con el consolidado de rutas para su proyección de costos.
Ruteo_ENTIC2021_Compilado</t>
  </si>
  <si>
    <t>08072020_V2_FormatoDeSolicitudDeDesarrolloSistemasInformacion
ESPECIFICACIONES MONITOREO CONTROL Y CALIDAD ECSC v1 (1)
patallazos sistema de monitoreo y control</t>
  </si>
  <si>
    <t>Documento con el diagnóstico de las operaciones proyectadas para el sistema de monitoreo y control.</t>
  </si>
  <si>
    <t xml:space="preserve">Hito finalizado de II trimestre </t>
  </si>
  <si>
    <t>Con la programación de los avances de desarrollo de los sistemas de monitoreo y control, se establecen las operaciones sociales y económicas que para el segundo semestre del año se logra establecer la cantidad de operaciones con sistema control para lograr si ampliación a otras temáticas.</t>
  </si>
  <si>
    <t>El ingeniero Benjamín Motta se encuentra en el desarrollo del sistema de monitoreo y control, basado en un cronograma de trabajo establecido en mesas de trabajo con la coordinación correspondiente, se define la entrega de sistema para la operación EVC, continuando con la ECP.</t>
  </si>
  <si>
    <t>Cronograma de avance por desarrollo, informe de desarrollo por operación.
Propuesta cronograma SIMCO  20-09-2021 v2</t>
  </si>
  <si>
    <t>PES-GEIHPARALELO-MOP-001_MANUAL_OPERATIVO_V3</t>
  </si>
  <si>
    <t>Correo cierre etapa GEIH paralela</t>
  </si>
  <si>
    <t>PRESENTACIÓN CON LOS RESULTADOS OPERATIVOS CORRESPONDIENTE A ENERO, FEBRERO Y MARZO</t>
  </si>
  <si>
    <t>Se entrega el cierre del mes de mayo al 100% y el reporte de mes de junio en recolección y se encuentra de cierre operativo.</t>
  </si>
  <si>
    <t>Informe cierre del operativo mes de mayo</t>
  </si>
  <si>
    <t>PRUEBAS MODULO DE NOVEDADES APP RECUENTO WEB</t>
  </si>
  <si>
    <t>Definido el manual de usuario y las pruebas realizadas al aplicativo web de novedades, se establecen las programaciones de capacitación a los responsable en DANE central de la interacción con el aplicativo web.</t>
  </si>
  <si>
    <t>Asistencia_Pruebas Nuevo_Aplicativo Web de Recuento</t>
  </si>
  <si>
    <t>Documento con la presentación de la agenda para la capacitación del personal</t>
  </si>
  <si>
    <t>Se realiza la ampliación de la capacitación de los responsables, se aplica el taller práctico con las áreas involucradas en este módulo (DIG, Muestras, Logística y Sistemas) para el taller práctico.</t>
  </si>
  <si>
    <t>Presentaciones de los talleres prácticos y listas de asistencia.</t>
  </si>
  <si>
    <t>Un (1) manual de usuario del aplicativo web de novedades con pruebas realizadas, finalizado.</t>
  </si>
  <si>
    <t>Se realiza el manual de usuario para el aplicativo web de novedades, las cuales establecen los ajustes realizados por la ingeniera encargada del desarrollo y se entrega a sistemas para su publicación.</t>
  </si>
  <si>
    <t>Manual de ususario en borrador para su cargue.</t>
  </si>
  <si>
    <t>Programa de monitoreos Logística - Alcance
PROGRAMA DE MONITOREOS ÁREA DE LOGÍSTICA Y PRODUCCIÓN DE INFORMACIÓN.msg</t>
  </si>
  <si>
    <t>Con los procesos de evaluación de los procedimientos tanto a nivel documental como operacional, se realizan los primeros indicadores de medición en el proceso de selección de personal operativo, generando seguimiento en las funciones de nivel central y territoriales, de igual forma se establecen mediciones paralelas para el resultados de las convocatorias y proceso de banco de hojas de vida.</t>
  </si>
  <si>
    <t>Documento borrador del procedimiento de la fase de recolección y acopio.</t>
  </si>
  <si>
    <t xml:space="preserve">Con mesas de trabajo realizadas con las áreas implicadas en el procedimiento de la fase de recolección y acopio, el documento borrador se entrega para aprobación y sugerencias a la subdirección, con este se realizará el cargue final a la plataforma Isolución.  </t>
  </si>
  <si>
    <t>Documento en word con el procedimiento de la fase de recolección y acopio
20210831_PES-REC V2</t>
  </si>
  <si>
    <t>Según el análisis realizado al procedimiento de selección de personal operativo, el cual es base para el procedimiento de recolección y acopio, se realiza el archivo de análisis y generación de indicadores, que midan el estado actual de la selección de personal tanto a nivel central como en territoriales.</t>
  </si>
  <si>
    <t xml:space="preserve">Archivo en Excel con las gráficas y análisis de resultados de selección de personal.
Matriz de Evaluación de Procesos de Aprendizaje V5 </t>
  </si>
  <si>
    <t>Se realizan las presentaciones con los resultados parciales del cuadro de análisis para la subdirección, estas sirven de insumo principal para establecer el cuadro de mando de los indicadores y con este el desarrollo del diseño del programa de monitoreo operativo.</t>
  </si>
  <si>
    <t>Presentaciones de resultados preliminares de los indicadores de medida inicial del procedimiento de selección de personal.
20210908_Matriz de Evaluación</t>
  </si>
  <si>
    <t>1.Correo "confirmación pruebas realizadas"-IPOC
2. Archivo "GTE020PDT002f001_V1_GLPI8272 23032021"-IPOC
1. correo "Envío compromisos reunión"_IOC
1. Correo "Historias de Usuario - Requerimientos Sistema CHV-FIVI"
2. Acta reunión 19-marzo-2021-FIVI</t>
  </si>
  <si>
    <t>Documento en word con las historias de usuario.</t>
  </si>
  <si>
    <t>Por medio de las mesas de trabajo se evidencian las entregas de las especificaciones en su totalidad y las historias de usuarios verificadas y aprobadas.</t>
  </si>
  <si>
    <t>Archivos de word  - Ayuda de memoria IPOC 01_09_2021  Avances Sistema Integrado SIPOC
Archivo de word -  IPOC modulo de cobertura y calidad de las historias de usuario.</t>
  </si>
  <si>
    <t>Basados en los documentos de rediseño de los aplicativos de recolección, se logra establecen un canal de comunicación con el área de sistemas para definir el marco de desarrollo de las novedades en los aplicativos web.</t>
  </si>
  <si>
    <t>Archivo con el documento cronograma ajustado.</t>
  </si>
  <si>
    <t>Se realiza la matriz de prueba del aplicativo y el histórico de correos con el avance del rediseño del aplicativo de recolección de IPOC.</t>
  </si>
  <si>
    <t>Archivo word - Avance del aplicativo de ELIC 
Archivo en excel  - matriz de pruebas y perfil de análisis_julio_22 _21</t>
  </si>
  <si>
    <t>Debido a que desde el 01 de septiembre no se tiene acceso al ambiente de pruebas por la falla tecnológica presentada en la entidad, se ha retrasado la ejecución de pruebas y aprobación de la implementación de las historias de usuarios. Así como la ejecución de la prueba piloto prevista para el 25 de octrubre, hasta el momento no hay respuesta de sistemas sobre la fecha en que se tendrá establecido el servidor que soporta el ambiente de pruebas de los aplicativos en el rediseño.</t>
  </si>
  <si>
    <t>Documentos con las especificaciones a sistemas</t>
  </si>
  <si>
    <t>Según con el planteamiento inicial se realiza la entrega de las historias de usuarios ajustadas en el módulo de análisis como insumo para el diseño de los aplicativos web de las operaciones.</t>
  </si>
  <si>
    <t>Acta de reunión de temática y logística para el establecimiento de historias de usuarios_14 de septiembre
Archivo excel con las especificaciones del módulo análisis_CHV Modulo Analisis</t>
  </si>
  <si>
    <t>Documentos con las verificaciones de los municipios.</t>
  </si>
  <si>
    <t>Se cuenta con la consistencia y validación de los 34 municipios adicionales para ampliar la cobertura de publicación del CEED, se encuentra en espera para la reunión con los asesores de dirección el 13 de octubre</t>
  </si>
  <si>
    <t>13 archivos en excel con los paneles de ampliación de cada municipio.</t>
  </si>
  <si>
    <t>Se logra definir por medio de los registros de validación la consistencia de la información para lograr la ampliación de 34 municipios para la cobertura de CEED, y de 800 municipios para la ampliación de la ELIC, y por medio de la información histórica para la ampliación de cobertura de la FIVI y la actualización de la base de fortalecimiento del DNI.</t>
  </si>
  <si>
    <t>Un (1) archivo con la validación de la información histórica completa, para ampliar la cobertura de la ELIC a 800 municipios, entregada</t>
  </si>
  <si>
    <t>Matriz con el avance de recuperación y bitácora de seguimiento.</t>
  </si>
  <si>
    <t>Se recuperó la deuda histórica de 682 fuentes de las 800, a partir de la planeación realizada, se ha recuperado un avance superior a lo esperado en el tercer trimestre.</t>
  </si>
  <si>
    <t>Archivo de excel - Matriz de ELIC Ampl 29Septiembre2021_Recuperación historica.</t>
  </si>
  <si>
    <t>Informe final operativo.</t>
  </si>
  <si>
    <t>En el informe final se incluye Leasing habitacional en la cobertura temática de FIVI y se logra estabilidad en el reporte de parte de las fuentes de información.</t>
  </si>
  <si>
    <t>Archivo en excel con el adicional del cap4 de leasing habitacional.</t>
  </si>
  <si>
    <t>Un (1) archivo con las nuevas entidades financiadoras y contratos ingresados en el Directorio Nacional de Infraestructura - DNI</t>
  </si>
  <si>
    <t>Presentación con el operativo realizado.</t>
  </si>
  <si>
    <t>Se concluye el operativo de fortalecimiento con 29 fuentes financiadoras y 96 contratos nuevos de DNI.</t>
  </si>
  <si>
    <t>Archivo excel - Fortalecimiento del DNI.</t>
  </si>
  <si>
    <t>Una matriz en excel con la canasta de precios.</t>
  </si>
  <si>
    <t>Se logra establecer la base de información de los nuestos productos y las nuevas fuentes de información a adicionar en el operativo, el cual logra su integración para la operación estadística.</t>
  </si>
  <si>
    <t>Se realiza la evaluación de fuentes y artículos a excluir de la investigación, distribución de cargas de trabajo para comenzar en octubre el contacto de las nuevas fuentes y artículos nuevos.</t>
  </si>
  <si>
    <t xml:space="preserve">Archivo excel - Fase 1 de depuración_09_09_2021
Presentación de la implementación de CPC 2.1 y proyecto de depuración del IPP, </t>
  </si>
  <si>
    <t>Se realizó la programación y asignación de recursos para comenzar en septiembre de 2021.</t>
  </si>
  <si>
    <t>Archivo de excel - Información de recursos para el rediseño del ICCV.</t>
  </si>
  <si>
    <t>Para el rediseño de la operación ICCV se inicia con el presupuesto del rediseño y las especificaciones necesarias para los nuevos artículos, para la ejecución del operativo de campo.</t>
  </si>
  <si>
    <t>Se realizó el 27 de agosto el directorio y el manual de especificaciones para recolección.</t>
  </si>
  <si>
    <t>Archivo en word con el manual especificaciones consolidado rediseño ICCV.</t>
  </si>
  <si>
    <t>Se inicia el operativo el 8 de septiembre, presentando un retraso al inicio por inconvenientes del área de sistemas.</t>
  </si>
  <si>
    <t>Soporte de inicio del operativo de recolección.</t>
  </si>
  <si>
    <t xml:space="preserve">Documento en Word con especificaciones a Sistemas 
modulo de cargue captura validación y edición,
modulo parametrizador </t>
  </si>
  <si>
    <t>Se realizaron los ajustes pertinentes al documento de especificaciones de la herramienta de recolección, haciendo entrega final del documento.</t>
  </si>
  <si>
    <t>Archivo en word con las especificaciones técnicas definas.
1. Word especificaciopnes EXPO
2. Word especificaciones IMPO</t>
  </si>
  <si>
    <t>Se definen por medio de mesas de trabajo con el área temática y sistemas el documento de especificaciones técnicas para el diseño de la herramienta de validación y análisis para las operaciones de exportaciones e importaciones.</t>
  </si>
  <si>
    <t>Documento con la funcionalidad del proceso de critica</t>
  </si>
  <si>
    <t>Presetando los inconvenientes tecnológicos por parte del área de sistemas, se realizan las pruebas básicas de escritorio para su revisión por parte del área de sistemas.</t>
  </si>
  <si>
    <t>Se adelantan mesas de trabajo con los ingenieros y desarrolladores del aplicativo, definiendo los puntos de cada prueba a realizar.</t>
  </si>
  <si>
    <t>Correos y archivos de especificaciones de pruebas.</t>
  </si>
  <si>
    <t>Por inconvenientes con el área de sistemas, frente a la asignación o contratación de un profesional enfocado en el desarrollo del aplicativo, no ha sido posible la generación de pruebas realizadas al aplicativo.</t>
  </si>
  <si>
    <t xml:space="preserve">Documento con especificaciones 
modulo parametrizador 
modulo operativo 
modulo de seguimiento </t>
  </si>
  <si>
    <t>Se realizan los ajustes pertinentes al documento de especificaciones o requerimientos para el área de sistemas.</t>
  </si>
  <si>
    <t>Documento en word - Consolidado requerimientos EAC_Fases1 y 2</t>
  </si>
  <si>
    <t>Se establece el documento de especificaciones para el envío a sistemas, y con este documento se establecen los requerimientos para el desarrollo de la herramienta de recolección.</t>
  </si>
  <si>
    <t>C_INTERNO_2021</t>
  </si>
  <si>
    <t>Se realizan comunicaciones con el área de sistemas en los cuales se realizan los ajustes y se envían al área de sistemas para sus desarrollos.</t>
  </si>
  <si>
    <t>Correos con la definición de los ajustes a realizar y los documentos anexos a esto.</t>
  </si>
  <si>
    <t xml:space="preserve">Se tienen mesas de trabajo con los ingenieros de sistemas y los desarrolladores para el diseño y desarrollo de las pruebas. </t>
  </si>
  <si>
    <t>Correos con la citación a las mesas de trabajo con el área de sistemas y desarrolladores.</t>
  </si>
  <si>
    <t xml:space="preserve">Formato de sistemas en Excel donde se registra las modificaciones o mejoras al aplicativo </t>
  </si>
  <si>
    <t>Se realiza la comunicación con el área de sistemas para las modificaciones en las especificaciones de los módulos de productos y materiales, con esto se realiza la entrega total del documentos con las especificaciones de la herramienta de recolección, validación y análisis de la EAM.</t>
  </si>
  <si>
    <t>Correo con la solicitud de ajustes al aplicativo.</t>
  </si>
  <si>
    <t>Con la finalización de las especificaciones técnicas de la herramienta de recolección, se ajustan con sistemas los requerimientos del módulo de materiales y materias primas, se realizan las pruebas correspondientes y se avanza en el perfeccionamiento del desarrollo.</t>
  </si>
  <si>
    <t>Se realiza una solicitud adicional al desarrollo de la herramienta, por medio del ajuste al módulo de productos y materias primas, las cuales se realizan a sistemas para su modificación.</t>
  </si>
  <si>
    <t>Archivo en excel - Requerimiento de productos y materias primas</t>
  </si>
  <si>
    <t>Después de contar con los ajustes requeridos y surgidos en cada mesa de trabajo con el área de sistemas, se realizan las pruebas a la herramienta y sus resultados obtenidos.</t>
  </si>
  <si>
    <t>Archivo en excel con el resultados de las pruebas
Matriz Pruebas analisis prod y matp</t>
  </si>
  <si>
    <t>Documento en Word enviado a sistemas con especificaciones de los requerimientos de la encuesta</t>
  </si>
  <si>
    <t>Se remitieron las especificaciones de cada uno de los módulos del nuevo aplicativo de la EAS, asi como los reportes, validaciones y monitoreo.</t>
  </si>
  <si>
    <t>Archivo excel con especificaciones de los indicadores de la EAS</t>
  </si>
  <si>
    <t>En el proceso documental se lograron definir las especificaciones técnicas del desarrollo de la herramienta requerida y los ajustes del diseño de la misma, pero al no contar con el apoyo para el desarrollo no es posibles poner a prueba el diseño.</t>
  </si>
  <si>
    <t>Se hizo retroalimentación con sistemas entregando las solicitudes con la matriz requerida.</t>
  </si>
  <si>
    <t>Archivo de excel con la solicitud de sistemas del ajuste.</t>
  </si>
  <si>
    <t>No se pudo avanzar en el hito dado que por incovenientes de sistemas, se está a la espera de la contratación de un ingeniero para el respectivo desarrollo de la herramienta, para poder iniciar con las pruebas de funcionalidad.</t>
  </si>
  <si>
    <t>Por incovenientes de sistemas, se está a la espera de la contratación de un ingeniero para el respectivo desarrollo de la herramienta, para poder iniciar con las pruebas de funcionalidad.</t>
  </si>
  <si>
    <t xml:space="preserve">Documento en Word con especificaciones de mejora al aplicativo de encuesta anual de inversión extranjera directa y pruebas de funcionalidad </t>
  </si>
  <si>
    <t xml:space="preserve">Se entregaron las especificaciones de fraseo, de validación, usuario analista, reporte especificos. </t>
  </si>
  <si>
    <t>Documento excel con el diseño para el desarrollo de la herramienta 
Matriz de ejecución de pruebas_GTE020PDT002F001_V1</t>
  </si>
  <si>
    <t>Se logra definir el documento con el diseño y desarrollo del aplicativo de la Encuesta Anual de Inversión extranjera y directa, pero por demoras en el desarrollo del módulo de régimen especial, se realiza el análisis por medio de hojas de cálculo.</t>
  </si>
  <si>
    <t>Se realizaron las pruebas de funcionalidda con aprobación de lo solicitado.</t>
  </si>
  <si>
    <t>Se entregan 15 documentos de excel con las pruebas realizadas.</t>
  </si>
  <si>
    <t>Quedo pendiente el desarrollo de módulo para unidades de regimen especial, por lo que se implemento un formato en excel para analizar las varaibles y en mesa tecnica con el Banco de la República y Temática, generar las especificaciones para este módulo para el operativo del 2022.</t>
  </si>
  <si>
    <t xml:space="preserve">Una base en Excel del directorio de la MTA que cumple con los parametros de la investigación </t>
  </si>
  <si>
    <t xml:space="preserve">Se realizó una verificación 915 empresas para identificar duplicados en dirección, actividad principal y si estaba activo o inactivo según registro de RUES. Este ejercicio se hizo como aporte a la contrucción del directorio marco. </t>
  </si>
  <si>
    <t>Entrega archivo en excel con los registros actualizados 
Cponsolidado_Dir_MTA_Final_240821
Un archivo en pdf con la verificación de duplicidad.</t>
  </si>
  <si>
    <t>Se realiza la consolidación documental y la actualización de las bases de datos para el diligenciamiento y crítica para la MTA, según mesas con temática se define la ejecución de la operación para el 2022, lo que impide la generación de base de datos del operativo de recolección.</t>
  </si>
  <si>
    <t>Documento borrador en Word y presentación correspondiente al material de aprendizaje</t>
  </si>
  <si>
    <t xml:space="preserve">Se generaron documentos borradores, de manual operativo, manual de crítica y presentación de novedades. </t>
  </si>
  <si>
    <t>Archivos en word con los borradores del manual operativo, manual de crítica y novedades.</t>
  </si>
  <si>
    <t xml:space="preserve">El operativo de campo de recolección no se llevará a cabo este año, por lo que se programa para el 2022. Este lineamientos fue generado desde temática. </t>
  </si>
  <si>
    <t>Una base en Excel  para el directorio de la MTCES que cumple con los parametros de la investigación</t>
  </si>
  <si>
    <t>Se genera base de datos de las fuentes que cruzan con el directorio de levantamiento, de las encuestas estructurales económicas y de la MTCES para identificar las fuentes nuevas.</t>
  </si>
  <si>
    <t>Archivo de excel con la base actualizada del directorio de empresas EAS y EAC</t>
  </si>
  <si>
    <t>Se realiza la actualización de la información de datos de empresas, de igual forma y con esta actualización se realizan los ajustes necesarios al manual operativo, de crítica y la presentación para el levantamiento de la información de la MTCES.</t>
  </si>
  <si>
    <t xml:space="preserve">Se elaboró el manual operativo, manual de crítica, presentación y material para proceso de capacitación.  </t>
  </si>
  <si>
    <t>Archivos word con los documentos borrador de manual operativo y manual de crítica al igual que una presentación con el levantamiento de información de la MTCES.</t>
  </si>
  <si>
    <t xml:space="preserve">Se realizan pruebas de funcionalidad para el aplicativo de levantamiento de directorio con compromiso de entrega para el 19 de octubre. Estaria pendiente el desarrollo del aplicativo de rediseño el cual esta planteado para el mes de noviembre y diciembre. </t>
  </si>
  <si>
    <t>Archivo de excel con la base actualizada del directorio de empresas.directorio EAS y EAC</t>
  </si>
  <si>
    <t xml:space="preserve">Documento en Word con especificaciones a Sistemas </t>
  </si>
  <si>
    <t>Se consolidan los documentos soporte de las mejoras a realizar en los aplicativos de captura y análisis en las investigaciones de ESAG y SIPSA, y dado los inconvenientes tecnológicos presentados en este trimestre, no se logra con el porcentaje esperado de avance.</t>
  </si>
  <si>
    <t>PAI_GITLOG_21.2</t>
  </si>
  <si>
    <t>Se reaiza el avance de los documentos con las pruebas realizadas de los aplicativos</t>
  </si>
  <si>
    <t>Documento en word - Pruebas solicitudes de los requerimientos a sistemas 2021</t>
  </si>
  <si>
    <t>Por solicitud de la dirección, la oficina de sistemas tuvo que modificar la base de datos de SIPSA de acuerdo a la clasificación CPC lo cual fue prioritario e impacto sobre el cronograma de pruebas a los avances de las mejoras a los aplicativos. En la ESAG se mantiene suspendido el desarrollo del aplicativo por el daño presentado en la oficina de sistemas el 1 de septiembre</t>
  </si>
  <si>
    <t>PAI_GITLOG_21.3</t>
  </si>
  <si>
    <t xml:space="preserve">Retroalimentación con el area de Sistema con los resultados a las pruebas de los aplicativos </t>
  </si>
  <si>
    <t>Se realiza el avance del documento con las pruebas realizadas al aplicativo de recoleccion</t>
  </si>
  <si>
    <t>Archivo de excel con el formato de pruebas realizadas a ESAG. 
20210714_Formato matriz de pruebas ESAG
Archivo de excel con el formato de pruebas realizadas a SIPSA 7/24.
20210714_Formato matriz de pruebas7_24</t>
  </si>
  <si>
    <t>Un documento en Word con las especificaciones del aplicativo de captura</t>
  </si>
  <si>
    <t>Se realizan los procesos correspondientes de selección, capacitación y contratación del personal requerido para la ejecución de la operación, de igual forma la recolección de información con algunos inconvenientes de contratación y cobertura que se cubrirán el octubre y se logra el total del porcentaje para el siguiente trimestre.</t>
  </si>
  <si>
    <t>Ficha operativa con la que se hace la convocatoria</t>
  </si>
  <si>
    <t xml:space="preserve">Documentos necesarios para la publicacion de la convocatoria y entrenamiento del personal </t>
  </si>
  <si>
    <t xml:space="preserve">Documento en word con la ficha técnica de la convocatoria del personal.
Documento en word con la infografía de SIPSA 7/24 </t>
  </si>
  <si>
    <t>De un total de 148 personas a nivel nacional se dejó de contratar a 8 personas en la ciudad de Bogotá, lo que corresponde a un 5% que se contratarán en el mes de octubre y lograr completar el 100%</t>
  </si>
  <si>
    <t>Se realiza el consolidado de la base de datos del operativo de campo.</t>
  </si>
  <si>
    <t>Archivo excel con la base de datos operativo de 7/24 septiembre</t>
  </si>
  <si>
    <t xml:space="preserve">Hace falta el 8.2 % que corresponde a 3 plazas de mercado de Bogotá (Paloquemao Samper Mendoza y las flores) que no se lograron monitorear en el mes de septiembre y se recolectará la información en el mes de octubre </t>
  </si>
  <si>
    <t>\\systema20\Seg_Planes_institucionales\02_DICE\Plan de Acción 2021\PAI_DICE_1\PAI_DICE_1.1\I. TRIMESTRE</t>
  </si>
  <si>
    <t>DIFUSIÓN - 2019011000147</t>
  </si>
  <si>
    <t xml:space="preserve">Para el primer semestre del 2021 se han entregado los siguientes visores de datos: 
I - Trimestre: 
1. Visor de datos del Censo de Habitantes de Calle 2020 (Finalizado).
II- Trimestre. 
2. Visor de datos Población Ocupada por Actividad Económica  (Finalizado).
III - Trimestre.
3. Censo Económico - Conteo de Unidades Económicas (Finalizado).
4. Visor datos SIPSA - Este visor aún se encuentra en desarrollo teniendo en cuenta que se le van a implementar más variables que permitan una mayor cobertura de información.
5. Visor de pobreza - En desarrollo. 
</t>
  </si>
  <si>
    <t>\\systema20\Seg_Planes_institucionales\02_DICE\Plan de Acción 2021\PAI_DICE_1\PAI_DICE_1.2\II TRIMESTRE</t>
  </si>
  <si>
    <t>VISOR DE DATOS CE_CONTEO UNIDADES ECONÓMICAS.pdf</t>
  </si>
  <si>
    <t xml:space="preserve">Para el III trimestre en fase de desarrollo se encuentran los siguientes visores: 
Visor datos SIPSA - Este visor aún se encuentra en desarrollo teniendo en cuenta que se le van a implementar más variables que permitan una mayor cobertura de información.
Visor de Pobreza - https://sitios.dane.gov.co/pobreza/: En desarrollo, se publicará finalizado en el mes de noviembre.
</t>
  </si>
  <si>
    <t>VISOR SIPSA
VISUALIZADOR DE DATOS POBREZA</t>
  </si>
  <si>
    <t>\\systema20\Seg_Planes_institucionales\02_DICE\Plan de Acción 2021\PAI_DICE_2\PAI_DICE_2.1</t>
  </si>
  <si>
    <t xml:space="preserve">Se realiza la entrega actualizada y en versión final de la guía de instalación.
</t>
  </si>
  <si>
    <t>Instalación APP SIPSA.</t>
  </si>
  <si>
    <t>La App móvil de SIPSA para el componente de precios mayoristas se encuentra desarrollada para móviles con Sistema Operativo Android; en el mes de septiembre se entrega  la guía de instalación, la cual permite a los usuarios visualizar la app en los dispositivos móviles;  adicional se entrega demo en vídeo de la app realizado en un emulador Nexus 5X, generado con la herramienta Android Studio. El emulador permite visualizar los avances de la app sin necesidad de instalarla. 
Ver vídeo anexo.
Actualmente se están desarrollando las fases de pruebas a cada una de las siguientes funcionalidades:
• Bienvenida – Inicio.
• Productos.
• Mercados.
• Top – precio.
• Top – Variación.
• Historias.
• Preferidos.
• Información.
Las pruebas se realizan mediante un formato que consolida la siguiente información y que es requisito previo para la entrega de la App.
1. Información del proyecto.
2. Información general del solicitante.
3. información de la persona que realiza las pruebas.
4. Control de versiones, revisiones y aprobaciones del documento.
5. Configuración de pruebas: nombre del ambiente; por ejemplo, si se realizó en móvil o emulador con Android Studio.
6. Resultado: en esta parte se define si es aprobado o desaprobado, en este último caso se informa la falla que se presenta y se corrige dentro del ciclo de desarrollo de software.</t>
  </si>
  <si>
    <t>EMULADOR APP SIPSA
ANEXO 5_formato_prueba_funcional_app_sipsa (1)</t>
  </si>
  <si>
    <t>\\systema20\Seg_Planes_institucionales\02_DICE\Plan de Acción 2021\PAI_DICE_3\PAI_DICE_3.1\II TRIMESTRE</t>
  </si>
  <si>
    <t xml:space="preserve">Se entrega la actualización de la propuesta para el aplicativo. 
Anexo. Realidad aumentada_prototipo-Sep </t>
  </si>
  <si>
    <t xml:space="preserve">Realidad aumentada_prototipo-Sep
Realidad aumentada_sep </t>
  </si>
  <si>
    <t xml:space="preserve">La app se encuentra en fase de puebas. A la fecha ya se puede visualizar el desarrollo en los moviles de prueba incluido el prototipo de reconocimiento facial para encuestador. </t>
  </si>
  <si>
    <t>Se codificó el 70% de la navegación de la aplicación Android y adicionalmente se inició el desarrollo de la aplicación para reconocimiento facial, que permitirá entrenar los modelos y generar las bases de datos con la información de los landsmarks (puntos de interés) de los rostros de encuestadores. Se entrega vídeo demo de la app en emulador que evidencia el desarrollo y pruebas realizadas.</t>
  </si>
  <si>
    <t>EMULADOR REALIDAD AUMENTADA</t>
  </si>
  <si>
    <t>\\systema20\Seg_Planes_institucionales\02_DICE\Plan de Acción 2021\PAI_DICE_4\PAI_DICE_4.1\I TRIMESTRE</t>
  </si>
  <si>
    <t>\\systema20\Seg_Planes_institucionales\02_DICE\Plan de Acción 2021\PAI_DICE_4\PAI_DICE_4.2\I TRIMESTRE</t>
  </si>
  <si>
    <t>\\systema20\Seg_Planes_institucionales\02_DICE\Plan de Acción 2021\PAI_DICE_4\PAI_DICE_4.2\II TRIMESTRE</t>
  </si>
  <si>
    <t xml:space="preserve">Para el III trimestre se avanza en la implementación de la segunda funcionalidad denominada Clasificación automática de preguntas no resueltas. 
La funcionalidad permite clasificar y resolver las inquietudes presentadas por consulta de los ciudadanos y que no pueden ser atendidas por el asesor virtual, con esto se puede actualizar rápidamente la base de conocimientos del chatbot y programar la prioridad temática de actualización para los asesores humanos que apoyan el sistema. Lo anterior, de acuerdo con las características establecidas en el contrato número CO1.PCCNTR.2429705 de 2021. La funcionalidad se encuentra en un 78 % de avance y se procederá para el último trimestre a integrarla con la base de datos de producción.  </t>
  </si>
  <si>
    <t>Avance de funcionalidad II.</t>
  </si>
  <si>
    <t xml:space="preserve">No aplica. </t>
  </si>
  <si>
    <t xml:space="preserve">En el marco del proyecto de inversión con código BPIN 2019011000147 que tiene como objetivo fortalecer de la difusión de la información estadística producida por el DANE, se definió como actividad: crear un sistema de medición de la percepción de la información estadística producida por el DANE.
Para la presente vigencia uno de los hitos son los resultados Encuesta de Percepción sobre la confianza de las estadísticas oficiales realizada por la Universidad de Antioquía. Esta encuesta tuvo como uno de sus objetivos conocer la percepción que tienen las personas de 18 años y más de los hogares, los usuarios de los servicios e información estadística, las empresas y el gobierno sobre la confianza en las estadísticas que produce y difunde el DANE.
Esta información se encuentra publicada en el link de la página oficial del DANE https://www.dane.gov.co/index.php/actualidad-dane/5402-encuesta-de-percepcion-sobre-la-confianza-de-las-estadisticas-oficiales-universidad-de-antioquia.
La presentación y análisis de los resultados se realizó mediante un webinar al que se puede acceder a través del link https://www.youtube.com/watch?v=M-Kp6wkaYSA. 
Uno de los principales resultados que arrojó la encuesta en la que participaron 20.230 entre personas, entidades gubernamentales, empresas y usuarios, es que el 62,6% de las personas confían en las estadísticas oficiales que produce y difunde el DANE.
</t>
  </si>
  <si>
    <t>Divulgación de la Encuesta de percepción sobre la confianza en las estadísticas oficiales.
EVIDENCIA PUBLICACIÓN_ ENCUESTA DE PERCEPCIÓN SOBRE LA CONFIANZA DE LAS ESTADÍSTICAS OFICIALES
Presentacion-webinar-09-jun-2021-resultados-encuesta-de-confianza</t>
  </si>
  <si>
    <t xml:space="preserve">En el marco del proyecto de inversión con código BPIN 2019011000147 que tiene como objetivo fortalecer de la difusión de la información estadística producida por el DANE, se definió como actividad: crear un sistema de medición de la percepción de la información estadística producida por el DANE.
Para la presente vigencia uno de los hitos son los resultados Encuesta de Percepción sobre la confianza de las estadísticas oficiales realizada por la Universidad de Antioquía. Esta encuesta tuvo como uno de sus objetivos conocer la percepción que tienen las personas de 18 años y más de los hogares, los usuarios de los servicios e información estadística, las empresas y el gobierno sobre la confianza en las estadísticas que produce y difunde el DANE.
Esta información se encuentra publicada en el link de la página oficial del DANE https://www.dane.gov.co/index.php/actualidad-dane/5402-encuesta-de-percepcion-sobre-la-confianza-de-las-estadisticas-oficiales-universidad-de-antioquia.
La presentación y análisis de los resultados se realizó mediante un webinar al que se puede acceder a través del link https://www.youtube.com/watch?v=M-Kp6wkaYSA. 
Uno de los principales resultados que arrojó la encuesta en la que participaron 20.230 entre personas, entidades gubernamentales, empresas y usuarios, es que el 62,6% de las personas confían en las estadísticas oficiales que produce y difunde el DANE.
</t>
  </si>
  <si>
    <t>\\systema20\Seg_Planes_institucionales\02_DICE\Plan de Acción 2021\PAI_DICE_6\II TRIMESTRE</t>
  </si>
  <si>
    <t>Se implementó la funcionalidad de reportes que permite generar información consolidada según el canal utilizado. Se encuentra en fase final y se entregará finalizada en el mes de noviembre.</t>
  </si>
  <si>
    <t>En el Sistema de Información de Atención a la Ciudadanía –SIAC se implementó la funcionalidad de reportes, esta permite generar información consolidada según el canal utilizado, calificación por categoría y el ponderado por categoría donde la sumatoria del ponderado de la categoría da como el resultado el indicador de servicio.</t>
  </si>
  <si>
    <t>ANEXO 7_Análisis-propuesta-reportes-SIAC-09.pdf</t>
  </si>
  <si>
    <t>\\systema20\Seg_Planes_institucionales\02_DICE\Plan de Acción 2021\PAI_DICE_7\PAI_DICE_7.1\I TRIMESTRE</t>
  </si>
  <si>
    <t xml:space="preserve">La estrategia de relacionamiento del DANE busca movilizar a los diferentes grupos de interés en torno al uso y comprensión de la información que produce la entidad. Dicha estrategia se fundamenta en dos elementos: 1- la construcción de contextos de referencia, interpretación y acercamiento al acceso, uso y comprensión de la información estadística, de acuerdo con las necesidades de cada uno de los grupos de interés; y 2- generación de confianza en las fuentes primarias de información para facilitar los procesos de recolección de información.
Con base en este marco conceptual y tomando como punto de partida la iniciativa del CAMPUS DANE, en el periodo 13 de enero de 2021 a 30 de septiembre de 2021 la entidad adelantó 44 espacios de aprendizaje con el personal operativo de 14 operaciones estadísticas sociales y económicas, con el objetivo de consolidar el relacionamiento en un eje transversal imprescindible para todas las actividades del proceso estadístico de la entidad, en donde se destacan por número de aprendizajes realizados la Gran Encuesta Integrada de Hogares - GEIH, la Encuesta Nacional de Uso del Tiempo- ENUT, la Encuesta Nacional de Tecnologías de la Información y la Comunicación – ENTIC, la Encuesta de Convivencia y Seguridad Ciudadana – ECSC y el piloto y experimental del Censo Económico.
</t>
  </si>
  <si>
    <t>\\systema20\Seg_Planes_institucionales\02_DICE\Plan de Acción 2021\PAI_DICE_7\PAI_DICE_7.2\II TRIMESTRE</t>
  </si>
  <si>
    <t xml:space="preserve">Para el III trimestre se realiza la entrega del informe de acciones ejecutadas. Este informe describe  el enfoque utilizado desde el Grupo Interno de Trabajo de Relacionamiento con Grupos de Interés. </t>
  </si>
  <si>
    <t>11102021Relacionamiento con grupos de interés (2)_informe (1)</t>
  </si>
  <si>
    <t>\\systema20\Seg_Planes_institucionales\02_DICE\Plan de Acción 2021\PAI_DICE_8\PAI_DICE_8.1\I TRIMESTRE</t>
  </si>
  <si>
    <t xml:space="preserve">La comunicación como un proceso estratégico de la entidad se entiende como una comunicación orgánica que cuida su propósito comunicativo a través del mensaje, no se trata únicamente de “aparecer” en los medios masivos de comunicación o tener seguidores en la redes sociales, sino de lograr el propósito de la cultura estadística: una sociedad que usa y construye más y mejores datos. En este sentido, el mensaje debe estar articulado con la realidad social, el propósito es que los usuarios y fuentes de información estadística la encuentren útil más allá del componente técnico y sin necesidad de que tengan una formación o conocimiento previo. 
Para lograrlo, el proceso de comunicación se anticipa con acciones comunicativas dirigidas a los diversos grupos de interés a los momentos estratégicos o coyunturales, no es un proceso que responde únicamente a las demandas de los equipos encargados de la producción de información estadística. Por lo anterior, se convierte en un proceso transversal y permanente a las fases del proceso estadístico, no únicamente de entrada y de salida del proceso. Para ello, a través de las acciones de pedagogía social y comunicación que se implementan en el marco del relacionamiento con grupos de interés, se consolidó la sensibilización transversal que tiene el propósito de establecer un relacionamiento a largo plazo con los grupos de interés (actores clave y fuentes de información) involucrados en proceso de producción de información estadística desde la conceptualización de la movilización social alrededor de las diferentes operaciones estadísticas de la entidad a nivel nacional. Este relacionamiento a largo plazo es el punto de partida para caracterizar estos grupos lo que permite implementar mejores acciones de comunicación para garantizar el acceso, uso y comprensión de la información estadística que produce la entidad así como implementar las mejoras necesarias en la fase de recolección de información. 
</t>
  </si>
  <si>
    <t>\\systema20\Seg_Planes_institucionales\02_DICE\Plan de Acción 2021\PAI_DICE_8\PAI_DICE_8.2\II TRIMESTRE</t>
  </si>
  <si>
    <t xml:space="preserve">Se realiza la entrega el  informe con el balance y propuesta de mejora - caracterización de actores clave. </t>
  </si>
  <si>
    <t>11102021_InformeCaracterización2021_V2_06.10.2021 (2)</t>
  </si>
  <si>
    <t>PAI_DCD_1.1 
EEVV</t>
  </si>
  <si>
    <t>Se realizó una reunión entre el equipo de ingenieros de EEVV y el equipo de Gestión de Información de la Oficina de Sistemas para  el levantamiento de requerimientos de acuerdo con el modelo de interoprabilidad del MINTIC.</t>
  </si>
  <si>
    <t xml:space="preserve">Se realizó una reunión entre el equipo de ingenieros de EEVV y el equipo de Gestión de Información de la Oficina de Sistemas para  el levantamiento de requerimientos de acuerdo con el modelo de interoprabilidad del MINTIC. </t>
  </si>
  <si>
    <t>PAI_DCD_1.2
EEVV</t>
  </si>
  <si>
    <t>No aplica para este periodo</t>
  </si>
  <si>
    <t>PAI_DCD_2.1
PPED</t>
  </si>
  <si>
    <t>http://www.juntadeandalucia.es/institutodeestadisticaycartografia/proyecciones/descarga/Manual_Usuario.pdf</t>
  </si>
  <si>
    <t>A bayesian approach to population estimation with administrative data (1)</t>
  </si>
  <si>
    <t>Documentación de algoritmos revisados y del manual de usuario</t>
  </si>
  <si>
    <t>Informe técnico: Software informe (preliminar).doc</t>
  </si>
  <si>
    <t>Documentación del uso de instrumentos de proyección revisados</t>
  </si>
  <si>
    <t>PAI_DCD_2.2
PPED</t>
  </si>
  <si>
    <t xml:space="preserve">NO APLCA </t>
  </si>
  <si>
    <t>Desarrollo del proceso de adaptación de algoritmos</t>
  </si>
  <si>
    <t>Manuales de usuario e instalación de software</t>
  </si>
  <si>
    <t>Discusiones técnicas de revisión de manuales de usuario e instalación de software</t>
  </si>
  <si>
    <t>PAI_DCD_3.1
PPED</t>
  </si>
  <si>
    <t>Un (1) diseño temático para la elaboración del estudio de la migración interna para población étnica y no étnica, elaborado.</t>
  </si>
  <si>
    <t>Se adjunta Fichas Postcensales_PAI</t>
  </si>
  <si>
    <t>fichas postcensales - demografía - 2021 (1)</t>
  </si>
  <si>
    <t>Propuesta técnica de trabajo para la caracterización de la migración interna intermunicipal</t>
  </si>
  <si>
    <t>Propuesta de investigación a ser financiada por Convenio UNFPA</t>
  </si>
  <si>
    <t>Se realiza la publicación de 2 estudios postcensales,  Avances consultoría Prof. Joaquín Recaño Valverde (UAB), Avances consultoría Prof. Juan Andrés Castro (U. Externado)</t>
  </si>
  <si>
    <t xml:space="preserve">PAI_DCD_3.2
CENSOS </t>
  </si>
  <si>
    <t>Un (1) diseño temático de la segunda fase del estudio de autoreconocimiento, como parte del estudio de caracterización étnica, realizado.</t>
  </si>
  <si>
    <t>Propuesta  2021 DANE- UNFPA_revDCD +  UNFPA 240621</t>
  </si>
  <si>
    <t>Con respecto a ala fase 2 del estudio, la AECI ya aprobó el presupuesto, sin embargo, cambiaron al director y esto retrasa el proceso final</t>
  </si>
  <si>
    <t>Como estrategia se tiene contemplada la realización de un evento de visibilización estadística de la población NARP. El UNFPA va a contratar a un experto para que diseñe la planeación operativa e incluya los aprendizajes recogidos en el evento, lo  cual complementará la propuesta DANE para dar cumplimiento al hito</t>
  </si>
  <si>
    <t xml:space="preserve">PAI_DCD_3.3
CENSOS
</t>
  </si>
  <si>
    <t>Un (1) informe de estadística sociodemográfica aplicada, para contribuir al aseguramiento del goce efectivo a los derechos fundamentales de las niñas y niños de la comunidad Wayuu (en cumplimiento de la sentencia T-302- de 2017), realizado.</t>
  </si>
  <si>
    <t>BOLETÍN DE INFORMACIÓN WAYUU</t>
  </si>
  <si>
    <t>Se elaboró y publico el Boletín de información sociodemográfica del pueblo wayuu.</t>
  </si>
  <si>
    <t>Boletín -Registro Estadistico  Pueblo-Wayuu y link de publicación</t>
  </si>
  <si>
    <t>PAI_DCD_3.4
PPED</t>
  </si>
  <si>
    <t>TDR Postcensal Migración Internacional + UNFPA_20210630_revDCD</t>
  </si>
  <si>
    <t>Se realiza y publica la Caracterización de los migrantes y retornados desde Venezuela a partir del CNPV-2018. Reuniones de seguimiento.</t>
  </si>
  <si>
    <t>Caracterización migrantes y retornados desde venezuela CNPV.2018 y  Comunicación UNFPA (Postcensal Migración Internacional.jpg)</t>
  </si>
  <si>
    <t xml:space="preserve">PAI_DCD_3.5
PPED
</t>
  </si>
  <si>
    <t>Reuniones de seguimiento</t>
  </si>
  <si>
    <t>Comunicación UNFPA (Postcensal Migración Internacional.jpg)</t>
  </si>
  <si>
    <t>PAI_DCD_3.6
CENSOS</t>
  </si>
  <si>
    <t>Un (1) diseño temático para la elaboración del estudio post censal de mortalidad indígena, elaborado.</t>
  </si>
  <si>
    <t>TDR Postcensal Mortalidad_Indígena-Afro_14_05_21</t>
  </si>
  <si>
    <t>Se realizan los procesamientos para estimar los patrones de mortalidad de la población indígena, para  realizar un boletín estadístico por parte del equipo DANE.</t>
  </si>
  <si>
    <t>Procesamientos de información sobre Mortalidad Indígena_Femenina y masculina 2005</t>
  </si>
  <si>
    <t>PAI_DCD_4.1
PPED</t>
  </si>
  <si>
    <t>Resultados de la Integración del REBP Nacional 2019.xlsx</t>
  </si>
  <si>
    <t>GESTION DE PROVEEDORES DE REGISTROS ADMINISTRATIVOS 2020</t>
  </si>
  <si>
    <t xml:space="preserve">Esta actividad se cumplió en el primer trimestre </t>
  </si>
  <si>
    <t>PAI_DCD_4.2
PPED</t>
  </si>
  <si>
    <t>Carpeta: Actualización REBP</t>
  </si>
  <si>
    <t>Link Estadística Experimental</t>
  </si>
  <si>
    <t>Anonimización del REBP mediante HASH.doc,</t>
  </si>
  <si>
    <t>Aplicación de algoritmos de anonimización de referencia internacional HASH</t>
  </si>
  <si>
    <t>PAI_DCD_4.3
PPED</t>
  </si>
  <si>
    <t>Informes técnicos (formato word - extensión .docx)</t>
  </si>
  <si>
    <t>REBP 2018 construcción y diagnóstico</t>
  </si>
  <si>
    <t>PAI_DCD_4.4
PPED</t>
  </si>
  <si>
    <t>Plan General_REBP_V20210209.docx</t>
  </si>
  <si>
    <t>METODOLOGÍA_REG_ADMIN 
 Presentación REBP Mayo 2020</t>
  </si>
  <si>
    <t>Se realizó una investigación para la implementación en SAS y en SQL Server, con la documentación del proceso ejecutado.</t>
  </si>
  <si>
    <t xml:space="preserve">Metodología act 2021 REBP, </t>
  </si>
  <si>
    <t>PAI_DCD_4.5
PPED</t>
  </si>
  <si>
    <t>Presentacion REBP Grupo Interno Feb2020 v3.docx</t>
  </si>
  <si>
    <t>Nota técnica REBP 2018 Revisión 100721 - SR</t>
  </si>
  <si>
    <t>Socialización de resultados</t>
  </si>
  <si>
    <t>2021-10-01-Registro-Estadistico-Base-Poblacion-REBP-2018.doc</t>
  </si>
  <si>
    <t>Asistencia técnica a usuarios internos</t>
  </si>
  <si>
    <t>PAI_DCD_4.7
PPED</t>
  </si>
  <si>
    <t>Artículo técnico (preliminar)</t>
  </si>
  <si>
    <t>*Manual Índice de Vulnerabilidad
*Nota_metodologica_indice_de_vulnerabilidadNota_metodologica_indice_de_vulnerabilidad
*Nota_metodologica_indice_de_vulnerabilidad
*Vulnerability Index Agenda
*Vulnerability Index Worskshop Session 1</t>
  </si>
  <si>
    <t>Entrega de resultados</t>
  </si>
  <si>
    <t xml:space="preserve">Link Visor de vulnerabilidad de embarazo adolescente </t>
  </si>
  <si>
    <t>Publicación en web institucional</t>
  </si>
  <si>
    <t>PAI_DCD_4.8
PPED</t>
  </si>
  <si>
    <t>20210308 1ra mesa de trabajo CSTI.pptx</t>
  </si>
  <si>
    <t>ANALISIS DE CONTEXTO DE LA FECUNDIDAD</t>
  </si>
  <si>
    <t>Reuniones semanales NTA/CSTI</t>
  </si>
  <si>
    <t>Pantallazo reunión - Postcensal dinámica de transición demográfica y Ejercicios prácticos (FRECUENCIA_TIPOS_HOGAR (1).xls),</t>
  </si>
  <si>
    <t>Coordinación y convocatorias DSCN</t>
  </si>
  <si>
    <t>PAI_DCD_5.1
CENSOS</t>
  </si>
  <si>
    <t>Se adjunta:
-  Informe descriptivo Autocensos_2017-2019
- PAI_Registro de poblacion étnica Mininterior Prelim</t>
  </si>
  <si>
    <t>Registro de poblacion étnica Mininterior Prelim_AVegaL_revHCO (2)</t>
  </si>
  <si>
    <t>Se complemetan los procesos de la propuesta metodológica del registro de población étnica: diseño conceptual y metodológico, conceptos básicos, contenido temático, entre otros.Se elabora la metodología e incorpora conceptos estandarizados</t>
  </si>
  <si>
    <t>PAI_Registro de poblacion étnica Mininterior 30072021.docx</t>
  </si>
  <si>
    <t>Se elabora la metodología e incorpora conceptos estandarizados</t>
  </si>
  <si>
    <t>PAI_DCD_5.2
CENSOS</t>
  </si>
  <si>
    <t>Se adjunta:- Informe descriptivo Autocensos_2017-2019
- PAI_Registro de poblacion étnica Mininterior Prelim</t>
  </si>
  <si>
    <t>Se profundiza en los lineamientos técnicos para el diseño del proceso estadístico de los listados censales siguiendo el GSBPM y se realiza propuesta de formulario. Se encuentra en revisión por parte del Ministerio del Interior.</t>
  </si>
  <si>
    <t xml:space="preserve">Se profundiza en los lineamientos técnicos para el diseño del proceso estadístico de los listados censales siguiendo el GSBPM y se realiza propuesta de formulario. </t>
  </si>
  <si>
    <t>PAI_DCD_5.3
CENSOS</t>
  </si>
  <si>
    <t>Se establece contacto con el Ministerio del Interior, quienes informan que la concertación y socialización de este trabajo se realizará en el último trimestre de 2021</t>
  </si>
  <si>
    <t>PAI_DCD_5.4
CENSOS</t>
  </si>
  <si>
    <t>Presentación resultados CNPV 2018 Huila 03062021
Boletin_Kogui</t>
  </si>
  <si>
    <t>Se realizó el taller de difusión con el pueblo Kogui. Adicionalmente, se asitió a reunión con los representantes del Resguardo Indígena Páez de Corinto, en donde se presentaron los resultados del CNPV 2018. Por último, se presentaro resultados a indígenas asentados en contextos urbanos en Montería.</t>
  </si>
  <si>
    <t>Presentacion población indígena en Montería CNPV 2018_BR.ppt
PPT Rdo Páez de Corinto_DANE_3082021
Presentación Kogui v2
Presentación Kogui parte 2 v2</t>
  </si>
  <si>
    <t>PAI_DCD_5.5
CENSOS</t>
  </si>
  <si>
    <t>Se realiza el procesamiento de algunas salidas de información de la población víctima, las cuales se utilizarán en la producción del boletín informativo y del informe técnico</t>
  </si>
  <si>
    <t>Cuadros de salida  POBLACIÓN VÍCTIMA RUV CNPV 2018 .xlsx</t>
  </si>
  <si>
    <t>Se avanza en la descripción de resultados para el informe técnico</t>
  </si>
  <si>
    <t>PAI_DCD_6.1
CENSOS</t>
  </si>
  <si>
    <t>Se adjunta Metodologia CHC 2021 V7_14_03_2021_revHCO</t>
  </si>
  <si>
    <t>Se adjunta Metodologia CHC 2021 Metodologia CHC 2021 V7_ final -revHCO</t>
  </si>
  <si>
    <t>En el  tercer trimestre del año 2021, se continuó ajustando de acuerdo a los lineamientos establecidos por DIRPEN, el documento metodológico de la operación estadística  "Censo Habitantes de la Calle".
Se detalló de una forma más descriptiva  los capítulos que hacen parte del documento. El documento se encuentra en proceso de revisión en la Dirección Técnica DCD</t>
  </si>
  <si>
    <t>Se adjunta Metodológia CHC 2021 V7_ final -revHCO - Actualizada</t>
  </si>
  <si>
    <t xml:space="preserve">Se avanzó en el ajuste del documento metodológico para la realización del CHC durante la presente vigencia.
</t>
  </si>
  <si>
    <t>PAI_DCD_6.2
CENSOS</t>
  </si>
  <si>
    <t>Se adjuta documento  DSO-CHC-CSA-OO1 Diseño de cuadros de salida CHC (1)</t>
  </si>
  <si>
    <t>En este periodo se realizó el proceso de elaboración y revisión de  los cuadros de resultados de la información tomada en 2021; finalmente fueron enviados a DICE para realizar el proceso de  edición y estilo y elaboración del Visor del CHC.</t>
  </si>
  <si>
    <t>Cuadros de salida finales_CHC_2021_230921</t>
  </si>
  <si>
    <t xml:space="preserve">Se realizaron las revisiones y ajustes de los cuadros de salida CHC 2021.
Se adelantaron gestiones con  DICE para avanzar en el diseño del Visor
</t>
  </si>
  <si>
    <t xml:space="preserve">PAI_DCD_7.1
CENSOS
</t>
  </si>
  <si>
    <t>Se adjunta.
-  Documento con el ajuste al diseño conceptual y metodológico para el Censo Minero
- 20210320_DISEÑO OPERATIVO VIA WEB-CM</t>
  </si>
  <si>
    <t>DSO-MET-CNM-001-B1_v7</t>
  </si>
  <si>
    <t>Se actualizó documento con las observaciones de la revisión de pares y se subió en ISOLUCION</t>
  </si>
  <si>
    <t>Pantallazo de Isolución - donde se encuantra la metodología cargada y la metodología</t>
  </si>
  <si>
    <t xml:space="preserve">Se elaboró el documento metodológico que cumple con los lineamientos de la entidad y revisado por pares para garantizar coherencia </t>
  </si>
  <si>
    <t>PAI_DCD_7.2
CENSOS</t>
  </si>
  <si>
    <t>Se adjunta la justificación censo minero 2021</t>
  </si>
  <si>
    <t xml:space="preserve"> Presentación Mesa CM_V2</t>
  </si>
  <si>
    <t>Se acatará la recomendación de los asesores que piden socializar el protocolo con grupos étnicos</t>
  </si>
  <si>
    <t>Presentación con los tiempos para socializar el protocolo con grupos étnicos</t>
  </si>
  <si>
    <t xml:space="preserve">Se elaboran los tiempos de implementación de acuerdo a la socialización del protocolo </t>
  </si>
  <si>
    <t>PAI_DCD_7.3
CENSOS</t>
  </si>
  <si>
    <t>DISEÑO OPERATIVO -CNM - via web_Rev</t>
  </si>
  <si>
    <t>Se complementa el documento con los resultados obtenidos de la revisiones internas , agregando el metadato de los indicadores operativos que se calcularán durante la recolección y se incorporan en el sistema de gestión y seguimiento</t>
  </si>
  <si>
    <t xml:space="preserve">DISEÑO OPERATIVO CENSO MINERO -CM
</t>
  </si>
  <si>
    <t xml:space="preserve">El documento operativo contiene el lineamiento para realizar el operativo y cumple con la fase de diseño como uno de los principales productos de esta </t>
  </si>
  <si>
    <t>PAI_DCD_7.4
CENSOS</t>
  </si>
  <si>
    <t>Acuerdos de negocio</t>
  </si>
  <si>
    <t xml:space="preserve">Se elabora documento con los aspectos operativos a los que se realizará monitoreo y control </t>
  </si>
  <si>
    <t>Los indicadores de gestión y monitoreo permiten llevar control de aspectos en campo y resultados esperados</t>
  </si>
  <si>
    <t>PAI_DCD_7.5
CENSOS</t>
  </si>
  <si>
    <t>DSO-FMET-CM</t>
  </si>
  <si>
    <t>pantallazo de Isolución - donde se encuantra la ficha metodológica cargada y la ficha metodológica.</t>
  </si>
  <si>
    <t>Se elaboró la ficha metodológica de acuerdo a los lineamientos de la entidad en cumplimiento de la fase de diseño.</t>
  </si>
  <si>
    <t>PAI_DCD_7.6
CENSOS</t>
  </si>
  <si>
    <t>Diagramas Nivel 1</t>
  </si>
  <si>
    <t>Se elabora documento con el análisis descriptivo de los diagramas funcionales nivel 0, 1 y de contexto</t>
  </si>
  <si>
    <t>Descripción Modelo Funcional Censo Minero V1 PRELIMINAR</t>
  </si>
  <si>
    <t xml:space="preserve">en la elaboración del modelo funcional se establecen los flujos de trabajo entre direcciones de la entidad </t>
  </si>
  <si>
    <t>PAI_DCD_7.7
CENSOS</t>
  </si>
  <si>
    <t>20201216_V7_cuadros de salida_CM_OBS_30_06_2021</t>
  </si>
  <si>
    <t>Se actualizan los cuadros de salida de acuerdo a los requerimientos del sector minero y se revisan los universos de cada uno</t>
  </si>
  <si>
    <t xml:space="preserve">Cuadros de salida version UPME </t>
  </si>
  <si>
    <t>En cumplimiento de las necesidades de información y requisitos de las entidades del sector minero se realizan los cuadros de salida.</t>
  </si>
  <si>
    <t>PAI_DCD_7.8
CENSOS</t>
  </si>
  <si>
    <t>Presentación Minenergia</t>
  </si>
  <si>
    <t>Se ajusta el presupuesto a cada fase del proceso estadístico según los acuerdos de negocio obtenidos en las reuniones de la función de producción</t>
  </si>
  <si>
    <t>Ajuste Presupuesto Censo minero 2021-03_vfin_rev</t>
  </si>
  <si>
    <t>SE realiza el presupuesto en la fase de detección de necesidades pero se hace revisión y controles en las demás fases para garantizar el cumplimiento de lo programado, esto se incluye en la fase de diseño.</t>
  </si>
  <si>
    <t xml:space="preserve">PAI_DCD_8.1
EEVV
</t>
  </si>
  <si>
    <t>- Emails de comunicación con los ingenieros BLOOMBERG/Vital Strategies - sobre avances en el proceso de desarrollo e implementación del sistema.
- Documentos de usuario y técnicos
- ültima versión del aplicativo en JAVA (SIGEV)
Enlace: https://danegovco-my.sharepoint.com/:f:/r/personal/mclealc_dane_gov_co/Documents/2021%20Evidencias%20PAI%20-%20SIGEV-1erTrimestre?csf=1&amp;web=1&amp;e=RB8jrr</t>
  </si>
  <si>
    <t xml:space="preserve">- E-mails de progreso del desarrollo DANE-BLOOMBERG, comunicaciones y casos GLPI-mesa de servicio DANE (GIT-Sistemas).
- Ültimo código fuente instalado en producción (WAR versión 108)-Java
-Imágenes del sistema en servidores finales.
- Documento de solicitud de paso a producción
- Detalle final de la arquitectura del sistema
- Documentación final del sistema en GitLab (CodeVersion) - sistema de versionamiento del DANE http://codeversion.dane.gov.co/Vitales/SIGEV.git
</t>
  </si>
  <si>
    <t xml:space="preserve">Esta actividad se cumplio en el segundo trimestre </t>
  </si>
  <si>
    <t>PAI_DCD_9.1
PPED</t>
  </si>
  <si>
    <t>Se adjunta pantallazo de la socialización</t>
  </si>
  <si>
    <t>PAI_DCD_10.1
PPED</t>
  </si>
  <si>
    <t>tablacuadrada_municipal.xls</t>
  </si>
  <si>
    <t>Link estadítica experimental</t>
  </si>
  <si>
    <t>Certificación semestral, acopio de insumos y atención a requerimientos</t>
  </si>
  <si>
    <t>Salidas Requerimiento Min Hacienda.xls</t>
  </si>
  <si>
    <t>Acopio y complemento de novedades en los registros</t>
  </si>
  <si>
    <t>PAI_DCD_10.2
PPED</t>
  </si>
  <si>
    <t>Asignación pertenecia étnica V1_.xlsx</t>
  </si>
  <si>
    <t>Web estadísticas experimentales</t>
  </si>
  <si>
    <t>proyecciones se basan en la metodología de componentes, la cual considera la dinámica de la mortalidad, fecundidad y migración. Además, también se pretende incorporar presupuestos y estimaciones, sobre la dinámica identitaria del autorreconocimiento étnico</t>
  </si>
  <si>
    <t>Proyección de población étnica</t>
  </si>
  <si>
    <t>PAI_DCD_10.3
PPED</t>
  </si>
  <si>
    <t>FASE-1-2-3-4.pptx</t>
  </si>
  <si>
    <t>avance de las proyección de la población negra, afrocolombiana, raizal y palenquera, a nivel nacional.</t>
  </si>
  <si>
    <t>FECUNDIDAD_NARP_2005_2018</t>
  </si>
  <si>
    <t>PAI_DCD_10.4
PPED</t>
  </si>
  <si>
    <t>salida_mncpl_rev_v20210415.xls</t>
  </si>
  <si>
    <t>PAI_DCD_10.5
PPED</t>
  </si>
  <si>
    <t>Ofico B_Estudios socieconomicos</t>
  </si>
  <si>
    <t>Certificación semestral,</t>
  </si>
  <si>
    <t>PAI_DCD_11.1
PPED</t>
  </si>
  <si>
    <t>Sesiones de trabajo virtuales con la Dirección Técnica
Boletines presentación (1).pptx</t>
  </si>
  <si>
    <t>*Borrador boletín migración 25-05-2021
*Boletin mortalidad infantil 2jul21 (1)
*Migración venezolana CNPV-Borrador 1</t>
  </si>
  <si>
    <t>Informes de Estadística Sociodemográfica Aplicada sobre temas de mortalidad (4), fecundidad (1) y migración (1). Los cuatro Informes de mortalidad se realizaron con información de Estadísticas Vitales y son: mortalidad infantil, mortalidad materna, años de esperanza de vida pérdidos y causas externas. El informe de fecundidad, también se está realizando con EEVV, y es sobre fecundidad venezolana. El informe de migración se hizó con el Censo y es sobre migración venezolana.</t>
  </si>
  <si>
    <t>Link  y pantallazos de los Informes  Informes de Estadística
Sociodemográfica Aplicada publicados en pagina WEB.</t>
  </si>
  <si>
    <t xml:space="preserve"> Informes de Estadística Sociodemográfica Aplicada sobre temas de mortalidad (4), fecundidad (1) y migración (1). Los cuatro Informes de mortalidad se realizaron con información de Estadísticas Vitales y son: mortalidad infantil, mortalidad materna, años de esperanza de vida pérdidos y causas externas. El informe de fecundidad, también se está realizando con EEVV, y es sobre fecundidad venezolana. El informe de migración se hizó con el Censo y es sobre migración venezolana.</t>
  </si>
  <si>
    <t>PAI_DCD_11.2
PPED</t>
  </si>
  <si>
    <t>Estructura - Boletines por Departamento.xlsx</t>
  </si>
  <si>
    <t>BOLETÍN DE INFORMACIÓN WAYUU 10_07_2021</t>
  </si>
  <si>
    <t xml:space="preserve"> Informe de Estadístisca Sociodemográfica Aplicada sobre temas étnicos: Wayuu, Rrom, NARP Antioquia, Zenú y población víctima con enfoque étnico</t>
  </si>
  <si>
    <t>Link del visor donde esta el informe</t>
  </si>
  <si>
    <t>PAI_DCD_11.3
PPED</t>
  </si>
  <si>
    <t>Borrador boletín migración 25-05-2021</t>
  </si>
  <si>
    <t>Teniendo en cuenta las fuentes disponibles tales como los censos de población, encuestas y registros administrativos es posible obtener indicadores que den cuenta del nivel y la estructura de la fecundidad.</t>
  </si>
  <si>
    <t>Avance del documento de fecundidad y migración a partir de la GEIH</t>
  </si>
  <si>
    <t>En el desarrollo de este objetivo se da prioridad a algunas variables que se consideran fundamentales en los cambios ocurridos en la reproducción humana de nuestro país como el estado civil, la educación la actividad económica femenina y el área de residencia, aunque el análisis se centra en lo ocurrido en los censos se tiene en cuenta periodos más largos cuando se considere oportuno dentro del análisis</t>
  </si>
  <si>
    <t>PAI_DCD_11.4
PPED</t>
  </si>
  <si>
    <t>Boletines presentación_CreaciondeMunicipios</t>
  </si>
  <si>
    <t>PAI_DCD_11.5
PPED</t>
  </si>
  <si>
    <t xml:space="preserve">*Primacia Ciudad,
*PROC_PRIMAC_9jul
*Indice Urbanismo -MinVivienda OCDE (1)
</t>
  </si>
  <si>
    <t xml:space="preserve"> Informe de dinámica urbana: primacia de ciudades, ciudades universitarias intremedias y 4 principales ciudades</t>
  </si>
  <si>
    <t>Avance del documento de Patrones y tendencias de la transición urbana en Colombia,  a partir de la GEIH</t>
  </si>
  <si>
    <t>Para cumplir con este propósito se realizó una reconstrucción de la serie histórica de población de los municipios y departamentos del país, a partir de los reportes y microdatos censales disponibles entre 1973 y 2018 y se relacionó con los resultados de las proyecciones de población y la Gran Encuesta Integrada de Hogares.</t>
  </si>
  <si>
    <t>PAI_DCD_12.1
PPED</t>
  </si>
  <si>
    <t xml:space="preserve">\\systema44\ENIG\2016-2017\Encuesta\Base_Criticada\BASE TOTAL
\\systema44\ENIG\2006-2007\Datos\MicroDatos\Base Ingresos y Gastos
</t>
  </si>
  <si>
    <t>Cronograma v1</t>
  </si>
  <si>
    <t>Esta actividad se cumplió en el primer trimestre</t>
  </si>
  <si>
    <t>PAI_DCD_12.2
PPED</t>
  </si>
  <si>
    <t>Presentacion  con los algoritmos -AdelantosCNTI_revDCD</t>
  </si>
  <si>
    <t>Asistencia técnica en el uso de técnicas y datos demográficos para el análisis de los perfiles de consumo por grupo de edad</t>
  </si>
  <si>
    <t>Programa cursillo CNT_Bogota REVdocx</t>
  </si>
  <si>
    <t>Elaboración de perfiles de consumo por edad de la población en hogares con base en ENPH</t>
  </si>
  <si>
    <t>PAI_DCD_13.1
CENSOS</t>
  </si>
  <si>
    <t>Se profundiza en los lineamientos técnicos para el diseño del proceso estadístico de los listados censales siguiendo el GSBPM y se realiza propuesta de instrumento de recolección. Se encuentra en revisión por parte del Ministerio del Interior.</t>
  </si>
  <si>
    <t>Rai, Palen.docx
Propuesta formulario Comunidades Negras- Afro-List Censa_02092021</t>
  </si>
  <si>
    <t>PAI_DCD_13.2
CENSOS</t>
  </si>
  <si>
    <t>Registro de poblacion étnica Mininterior Prelim_AVegaL_revHCO (2)
Sugerencias técnicas   reuniones y prueba piloto_DANE.
Informe técnico DANE - acompañamiento La Toma_19_04_2021
Guia-para-la-aplicacion-y-definicion-de-pruebas</t>
  </si>
  <si>
    <t>https://danegovco.sharepoint.com/:f:/s/DANE_DANE_MIP_0365/EsdjdU3ou2BIlHdbYVlaXKMB9pw6NUG6npxTdd3p7YA1fA?e=gyhmOE</t>
  </si>
  <si>
    <t>Se construyó y finalizó un (1) archivo de trabajo con el procesamiento de la información analizada, para la matriz insumo producto.</t>
  </si>
  <si>
    <t>BD_MIP_CuentasAnuales</t>
  </si>
  <si>
    <t>En el trimestre (III) reportado, el GIT Cuentas de Bienes y Servicios - CABYS culminó el archivo de trabajo consolidado de la matriz insumo producto, a partir de la información procesada y analizada. Durante el tercer trimestre, las DSCN realizó la publicación de la matriz insumo producto, mediante la difusión en página web del boletin técnico y su anexo estadístico según la fecha establecida.</t>
  </si>
  <si>
    <t>Producción estadística</t>
  </si>
  <si>
    <t>LEVANTAMIENTO RECOPILACIÓN Y ACTUALIZACIÓN DE LA INFORMACIÓN RELACIONADA CON CUENTAS NACIONALES Y MACROECONÓMICAS A NIVEL NACIONAL</t>
  </si>
  <si>
    <t>Boletines Técnicos de las Cuentas Anuales de Bienes y
Servicios</t>
  </si>
  <si>
    <t>C-0401-1003-25-0-0401075-02-11**BOLETINES TÉCNICOS DE LAS CUENTAS ANUALES DE BIENES Y SERVICIOS**LEVANTAMIENTO RECOPILACIÓN Y ACTUALIZACIÓN DE LA INFORMACIÓN RELACIONADA CON CUENTAS NACIONALES Y MACROECONÓMICAS A NIVEL NACIONA</t>
  </si>
  <si>
    <t>Se elaboró y  finalizó un (1) boletín técnico y un (1) anexo estadístico de la matriz insumo producto.</t>
  </si>
  <si>
    <t>Boletin-matriz-insumo-producto_m-empleo
Anexo_matriz_insumo_producto_m-empleo</t>
  </si>
  <si>
    <t>Archivo propuesta indicador de calidad DSCN</t>
  </si>
  <si>
    <t>Archivo: Indicador de Calidad DSCN propuesta ajustada</t>
  </si>
  <si>
    <t>Se elaboró un (1) archivo de trabajo definiendo las variables que se van a tener en cuenta en el diseño del indicador, así como la primera versión de la asignación de porcentajes propuestos para cada fase del modelo GSBPM e igualmente se elaboró el borrador de la HV del indicador.</t>
  </si>
  <si>
    <t>La DSCN finalizó la propuesta del indicador que medirá  la calidad de la información generada por la misma, dicho documento contiene cada una de las ocho (8) fases del modelo GSBPM así como las variables y la fórmula de cálculo del indicador de calidad; posteriormente divulgó la propuesta el 03-09-21 a cada uno de los coordinadores y se seleccionaron las dos (2) OOEE para iniciar las pruebas pilotos de medición. Paso siguiente en reunión con los asignados de las dos (2) OOEE: Matriz Insumo Producto_MIP (14-09-21) y Cuenta Ambiental y Económica de Flujos del Bosque_CAE-FB (20-09-21) se diseño el archivo específico con la HV del indicador para cada una. Finalmente mediante correo del 27-09-21 se inició la solicitud de evidencias que soporten el resultado de la medición de cada fase.</t>
  </si>
  <si>
    <t>La DSCN durante los meses de julio, agosto y septiembre elaboró un (1) documento final con las variables y fórmula de cálculo del indicador asociadas a cada fase del modelo GSBPM, con esta información se procedió a documentar la HV del indicador para las dos (2) pruebas pilotos de las OOEE de Matriz Insumo Producto_MIP y la Cuenta Ambiental y Económica de Flujos del Bosque_CAE-FB.</t>
  </si>
  <si>
    <t xml:space="preserve">Archivo documento con las variables y fórmula de cálculo del indicador de calidad
Archivo prueba indicador de calidad DSCN OE CAE-FB
Archivo prueba indicador de calidad DSCN OE MIP
</t>
  </si>
  <si>
    <t>Cronograma_ED_2021</t>
  </si>
  <si>
    <t>En el marco del diseño de la medición de la economía digital en Colombia, la DSCN avanzó en la elaboración del documento metodológico y la ficha metodológica para la construcción de indicadores sectoriales y  balances oferta-utilización digitales.</t>
  </si>
  <si>
    <t>Plan General Economia Digital_2021</t>
  </si>
  <si>
    <t xml:space="preserve">
Documento:"AVANCE_Documento_Metodológico _para_la_medición_de_la_economía_digital.doc"</t>
  </si>
  <si>
    <t>Se avanzó en la elaboración del documento metodológico y la ficha metodológica para el diseño de la medición de la economía digital en Colombia.</t>
  </si>
  <si>
    <t>AVANCE_Documento_Metodológico_economía_digital
AVANCE_Ficha_Metodológica_economía_digital</t>
  </si>
  <si>
    <t>Se avanzó en la transposición de la matriz MSC.</t>
  </si>
  <si>
    <t>Cuadro de matriz transpuesta</t>
  </si>
  <si>
    <t>Para lograr la meta se ha avanzado en la construcción de la matriz tranpuesta sobre la cual se elaborará el desarrolo del código de procesamiento.</t>
  </si>
  <si>
    <t>Boletines Técnicos de las Cuentas Anuales de Sectores
Institucionales</t>
  </si>
  <si>
    <t>C-0401-1003-25-0-0401083-02-11**BOLETINES TÉCNICOS DE LAS CUENTAS ANUALES DE SECTORES INSTITUCIONALES**LEVANTAMIENTO RECOPILACIÓN Y ACTUALIZACIÓN DE LA INFORMACIÓN RELACIONADA CON CUENTAS NACIONALES Y MACROECONÓMICAS A NIVEL NACIONAL</t>
  </si>
  <si>
    <t>Documento con la planeación, diseño y diagnóstico, finalizado.
ITAED información disponible y faltante.
Matriz departamental (ITAED)</t>
  </si>
  <si>
    <t>Documentos con los lineamientos del proyecto ITAED (Indicadores trimestrales de actividad económica departamental) en donde se detalla el deber ser, los aspectos metodológicos, la planeación y el diagnóstico.
Hito finalizado trimestre anterior</t>
  </si>
  <si>
    <t>Archivo lineamientos ITAED, matriz departamental ITAED, documento información existente y faltante.</t>
  </si>
  <si>
    <t>Los indicadores de coyuntura son una herramienta importante e indispensable para las instituciones nacionales y locales en relación con la economía, por consiguiente, teniendo como base el documento de planeación, diseño y diagnóstico del ITAED realizado previamente, se prosiguió al copio, compilación, centralización y análisis de los indicadores trimestrales como insumo para los cálculos preliminares del indicador trimestral de actividad económica por departamento; así mismo se desarrollaron los formatos para cada uno de los departamentos teniendo en cuenta sus particularidades económicas y con base en los lineamentos definidos se realizaron los primeros ejercicios de cálculos preliminares del indicador trimestral de actividad económica para 5 departamentos (Antioquia, Valle del Cauca, Santander, Cundinamarca y Atlántico).</t>
  </si>
  <si>
    <t>Boletines Técnicos de las Cuentas Departamentales</t>
  </si>
  <si>
    <t>C-0401-1003-25-0-0401076-02-11**BOLETINES TÉCNICOS DE LAS CUENTAS DEPARTAMENTALES**LEVANTAMIENTO RECOPILACIÓN Y ACTUALIZACIÓN DE LA INFORMACIÓN RELACIONADA CON CUENTAS NACIONALES Y MACROECONÓMICAS A NIVEL NACIONAL</t>
  </si>
  <si>
    <t xml:space="preserve">Se creó un archivo de acopio, compilación y centralización de la estadística básica disponible con periodicidad trimestral y por departamento. </t>
  </si>
  <si>
    <t xml:space="preserve">Archivo de acopio y compilación de la estadística básica. </t>
  </si>
  <si>
    <t>Se crearon los archivos en los cuales se estan desarrollando los ejercicios preliminares de los indicadores trimestrales de actividad económica para 5 departamentos.</t>
  </si>
  <si>
    <t>Archivos Excel con los ejercicios de cálculos preliminares de los indicadores trimestrales de actividad económica para los departamentos de Antioquia, Valle del Cauca, Santander, Cundinamarca y Atlántico.</t>
  </si>
  <si>
    <t>Cronograma_CSTI_2021_v2</t>
  </si>
  <si>
    <t>Hito finalizado</t>
  </si>
  <si>
    <t>Se elaboró el plan general de la cuenta satélite de transferencias intergeneracionales, de acuerdo a los lineamientos del proceso estadístico y se avanzó en el documento metodológico en los componentes de diseño temático, diseño estadístico y diseño del acopio</t>
  </si>
  <si>
    <t>Plan General CSTI_marzo</t>
  </si>
  <si>
    <t>Plan_general CSTI</t>
  </si>
  <si>
    <t>Documento_metodológico_CSTI_(avance)</t>
  </si>
  <si>
    <t>Se avanzó en el documento metodológico de la cuenta satélite de transferencias intergeneracionales, en los componentes de diseño del acopio</t>
  </si>
  <si>
    <t>20210930 Documento metodológico_CSTI</t>
  </si>
  <si>
    <t>Cronograma_CSB_2021</t>
  </si>
  <si>
    <t>Se elaboró el plan general de la cuenta satélite de bioeconomía, de acuerdo a los lineamientos del proceso estadístico y se avanzó en el documento metodológico en los componentes de diseño temático, estadístico, del acopio, del procesamiento y del análisis</t>
  </si>
  <si>
    <t>Boletines Técnicos de la Cuenta Satélite de Medio Ambiente.</t>
  </si>
  <si>
    <t>C-0401-1003-25-0-0401082-02-11**BOLETINES TÉCNICOS DE LA CUENTA SATÉLITE DE MEDIO AMBIENTE**LEVANTAMIENTO RECOPILACIÓN Y ACTUALIZACIÓN DE LA INFORMACIÓN RELACIONADA CON CUENTAS NACIONALES Y MACROECONÓMICAS A NIVEL NACIONAL</t>
  </si>
  <si>
    <t>Plan_General_CSB</t>
  </si>
  <si>
    <t>Documento_metodológico_CSB</t>
  </si>
  <si>
    <t>Se avanzó en el documento metodológico de la cuenta satélite de bioeconomía en los componentes del diseño del procesamiento y del análisis</t>
  </si>
  <si>
    <t>Cronograma_CSEC</t>
  </si>
  <si>
    <t xml:space="preserve">En el marco del desarrollo de la Cuenta Satélite de Economía del Cuidado, se elaboró el XXI informe de gestión de la Ley 1413 de 2010, el cual se publicó en la página web del DANE en el mes de julio. Se realizó en el mes de agosto una reunión entre el DANE y la Universidad Javeriana con el propósito de presentar avances respecto a la elaboración de la Matriz de Contabilidad Social Ampliada (MCSA). Así mismo, se avanzó  en la elaboración del documento metodológico de la MSCA en versión preliminar por la DSCN y se presentó a la Universidad Javeriana el plan de trabajo para los últimos meses de 2021. </t>
  </si>
  <si>
    <t>20_informe_semestral_Ley_1413</t>
  </si>
  <si>
    <t>- 28062021_Informe de Gestión_XXI_ RevisiónCSCA
-29062021_Informe de Gestión_XXI_RevisiónÁreaCuentasSatélite
-30062021_Informe de Gestión_XXI_RevisiónDelegadoDSCN
-30062021_Informe de Gestión_XXI_RevisiónDirectorTécnicoDSCN</t>
  </si>
  <si>
    <t xml:space="preserve">En el mes de julio se publicó el vigésimo primer informe semestral </t>
  </si>
  <si>
    <t>21_informe_semestral_Ley_1413</t>
  </si>
  <si>
    <t>-20210503_CitaciónReu_DANE-JAVERIANA
-20210503_VideoReu_DANE-JAVERIANA
-Ayuda_memoria_Rev_literatura_1
-Ayuda_memoria_Rev_literatura_2
-Ayuda_memoria_Rev_literatura_3</t>
  </si>
  <si>
    <t>06052021_CitaciónReuMCS_MCSA
06052021_VideoReuMCS
14042021_CitaciónReuCOUs_MCSA
14042021_ReuCOU
22042021_CitaciónReuCEIMatricesQuienaQuien_MCSA
22042021_ReuCEIMatricesQuienaQuién
29042021_CitaciónReuMIP_MCSA
29042021_VideoReuMIP
Avance_documento_metodológico</t>
  </si>
  <si>
    <t xml:space="preserve">Se realizó en el mes de agosto una reunión entre el DANE y la Universidad Javeriana con el propósito de presentar avances respecto a la elaboración de la Matriz de Contabilidad Social Ampliada (MCSA), se elaboró avance del documento metodológico de la MSCA en versión preliminar,y se presenta a la Universidad Javeriana el plan de trabajo para los últimos meses de 2021. </t>
  </si>
  <si>
    <t xml:space="preserve"> -09092021_Plan de trabajo_MCSA
 -23082021_Lista_asistencia_Modelo_Macro_MCSA
 -23082021_Acta_reunión_DANE_Ujaveriana
 -25082021_Correo_UJaveriana_documentos_pre
 -19082021_Citación_reunión_MSCA_DANE_Ujaveriana
 -092021_Documento_diseño_met_MCSA_pre
- 21082021_MCS_Colombia_TDCNR_pre</t>
  </si>
  <si>
    <t>Cronograma_CSECI</t>
  </si>
  <si>
    <t>Se elaboró el plan general de la cuenta satélite de economía circular, de acuerdo a los lineamientos del proceso estadístico y se avanzó en el documento metodológico en los componentes de diseño temático, estadístico, del acopio, procesamiento y del análisis</t>
  </si>
  <si>
    <t>Plan_General_CSECI</t>
  </si>
  <si>
    <t>Documento_metodológico_CSECI</t>
  </si>
  <si>
    <t>Se avanzó en el documento metodológico de la cuenta satélite de economía circular en los componentes del diseño del procesamiento y del análisis</t>
  </si>
  <si>
    <t>Cronograma_CSISFL_2021</t>
  </si>
  <si>
    <t>Se elaboró el plan general de la cuenta satélite de instituciones sin fines de lucro, de acuerdo a los lineamientos del proceso estadístico y se avanzó en el documento metodológico en los componentes de diseño temático, diseño estadístico, y diseño del acopio</t>
  </si>
  <si>
    <t>Plan General CSISFL_marzo</t>
  </si>
  <si>
    <t>Plan_General_CSISFL</t>
  </si>
  <si>
    <t>Documento_metodológico_CSISFL_(avance)</t>
  </si>
  <si>
    <t>Se avanzó en el documento metodológico de la cuenta satélite de instituciones sin fines de lucro, en el componente de diseño del acopio</t>
  </si>
  <si>
    <t>202109 Documento metodológico_CSISFL</t>
  </si>
  <si>
    <t>Manual de Recolección_MobiliarioySalud_Febrero</t>
  </si>
  <si>
    <t>PPT Alimentos bebidas y tabaco</t>
  </si>
  <si>
    <t>Se generó el Manual de recolección de la canasta de Alimentos y bebidas, adaptado los lineamientos y canasta internacional, al mercado colombiano en su versión final</t>
  </si>
  <si>
    <t>1. Manual de Recolección_Alimentos,bebidasycigarrillos_Julio</t>
  </si>
  <si>
    <t>Tareas a cargo del GIT de Precios, se procesó la base que permite remitir información sobre arrendamientos, igualmente se analizó la información de la canasta recolectada con los combustibles destinados al hogar. De otro lado, se terminó la adaptación de los lineamientos internacionales y canasta del PPA OECD para alimentos, al tiempo que se finalizó el desarrollo del ajuste de las especificaciones del sistema, para realizar dicha recolección.
Las tareas fueron desarrolladas desde el primer día hábil de julio y hasta el 30 de septiembre del año en curso</t>
  </si>
  <si>
    <t>Producción Estadística</t>
  </si>
  <si>
    <t>Especificaciones Canasta MyS_Sistemas_PPA_Febrero (1)</t>
  </si>
  <si>
    <t>Especificaciones Sistemas Food</t>
  </si>
  <si>
    <t>Se finalizaron las especificaciones dirigidas al área de sistemas y que permiten la recolección de alimentos</t>
  </si>
  <si>
    <t>2. PPA - Especificaciones Sistemas 0721</t>
  </si>
  <si>
    <t> Pantallazo analisis PPA</t>
  </si>
  <si>
    <t>Se inició la recolección de la canasta de alimentos</t>
  </si>
  <si>
    <t>Pantallazo de la información recolectada se encuentra contenida en la plataforma Oracle</t>
  </si>
  <si>
    <t>Colombian_results_Services</t>
  </si>
  <si>
    <t>Furniture and Health_2021</t>
  </si>
  <si>
    <t>Se realizó el procesamiento de la base de arrendamientos</t>
  </si>
  <si>
    <t>Rents 2018-2020</t>
  </si>
  <si>
    <t>Se finalizó el análisis de la información relacionada con combustibles para el hogar</t>
  </si>
  <si>
    <t>Electricity and Gas 2018-2020</t>
  </si>
  <si>
    <t>Un (1)  procesamiento de datos de la operación estadística (IPI) que implementa acciones de mejora en la metodología (procesos e instrumentos) y resultados.</t>
  </si>
  <si>
    <t>Un (1) diagnóstico de fuentes de información en uso e identificación de fuentes alternativas</t>
  </si>
  <si>
    <t>• Ejercicio preliminar nominales IPI petróleo
• Ejercicio preliminar nominales IPI petróleo
• Ejercicio preliminar nominales IPI acueducto
• Ejercicio preliminar nominales IPI energía</t>
  </si>
  <si>
    <t>-Ejercicio preliminar petróleo
-Ejercicio carbón aprobado
-Usuarios y contraseñas plataforma SEGAS- Gestor de gas
-Acta_Reunion_carbón-petróleo- inflactor IPI
-Lista de asistencia_carbón-petróleo- inflactor IPI</t>
  </si>
  <si>
    <t>Durante lo corrido del año 2021 el equipo de temática en conjunto con el equipo de deflactores viene trabajando en la construcción de los inflactores necesarios para obtener las cifras del IPI en términos nominales.
-Se realizo el directorio de fuentes de acueducto, calculando su participación según sus ingresos, se está realizando la consulta de información de precios desde enero de 2014 a la fecha.
-Se realizo el directorio de fuentes de gas distribuido, calculando su participación según sus ingresos, se está realizando la consulta de información de precios desde enero de 2014 a la fecha.
- se realizó formato de solicitud de información de gas 
- se realizó formato de solicitud de información de acueducto
-Se está trabajando con la base de producidos y consumidos de IPP con el fin de tomar la producción de crudo de consumo interno
- Se realizo ejercicio del inflactor de petróleo
- Se realizo ejercicio del inflactor de energía</t>
  </si>
  <si>
    <t xml:space="preserve">Presentación proceso de inflactación actividades IPI Directorio empresas de gas distribuido
Directorio empresas de acueducto
Base de producidos y consumidos de IPP
</t>
  </si>
  <si>
    <t>Durante lo corrido del año 2021 el equipo de temática en conjunto con el equipo de deflactores viene trabajando en la construcción de los inflactores necesarios para obtener las cifras del IPI en términos nominales.
actualmente ya se tiene desarrollado y aprobado por la Doctora Dora el inflactor de carbón.
-Se realizo la consulta de información de precios alas fuentes de gas distribuido desde enero de 2014 a la fecha.
-Se realizo la consulta de información de precios alas fuentes de acueducto desde enero de 2014 a la fecha.
-Se está trabajando con la base de producidos y consumidos de IPP con el fin de tomar la producción de crudo de consumo interno
-Se tienen mesas de trabajo con gestor de gas para la entrega de la información de precios y cantidades
- Se realizo ejercicio del inflactor de petróleo
- Se realizo ejercicio del inflactor de energía</t>
  </si>
  <si>
    <t>Una (1) solicitud,  análisis y evaluación de información  y aplicación del inflactor</t>
  </si>
  <si>
    <t>Formato solicitud de información gas distribuido
Formato solicitud de Información acueducto
Ejercicio inflactor de petróleo
Ejercicio inflactor de energía</t>
  </si>
  <si>
    <t>Archivo: Informe de mejoramiento SIPSA ITrim2021</t>
  </si>
  <si>
    <t>Informe de mejoramiento SIPSA IITrim2021</t>
  </si>
  <si>
    <t>Se realizó  el  documento que relaciona las mejoras implementadas en las tres operaciones del SIPSA, durante el tercer trimestre 2021</t>
  </si>
  <si>
    <t>Informe de mejoramiento SIPSA 2021</t>
  </si>
  <si>
    <t>El equipo del GIT Temática Agropecuaria SIPSA realizó y entregó el documento que describe las mejoras de las tres  operaciones del SIPSA en cumplimiento de la nueva norma técnica</t>
  </si>
  <si>
    <t>Se adjunta link de la carpeta "Aprovechamiento RA FEDEGAN -FNG" que contiene las evidencias relacionadas: https://danegovco-my.sharepoint.com/:f:/r/personal/opandradem_dane_gov_co/Documents/Aprovechamiento%20RA%20FEDEGAN%20-%20FNG?csf=1&amp;web=1&amp;e=RIPIoa
-Carpeta "Ayudas de memoria", que contiene los avances en las reuniones internas semanales.
-Carpeta "Tablas de salida, en la que se relaciona la identificación de variables asociadas a cada una de las necesidades de información del DANE.
-Archivo "CRONOGRAMA_APROVECHAMIENTO BD - FEDEGAN-FNG".
-Carpeta "Encuesta de Caracterización Ganadera", que relaciona la caracterización preliminar de la información.
-Archivo "PrediosMarcoCiclo1-2021".
- Documentos enviados por FEDEGAN - FNG</t>
  </si>
  <si>
    <t>Se adjunta
-Carpeta "Ayudas de memoria", que contiene los avances en las reuniones internas semanales.
-Carpeta "Tablas de salida, en la que se relaciona la identificación de variables asociadas a cada una de las necesidades de información del DANE.
-Archivo "CRONOGRAMA_APROVECHAMIENTO BD - FEDEGAN-FNG".
-Carpeta "Encuesta de Caracterización Ganadera", que relaciona la caracterización preliminar de la información.
-Archivo "PrediosMarcoCiclo1-2021".
- Documentos enviados por FEDEGAN - FNG</t>
  </si>
  <si>
    <t xml:space="preserve">Se han desarrollado reuniones de trabajo conjunto con FEDEGAN FNG e ICA, para los acuerdos de validación de la Encuesta de Caracterización Ganadera.
Resultado de las reuniones de trabajo interinstitucional, se han incorporado los acuerdos definidos sobre la base de datos disponible por FEDEGAN FNG
 </t>
  </si>
  <si>
    <t>https://danegovco-my.sharepoint.com/:f:/g/personal/weospinag_dane_gov_co/EmXtXSkHKxtPnCLlxn98FY8BpjeTlFTVoKVHGsVwNSq50g?e=bI14c4
ECG_RUV_24_SEP_04102021</t>
  </si>
  <si>
    <t>El resultado del trabajo interinstitucional entre FEDEGAN FNG, ICA y DANE se evidencia en la construcción de reglas de validación que permiten que la base procesada sea consistente y coherente para los productos generados a partir de ella.
En este trimestre el equipo de diseños muestrales y temática agropecuaria han trabajado en reuniones internas para la incorporación de los acuerdos de la mesa interinstitucional en la base de datos de la encuesta de caracterización ganadera, adicionalmente se han construido los marcos y propuestas para selección de marcos de los ciclos de vacunación I y II, la Encuesta Nacional Agropecuaria ENA y el Convenio CAF.
Temática Agropecuaria genera la propuesta de los cuadros de salida para el aprovechamiento de la información y lo somete a revisión del equipo de Diseños Muestrales y de la DIG.  En este momento se está consolidando la versión de los cuales ajustes sugeridos por los demás equipos internos de trabajo del DNAE.</t>
  </si>
  <si>
    <t>Resultado del aprovechamiento de los registros administrativo, ha generado los siguientes productos:
1. Las muestras para las preguntas por muestreo del ciclo I y II de vacunación 2021.
2. La Metodología para la muestra del Prueba Piloto de ENA.
3. la propuesta de estratificación para la selección de muestra del proyecto de costos de producción en ganadería de carne bovina del convenio CAF</t>
  </si>
  <si>
    <t>https://danegovco-my.sharepoint.com/:f:/g/personal/weospinag_dane_gov_co/Ei_toalPQ3BDvitkcQxGFAYB9PzdsUDIiI-5ugVULslD-w?e=pmI3ce
Metodología muestra prueba piloto ENA
MUESTRA_VEREDA CICLO 1 2021
MUESTRA_VEREDA CICLO 2 2021
propuesta estratos CAF</t>
  </si>
  <si>
    <t>Se genera la propuesta de 73 cuadros de salida para el aprovechamiento de los registros administrativos y la encuesta de caracterización ganadera.</t>
  </si>
  <si>
    <t>https://danegovco-my.sharepoint.com/:f:/g/personal/weospinag_dane_gov_co/EogvX3hDzdhMlvoid_FygbcBQpx5AaHZOuUBjGuP6QJKQQ?e=zNQfbw
20210922_Cuadros_Registros administrativos_y_Encuesta_Vr3</t>
  </si>
  <si>
    <t>DSO-ECSC-MET-001_v8</t>
  </si>
  <si>
    <t>El equipo de temática social de la ECSC, en articulación con las áreas de logística y muestras realizaron los ajustes requeridos al documento metodológico de la ECSC durante el primer trimestre. Igualmente, el equipo temático elaboró las normas de validación y consistencia para el desarrollo del aplicativo de captura de la prueba piloto de la inclusión del módulo de ciberdelitos.</t>
  </si>
  <si>
    <t>Durante el tercer trimestre se concluyó la revisión de pares al documento metodológico y está pendiente la aprobación del documento.</t>
  </si>
  <si>
    <t xml:space="preserve">Durante el tercer trimestre, el equipo técnico de la ECSC realizó los ajustes requeridos al documento metodológico tras concluir la revisión de pares. Con logística y las territoriales se realizó el operativo de campo que concluyó el 31 de agosto con una cobertura de hogares del 102,73% sobre lo esperado y 98,04% sobre lo encontrado. </t>
  </si>
  <si>
    <t>Normas de validación y criterios de consistencia_ECSC 2021_PILOTO_v2</t>
  </si>
  <si>
    <t>normas de validación y criterios de consistencia_ecsc_2021</t>
  </si>
  <si>
    <t>Captura de pantalla ubicacion Base en SAS de la ECSC_2021</t>
  </si>
  <si>
    <t>En el tercer trimestre se culminó el operativo de campo y durante el mes de septiembre se realizó el cierre de base</t>
  </si>
  <si>
    <t>Base con encuestas completas e incompletas aplicando criterios de completitud
Base con factores de expansión
base en SAS de la ECSC_2021</t>
  </si>
  <si>
    <t>Se inicio el procesamiento de cuadros de salida de acuerdo a las especificaciones ´para comparación con equipo de muestras</t>
  </si>
  <si>
    <t>Cuadros de salida ECSC2021_comparativo muestras</t>
  </si>
  <si>
    <t>Tras el cierre operativo se inició en septiembre la consolidación de base y generación de cve e ic, así como el procesamiento de cuadros de salida.</t>
  </si>
  <si>
    <t>Esta actividad está programada para el mes de octubre, a partir de la base con factores de expansión, la cual se consolido el 30 de septiembre por sistemas y muestras.</t>
  </si>
  <si>
    <t>Un (1) documento con  la codificación asignada a las fuentes relevantes para la operación estadística (IPP) que implemente en su totalidad el uso de la CPC 2 adaptada para Colombia.</t>
  </si>
  <si>
    <t>Un (1) documento o bases de datos con la revisión codificación asignada a las fuentes relevantes (priorizando registros sin correlativa vigente en CPC 2.0). Definición de su inclusión definitiva en el índice  para el caso de la canasta de producidos y consumidos.</t>
  </si>
  <si>
    <t xml:space="preserve">Lineamientos para el fortalecimiento de muestra y actualización de flexibles para las procedencias exportados (XX) e importados </t>
  </si>
  <si>
    <t>Se ha avanzado en definir la correlativa entre CPC 1.0 a versión 2.0 para la canasta de los bienes de la producción para el consumo interno.</t>
  </si>
  <si>
    <t>Cpc1_Cpc2_IPP</t>
  </si>
  <si>
    <t>Tareas a cargo del GIT de Precios y diseños  muestrales.  Con el fin de depurar el directorio de fuentes, sin afectar la comunicación con las mismas, se ha desarrollado la estrategia de actualizar las fuentes y artículos que deben ser recolectados por el índice y permitir que logística se comunique con las fuentes para continuar con las tomas de precios de artículos en CPC 2, sin correr el riesgo de excluirlas del proceso cuando verdaderamente deben estarse incluyendo.  Tareas de revisión de la documentación y verificación de resultados generados durante el segundo trimestre de este año, encontrando que el uso de la posición arancelaria representó un reto a la hora de valorar lo pesos por artículo, en las canastas de importados y exportados. Se ha avanzado en la recodificación de buena parte de los registros recolectados en las canastas de producción para el consumo interno y exportados. En el caso de la canasta de importados, no ha sido posible contar con el acceso a las bases, como consecuencia de una contingencia en el área de sistemas que hasta finalizado el mes de septiembre, no había sido posible corregir</t>
  </si>
  <si>
    <t>Un (1) documento o bases de datos con la revisión codificación asignada a las fuentes relevantes (priorizando registros sin correlativa vigente en CPC 2.0). Definición de su inclusión definitiva en el índice  para el caso de la canasta exportados.</t>
  </si>
  <si>
    <t>Es importante denotar que el grupo de trabajo ha tenido que asumir la incapacidad médica de dos de sus integrantes, así como la solicitud de permisos de una tercera, debido al fallecimiento de la señora madre de esa persona. Esta contingencia ha afectado el cronograma, teniendo en cuenta que es completamente impredecible</t>
  </si>
  <si>
    <t>Un (1) documento o bases de datos con la revisión codificación asignada a las fuentes relevantes (priorizando registros sin correlativa vigente en CPC 2.0). Definición de su inclusión definitiva en el índice  para el caso de la canasta de importados</t>
  </si>
  <si>
    <t>Teniendo en cuenta que debido al fallo en el área de sistemas, no ha sido posible acceder a las bases y plataforma del grupo de importaciones, se ha avanzó en definir la rutina para obtener la canasta</t>
  </si>
  <si>
    <t>El retraso se ubica en esta meta y se debe a que luego de la contingencia del área de sistemas y que afectó varias de las plataformas del DANE, el grupo de Precios no contaba con los accesos para trabajar la base de Importados. A pesar que se volvieron a solicitar los mismos, el acceso no había sido procurado al finalizar el mes de septiembre</t>
  </si>
  <si>
    <t>Un (1) enfoque de informalidad con la GEIH para actualización de nuevos estándares internacionales en materia de medición de la informalidad.</t>
  </si>
  <si>
    <t>El GIT Temática Mercado Laboral desarrolló la versión del Formulario del Paralelo de la GEIH para el cuarto trimestre de 2021, teniendo en cuenta las preguntas que se incluyeron para la clasificación de la población ocupada, en el marco de la actualización de nuevos estándares internacionales en materia de medición de la informalidad.</t>
  </si>
  <si>
    <t>27092021 GEIHparalelaIV_trim_Rev_Temática.pdf</t>
  </si>
  <si>
    <t>El GIT Temática Mercado Laboral desarrolló el Formulario del Paralelo de la GEIH (marco 2018), teniendo en cuenta las preguntas que se incluyeron para la clasificación de la población ocupada, en el marco de la actualización de nuevos estándares internacionales en materia de medición de la informalidad; y la Oficina de Sistemas procesó la información y dispuso las bases de datos de mayo a agosto de 2021 durante este trimestre. Los resultados han sido revisados por los GIT Temática Mercado Laboral y Diseños Muestrales y presentados en el comité semanal.</t>
  </si>
  <si>
    <t>Base de datos P_GEIH - marzo 2021.png
\\systema44\GEIH_CENSO_2018\PARALELA\GEIH_BOL_PARA\2021\mensual\03\nacional\dat (2,76 GB)</t>
  </si>
  <si>
    <t>La Oficina de Sistemas procesó la información y dispuso las bases de datos de mayo a agosto de 2021 del Paralelo de la GEIH (marco 2018) durante este trimestre, teniendo en cuenta las actualizaciones en materia de medición de la informalidad.</t>
  </si>
  <si>
    <t>Impresión de pantalla con ruta Bases de datos Paralelo GEIH 2021.png</t>
  </si>
  <si>
    <t>La elaboración del documento está programada para iniciar en octubre, a partir del levantamiento y consolidación de la información relacionada.</t>
  </si>
  <si>
    <t>PLAN DE TRABAJO CONSISTENCIA EAID 2021_Modificado (1)</t>
  </si>
  <si>
    <t>Correo:Plan de trabajo EAID revisado
Correo: régimen cambiario especial</t>
  </si>
  <si>
    <t>Se realiza trabajo coordinado con el Banco de la República entorno a la finalización de la encuesta 2019 . Con base a los resultados para verificar la coherencia de los datos y establecer las lecciones aprendidas del diseño de la OE. Por lo tanto, lo anterior es insumo para la construcción de los documentos metodológicos.</t>
  </si>
  <si>
    <t>DSO-EAID-001</t>
  </si>
  <si>
    <t>El GIT de comercio durante el III semestre trabajó en el desarrollo de la encuesta de inversión extranjera directa con base a los resultados. Esto permitirá verificar la coherencia de los datos para establecer las lecciones aprendidas del diseño de la OE. Lo anterior, es insumo para la construcción de los documentos metodológicos y las mejoras a implementar en próximos operativos.</t>
  </si>
  <si>
    <t xml:space="preserve">  TE_C_INTERNAL_2021_EAID
</t>
  </si>
  <si>
    <t>Modificación EAID 2021_GLPI_15934</t>
  </si>
  <si>
    <t>El equipo técnico realizó los ajustes generales y el desarrollo de especificaciones de los  requerimientos y  ajustes de la manera de recolección para el  formulario de la EAID de las empresas de régimen cambiario especial,  dando cumplimiento a este hito</t>
  </si>
  <si>
    <t>FORMULARIO EAID 2020 RCE (07-2021)
GUIA REGIMEN CAMBIARIO ESPECIAL 07-2021)</t>
  </si>
  <si>
    <t>Correo: Encuesta de levantamiento de directorio _ MTCES</t>
  </si>
  <si>
    <t xml:space="preserve">El equipo temático de la Muestra Trimestral de Comercio Exterior de Servicios- MTCES, entregó al equipo de sistemas  los archivos de especificaciones necesarios para el diseño del formulario de la Encuesta de Levantamiento de directorio, lo cual es parte de los productos entregables al momento de los desembolsos del convenio para la realización del operativo . </t>
  </si>
  <si>
    <t>•Correo: Formulario Operativo Levantamiento de directorio encuesta de comercio exterior de servicios 11 -08-2021
•Correo_ Erika Diaz Sanchez - Outlook_aulas EMCES
•Manual de Critica Levantamiento de Directorio (1)
•Manual Operativo EMCES (1)
•Correo_ Erika Diaz Sanchez - Outlook_pruebas EMCES
•Manual de Novedades Levantamiento de Directorio EMCES (1)
•Manual de diligenciamiento Levantamiento de directorio -EMCES</t>
  </si>
  <si>
    <t xml:space="preserve">El equipo Temático de la Muestra Trimestral de Comercio Exterior de Servicios -MTCES ya trabajó y continua avanzando en la realización de los productos entregables estipulados para el total de los desembolsos del convenio que a la fecha está en espera del primer desembolsos y por consiguiente la entrega de los productos. El equipo temático de la MTCES ya tiene y entrego al equipo de sistemas los archivos de especificaciones necesarias para el desarrollo del del formulario de recolección del operativo de levantamiento de directorio. 
</t>
  </si>
  <si>
    <t>Con el fin de dar prioridad al objeto del convenio que estaba por establecerse entre MINCIT, PROCOLOMBIA, BID y el DANE-FONDANE, el equipo temático de la Muestra Trimestral de Comercio Exterior de Servicios- MTCES, realizó las actividades preoperativas que lograron anticipar una adecuada selección del personal, también diseñar los manuales (lineamientos operativos, diligenciamiento, critica y novedades de campo) necesarios para el desarrollo adecuado del acopio de la información.</t>
  </si>
  <si>
    <t>Se espera tener firmado el convenio para mediados del mes de octubre, como resultado de la presentación que el director del DANE hizo en el marco de la "Comisión Interinstitucional de Estadísticas de Servicios" en donde hacen parte BANCO DE REPÚBLICA, DNP, DANE y el MINCIT el día 05 de octubre de 2021. En este sentido se iniciara el  operativo de recolección de información en la tercer semana de octubre y se extenderá hasta la segunda semana de diciembre de 2021, en donde se podrá dar cumplimiento a los procesos en relación a la base de datos , el procesamiento y análisis de la misma para definir el directorio</t>
  </si>
  <si>
    <t>Un (1) proceso de análisis preliminar y definición de directorio</t>
  </si>
  <si>
    <t>Mail - Envío requerimiento a Sistemas
Documento con a identificación requerimientos esquema de seguimiento en DT
Requerimiento Inicial</t>
  </si>
  <si>
    <t>Las direcciones territoriales conciliaron con la oficina de sistemas los alcances esperados y plasmaron en un documento los requerimientos óptimos del aplicativo de manera que cubriera todas las necesidades que se evidencian en las territoriales</t>
  </si>
  <si>
    <t>Doc word: Requerimientos aplicativo</t>
  </si>
  <si>
    <t>Las direcciones territoriales ajustaron y culminaron la documentación trabajada con la oficina de sistemas, las cuales fueron entregadas a la oficina de sistemas como insumo para el desarrollo del aplicativo.</t>
  </si>
  <si>
    <t>Esquema requerimiento</t>
  </si>
  <si>
    <t>Las direcciones territoriales realizaron los ajustes que fueron trabajados con la oficina de sistemas y se generó una versión final del esquema del diagrama de flujo del aplicativo</t>
  </si>
  <si>
    <t>Doc XPS: Esquema diagrama de flujo aplicativo</t>
  </si>
  <si>
    <t>DT Bogotá: Mail - Identificación necesidades DTNO y gestión con Cajas de Compensación
DT: Bogotá: Mail - Identificación necesidades DTNO
DT Manizales: Matriz de necesidades de capacitación. Ejes del PIC
DT Medellín: Mail - Identificación necesidades DTNO y gestión con Cajas de Compensación
DT Medellín: Mail - Identificación necesidades DTNO
DT Cali: Matriz identificación necesidades
DT Barranquilla: Ejes del PIC, Matriz de necesidades de capacitación</t>
  </si>
  <si>
    <t xml:space="preserve">Finalizado en el  I Trimestre </t>
  </si>
  <si>
    <t>DT Bogotá: 
INDUCCIÓN DE SG-SST  SEDE GUAVIARE( Convivencia Ciudadana y GEIH) JUNIO
INDUCCIÓN SG-SST SEDE LETICIA.(1-16) JUNIO
INDUCCIÓN SG-SST SEDES NEIVA, TUNJA FLORENCIA Y BOGOTÁ (ECSC-ENUT)(1-20) JUNIO
REINDUCCIÓN SG-SST MULTIPROPOSITO(1-392)
DT Barranquilla:
Asistencia participantes territorial norte
Planes Institucionales de GTH
DT Manizales:
Capacitación _Estadísticas Vitales - EEVV_ - Dirección Territorial Centro Occidente
PANTALLAZO CAPACITACIÓN 23 06 2021 EEVV
Presentación EEVV
DT Medellín:
Asistencias actividades Desarrollo de Personal Medellín
DT Cali:
PIC
VideoTaller_A
VideoTaller_B
VideoTaller_C</t>
  </si>
  <si>
    <t>Los servidores de las Direcciones Territoriales haciendo usos de las TIC, participaron en las capacitaciones programadas por Gestión Humana para el trimestre, estas jornadas  tuvieron como objetivo fortalecer las competencias y habilidades en temas claves de la gestión para a gestión institucional. 
Adicionalmente las Direcciones Territoriales realizaron capacitaciones extensivas del SGSST de la Entidad cumpliendo los lineamientos normativos dirigidas a todo el personal.</t>
  </si>
  <si>
    <t xml:space="preserve">Las Direcciones Territoriales han buscado a través del acercamiento con diferentes entidades municipales, la formalización de convenios para crear alianzas de beneficio mutuo,  que entre otros beneficios fortalezcan las relaciones con los actores locales. 
En síntesis, actualmente las territoriales adelantan acercamientos con las instituciones educativas estratégicas para llegar a acuerdos de cooperación en el marco de los servicios ofertados en coherencia con la misión de la Entidad.
</t>
  </si>
  <si>
    <t>La DT Cali adelantó las gestiones con las universidades: Javeriana, San Buenaventura y Univalle, dando como resultado un convenio firmado y dos pendientes unicamente por firma de parte de las instituciones.</t>
  </si>
  <si>
    <t>Se adjuntan evidencias de las gestiones en las siguientes ciudades y universidades o entidades:
- Cali: Universidad Javeriana, Universidad San Buenaventura y Univalle
- Popayán: Alc Popayan y Gob Cauca</t>
  </si>
  <si>
    <t>Carta de intension de la Gobernacion. Listas de Asistencia: 23 de febrero, 17 de marzo y 23 de marzo de 2021</t>
  </si>
  <si>
    <t>Convenio UniAguachica Cesar: a la espera de la respuesta sobre la revisión de la minuta de convenio por parte de la universidad, para iniciar el cargue del proceso en el SECOP II, lo cual sería el último paso para suscribirlo.
Convenio UniSucre: carta de intención aprobada. Documentos requeridos revisados y aprobados. En elaboración de EP por parte de la sede Sincelejo.</t>
  </si>
  <si>
    <t>Estudios Previos Universidad del Cesar
Preliminar Convenio Universidad del Cesar - Aguachica</t>
  </si>
  <si>
    <t>Personal ideal en territoriales 2021 
MANUAL DE FUNCIONES TERRITORIAL NORMALIZADO
Mail - Gestión DTNO Ficha Dirección
Personal ideal en territoriales 2021_DTN
Mail - Gestión DTNO</t>
  </si>
  <si>
    <t xml:space="preserve">Las Direcciones Territoriales entregaron el documento citado, a Gestión Humana según los compromisos definidos en la mesa de trabajo de seguimiento del Manual de Funciones Territorial. </t>
  </si>
  <si>
    <t>Correos electrónicos 
Instrumento 
Manual de Funciones Territoriales</t>
  </si>
  <si>
    <t xml:space="preserve">Las Direcciones Territoriale elaboraron el “instrumento de manual de funciones”, documento Excel que contiene las fichas elaboradas por las Direcciones Territoriales validadas por Gestión Humana y correo electrónico de las funcionarias de Gestión Humana que acompañaron el proceso, en el cual se da por finalizado el proceso de actualización y modificación del manual por parte de las Territoriales. El trabajo realizado se formalizó a tarvés del Anexo de la Resolución No. 1017 del 03 de septiembre de 2021, por lo cual se adopta el Manual Específico de Funciones y de Competencias Laborales - DANE. </t>
  </si>
  <si>
    <t>MANUAL DE FUNCIONES TERRITORIAL NORMALIZADO</t>
  </si>
  <si>
    <t xml:space="preserve">Instrumento de Manual de Funciones Territorial 2021
Manual de Funciones Territorial Normalizado
</t>
  </si>
  <si>
    <t>El hito se finalizó en el II trimestre</t>
  </si>
  <si>
    <t xml:space="preserve">En el Anexo de la Resolución No. 1017 del 03 de septiembre de 2021, por lo cual se adopta el Manual Específico de Funciones y de Competencias Laborales – DANE, se detallan las fichas de manual elaboradas por las Direcciones Territoriales, las cuales fueron revisadas en conjunto con Gestión Humana y socializadas con lo funcionarios. </t>
  </si>
  <si>
    <t>Resolución No. 1017 del 03 de septiembre de 2021, por lo cual se adopta el Manual Específico de Funciones y de Competencias Laborales - DANE</t>
  </si>
  <si>
    <t>Documento: DOCUMENTO PRUEBAS ASIGNACIÓN DE INVENTARIO_26022021</t>
  </si>
  <si>
    <t xml:space="preserve"> ARQ_APL_2021</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</si>
  <si>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quienes han estado trabajando en los ajustes correspondientes, perfeccionando así la usabilidad de este aplicativo. Se entrega el mismo en condiciones de funcionalidad probada y con instructivo para su manejo entregado y socializado a los usuarios.</t>
  </si>
  <si>
    <t>Documento: Informe_Pruebas_AplicativoInventarios</t>
  </si>
  <si>
    <t>Informe_ajustes_Aplicativo_30 junio</t>
  </si>
  <si>
    <t>Los profesionales de sistemas de la Dirección Territorial Sur Occidente entregaron el aplicativo en su versión definitiva, aplicando los diferentes ajustes y correcciones detectadas en la fase de pruebas, además se incorporaron cambios estéticos, de diseño, de usabilidad y del modelo funcional para garantizar la mejor experiencia de usuario final.</t>
  </si>
  <si>
    <t>Aplicativo alojado en servidor de la DT Cali, enlace: http://cali_geihsist2.dane.gov.co/</t>
  </si>
  <si>
    <t>Los profesionales de sistemas de la Dirección Territorial Sur Occidente desarrollaron y entregaron documento de instrucciones de uso para el aplicativo de control de inventarios, el mismo fue socializado en videollamada.</t>
  </si>
  <si>
    <t>Documento instructivo
Lista de asistencia
Grabación entrenamiento</t>
  </si>
  <si>
    <t>Inicia en el trimestre IV</t>
  </si>
  <si>
    <t>No aplica para este trimeste</t>
  </si>
  <si>
    <t>Archivo descargado del MS Teams: Flujo de trabajo contratación V3</t>
  </si>
  <si>
    <t>Ha finalizado en el trimestre I</t>
  </si>
  <si>
    <t>La Dirección Territorial SurOccidente ha puesto en funcionamiento un flujo de control compartido a través de las herramientas de trabajo colaborativo. A partir de diferentes implementaciones se han construido automatizaciones para algunas tareas de revisión de documentación y de elaboración de informes. Con ello se han disminuido los tiempos empleados en la validación de documentos, cruces de bases de datos y extracción de reporte de jóvenes. Se formularon 5 automatizaciones, de las cuales 3 ya se encuentran completas e implementadas. Las restantes 2 tienen documentación de requisitos e instructivos de funcionalidad y se están completando de elaborar.</t>
  </si>
  <si>
    <t>Vídeos: Entrenamientos realizados y ayudas de memoria.</t>
  </si>
  <si>
    <t>Cinco (5) programas para la automatización en: extracción de reporte jóvenes desde tablero de control, extracción de informe SIRECI desde tablero de control, elaboración de cuentas de cobro contratistas, revisión de documentos pre contractuales y cruce tablero de control vs SECOP II, elaborados.</t>
  </si>
  <si>
    <t>Correo: Oficina de sistemas DTSO</t>
  </si>
  <si>
    <t>ValidaEntesControl.py
MACRO_TABLERO-JOVENES.xlsm
CruceSECOP.r</t>
  </si>
  <si>
    <t>Los profesionales de sistemas de la Territorial SurOccidente junto con el profesional de direccionamiento estratégico e integrantes de la MPTMC generaron cinco estrategias de automatización: 
(1) macro para la elaboración de formato de jóvenes (Función Pública) con la información contenida en el tablero de control, 
(2) código ejecutable en R para el cruce de información entre el tablero de control y los contratos contenidos y publicados en SECOP II con fines de validar completitud 
(3) programa en python para la revisión automática de formatos de entes de control entre los documentos pre contractuales.
(4) macro para la extracción del formato SIRECI a partir del tablero de control, del cual se estableció el requerimiento y se encuentra en producción.
(5) programa en python para la extracción de datos de ECOS para generar cuentas de cobro de contratistas operativos, del cual se presenta un primer avance.</t>
  </si>
  <si>
    <t xml:space="preserve">
1_Macro Formato de Jóvenes
2_Código Ejecutable en R
3_Programa en Python
4_Macro extracción formato SIRECI
5_Programa en Python para ECOS</t>
  </si>
  <si>
    <t>Una (1) sesión de entrenamiento en el uso de los aplicativos, ejecutadas.</t>
  </si>
  <si>
    <t>1. Convenio Multipropósito
2. ICS_Contrato-FONDO_ ROTATORIO_DANE_FIRMADO_BID-DANE</t>
  </si>
  <si>
    <t xml:space="preserve"> $                                                                 -  </t>
  </si>
  <si>
    <t>1.  Convenio CV-002-2021_firmado UPME
2. CONVENIO DANE - FONDANE- MININTERIOR
3. Convenio MINCULTURA - DANE_FONDANE
4. Minuta firmada DANE-Policía
5. CONVENIO No 096  INTERADMINISTRATIVO DE COOPERACION FONDANE - DIMAR
6. MINUTA CONVENIO MEN-DANE-FONDANE final
7. Contrato Banco Mundial
8. CONTRATO INTERADMINISTRATIVO  GEIH MEDELLIN 2021</t>
  </si>
  <si>
    <t xml:space="preserve"> $                                                            -  </t>
  </si>
  <si>
    <t>Durante el IIi trimestre la entidad adelanto con éxito diferentes negociaciones que permitieron la suscripción de tres (3) convenios con entidades del orden nacional y distrital, con las cuales se adelantarán diferentes actividades asociadas al Fortalecimiento de la capacidad de producción de información estadística del SEN Nacional. La meta total se supero en un (1) convenio firmado.</t>
  </si>
  <si>
    <t>1. Convenio Interadministrativo 864 de 2021 entre DANE/FONDANE y MINTIC
2. Convenio Interadministrativo 440 de 2021 entre la Secretaria Distrital de Desarrollo Económico y DANE/FONDANE
3. Convenio 2438 de 2021 entre entre el Departamento Administrativo Nacional de Estadística – DANE y el Instituto Distrital de Recreación y Deporte - IDRD</t>
  </si>
  <si>
    <t>Las áreas de la entidad han desarrollado las diferentes actividades que han permitido la suscripción de convenios y/o contratos con entidades del SEN y otras, buscando garantizar la producción de información estadística necesaria, así como todo lo referente a las evaluaciones de calidad. A corte del III trimestre se lograron llevar a buen término los diferentes procesos de negociación y los procesos ya se encuentran en las respectivas fases de ejecución.</t>
  </si>
  <si>
    <t>PRODUCCCIÓN ESTADÍSTICA</t>
  </si>
  <si>
    <t>FORTALECIMIENTO DE INFORMACION - SEN - CONVENIOS</t>
  </si>
  <si>
    <t>Doce (12) contratos interadministrativos para evaluar las entidades del SEN</t>
  </si>
  <si>
    <t>1. ACUERDO CAMACOL - DANE - FIRMADO PARTES
2. CONTRATO FRIMADO PARTES- 21 MAYO 2021_ Ministerio de Cultura</t>
  </si>
  <si>
    <t>Se lograron firmar nueve  (9) contratos interadministrativos para evaluar operaciones estadísticas de entidades pertenecientes al SEN.</t>
  </si>
  <si>
    <t>1.  Contrato Banco de la República
2. Contrato Interadministrativo 347 de 2021 entre IDEAM - DANE/FONDANE
3. Contrato Interadministrativo 862 de 2021 entre MINTIC - DANE/FONDANE
4. Contrato 428 de prestación de servicios entre FEDEGAN - DANE/FONDANE
5. Contrato de Prestación de servicios entre Observatorio de Ciencia y Tecnología OCYT y DANE/FONDANE
6. Contrato de Prestación de servicios 292  entre Ministerio de Defensa Nacional - DIMAR / DANE/FONDANE
7. Contrato Interadministrativo No 1618 de 2021 entre Superintendencia de Industria y Comercio y DANE/FONDANE
8. Contrato Interadministrativo 052-2021 ANS/DANE-FODNANE
9. Contrato Interadministrativo 623 de 2021 entre Superservicios - DANE/FONDANE</t>
  </si>
  <si>
    <t>EVA_CAL_2021_DIRPEN</t>
  </si>
  <si>
    <t xml:space="preserve">AVANCE REAL
META </t>
  </si>
  <si>
    <t>Se realizó a la Directora Técnica y Coordinador del Censos y Estudios Demográficos la socialización del documento Análisis de Contexto de la Fecundidad</t>
  </si>
  <si>
    <t>% AVANCE CUANTITATIVO 
(HITO / II TRIMESTRE)</t>
  </si>
  <si>
    <t>AVANCE CUALITATIVO
(HITO / II TRIMESTRE)</t>
  </si>
  <si>
    <t>AVANCE CUALITATIVO 
META / II TRIMESTRE</t>
  </si>
  <si>
    <t>% AVANCE CUANTITATIVO 
(HITO / III TRIMESTRE)</t>
  </si>
  <si>
    <t>AVANCE CUALITATIVO
(HITO / III TRIMESTRE)</t>
  </si>
  <si>
    <t>AVANCE CUALITATIVO 
META / III TRIMESTRE</t>
  </si>
  <si>
    <t>PAI_DCD_7</t>
  </si>
  <si>
    <t>Actividad terminada en el segundo trimestre</t>
  </si>
  <si>
    <t>1. Seguimiento Plan de Acción 2020 - IV trimetre: https://www.dane.gov.co/index.php/servicios-al-ciudadano/tramites/transparencia-y-acceso-a-la-informacion-publica/planeacion/segumiento-a-plan-de-accion  
2. Seguimiento Plan Estrategico II Semestre 
https://www.dane.gov.co/files/control_participacion/planes_institucionales/Seguimiento-II-semestre-2020-plan-indicativo-cuatrienal.pdf
3. Matriz de seguimiento PAAC III Cuatrimestre</t>
  </si>
  <si>
    <t>Link PAI: https://www.dane.gov.co/index.php/servicios-al-ciudadano/tramites/transparencia-y-acceso-a-la-informacion-publica/planeacion/segumiento-a-plan-de-accion
https://www.dane.gov.co/files/control_participacion/planes_institucionales/Planes_Indicativos/Seguimiento_plandeaccion_Itri_2021.pdf
Evidencias PAAC: matriz consolidada de seguimiento
correo de envió de información de reporte PAAC hacia la OCI</t>
  </si>
  <si>
    <t xml:space="preserve">1. Se llevo a cabo el proceso de seguimiento y elaboración del informe de avance del Plan Estrategico Instituciona periodo 2021-1.
2. Se realizó el seguimiento y elaboración del informe del Plan de Acción Institucional y Plan Operativo con corte al II trimestre del año.
3. Se realizó el seguimiento de Plan Anticorrupción y Atención al Ciudadano con corte al II cuatrimestre.  </t>
  </si>
  <si>
    <t>1. Informe PEI: https://www.dane.gov.co/index.php/servicios-al-ciudadano/tramites/transparencia-y-acceso-a-la-informacion-publica/planeacion/seguimiento-al-plan-estrategico-institucional
2: Informe PAI: https://www.dane.gov.co/index.php/servicios-al-ciudadano/tramites/transparencia-y-acceso-a-la-informacion-publica/planeacion/segumiento-a-plan-de-accion
3. Matriz de PAAC: Matriz de seguimiento PAAC - II cuatrimestre</t>
  </si>
  <si>
    <t>Durante el III trimestre del año la Oficina Asesora de Planeación realizó el seguimiento a los diferentes instrumentos de planeción, consolidando, elaborando y publicando los informes y anexos de seguimiento en la página web del DANE. Asi mismo, se remitio el consolidado de avance del PAAC a la Oficina de Control Interno.  
 Se brindaron lineamientos y se realizó el seguimiento a los reportes mensuales de los proeyctos de inversión en el cronograma establecido por el DNP.</t>
  </si>
  <si>
    <t>SPI enero
SPI febrero
SPI marzo</t>
  </si>
  <si>
    <t>Lineamientos SPI abril
Lineamientos SPI mayo
Lineamientos SPI junio
SPI abril
SPI mayo
SPI junio</t>
  </si>
  <si>
    <t>Se brindaron lineamientos y seguimiento a los reportes de julio, agosto y septiembre de seguimiento a los proyectos de inversión en la plataforma SPI del DNP durante la primera semana de cada mes.</t>
  </si>
  <si>
    <t>Reporte seguimiento SPI julio
Reporte seguimiento SPI agosto
Reporte seguimiento SPI septiembre</t>
  </si>
  <si>
    <t>Correo lineamientos Ajuste a Decreto
Proyectos actualizados a Decreto de liquidación 2021</t>
  </si>
  <si>
    <t>Finalizado I Trimestre</t>
  </si>
  <si>
    <t>Se ha cumplido con los ciclos de actualización  de las fichas EBI de los proyectos de inversión según el ciclo presupuestal, se realizó el seguimiento a la ejecución presupuestal mensual de los recursos de funcionamiento y los 13 proyectos de inversión, de igual manera se realizaron los trámites presupuestales requeridos por las dependencias</t>
  </si>
  <si>
    <t>Presentación Ejecución DANE-FONDANE_Enero 2021
Presentación Ejecución DANE-FONDANE_Febrero 2021
Presentación Ejecución DANE-FONDANE_Marzo 2021</t>
  </si>
  <si>
    <t>Presentación EJECUCIÓN PRESUPUESTAL DANE_FONDANE Abril_2021
Presentación EJECUCIÓN PRESUPUESTAL DANE_FONDANE Mayo_2021
Presentación EJECUCIÓN PRESUPUESTAL DANE_FONDANE Junio_2021</t>
  </si>
  <si>
    <t>EJECUCIÓN PRESUPUESTAL SECTOR Julio_2021
EJECUCIÓN PRESUPUESTALSECTOR Agosto_2021
EJECUCIÓN PRESUPUESTAL SECTOR Septiembre_2021</t>
  </si>
  <si>
    <t>ficheroFirmado_734297 CENSO ECONOMICO
ficheroFirmado_750228 (1)</t>
  </si>
  <si>
    <t>Aprobación MHCP VF Logística</t>
  </si>
  <si>
    <t xml:space="preserve">Se revisó y elaboró la documentación  de los trámites presupuestales requeridos por las áreas: 1. Traslado CE a Logística, DCD y DIRPEN 3.024.454.129; 2. Traslado Funcionamiento Comisión Nacional del Servicio Civil $334.000.000; 3. Vigencias futuras Sistemas Sistemas $394.304.760 </t>
  </si>
  <si>
    <t>Autorización MHCP VF Sistemas
Aprobación MHCP traslado inversión 3.024.454.129
RESOLUCIÓN 1107 DEL 27-09-2021_0001</t>
  </si>
  <si>
    <t>Pruebas de funcionalidad</t>
  </si>
  <si>
    <t xml:space="preserve">Diagnóstico </t>
  </si>
  <si>
    <t>Se tiene el diagnóstico de los módulos, documental, mejora ,SST  y SGA</t>
  </si>
  <si>
    <t>Diagnóstico ISOLUCIÓN</t>
  </si>
  <si>
    <t>Se viene finalizando con los diagnósticos del sistema, se inico la elaboración del documento de mejoramiento basados en elementos técnicos y pruebas de funcionalidad</t>
  </si>
  <si>
    <t>Prueba de funcionalidad</t>
  </si>
  <si>
    <t>Prueba de funcionalidad 1
Prueba de funcionalidad 2
Prueba de funcionalidad 3</t>
  </si>
  <si>
    <t>Un Diagnostico elementos en bodega. Avance primer trimestre</t>
  </si>
  <si>
    <t xml:space="preserve">Las acciones desarrolladas fortalecen la gestión de bienes en la entidad logrando  identificar por parte del GIT de almacén e inventarios los bienes que se encuentran servibles no utilizables e inservibles frente a los requerimientos para los cuales fueron adquiridos;  ya sea por su desgaste, deterioro u obsolecencia .  De esta forma se podra liberar los espacios ocupados y recuperar áreas comunes, actualizar inventarios, actualizar la información contable y financiera, contribuir con la transformación de la planta física de la entidad, retirando bienes que se encuentren en estado de deterioro.
El  programa de seguros continua fortaleciendo la gestión del proceso mediante el seguimiento al cumplimiento de reporte de siniestros a nivel nacional y las alertas  en los casos que se requieran, en los meses de julio, agosto y septiembre. 
Por otra parte se viene realizando la  ejecución de las actividades programadas del PMAS , las cuales aportan de manera significativa  en el desarrollo de la misionalidad institucional. Sin embargo las actividades asociadas al contrato de puertas corredizas ya se encuentra adjudicado.
</t>
  </si>
  <si>
    <t>Gestión de Bienes y Servicios -GBS</t>
  </si>
  <si>
    <t>En el tercer trimestre se desarrollaron las gestiones pertinentes para finalizar el proceso de bajas, las cuales consistieron en elaborar y consolidar la documentación requerida: certificados de inservibilidad, archivo excel con las placas y descripción de elementos, presentación para el comité institucional de gestión y desempeño (CIGD), la sesión se llevó a cabo del 09 al 13 de septiembre con aprobación unánime de los miembros.</t>
  </si>
  <si>
    <t>Acta Cuarto Comité Institucional Gestión Desempeño.
CERTIFICADO DE INSERVIBILIDAD SISTEMAS.
CERTIFICADO DE INSERVIBILIDAD MOBILIARIO.
Nueva carpeta: Certificados de Inservibilidad</t>
  </si>
  <si>
    <t>Primer informe  de  siniestralidad del programa de seguros.</t>
  </si>
  <si>
    <t>El programa de seguros del Área Administrativa, efectuó seguimiento a los siniestros que reportaron las diferentes territoriales durante los meses a corte del mes septiembre, ésta información fue el insumo para tramitar la reposición ante la aseguradora como resultado se elaboró el informe de siniestralidad del III trimestre 2021.</t>
  </si>
  <si>
    <t>Informe  de  siniestralidad del programa de seguros.</t>
  </si>
  <si>
    <t>Un plan de mantenimiento y sostenibilidad (PMAS) aprobado.</t>
  </si>
  <si>
    <t>Hito Terminado</t>
  </si>
  <si>
    <t>Un plan de mantenimiento y sostenibilidad (PMAS) Ejecutado</t>
  </si>
  <si>
    <t xml:space="preserve">El GIT Servicios Administrativos para el tercer trimestre, esta ejecutando el Plan de Mantenimiento y Sostenibilidad - PMAS, con un resultado del 96%; conforme a la programación de mantenimientos locativo y contratación de bienes y servicios para este tercer trimestre ( Julio, Agosto y Septiembre).  
50 Actividades programadas  
48 Actividades Ejecutadas.
</t>
  </si>
  <si>
    <t>Plan de Mantenimiento y Sostenibilidad (PMAS)</t>
  </si>
  <si>
    <t xml:space="preserve">El GIT gestión Área Administrativa llevo a cabo el 31 de mayo la presentación de los supervisores del contrato y el equipo que apoyara la ejecución del mismo. Posteriormente, se entregó a CISA el ANEXO 2 - RELACIÓN DE BIENES SUJETOS A REGISTRO Vehículos con el registro fotográfico para el catálogo de venta de los 3 vehículos. El valor base de venta que se debe dejar es el del avalúo comercial. La Oficina Jurídica revizó y aprobo los términos de adhesión de la subasta.
Entre 01 y el 13 de septiembre se llevaron a cabo las visitas de inspección a los vehículos por parte de los interesados en su compra. Se solicitó a las áreas de Compras públicas, oficina jurídica, y de Gestión humana validar el listado de los interesados en participar en la subasta remitido por CISA. El pago de las garantías por parte de los interesados se realizó del 30 de septiembre al 01 de octubre en la cuenta dispuesta por CISA. La Subasta electrónica se llevará a cabo el día 11 de octubre. </t>
  </si>
  <si>
    <t xml:space="preserve">Se realizó  la entrega del informe del Contrato Interadministrativo N° 010 de 2021, con corte al 30 de septiembre de 2021; donde se describe los datos principales y los hechos más relevantes para el desarrollo del mismo, estructurado en 4 partes, en primer lugar, se plantea el contexto, seguido de los datos contractuales, el resumen de la ejecución y desembolsos efectuados con sus correspondientes anexos: (Cronograma de subastas octubre y los Términos de adhesión información general y declaraciones del cliente para la subasta) </t>
  </si>
  <si>
    <t>Informe del Contrato CISA</t>
  </si>
  <si>
    <t>3 listas de chequeo de las conciliciaciones contables de los periodos correspondientes a Enero, Febrero y Marzo.</t>
  </si>
  <si>
    <t xml:space="preserve">3 listas de chequeo de las conciliciaciones contables de los periodos correspondientes a Abril, Mayo y Junio de 2021. </t>
  </si>
  <si>
    <t xml:space="preserve">Se realizó la verificación mediante lista de chequeo de la elaboración y presentación de las conciliaciones contables enviadas por correo electrónico de los periodos correspondientes a julio, agosto y septiembre de 2021. </t>
  </si>
  <si>
    <t xml:space="preserve">3 listas de chequeo de las conciliciaciones contables de los periodos correspondientes a Julio, agosto y septiembre de 2021. </t>
  </si>
  <si>
    <t xml:space="preserve">Se realizó la verificación mediante lista de chequeo de la elaboración y presentación de las conciliaciones contables enviadas por correo electrónico de los periodos correspondientes a Julio, agosto y septiembre de 2021. 
Se elaboraron y publicaron 4 Estados financieros DANE y FONDANE correspondientes a los periodos de Junio y julio de 2021.
Se elaboraron y publicaron 4 informes de ejecución presupuestal 2 DANE y 2 FONDANE correspondientes a los periodos de julio y agosto de 2021. 
Se elaboraron 3 informes en donde se evidencia la programación y ejecución de PAC correspondientes a los periodos de julio, agosto y desptiembre de 2021.  </t>
  </si>
  <si>
    <t xml:space="preserve"> FORTALECIMIENTO DE LA CAPACIDAD TECNICA Y ADMINISTRATIVA </t>
  </si>
  <si>
    <t xml:space="preserve"> Documentos de planeación </t>
  </si>
  <si>
    <t xml:space="preserve"> C-0499-1003-6-0-0499054-02 </t>
  </si>
  <si>
    <t xml:space="preserve">2 Estados financieros DANE y FONDANE correspondientes al periodo Diciembre vigencia 2020, cada uno tiene su informe de notas contables. 
</t>
  </si>
  <si>
    <t xml:space="preserve">10 Estados financieros DANE y FONDANE correspondientes a los periodos de Enero, Febrero, Marzo, Abril y Mayo de 2021. 
</t>
  </si>
  <si>
    <t xml:space="preserve">Se elaboraron y publicaron 4 Estados financieros DANE y FONDANE correspondientes a los periodos de junio y julio de 2021. </t>
  </si>
  <si>
    <t xml:space="preserve">4 Estados financieros DANE y FONDANE correspondientes a los periodos de Junio y julio de 2021. 
</t>
  </si>
  <si>
    <t xml:space="preserve">8 Informes de ejecución presupuestal DANE y FONDANE, Diciembre 2020, Enero, Feberero y Marzo 2021. </t>
  </si>
  <si>
    <t xml:space="preserve">6 Informes de ejecución presupuestal DANE y FONDANE, Abril, Mayo y Junio de 2021. </t>
  </si>
  <si>
    <t xml:space="preserve">Se elaboraron y publicaron 4 informes de ejecución presupuestal 2 DANE y 2 FONDANE correspondientes a los periodos de julio y agosto de 2021. </t>
  </si>
  <si>
    <t xml:space="preserve">4 informes de ejecución presupuestal 2 DANE y 2 FONDANE correspondientes a los periodos de julio y agosto de 2021. </t>
  </si>
  <si>
    <t>3 informes de programación y ejecución de PAC correspondientes a los periodos de Enero, Febrero y Marzo de 2021.</t>
  </si>
  <si>
    <t xml:space="preserve">3 informes de programación y ejecución de PAC correspondientes a los periodos de Abril, Mayo y Junio de 2021. </t>
  </si>
  <si>
    <t xml:space="preserve">Se elaboraron 3 informes en donde se evidencia la programación y ejecución de PAC correspondientes a los periodos de julio, agosto y septiembre de 2021. </t>
  </si>
  <si>
    <t xml:space="preserve">3 informes de programación y ejecución de PAC correspondientes a los periodos de julio, agosto y septiembre de 2021. </t>
  </si>
  <si>
    <t>2 informes de seguimiento de PQRSD del proceso correspondientes a los periodos de Enero y Febrero.</t>
  </si>
  <si>
    <t>3 informes de seguimiento de PQRSD del proceso correspondientes a los periodos de Marzo Abril y Mayo.</t>
  </si>
  <si>
    <t>Se generaron 3 informes de seguimiento de PQRSD del proceso, correspondientes a los periodos de julio, agosto y septiembre, identificando radicados entre peticiones y documentos informativos de los cuales la mayoría recibieron respuesta dentro de los términos. Los demás se relacionaron como documentos de apoyo y no requerían respuesta.</t>
  </si>
  <si>
    <t>3 informes de seguimiento de PQRSD del proceso correspondientes a los periodos de julio, agosto y septiembre.</t>
  </si>
  <si>
    <t>Se generaron 3 informes de seguimiento de PQRSD del proceso, correspondientes a los periodos de julio, agosto y septiembre, identificando radicados entre peticiones y documentos informativos de los cuales la mayoría recibieron respuesta dentro de los términos. los demás se relacionaron como documentos de apoyo y no requerían respuesta.</t>
  </si>
  <si>
    <t>Estudios previos contratación directa</t>
  </si>
  <si>
    <t>El Área de Gestión Humana a través de la Universidad Nacional ha ejecutado el contrato de actividades de formación para fortalecer las competencias y capacidades técnicas de los servidores en temas misionales acorde con lo programado.</t>
  </si>
  <si>
    <t>Gestión del Talento Humano - GTH</t>
  </si>
  <si>
    <t>Pantallazo contrato #CO1.PCCNTR.2472048 publicado en SECOP</t>
  </si>
  <si>
    <t xml:space="preserve">Convocatoria
Lista de inscritos 
</t>
  </si>
  <si>
    <t>El Área de Gestión Humana través de la Universidad Nacional tiene a disposicion  dos informes de ejecución  con todos sus anexos de los ocho (8) cursos realizados durante el tercer trimestre de 2021.</t>
  </si>
  <si>
    <t>Primer Informe UNAL 
Segundo Informe UNAL
Pantallazos evidencias cursos UNAL</t>
  </si>
  <si>
    <t>\\systema20\Seg_Planes_institucionales\02_DICE\Plan Operativo 2021\PO_DICE_1\PO_DICE_1.1</t>
  </si>
  <si>
    <t>Hito terminado</t>
  </si>
  <si>
    <t>\\systema20\Seg_Planes_institucionales\02_DICE\Plan Operativo 2021\PO_DICE_1\PO_DICE_1.2</t>
  </si>
  <si>
    <t>\\systema20\Seg_Planes_institucionales\02_DICE\Plan Operativo 2021\PO_DICE_1\PO_DICE_1.2\II TRIMESTRE</t>
  </si>
  <si>
    <t>\\systema20\Seg_Planes_institucionales\02_DICE\Plan Operativo 2021\PO_DICE_2\PO_DICE_2.1</t>
  </si>
  <si>
    <t>\\systema20\Seg_Planes_institucionales\02_DICE\Plan Operativo 2021\PO_DICE_2\PO_DICE_2.2</t>
  </si>
  <si>
    <t>\\systema20\Seg_Planes_institucionales\02_DICE\Plan Operativo 2021\PO_DICE_2\PO_DICE_2.2\II TRIMESTRE</t>
  </si>
  <si>
    <t>Se realizó el tercer seguimiento al cumplimiento de las metas del plan de acción (II trimestre)  y el segundo seguimiento a la ejecución de las metas del Plan de Anticorrupción y Atención al Ciudadano (I cuatrimestre).</t>
  </si>
  <si>
    <t xml:space="preserve">EVIDENCIA DICE_PAI_PO 2021 II Trim.
EVIDENCIA ENVÍO PAAC II CUATRIMESTRE
Formato reporte de seguimiento PAI 2021_III trimestre
Seguimiento II Cuatrimestre-Plan-Anticorrupcion-y-de-Atencion-al-Ciudadano-2021 _con observacion (2) (1)
</t>
  </si>
  <si>
    <t xml:space="preserve">\\systema20\Seg_Planes_institucionales\02_DICE\Plan Operativo 2021\PO_DICE_3
</t>
  </si>
  <si>
    <t>\\systema20\Seg_Planes_institucionales\02_DICE\Plan Operativo 2021\PO_DICE_3\II TRIMESTRE</t>
  </si>
  <si>
    <t xml:space="preserve">El  Grupo Interno de Trabajo del Taller de Ediciones realizó la entrega del informe con el reporte de impresiones realizadas durante los meses de julio, agosto y septiembre. </t>
  </si>
  <si>
    <t>Producción 2021</t>
  </si>
  <si>
    <t>El  Grupo Interno de Trabajo del Taller de Ediciones ha realizado las entregas del informe con el reporte de impresiones realizadas mensualmente durante la vigencia 2021.</t>
  </si>
  <si>
    <t xml:space="preserve">6. MdificacionTablasInsercionRegistros
CREACION USUARIO APLICATIVO COMEX
ELIMINAR REGISTROS EMPRESA NIT 900553004  x
08042021_SeguimientoServiciosTipoRequerimiento-marzo
EAC_EMCM_GLPI
EAC_DSOEACECO001_V16_09_02_2021 (1)
EAC_DSOEACECO001_V16_09_02_2021
Reunión reporte carbón - Avance
Sincronización ambiente de producción - COMEX
Soportes_GLPI
</t>
  </si>
  <si>
    <t xml:space="preserve">EAC y EMC, Soportes_GLPI
EAIED, Soportes_GLPI, programas del aplicativo
PVLPA programas del aplicativo
EAM, Soportes_GLPI
EDIT, Soportes_GLPI
EMMET, Soportes_GLPI y requerimientos
EAS, Pruebas y programas del aplicativo
EMA, programas del aplicativo
EMSB, programas del aplicativo
</t>
  </si>
  <si>
    <t>En el tercer trimestre de 2021  la Oficina de Sistemas a través de su GIT realizó el soporte y ajustes a los aplicativos de Comercio, Industria, Servicios.</t>
  </si>
  <si>
    <t xml:space="preserve">COMERCIO:
EAC y EMC, Soportes_GLPI.
EAIED, Soportes_GLPI y resultado de las pruebas.
PVLPA Soportes_GLPI y resultado de las pruebas.
INDUSTRIA:
EAM, Soportes_GLPI, correos y resultado de las pruebas.
EDIT, Solicitudes de soporte por correo.
EMMET, Soportes_GLPI y requerimientos.
EAI, Soportes GLPI
SERVICIOS:
EAS, Soportes_GLPI
EMA, Soportes_GLPI
EMSB, Soportes_GLPI
</t>
  </si>
  <si>
    <t xml:space="preserve">La Oficina de Sistemas a través de su GIT  cumplió con los requerimientos y soportes solicitados en el  tercer trimestre a los aplicativos  de Comercio, Industria, Servicios, GEIH, GEIH PARALELA,  IPOC, ELIC, así mismo, se realizó ajuste de los aplicativos Registro único de Vacunación (RUV) y Encuesta Nacional Agropecuaria (ENA), realizó el levantamiento de los requerimientos y desarrolló los módulos de usuario para los sistema de CHV  y Concreto y Cemento. </t>
  </si>
  <si>
    <t xml:space="preserve">
Muestra multipropósito
Prueba Piloto ECSC
PARALELO GRAN ENCUESTA INTEGRADA DE HOGARES
</t>
  </si>
  <si>
    <t>Aplicativo GEIH Marco 2005
Aplicativo GEIH Marco 2018</t>
  </si>
  <si>
    <t>En el tercer trimestre de 2021 la Oficina de Sistemas a través de su GIT  realizó los ajustes solicitados a los siguientes aplicativos:
GEIH, GEIH PARALELA de acuerdo al documento metodológico de las operaciones estadísticas</t>
  </si>
  <si>
    <t>08042021_SeguimientoServiciosTipoRequerimiento-marzo
GTE020PDT002f001_V1 Pruebas Valor presupuesto total y sub obra a precios corrientes
pruebasAprobadas
soporte1Iafoc
soporte2Iafoc
soporte3Iafoc
soporte4Iafoc
soporte5Iafoc
soporte6Iafoc</t>
  </si>
  <si>
    <t>CHV, programas del aplicativo
ELIC, programas del aplicativo
IIOC, programas del aplicativo
IPOC, soporte GLPI (ajustes)</t>
  </si>
  <si>
    <t xml:space="preserve">En el tercer trimestre de 2021 la Oficina de Sistemas a través de su GIT realizó el levantamiento de los requerimientos y desarrolló los módulos de usuario para los sistema de CHV  y Concreto y Cemento. También se realizó el soporte solicitado a los sistemas de IPOC y la ELIC. </t>
  </si>
  <si>
    <t>INFRAESTRUCTURA:
CHV, Levantamiento de requerimientos
Concreto y Cemento,  Levantamiento de requerimientos
ELIC, soporte GLPI.
IPOC, soporte GLPI, mantenimiento y pruebas.</t>
  </si>
  <si>
    <t xml:space="preserve">
08042021_SeguimientoServiciosTipoRequerimiento-marzo
EAM-EDIT
EMMET
</t>
  </si>
  <si>
    <t>Aplicativo RUV
Aplicativo ENA</t>
  </si>
  <si>
    <t>En el  tercer trimestre de 2021 la Oficina de Sistemas a través de su GIT realizó los ajustes solicitados a los siguientes aplicativos:
Registro único de Vacunación (RUV) y Encuesta Nacional Agropecuaria (ENA) de acuerdo al documento metodológico de las operaciones estadísticas.</t>
  </si>
  <si>
    <t xml:space="preserve">GTE-020-PDT-001-f-001_V2_FormatoDeSolicitudDeDesarrolloSistemasInformacion MULTIPROPÓSITO 2021
GTE020PDT002f002 DIAGNÓSTICO DE SOLICITUD DE DESARR  Y MANTEN   MULTIPROPÓSITO 2021
lista_asistencia 05022021 MULTIPROPÓSITO 2021
Sistema de monitoreo y control Multipropósito 
Cronograma Multipropósito
</t>
  </si>
  <si>
    <t>Actas de Seguimiento
Plantillas Reunion de Segumiento 
Cronogramas Linea Base Kactus</t>
  </si>
  <si>
    <t>En el tercer trimestre de 2021  la Oficina de Sistemas a través de su GIT Sistemas de Información continuó brindando soporte a lo usuarios de Kactus Fase 1, continuó con la implementación de los módulos correspondientes a la fase 2 e inició la implementación de la fase 3 Contratistas.</t>
  </si>
  <si>
    <t xml:space="preserve">La Oficina de Sistemas en el  tercer trimestre a través de su GIT   cumplió con los requerimientos solicitados  de soporte y mantenimiento a los procesos administrativos e inició la implementación del módulo de contratistas. </t>
  </si>
  <si>
    <t>Se adjunta boletin técnico de la publicación del GIT de EEVV</t>
  </si>
  <si>
    <t>Link página web DANE_EEVV</t>
  </si>
  <si>
    <t xml:space="preserve">
Durante el tercer cuatrimestre Estadística vitales publicó en la página WEB las cifras oficiales II trimestre año 2021pr, acumulado 2020pr, año corrido 2021pr Nacimientos y defunciones.
</t>
  </si>
  <si>
    <t>Link página WEB Y boletín</t>
  </si>
  <si>
    <t>Durante el tercer trimestre estadísticas vitales publicó los cuadros de salida boletines y comunicados de nacimientos y defunciones fetales y no fetales. Las cifras definitivas se publicaran en el ultimo cuatrimestre del 2021.</t>
  </si>
  <si>
    <t>Se adjunta el link de publicación de cuadros de salida de nacimientos y defunciones</t>
  </si>
  <si>
    <t>Durante el tercer trimestre estadísticas vitales publicó la información correspondiente  a  nacimientos y defunciones fetales y no fetales, de las cifras oficiales II trimestre año 2021pr, acumulado 2020pr, año corrido 2021pr Nacimientos y defunciones. Las cifras definitivas se publicaran en el ultimo cuatrimestre del 2021.</t>
  </si>
  <si>
    <t>Link pagina WEB y boletín</t>
  </si>
  <si>
    <t>Se adjunta:
- Formato defunciones_con_instructivo_VF10_Wayuu_v27022021
-Formato nacimientos_con_instructivo_VF10_Wayuu_v27022021</t>
  </si>
  <si>
    <t xml:space="preserve">Esta actividad se cumplio en el primer trimestre </t>
  </si>
  <si>
    <t>Formatos parteras Choco</t>
  </si>
  <si>
    <t>Se continúa recibiendo los formatos diligenciados por las parteras y parteros de ASOREDIPAR Chocó con los nacimientos atendidos hasta el mes de septiembre</t>
  </si>
  <si>
    <t>FORMATOS DILIGENCIADOS ASOREDIPAR-CHOCO-2021</t>
  </si>
  <si>
    <t>Se han realizado talleres de socialización con los pueblos indígenas Kankuamo y Wayuu para la implementación de los formatos en las comunidades que hacen parte del resguardo</t>
  </si>
  <si>
    <t>Diseño_Registros tardios 2004-2018</t>
  </si>
  <si>
    <t>Correo con la entrega de las bases a las territoriales DANE.
Ruta donde se encuentran las bases que no cruzan tanto Nacimientos como Defunciones.</t>
  </si>
  <si>
    <t xml:space="preserve">Se recibió oportunamente la información que corresponde a lo inscrito en la RNEC en el segundo trimestre de 2021 con las variables respectivas. Se realizó el cruce de información con la base del RUAF-ND, con el fin de determinar los registros que están en las bases de la RNEC pero no se encuentran en el Ruaf-ND y remitir al MSPS para su respectiva recuperación. </t>
  </si>
  <si>
    <t xml:space="preserve">Se realizó el cruce de información entre las bases recibidas de la RNEC con la base del RUAF-ND, con el fin de determinar los registros que están en las bases de la RNEC pero no se encuentran en el Ruaf-ND y remitir al MSPS para su respectiva recuperación. La información corresponde a lo inscrito en la RNEC hasta el segundo trimestre de 2021. Es importante aclarar que la competencia de la recuperación en territorio recae sobre el sector salud y su ente rector, el Ministerio de Salud. </t>
  </si>
  <si>
    <t>Se adjunta Recuperación de nacimientos y  defunciones años ateriores al 2020_Anonimizado</t>
  </si>
  <si>
    <t xml:space="preserve">Se generó informe de cruce de RNEC y RUAF-ND correspondiente a los avances con corte a Julio de 2021 y una actualización con corte a 15 de septiembre de 2021/ </t>
  </si>
  <si>
    <t xml:space="preserve">Archivos de excel con los informes anteriormente mecnionados y con los avances por departamento. </t>
  </si>
  <si>
    <t>Cuadros con quinquenalización</t>
  </si>
  <si>
    <t>Planatilla  de algoritmos PEA</t>
  </si>
  <si>
    <t>Detección de análisis de requerimientos OCDE</t>
  </si>
  <si>
    <t>2020EE0116648.pdf</t>
  </si>
  <si>
    <t>Evaluación de coherencia de estimaciones a nivel nacional</t>
  </si>
  <si>
    <t>Estructura - Boletines por Departamento</t>
  </si>
  <si>
    <t>Boletín en edad ecolar ECTEI / + BASE EN EXCEL</t>
  </si>
  <si>
    <t>Participación en la elaboración de informes sectoriales</t>
  </si>
  <si>
    <t>Reporte Estadístico ECTeI_ajustes_DANE (1).doc</t>
  </si>
  <si>
    <t>En desarrollo de acuerdo con las necesidades de usuarios sectoriales</t>
  </si>
  <si>
    <t xml:space="preserve">Plantilla  AEVP </t>
  </si>
  <si>
    <t>Estadísticas producidas derivadas del aprovechamiento de las proyecciones demográficas</t>
  </si>
  <si>
    <t>slds_AEVP_(LMSanhezC)_v20210823.xls</t>
  </si>
  <si>
    <t>Análisis demográfico en procesos de documentación</t>
  </si>
  <si>
    <t xml:space="preserve">CUADROS DE SALIDA PET </t>
  </si>
  <si>
    <t>Revisión de cálculos censales</t>
  </si>
  <si>
    <t>PET DSCN.jpg</t>
  </si>
  <si>
    <t>En revisión general de consistencia</t>
  </si>
  <si>
    <t xml:space="preserve"> - Oficio solicitud base de datos
- Presentación Estimación población etnica</t>
  </si>
  <si>
    <t>Certificacion de poblacion en resguardo 2021-2022</t>
  </si>
  <si>
    <t>https://www.dane.gov.co/index.php/estadisticas-por-tema/demografia-y-poblacion/movilidad-y-migracion/anuarios-estadisticos-de-movimientos-internacionales</t>
  </si>
  <si>
    <t xml:space="preserve">Link anuario de Movilidad </t>
  </si>
  <si>
    <t>Documento elaborado en diagramación</t>
  </si>
  <si>
    <t>ANUARIO DE MOVIMIENTOS INTERNACIONALES 2020 29-09-2021 (1).doc</t>
  </si>
  <si>
    <t>En proceso de difusión</t>
  </si>
  <si>
    <t>Pantallazo_REMI</t>
  </si>
  <si>
    <t>Reporte REMI</t>
  </si>
  <si>
    <t>Revisión de algoritmos e implementación de ajustes metodológicos</t>
  </si>
  <si>
    <t>Documento Metodología general REMI para todos los países.doc</t>
  </si>
  <si>
    <t>En proceso de consolidación y validación técnica</t>
  </si>
  <si>
    <t>Se adjunta Matriz de identificación</t>
  </si>
  <si>
    <t xml:space="preserve">No aplica </t>
  </si>
  <si>
    <t>Para atender estos requerimientos se cuenta con información estandarizada y procesamientos establecidos para requerimiento. Para caracterizar dichos requerimientos se produjo la matriz de información de caractrerización de usuarios</t>
  </si>
  <si>
    <t>Se adjunta CO1.PCCNTR.1310808 de 2020</t>
  </si>
  <si>
    <t>Link Systema44 - CNPV 2018</t>
  </si>
  <si>
    <t>Se realiza actualización del CNPV con el cargue de documentación faltante</t>
  </si>
  <si>
    <t>Ruta donde reposan en el Systema44</t>
  </si>
  <si>
    <t>Se adjunta pantallazo del Systema44 CNPV</t>
  </si>
  <si>
    <t>Editar Contrato 2021
Pagos Ensobramatic</t>
  </si>
  <si>
    <t>https://www.dane.gov.co/files/investigaciones/boletines/grupos-etnicos/visor-pueblos-indigenas-06-2021.xlsx</t>
  </si>
  <si>
    <t>Se realiza la publicación del visor de pueblos indígenas</t>
  </si>
  <si>
    <t>Link visor pueblosindigenas</t>
  </si>
  <si>
    <t xml:space="preserve">Temario micrositio wayuu </t>
  </si>
  <si>
    <t>Se avanzó en el procesamiento de las tablas para alimentar el micrositio y se realiza visor del pueblo wayuu</t>
  </si>
  <si>
    <t>Visor_Wayuu_por_municipio_16092021.XLSX</t>
  </si>
  <si>
    <t>Visor NARP segundo ciclo
Visor TCCN-V1 (1)</t>
  </si>
  <si>
    <t>Se realiza la publicación del visor de información sociodemográfico de la población negra, afrocolombiana, raizal y palenquera, a nivel departamental</t>
  </si>
  <si>
    <t>https://www.dane.gov.co/files/investigaciones/boletines/grupos-etnicos/VIsor_NARP_Departamento.xlsx
https://www.dane.gov.co/files/investigaciones/boletines/grupos-etnicos/Visor-TCCN.xlsx</t>
  </si>
  <si>
    <t>Acopio informacion - MUPNI</t>
  </si>
  <si>
    <t>En el trimestre (III) reportado, el GIT Cuentas de Bienes y Servicios - CABYS culminó el archivo de trabajo consolidado de la  matriz de usos importados y nacionales, a partir de la información procesada y analizada. Durante el tercer trimestre, las DSCN realizó la publicación de la matriz de usos importados y nacionales, mediante la difusión en página web del boletin técnico y su anexo estadístico según la fecha establecida.</t>
  </si>
  <si>
    <t>PRODUCCIÓN ESTADÍSTICA</t>
  </si>
  <si>
    <t>LEVANTAMIENTO RECOPILACIÓN Y ACTUALIZACIÓN DE LA INFORMACIÓN RELACIONADA CON
CUENTAS NACIONALES Y MACROECONÓMICAS A NIVEL NACIONAL</t>
  </si>
  <si>
    <t>C-0401-1003-25-0-0401075-02-11**BOLETINES TÉCNICOS DE LAS CUENTAS ANUALES DE BIENES Y SERVICIOS**LEVANTAMIENTO RECOPILACIÓN Y ACTUALIZACIÓN DE LA INFORMACIÓN RELACIONADA CON CUENTAS NACIONALES Y MACROECONÓMICAS A NIVEL NACIONAL</t>
  </si>
  <si>
    <t>Archivo de trabajo - R-MUPNI</t>
  </si>
  <si>
    <t>Se construyó y finalizó un (1) archivo de trabajo con el procesamiento de la información acopiada, para la matriz de usos importados y nacionales.</t>
  </si>
  <si>
    <t>MUPNI x 6D - 2018
MUPNI x 6D - 2019</t>
  </si>
  <si>
    <t>PO_DSCN_1.3</t>
  </si>
  <si>
    <t>Se elaboró y finalizó un (1) boletín técnico y un (1) anexo estadístico de la matriz de usos importados y nacionales.</t>
  </si>
  <si>
    <t>Boletin_matriz utilizacion impo-nac_2019p
Anexo-matriz-desagregada-productos-importados-y-nacionales-2019p</t>
  </si>
  <si>
    <t>Bases Ocup2020 y Car2020</t>
  </si>
  <si>
    <t>archivos:
 demanda 2015-2019 junio_2021.xlsx y matriz de trabajo 2015-2020p_27_05_21.xlsx</t>
  </si>
  <si>
    <t xml:space="preserve">Boletín técnico de publicación y anexo de publicación para la matriz de trabajo 2019-2020 p en página web </t>
  </si>
  <si>
    <t>Base BD_CNALES_2018_2019</t>
  </si>
  <si>
    <t>Matriz_CI_2019_2021-01-28
Matriz_Prod_2019_2021-01-28
Sintesis_2019_2021-01-28</t>
  </si>
  <si>
    <t>Agregados Macroeconómicos
Boletín Técnico
Oferta-utilización corrientes
Oferta-utilización constantes</t>
  </si>
  <si>
    <t xml:space="preserve">Se culminó la elaboración de un (1) cronograma de trabajo para el desarrollo de las estimaciones de las cuentas anuales de bienes y servicios de los años 2019 definitivo y 2020 provisional </t>
  </si>
  <si>
    <t>Cronograma_PlandeTrabajo_CABYS_2019-2020p</t>
  </si>
  <si>
    <t>En el tercer trimestre de 2021 la DSCN, realizó y socializó la programación de actividades para el cálculo de las cuentas anuales de bienes y servicios 2019 definitivo y 2020 provisional, a partir de los lineamientos establecidos en el modelo de producción GSBPM para cada una de las fases del proceso estadístico aplicables a estadisticas derivadas. En el periodo, el GIT CABYS estructuró la propuesta de plan de trabajo de las temáticas susceptibles de actualización y/o mejora, en el marco central de las cuentas anuales,  a partir de la información disponible. El grupo CABYS de la DSCN, realizó la gestión y avanzó en el acopio de la información preliminar básica disponible para los años 2019 y 2020, generada en las cuentas coyunturales de bienes y servicios.</t>
  </si>
  <si>
    <t>Se elaboró un (1) documento de plan de trabajo que contiene la propuesta de mejoras y actualizaciones al marco central de las cuentas de bienes y servicios en version provisional</t>
  </si>
  <si>
    <t>PlandeTrabajo_producto-actividad_CABYS_2019-2020p</t>
  </si>
  <si>
    <t>Se avanzó en el archivo de trabajo correspondiente al procesamiento y consolidación de la información preliminar básica, para las cuentas  de bienes y servicios</t>
  </si>
  <si>
    <t>Base_de_datos_2019-2020preliminar</t>
  </si>
  <si>
    <t>INSUMO_AB_dta.xlsx
INSUMO_AIC_dta.xlsx
INSUMO_AIT_dta.xlsx</t>
  </si>
  <si>
    <t>documento metodológico productividad.pdf</t>
  </si>
  <si>
    <t>anexo-acervos-capital-2020.xlsx
anexo-productividad-2020.xlsx
Boletín Productividad 2020.pdf</t>
  </si>
  <si>
    <t>Bases de datos consolidada</t>
  </si>
  <si>
    <t>Boletín técnico cuentas anuales nacionales 2019 provisional
Cuentas economicas integradas 2019 provisional</t>
  </si>
  <si>
    <t>Arichivo Excel base SIIF AÑOS 2018 - 2020,  Archivo en Excel base FUT y SGR  con los años 2018 a 2020.</t>
  </si>
  <si>
    <t>Archivo de consolidación</t>
  </si>
  <si>
    <t>Se consoldaron las bases de SIIF, FUT y SGR  FINANCIEROS  convertidos al sistema de cuentas nacionales y finalidad</t>
  </si>
  <si>
    <t>archivo excel Base de datos consolidada</t>
  </si>
  <si>
    <t>Se concluyó el proceso de consilidación</t>
  </si>
  <si>
    <t>Este producto fue completado ,  incluye nuevos logros al incluir los cuadros cruzados de las series finalidad /transacción y una articulación con las cuentas economicas integradas y las mesas de  CIFP - Minhacienda de directorio y COFOG.</t>
  </si>
  <si>
    <t>Archivo excelque contiene los anexos de publicación : Anexo-gastos-gobierno-2020 preiminar</t>
  </si>
  <si>
    <t>Meta  cumplida se presentó en los diferentes comites y se publicó en página web.</t>
  </si>
  <si>
    <t>Se consoldaron las bases de SIIF, FUT y SGR  FINANCIEROS  convertidos al sistema de cuentas nacionales/SOCX.</t>
  </si>
  <si>
    <t>Archivo exel: 27092021_socx_consolidado _puc_2_2020_</t>
  </si>
  <si>
    <t>Se actualizó la parámetrización y  la información del año 2019, adicionalmente  se incluyó la información del año 2020.</t>
  </si>
  <si>
    <t>Consolidacion_SOCX_2020</t>
  </si>
  <si>
    <t>avance esperado para el siguiente trimestre</t>
  </si>
  <si>
    <t>Se elaboró cronograma de trabajo con las lineas de trabajo del GIT completo.</t>
  </si>
  <si>
    <t>Un archivo de excel: cronograma 2021 total GIT</t>
  </si>
  <si>
    <t>Se presentan los avances metodologicos a incluir en el año 2020.</t>
  </si>
  <si>
    <t>Archivo word Plan de trabajo</t>
  </si>
  <si>
    <t>El archivo contiene la cargas al sistemas de las transacciones distributivas d61-d62 del año 2020.</t>
  </si>
  <si>
    <t>Archivo de excel: Avances cuentas anuales 2020prov</t>
  </si>
  <si>
    <t>Acopio estadística básica departamental
Acopio estadística básica municipal</t>
  </si>
  <si>
    <t xml:space="preserve">Archivos de la consolidación: Análisis cuentas departamentales, consolidación cuentas departamentales, análisis municipal, consolidación valor agregado municipal
</t>
  </si>
  <si>
    <t>Productos de publicación:
PIB total, por actividades económicas, por departamentos, por regiones, serie retropolada, valor agregado por municipios y boletín técnico</t>
  </si>
  <si>
    <t xml:space="preserve">Archivos base de datos estadística acopiada
</t>
  </si>
  <si>
    <t>Archivos de trabajo consolidación y síntesis</t>
  </si>
  <si>
    <t xml:space="preserve">Productos publicación en la web </t>
  </si>
  <si>
    <t>- 1. CAE-FE_Bases_Datos
- 2. CAE-FB_Bases_Datos
- 3. CAEFM-RS_Bases_Datos
- 4. CAE-AATA_Bases_Datos</t>
  </si>
  <si>
    <t>1.	CAE-ARME_Base_Datos
2.	CAE-AATA_Base_Datos
3.	CAEFM-RS_Base_Datos
4.	CAE-FA_Base_Datos
5.	CAEFM-EA_Base_Datos</t>
  </si>
  <si>
    <t xml:space="preserve">Se culminó el acopio de información de las fuentes de datos para la CAE-AATA y la CAE-FA. </t>
  </si>
  <si>
    <t>1. CAE_AATA_Base_Datos
2. CAE_FA_Base_Datos</t>
  </si>
  <si>
    <t xml:space="preserve">En el marco del desarrollo de la Cuenta Satélite Ambiental (CSA), se culminó el acopio y análisis de información de las cuentas ambientales y económicas de: actividades ambientales y transacciones asociadas y  flujos del agua. Se culminó el procesamiento de información para el cálculo de la CAEB, CAEFM-RS, CAE-FA, CAE-AATA y CAEFM-EA. Se realizó publicación de resultados de las cuentas ambientales y económicas de: activos de los recursos minerales y energéticos, flujos de materiales de residuos sólidos, flujos del agua y actividades ambientales y transacciones asociadas. Se elaboraron siete (7) documentos metodológicos correspondientes a las cuentas ambientales y económicas. </t>
  </si>
  <si>
    <t>- 1. CAE-FE_Procesamiento
- 2. CAE-FB_Procesamiento
- 3. CAE_AATA_Procesamiento</t>
  </si>
  <si>
    <t>1. CAE-FE_Procesamiento
2. CAE-FB_Procesamiento
3. CAE-AATA_Procesamiento
4. CAE-ARME_Procesamiento
5. CAE-FA_Procesamiento
6. CAEFM-RS_Procesamiento
7. CAE-B_Procesamiento</t>
  </si>
  <si>
    <t>Se culminó el procesamiento de información para el cálculo de la CAEB, CAE-AATA, CAE-FA, CAEFM-RS y CAEFM-EA.</t>
  </si>
  <si>
    <t xml:space="preserve">1. CAE_B_Procesamiento
2. CAEFM_RS_Procesamiento
3. CAE_FA_Procesamiento
4. CAE_AATA_Procesamiento
5. CAEFM_EA_Procesamiento
</t>
  </si>
  <si>
    <t>1. CAE-FE_Publicación
2. CAE-FB_Publicación</t>
  </si>
  <si>
    <t xml:space="preserve">Se publicaron resultados (boletín técnico y anexos) de las cuentas ambientales y económicas de: activos de los recursos minerales y energéticos, flujos de materiales de residuos sólidos, flujos del agua y actividades ambientales y transacciones asociadas. </t>
  </si>
  <si>
    <t xml:space="preserve">1. CAE_ARME_Publicación
2. CAEFM_RS_Publicación
3. CAE-FA_Publicación
4. CAE_AATA_Publicación
</t>
  </si>
  <si>
    <t xml:space="preserve">Se elaboraron siete (7) documentos metodológicos de las cuentas ambientales y económicas: flujos del bosque, flujos de energía, activos de los recursos minerales y energéticos, flujos de materiales de residuos sólidos, flujos del agua, actividades ambientales y transacciones asociadas, y  flujos de materiales de emisiones al aire. </t>
  </si>
  <si>
    <t>1. Documento metodológico_CAEFM_RS
2. Documento metodológico_CAE_AATA
3. Documento_metodológico_CAE_ARME
4. Documento_metodológico_CAE_FE
5. Documento_metodológico_CAE_FA
6. Documento_metodologico_CAE_FB
 7.Documento_metodológico_CAEFM_EA</t>
  </si>
  <si>
    <t>- Consolidacion_CSTIC_2021</t>
  </si>
  <si>
    <t>Boletines Técnicos de la Cuenta Satélite de Cultura</t>
  </si>
  <si>
    <t>C-0401-1003-25-0-0401078-02-11**BOLETINES TÉCNICOS DE LA CUENTA SATÉLITE DE CULTURA**LEVANTAMIENTO RECOPILACIÓN Y ACTUALIZACIÓN DE LA INFORMACIÓN RELACIONADA CON CUENTAS NACIONALES Y MACROECONÓMICAS A NIVEL NACIONAL</t>
  </si>
  <si>
    <t>CSCUL_2021</t>
  </si>
  <si>
    <t>- anexo-satelite-tic-balances-oferta-utilizacion-2014-2019p
- anexo-satelite-tic-ingreso-2014-2020pr
- anexo-satelite-tic-produccion-2014-2020pr
- anexo-satelite-tic-trabajo-2014-2019p
- bt-satelite-tic-2020pr</t>
  </si>
  <si>
    <t>- EGIT 2020
- GEIH 2020</t>
  </si>
  <si>
    <t>Boletines Técnicos de la Cuenta Satélite de Turismo</t>
  </si>
  <si>
    <t>C-0401-1003-25-0-0401077-02-11**BOLETINES TÉCNICOS DE LA CUENTA SATÉLITE DE TURISMO**LEVANTAMIENTO RECOPILACIÓN Y ACTUALIZACIÓN DE LA INFORMACIÓN RELACIONADA CON CUENTAS NACIONALES Y MACROECONÓMICAS A NIVEL NACIONAL</t>
  </si>
  <si>
    <t>CST_2021</t>
  </si>
  <si>
    <t>- Procesamiento_MigracionColombia_2020
- Procesamiento_Ocupados CIIU 4</t>
  </si>
  <si>
    <t>- Procesamiento_Excursionismo_2020
- Procesamiento_MigracionColombia_2020
- Procesamiento_Ocupados CIIU 4
- Procesamiento_Turismo_2020
- Procesamiento_Vivienda_2020_EGIT</t>
  </si>
  <si>
    <t>- Anexos_CST_2020p
- Anexos_CST_ocupados_2020p
- Bol_tec_CST_2019prv-2020pre</t>
  </si>
  <si>
    <t>- BD_EAC_2019_CSCEN 
- BD_EAM_2018-2019
- BD_EAS_2019_CSCEN
- BD_EMMET_2020_CSCEN
- BD_MINEDUCACIÓN_valor_matrícula
- BD_MINEDUCACIÓN_matriculados</t>
  </si>
  <si>
    <t>- BD_EAC_2019_CSCEN
- BD_EAM_2018-2019
- BD_EAS_2019_CSCEN
- BD_EMMET_2020_CSCEN
- BD_EMS_2020-DANE
- BD_MINEDUCACIÓN_matriculados_2019.
- BD_MINEDUCACIÓN_valor_matrícula_2019
- BD- EDUC 2019 - CSCEN
- BD_EMS_2020-DANE (Def_Feb_21)
- BD-DIAN TOTAL 2014 - 2019 CSCEN
- BD-EMS Febrero 2021-CSCEN
- BD-Estadísticas-del-Libro-en-Colombia-2019
- BD-SIET 2020 en excel
- BD-SUPERSOCIEDADES 2019 CSCEN</t>
  </si>
  <si>
    <t>Se realizó capacitación de la fase de acopio para la CSCEN,  se realizó el acopio de las bases de datos del total de las fuentes. Se realizó el procesamiento de las cuentas de producción y generación del ingreso de todas las actividades económicas, segmentos y áreas de economía naranja. Se elaboraron los productos de publicación y se realizó la publicación en página web, según lo programado en el calendario de publicaciones, el día 23 de julio</t>
  </si>
  <si>
    <t>Procesamiento_CSCEN</t>
  </si>
  <si>
    <t>- Procesamiento_CSEN</t>
  </si>
  <si>
    <t>- a-empleo-cultura-economia-naranja-CSCEN-2014-2020Pr</t>
  </si>
  <si>
    <t>Se elaboraron los productos de publicación de la cuenta satélite de cultura y economía naranja y se realizó la publicación en página web, según lo programado en el calendario de publicaciones, el día 23 de julio</t>
  </si>
  <si>
    <t>- boletin-CSCEN-2019
Anexos:
- a-act-asociativas-regulacion-CSCEN-2014-2019
- a-act-manufactureras-CSCEN-2014-2019
- a-agencias-noticias-otros-serv-informacion-CSCEN-2014-2019
- a-artes-escenicas-CSCEN-2014-2019
- a-artes-visuales-CSCEN-2014-2019
- a-audiovisual-CSCEN-2014-2019
- a-consolidado-segmento-CSCEN-2014-2020pr
- a-diseno-CSCEN-2014-2019
- a-editorial-CSCEN-2014-2019
- a-educacion-cultural-creativa-CSCEN-2014-2019
- a-empleo-cultura-economia-naranja-CSCEN-2014-2020
- a-fonografia-CSCEN-2014-2019
- a-medios-digitales-software-CSCEN-2014-2019
- a-patrimonio-cultural-material-CSCEN-2014-2019
- a-publicidad-CSCEN-2014-2019
- a-total-artes-patrimonio-CSCEN-2014-2019
- a-total-creaciones-funcionales-CSCEN-2014-2019
- a-total-cultura-economia-naranja-CSCEN-2014-2019
- a-total-industrias-culturales-CSCEN-2014-2019
- a-turismo-cultural-CSCEN-2014-2019</t>
  </si>
  <si>
    <t>BD_SIPSA_arroz_2013-2021</t>
  </si>
  <si>
    <t xml:space="preserve">- BD_Arroz_2020
</t>
  </si>
  <si>
    <t>Se realizó el acopio de las bases de datos correspondientes a las áreas sembradas y cosechadas de arroz, producción de arroz y precio promedio; se culminó el procesamiento de las bases de datos para el cálculo de las cuentas de producción y generación del ingreso. Se elaboraron los productos de publicación de la cuenta satélite de la agroindustria del arroz y se realizó la publicación en página web, según lo programado en el calendario de publicaciones, el día 3 de septiembre</t>
  </si>
  <si>
    <t>Boletines Técnicos de la Cuenta Satélite Piloto de
Agroindustria</t>
  </si>
  <si>
    <t>C-0401-1003-25-0-0401080-02-11**BOLETINES TÉCNICOS DE LA CUENTA SATÉLITE PILOTO DE AGROINDUSTRIA**LEVANTAMIENTO RECOPILACIÓN Y ACTUALIZACIÓN DE LA INFORMACIÓN RELACIONADA CON CUENTAS NACIONALES Y MACROECONÓMICAS A NIVEL NACIONAL</t>
  </si>
  <si>
    <t>CSPA_2021</t>
  </si>
  <si>
    <t>- Procesamiento_Area sembrada arroz 2011-2020II
Procesamiento_precios SIPSA arroz 2013 - 2021</t>
  </si>
  <si>
    <t>Se culminó el procesamiento de la información para la elaboración de las cuentas de producción y generación del ingreso de la fase agrícola, pecuaria y agroindustria del arroz</t>
  </si>
  <si>
    <t>- procesamiento_cta_sat_agroindustria_arroz_2016-2020</t>
  </si>
  <si>
    <t>Se elaboraron los productos de publicación de la cuenta satélite de la agroindustria del arroz y se realizó la publicación en página web, según lo programado en el calendario de publicaciones, el día 3 de septiembre</t>
  </si>
  <si>
    <t>- anex_cta_sat_agroindustria_arroz_2019p_2020pr
- boletin_cta_sat_agroindustria_arroz_2019p_2020pr</t>
  </si>
  <si>
    <t>- BD_EAS_2019_CSCEN_Bogotá
- BD_EMMET_2020_CSCEN_Bogotá
- BD_EMS_2020_CSCEN_Bogotá</t>
  </si>
  <si>
    <t>Se culminó el acopio de información para la elaboración de las cuentas de producción y generación del ingreso de la CSCEN de Bogotá</t>
  </si>
  <si>
    <t>- BD_ICA-PULEP-SIREP</t>
  </si>
  <si>
    <t>Se realizó capacitación de la fase de acopio para la CSCEN Bogotá,  se realizó el acopio de las bases de datos del total de las fuentes. Se realizó el procesamiento de las cuentas de producción y generación del ingreso de todas las actividades económicas, segmentos y áreas de economía naranja de Bogotá. Se elaboraron los productos de publicación y se realizó la publicación en página web, según lo programado en el calendario de publicaciones, el día 30 de septiembre</t>
  </si>
  <si>
    <t>Boletines Técnicos de la Cuenta Satélite de Cultura Bogotá</t>
  </si>
  <si>
    <t>Se realizó el procesamiento de las bases de datos para obtener los resultados de las cuentas de producción y generación del ingreso por actividad económica, segmento y área de economía naranja para Bogotá</t>
  </si>
  <si>
    <t>- CONSOLIDADO CULTURA Y EN_BTA_21092021</t>
  </si>
  <si>
    <t>Se elaboraron los productos de publicación de la cuenta satélite de cultura y economía naranja de Bogotá y se realizó la publicación en página web, según lo programado en el calendario de publicaciones, el día 30 de septiembre</t>
  </si>
  <si>
    <t>- boletin-CSCEN-Bogota-2019-2020pr
Anexos:
- a-act-asociativas-regulacion-CSCEN-Bogota-2014-2020
- a-agencias-noticias-otros-serv-informacion-CSCEN-Bogota-2014-2020
- a-artes-escenicas-CSCEN-Bogota-2014-2020
- a-artes-visuales-CSCEN-Bogota-2014-2020
- a-audiovisual-CSCEN-Bogota-2014-2020
- a-diseno-CSCEN-Bogota-2014-2020
- a-editorial-CSCEN-Bogota-2014-2020
- a-educacion-cultural-creativa-CSCEN-Bogota-2014-2020
- a-educacion-cultural-creativa-CSCEN-Bogota-2014-2020
- a-empleo-cultura-economia-naranja-CSCEN-Bogota-2014-2020
- a-medios-digitales-software-CSCEN-Bogota-2014-2020
- a-patrimonio-CSCEN-Bogota-2014-2020
- a-publicidad-CSCEN-Bogota-2014-2020
- a-total-artes-patrimonio-CSCEN-Bogota-2014-2020
- a-total-creaciones-funcionales-CSCEN-Bogota-2014-2020
- a-total-industrias-culturales-CSCEN-Bogota-2014-2020</t>
  </si>
  <si>
    <t>- BD_Encasetamiento2021_10-05-2021
- BD_Encasetamiento-por-Region-y-Dptos-Pollito-a-Enero-2021
- BD_Info costos Dane_actualizado 20190810
- BD_Invetarios-de-aves-de-postura-x-color-may-2021
- BD_Invetarios-de-aves-may-2021
- BD_PIB deptos pollo _ huevo
- BD_Produccion_mensual-feb-abr
- BD_Produccion-por-departamento_feb-abr</t>
  </si>
  <si>
    <t>Se culminó el acopio de las fuentes de datos para la elaboración de las cuentas de producción y generación del ingreso de la fase pecuaria y la fase industrial de la cuenta satélite de la agroindustria avícola</t>
  </si>
  <si>
    <t>- BD_FENAVI</t>
  </si>
  <si>
    <t>Se realizó el acopio de la totalidad de fuentes de información de la cuenta satélite de la agroindustria avícola y se realizó el procesamiento de la información para la elaboración de las cuentas de producción y generación del ingreso de la fase pecuaria y la fase industrial. Se avanzó en la elaboración del anexo de publicación</t>
  </si>
  <si>
    <t>Se culminó el procesamiento de la información para la elaboración de las cuentas de producción y generación del ingreso de la fase pecuaria y la fase industrial de la cuenta satélite de la agroindustria avícola</t>
  </si>
  <si>
    <t>- PROCESAMIENTO_PRODUCCIÓN ENGORDE
- PROCESAMIENTO_PRODUCCIÓN POSTURA</t>
  </si>
  <si>
    <t>Se avanzó en la elaboración del anexo de publicación de la cuenta satélite de la agroindustria avícola</t>
  </si>
  <si>
    <t>- Anexo_Cta_Satelite_Avicola_(avance)</t>
  </si>
  <si>
    <t>- BD_Adres_subsidiado
- BD_Sanidad Militar
- BD_Sanidad Policia Nacional
- BD_Supersalud</t>
  </si>
  <si>
    <t>- BD_Cat_Financieros_EPS
- BD_IPS
- BD_Movilidad_RégimenC
- BD_Públicas_RC
- BD_Públicas_RS 2020</t>
  </si>
  <si>
    <t>Se realizó el acopio de las fuentes de información y se realizó el procesamiento de las bases de datos acopiadas, para obtener los resultados de ingresos y gastos de los administradores del esquema contributivo, subsidiado, regimenes especiales, compañías de seguros</t>
  </si>
  <si>
    <t>- Conciliación_RC_2020</t>
  </si>
  <si>
    <t>Se realizó el procesamiento de las bases de datos acopiadas, para obtener los resultados de ingresos y gastos de los administradores del esquema contributivo, subsidiado, regimenes especiales, compañías de seguros</t>
  </si>
  <si>
    <t>- Procesamiento_cuenta_satelite_de_salud_2020pr</t>
  </si>
  <si>
    <t>- BD_Indicador cerealista_maiz-sorgo-soya</t>
  </si>
  <si>
    <t>Se culminó el acopio de la información básica para elaborar las cuentas de producción de la fase agrícola e industrial de maíz, sorgo y soya</t>
  </si>
  <si>
    <t>- Base_2019_2020p_EVA_UPRA</t>
  </si>
  <si>
    <t>Se realizó el acopio de las fuentes de información y se avanzó en el procesamiento de las bases de datos acopiadas, para obtener los resultados de la producción de maiz, sorgo y soya</t>
  </si>
  <si>
    <t>Se avanzó en el procesamiento de las cuentas de producción de la fase agrícola de maíz, sorgo y soya</t>
  </si>
  <si>
    <t>- Procesamiento_CSAAV_2020pr</t>
  </si>
  <si>
    <t>Base de datos serie trimestral</t>
  </si>
  <si>
    <t>Se elaboró y estructuró la base de datos requerida en los cáluclos del PIB enfoque ingreso y las CNTSI para trimestre 2 2021 y actualizaciones</t>
  </si>
  <si>
    <t>Base de datos serie 2014-1 a 2021_2</t>
  </si>
  <si>
    <t>Se realiza la publicación de las CNTSI y PIB enfoque ingreso para el trimestre 2 2021</t>
  </si>
  <si>
    <t>Consolidación trimestre</t>
  </si>
  <si>
    <t>Se elaboro la consolidación y síntesis del trimestre 2 2021 de las CNTSI y el PIB enfoque ingreso</t>
  </si>
  <si>
    <t>Archivo de consolidación y sintesis del trimestre 2 2021</t>
  </si>
  <si>
    <t>Productos de publicación</t>
  </si>
  <si>
    <t xml:space="preserve">Se elaboraron los anexos de publicación de las CNTSI </t>
  </si>
  <si>
    <t>Productos de publicación en excel</t>
  </si>
  <si>
    <t>Base de datos indicadores PIB</t>
  </si>
  <si>
    <t>Se realizó el acopio completo de la información básica para el cálculo del PIB, de sus dos enfoques, correspondiente al segundo trimestre de 2021.</t>
  </si>
  <si>
    <t xml:space="preserve">El GIT de indicadores y cuentas trimestrales de bienes y servicios realizó la publicación del Producto Interno Bruto del segundo trimestre de 2021, desde sus dos enfoques (producción y gasto); el día 17 de agosto de 2021. Para cada uno de los enfoques se realizó el acopio completo de la información, la consolidación y síntesis de resultados a cabalidad y sin ningún contratiempo. </t>
  </si>
  <si>
    <t>C-0401-1003-25-0-0401084-02-11**BOLETINES TÉCNICOSDEL PIB NACIONAL**LEVANTAMIENTO RECOPILACIÓN Y ACTUALIZACIÓN DE LA INFORMACIÓN RELACIONADA CON CUENTAS NACIONALES Y MACROECONÓMICAS A NIVEL NACIONAL</t>
  </si>
  <si>
    <t>CT_2021</t>
  </si>
  <si>
    <t>Consolidaciones PIB</t>
  </si>
  <si>
    <t>Para el tercer trimestre de 2021, se realizó la consolidación y sintesís del PIB, desde los enfoques de la producción y el gasto, correspondiente segundo trimestre de 2021.</t>
  </si>
  <si>
    <t>Productos PIB</t>
  </si>
  <si>
    <t xml:space="preserve">Se elaboró el boletín técnico y los anexos estadísticos, con los resultados del Producto Interno Bruto del segundo trimestre de 2021. </t>
  </si>
  <si>
    <t>Base de datos indicadores ISE</t>
  </si>
  <si>
    <t>Se realizó el acopio completo de la información básica para los cálculos del ISE de los meses de may, junio y julio de 2021</t>
  </si>
  <si>
    <t xml:space="preserve">El GIT de indicadores y cuentas trimestrales de bienes y servicios realizó las publicaciones del Indicador de Seguimiento a la Economía de los meses febrero, marzo y abril de 2021; los días 19 de julio, 17 de agosto y 17 de septiembre de 2021, respectivamente. Para cada una de las publicaciones se realizó el acopio completo de la información, la consolidación y síntesis de resultados a cabalidad y sin ningún contratiempo. </t>
  </si>
  <si>
    <t>Boletines Técnicos del indicador de Seguimiento a la
Economía -ISE</t>
  </si>
  <si>
    <t>C-0401-1003-25-0-0401099-02-11**BOLETINES TÉCNICOS DEL INDICADOR DE SEGUIMIENTO A LA ECONOMÍA -ISE**LEVANTAMIENTO RECOPILACIÓN Y ACTUALIZACIÓN DE LA INFORMACIÓN RELACIONADA CON CUENTAS NACIONALES Y MACROECONÓMICAS A NIVEL NACIONAL</t>
  </si>
  <si>
    <t>ISE_2021</t>
  </si>
  <si>
    <t>Consolidaciones ISE</t>
  </si>
  <si>
    <t>Para el tercer trimestre de 2021, se realizaron 3  consolidaciones y sintesís del ISE, de los meses de mayo, junio y julio de 2021 .</t>
  </si>
  <si>
    <t>Productos ISE</t>
  </si>
  <si>
    <t xml:space="preserve">Se elaboró el boletín técnico y los anexos estadísticos, con los resultados del ISE para los meses de mayo, junio y julio de 2021. </t>
  </si>
  <si>
    <t>Matriz a Marzo de 2021</t>
  </si>
  <si>
    <t>Matriz a junio de 2021</t>
  </si>
  <si>
    <t>Matriz a septiembre de 2021</t>
  </si>
  <si>
    <t>Tareas a cargo del GIT de Precios, se procesó y analizó la información recolectada para los tres meses del segundo trimestre del año, correspondientes al IPC e igualmente se avanzó en los ajustes requeridos para avanzar en la prueba piloto de recolección, en el marco del rediseño del ICCV</t>
  </si>
  <si>
    <t xml:space="preserve">LEVANTAMIENTO Y ACTUALIZACIÓN DE ESTADÍSTICAS EN TEMAS ECONÓMICOS
</t>
  </si>
  <si>
    <t>DSO-ICOCIV-MET-001</t>
  </si>
  <si>
    <t>Metodología  020421</t>
  </si>
  <si>
    <t>Revisión metodología del IPP finalizada</t>
  </si>
  <si>
    <t>Metodología IPP_F</t>
  </si>
  <si>
    <t>IPC_CanaSinEspecificaciones02Feb2021</t>
  </si>
  <si>
    <t>Matriz IPC 2021</t>
  </si>
  <si>
    <t>Ajustes en la canasta del ICCV</t>
  </si>
  <si>
    <t>Base sistemas 310821</t>
  </si>
  <si>
    <t xml:space="preserve">• bol_ipc_ene21
• bol_ipc_feb21
• bol_ipc_mar21
 </t>
  </si>
  <si>
    <t>Boletin_4_2021
Boletin_5_2021
Boletin_6_2021</t>
  </si>
  <si>
    <t>Bases de cálculo IPC. Tres bases de datos (julio, agosto y septiembre), disponibles en Oracle, pero de las cuales no es posible compartir información. Se adjunta boletín final que describe resultados.</t>
  </si>
  <si>
    <t>Bol_ipc_jul21
Bol_ipc_ago21
Bol_ipc_sep21</t>
  </si>
  <si>
    <t>Adquisición de Bienes y Servicios</t>
  </si>
  <si>
    <t>LEVANTAMIENTO DE INFORMACIÓN ESTADÍSTICA CON CALIDAD, COBERTURA Y OPORTUNIDAD NACIONAL</t>
  </si>
  <si>
    <t>C-0401-1003-24</t>
  </si>
  <si>
    <t>PRECIOS_2021_IPC</t>
  </si>
  <si>
    <t>Proceso de revisión para las bases IPC de julio, agosto y septiembre finalizados, se adjunta documento final resultado</t>
  </si>
  <si>
    <t>Necesidades de información_DIMPE-GITSERVICIOS-Diciembre 2020
Necesidades de información_DIMPE-GITSERVICIOS-Enero 2021
Necesidades de información_DIMPE-GITSERVICIOS-Febrero 2021
Necesidades de información_DIMPE-GITSERVICIOS-Marzo 2021</t>
  </si>
  <si>
    <t xml:space="preserve">
Necesidades de información-DIMPE-GITSERVICIOS-Abril 2021.xlsx
Necesidades de información_DIMPE-GITSERVICIOS-Mayo 2021.xlsx
Matriz identificación de necesidades - GITS Junio 2021</t>
  </si>
  <si>
    <t xml:space="preserve">Matriz identificación de necesidades_DIMPE-GITSERVICIOS-Septiembre 2021
Necesidades de información_DIMPE-GITSERVICIOS-Julio 2021.xlsx
Necesidades de información_DIMPE-GITSERVICIOS-Agosto 2021.xlsx
</t>
  </si>
  <si>
    <t>Se entregaron las matrices de identificación de necesidades al equipo de calidad de DIMPE</t>
  </si>
  <si>
    <t>Un (1) metodología general para la nueva muestra para el rediseño de la OE finalizado.</t>
  </si>
  <si>
    <t>Capacitación Miniencuesta Agencias de viaje
Cronograma Rediseño MTA
Formulario miniencuesta Agencias de viaje
Formulario rediseño MTA Versión  del 3 al 7
MARCO_AGENCIAS_VIAJES_2019
REQUISITOS MINIMOS PARA EL DISEÑO - RMTA</t>
  </si>
  <si>
    <t>Formulario miniencuesta Agencias de viaje.xlsx
Capacitación Miniencuesta Agencias de viaje.pptx</t>
  </si>
  <si>
    <t>FCronograma Rediseño MTA 19092021.xlsx
Especificaciones  de consistencia y validacion_V1 EMAV_02_09_2021.xlsx
Formulario Agencias de viaje versión 10 03.09.2021.xlsx
Presentación rediseño MTA - EMAV 20092021.pptx</t>
  </si>
  <si>
    <t>En conjunto con los equipos de Logística y Diseños muestrales realizaron los ejercicios necesarios para adelantar el rediseño de la Muestra de Agencias de Viaje</t>
  </si>
  <si>
    <t>Análisis_8299
base_deflactada
base_expandida
DiferenciasPersonalPermanente
Historico_con_nit preliminar IV trim_20
Validaciones_MTA_020221 RTA LOGISITICA</t>
  </si>
  <si>
    <t>Boletin EGIT año 2020_VF.pdf
Boletín EMA Febrero 2021 SV.pdf
Boletin técnico EMS Abril 2021.pdf
Boletín EMA Abril 2021 SV.pdf
Boletin técnico EMS febrero 2021.pdf
Boletin técnico EMS Marzo 2021.pdf
Boletin técnico EMS Abril 2021.pdf</t>
  </si>
  <si>
    <t xml:space="preserve">Necesidades de información_DIMPE-GITSERVICIOS-Junio 2021.xlsx
Necesidades de información_DIMPE-GITSERVICIOS-Julio 2021.xlsx
Necesidades de información_DIMPE-GITSERVICIOS-Agosto 2021.xlsx
</t>
  </si>
  <si>
    <t>SERVICIOS_2021</t>
  </si>
  <si>
    <t>EMA
EMS
EMSB
ETUP
MTA
Análisis_8299
base_deflactada
base_expandida
DiferenciasPersonalPermanente
Historico_con_nit preliminar IV trim_20
Validaciones_MTA_020221 RTA LOGISITICA</t>
  </si>
  <si>
    <t>Boletín EGIT lI-trim 2021.pdf
Boletín ETUP II Trim 2021.pdf
Boletín EMA Mayo 2021.pdf
Boletín EMA Junio 2021.pdf
Boletín EMA Julio 2021.pdf
Boletín técnico EMS mayo 2021.pdf
Boletín técnico EMS junio 2021.pdf
Boletín técnico EMS julio 2021.pdf
Boletín técnico EMSB_Mayo_21.pdf
Boletín técnico EMSB_Junio_21.pdf
Boletín técnico EMSB Julio 2021.pdf</t>
  </si>
  <si>
    <t xml:space="preserve">https://www.dane.gov.co/index.php/estadisticas-por-tema/servicios
https://www.dane.gov.co/index.php/estadisticas-por-tema/servicios/muestra-trimestral-de-agencias-de-viajes-mtav
dane.gov.co/index.php/estadisticas-por-tema/servicios/encuesta-mensual-de-servicios-de-bogota-emsb
https://www.dane.gov.co/index.php/estadisticas-por-tema/servicios/encuesta-mensual-de-servicios-ems
https://www.dane.gov.co/index.php/estadisticas-por-tema/servicios/encuesta-mensual-de-alojamiento-ema
https://www.dane.gov.co/index.php/estadisticas-por-tema/servicios/encuesta-de-transporte-urbano-etup
</t>
  </si>
  <si>
    <t xml:space="preserve">https://www.dane.gov.co/index.php/estadisticas-por-tema/servicios
https://www.dane.gov.co/index.php/estadisticas-por-tema/servicios/muestra-trimestral-de-agencias-de-viajes-mtav
https://www.dane.gov.co/index.php/estadisticas-por-tema/servicios/encuesta-mensual-de-servicios-de-bogota-emsb
https://www.dane.gov.co/index.php/estadisticas-por-tema/servicios/encuesta-mensual-de-servicios-ems
https://www.dane.gov.co/index.php/estadisticas-por-tema/servicios/encuesta-mensual-de-alojamiento-ema
https://www.dane.gov.co/index.php/estadisticas-por-tema/servicios/encuesta-de-transporte-urbano-etup
</t>
  </si>
  <si>
    <t>Boletín EGIT lI-trim 2021.pdf
Boletín ETUP II Trim 2021.pdf
Boletín EMA Mayo 2021.pdf
Boletín EMA Junio 2021.pdf
Boletín EMA Julio 2021.pdf
Boletin técnico EMS mayo 2021.pdf
Boletin técnico EMS junio 2021.pdf
Boletin técnico EMS julio 2021.pdf
Boletin técnico EMSB_Mayo_21.pdf
Boletin técnico EMSB_Junio_21.pdf
Boletin técnico EMSB Julio 2021.pdf</t>
  </si>
  <si>
    <t xml:space="preserve">MINIECGI - GIT Temática Mercado Laboral acumulado 2021,xlsx
</t>
  </si>
  <si>
    <t>MINIECGI - GIT Temática Mercado Laboral acumulado 2021.xlsx</t>
  </si>
  <si>
    <t>Todas y cada una de las dependencias que intervienen en la GEIH realizaron las actividades de su competencia en la recolección, procesamiento y análisis, que produjo información estadística continua mensual referente a la temática relacionada, así como la atención de requerimientos para la mejora de la operación durante el tercer trimestre de 2021. Además, durante este mismo periodo, el GIT Temática Mercado Laboral actualizó el documento metodológico y desarrolló el Formulario de la GEIH para el cuarto trimestre de 2021.</t>
  </si>
  <si>
    <t>4_9 DSO-P_GEIH-MET-001_Metodología_Paralelo_GEIH_revDIRPEN.docx</t>
  </si>
  <si>
    <t>DSO-P_GEIH-MET-001_Metodología_Paralelo_GEIH_v1(rev2).docx</t>
  </si>
  <si>
    <t>El GIT Temática Mercado Laboral ajustó la Metodología de la GEIH con las observaciones que fueron recibidas por el equipo de revisión de pares técnicos. El documento está por aprobación de la Subdirección.</t>
  </si>
  <si>
    <t>DSO-GEIH-MET-001_Metodología_GEIH_v11(rev20210825).docx</t>
  </si>
  <si>
    <t xml:space="preserve"> MERCADO_2021 </t>
  </si>
  <si>
    <t>03042021 GEIH PARALELA FORMULARIO II_TRIM_2021_FINAL 03042021.pdf</t>
  </si>
  <si>
    <t>Manual de recolección y conceptos básicos GEIHP.pdf
Formulario GEIHP.xlsx</t>
  </si>
  <si>
    <t>El GIT Temática Mercado Laboral desarrolló la versión del Formulario de la GEIH para el cuarto trimestre de 2021.</t>
  </si>
  <si>
    <t>DSO-GEIH-IDR-001_Formulario_Rec_IV_TRIM_2021_Diagramado.pdf</t>
  </si>
  <si>
    <t>\\systema44\PROY_2021\datos\2021\mensual\02\nacional\dat\total_nal.sas7bdat
(172 MB)
- GEIH - Informe operativo - Etapas 2101_2102_20210416.pptx</t>
  </si>
  <si>
    <t xml:space="preserve">Pantallazo ruta: Base de datos GEIH - mayo 2021.png
</t>
  </si>
  <si>
    <t>Impresión de pantalla con ruta Base de datos GEIH - agosto 2021.png</t>
  </si>
  <si>
    <t>N210202001.html</t>
  </si>
  <si>
    <t>N210505001.html</t>
  </si>
  <si>
    <t>N210808021.html</t>
  </si>
  <si>
    <t>bol_empleo_feb_21.pdf</t>
  </si>
  <si>
    <t>bol_empleo_may_21.pdf</t>
  </si>
  <si>
    <t>bol_empleo_ago_21.pdf</t>
  </si>
  <si>
    <t>Matriz para la identificación de necesidades para caracterización de grupos de interés del DANE GIT Capital Social Enero 2021
Matriz para la identificación de necesidades para caracterización de grupos de interés del DANE GIT Capital Social Febrero 2021
Matriz para la identificación de necesidades para caracterización de grupos de interés del DANE GIT Capital Social Marzo 2021</t>
  </si>
  <si>
    <t>Matriz para la identificación de necesidades para caracterización de grupos de interés del DANE GIT Capital Social abril 2021
Matriz para la identificación de necesidades para caracterización de grupos de interés del DANE GIT Capital Social mayo 2021
Matriz para la identificación de necesidades para caracterización de grupos de interés del DANE GIT Capital Social junio 2021</t>
  </si>
  <si>
    <t>Se elaboraron las matrices de identificación de necesidades para los meses de julio, agosto y septiembre, según las solicitudes recibidas.</t>
  </si>
  <si>
    <t>GIT_CS_Matriz_dentificacion_necesidades_información_agosto
GIT_CS_Matriz_dentificacion_necesidades_información_julio
GIT_CS_Matriz_dentificacion_necesidades_información_septiembre</t>
  </si>
  <si>
    <t xml:space="preserve">Durante el tercer trimestre, el equipo técnico de la ECSC realizó los ajustes requeridos al documento metodológico tras concluir la revisión de pares. Con logística y las territoriales se realizó el operativo de campo que concluyó el 31 de agosto con una cobertura de hogares del 102,73% sobre lo esperado y 98,04% sobre lo encontrado y se inició en septiembre la consolidación de bases y generación de cve e ic
</t>
  </si>
  <si>
    <t>Pantallazo ISOLUCIÓN DSO-ECSC-MET-001</t>
  </si>
  <si>
    <t xml:space="preserve"> Está pendiente la aprobación del documento.(Revisión comité técnico</t>
  </si>
  <si>
    <t>ENCUESTA_DE_CONV_Y_SEG_CIUDADANA_2021_piloto_V3</t>
  </si>
  <si>
    <t>Formulario ECSC 2021</t>
  </si>
  <si>
    <t xml:space="preserve"> POBREZA_2021_EPS </t>
  </si>
  <si>
    <t xml:space="preserve">Captura de pantalla ubicación Base en SAS de la ECSC_2021 </t>
  </si>
  <si>
    <t>En el tercer semestre se culminó el operativo de campo y durante el mes de septiembre se realizó el cierre de base</t>
  </si>
  <si>
    <t xml:space="preserve">
Base con encuestas completas e incompletas aplicando criterios de completitud
Base con factores de expansion
base en SAS de la ECSC_2021</t>
  </si>
  <si>
    <t>En el tercer semestre se avanzó en el procesamiento de la base de ECSC2021</t>
  </si>
  <si>
    <t>Base con factores de expansion</t>
  </si>
  <si>
    <t>Se inicio la revisión de frecuencias para los productos de difusión.</t>
  </si>
  <si>
    <t>Una (1) producción de información estadística sobre temáticas de cultura política para obtener datos relacionados con participación, democracia, transparencia y capital social, actualizada hasta la fase de recolección.</t>
  </si>
  <si>
    <t>Matriz para la identificación de necesidades para caracterización de grupos de interés del DANE GIT Capital Social Enero 2021
Matriz para la identificación de necesidades para caracterización de grupos de interés del DANE GIT Capital Social Febrero 2021
Matriz para la identificación de necesidades para caracterización de grupos de interés del DANE GIT Capital Social Marzo 2021</t>
  </si>
  <si>
    <t>Se elaboraron las matrices de identificación de necesidades para los meses de julio, agosto y septiembre , según las solicitudes recibidas.</t>
  </si>
  <si>
    <t>Una vez se confirmó la asignación de recursos en el mes de agosto para el operativo de campo, los equipos técnicos iniciaron las actividades preoperativas y el proceso de convocatoria entrenamiento y selección del personal operativo durante el mes de septiembre.</t>
  </si>
  <si>
    <t>Durante el tercer trimestre se realizó la revisión de pares al documento metodológico y los ajustes. Está pendiente la aprobación del documento.</t>
  </si>
  <si>
    <t>DSO-ECP-MET-001</t>
  </si>
  <si>
    <t>Está pendiente la aprobación del documento.</t>
  </si>
  <si>
    <t>09042021Formulario_ECP2021</t>
  </si>
  <si>
    <t>10052021Formulario_ECP2021</t>
  </si>
  <si>
    <t>Una vez se asignaron los recursos para el operativo de campo se realizaron las pruebas al aplicativo y se envió el formulario final al taller de ediciones</t>
  </si>
  <si>
    <t>Formulario ECP 2021</t>
  </si>
  <si>
    <t>NO APLICA,  No se presentan avances dado que la asignación de recursos para el operativo de campo se confirmó a mediados de agosto y el operativo de recolección iniciará a mediados de octubre.</t>
  </si>
  <si>
    <t>La asignación de recursos para el operativo de campo se confirmó a mediados de agosto y el operativo de recolección iniciará a mediados de octubre</t>
  </si>
  <si>
    <t>Una (1) producción de información estadística de la Encuesta Longitudinal de Colombia, con el fin de obtener datos tipo panel relacionados con las condiciones de vida de los hogares y personas, actualizada hasta la fase de diseño.</t>
  </si>
  <si>
    <t xml:space="preserve">Se elaboraron las matrices de identificación de necesidades para los meses de julio, agosto y septiembre, según las solicitudes recibidas.   </t>
  </si>
  <si>
    <t xml:space="preserve">Durante el tercer trimestre se realizaron los ajustes requeridos por los pares revisores al documento metodológico. El equipo temático y de sistemas avanzaron en el proceso de anonimización y en el mes de agosto se remitió le protocolo de anonimización a sistemas. igualmente en agosto temática remitió a sistemas las especificaciones de cuadros de salida para el panel ELCO.
</t>
  </si>
  <si>
    <t>DSO_MET_ELCO_2021</t>
  </si>
  <si>
    <t>Se completaron los ajustes por parte de diseños muestrales para aprobación del documento</t>
  </si>
  <si>
    <t>Pantallazo ISOLUCIÓN DSO-ELCO-MET-001</t>
  </si>
  <si>
    <t>Pendiente aprobación del documento</t>
  </si>
  <si>
    <t>Consolidado GIT Infraestructura ene
Consolidado GIT Infraestructura feb
Consolidado GIT Infraestructura marzo</t>
  </si>
  <si>
    <t>Consolidado GIT Infraestructura abr
Consolidado GIT Infraestructura may</t>
  </si>
  <si>
    <t>Se diligenciaron tres matrices de necesidades para los meses de julio y agosto 2021. La correspondiente a septiembre se entrega en el día 10 de cada mes, por lo que al corte de este reporte no se tenía.</t>
  </si>
  <si>
    <t>"Consolidado matriz para la identificación de necesidades para caracterización_julio.xlsx"
"Consolidado matriz para la identificación de necesidades para caracterización_agosto.xlsx"</t>
  </si>
  <si>
    <t>1. "1_3_METODOLOGIA_CHV_ajustes RV_Pares_12032021"
2. "Estado_ISOLUCION_Metodologia_IIOC", "Documento Metodológico IIOC_17_02_2021_V13_REV-DIRPEN", "Ficha metodológica_IIOC_18_02_2021_V6" y "Estado_ISOLUCION_Ficha-Metodologica_IIOC"
3. "DSO-IPOC-MET-001V1" y "DSO-IPOC-FME-001 v1"
4. "Mezcla Asfaltica - PPT_20210312" y "PLANTILLADE RECOLECCIÓN - EMA_20210312"</t>
  </si>
  <si>
    <t>1. "Evidencia_FMET_CHV_ISOLUCION.pdf"
2. "Estado_ISOLUCION_Documneto-Metodologico_IIOC.pdf" y "Estado_ISOLUCION_Ficha-Metodologica_IIOC.pdf".
3. "Evidencia_C&amp;V_CHV_ISOLUCION.pdf"
4. "31052021_plan general_EMA_2021.word" y "PLANTILLA DE RECOLECCIÓN - 8_VERSION 27_05_2021.xlsx"
5. "Evidencia_DC_CHV_ISOLUCION.pdf"
6. "Evidencia_FMET_CEED_ISOLUCION.pdf" y "Evidencia_MET_CEED_ISOLUCION.pdf"
7. "Soporte pares tecnicos plan general CEED.word"
8. "Evidencia_FORMULARIO_CEED_ISOLUCION.pdf"
9. "Soporte pares tecnicos metodologia ECG.word" y "Soporte pares tecnicos ficha ECG.word"
10. "Procedimiento planear EC def. 21-05-2021.pdf"
11. "Procedimiento de análisis de contexto, coherencia y consistencia de la información_EC_22-06-2021"
12. "Soporte pares tecnicos ficha ELIC.word" y "Soporte pares tecnicos metodologia ELIC.word"
13. "Soporte pares tecnicos metodologia y ficha FIVI.word"
14. "Evidencia_ANA-PDT_FIVI_ISOLUCION.pdf"</t>
  </si>
  <si>
    <t>CEED
1.	"Envio plan general CEED Direccion g..pdf"
2.	"Envio revision met CEED direccion g.pdf"
3.	"Envio  revision Ficha CEED Dir.pdf"      
FIVI
1.	"Envio Plan general FIVI Dir g.pdf"
2.	"Envio ficha y metodologia FIVI, Dir g.pdf"
3.	"Envio ficha y metodologia FIVI, Dir g.pdf"
4.	"Aprobado plan de pruebas FIVI.PNG"
5.	"Aprobado procedimiento analisis FIVI.PNG"
CHV
1.	"Envio pares t Plan general CHV.pdf"
2.	"Envio met y ficha CHV, Dir g.pdf"
3.	"Envio met y ficha CHV, Dir g.pdf"
4.	“Aprobacion cuadro s CHV.PNG"
EC
1.	"Envio Plan general EC, Dir g.pdf"
2.	"Envio Met- EC Direccion G.pdf"
3.	"Envio ficha EC, Dir g.pdf"
4.	"Aprobacion modelo f EC.PNG"
5.	"Aprobacion planear EC.PNG"
6.	"Aprobado Coord Proc analisis EC.pdf"
ECG
1.	"Envio tematico Plan general ECG para ajustes- comite t.pdf"
2.	"Envio tematico Met ECG para ajustes- comite t.pdf"
3.	"Envio tematico ficha ECG para ajustes- comite t.pdf"
4.	"Aprobacion procedimiento analisis ECG.PNG"
5.	"Aprobacion modelo funcional ECG.PNG"
6.	"Aprobacion descripcion MF ECG.PNG"
7.	"Aprobacion planear y coordinar ECG.PNG"
ELIC
1.	"envio pares t. Plan genral ELIC.pdf"
2.	"comentarios pares Metodologia  ELIC.pdf"
3.	"Comentarios pares ficha ELIC.pdf"
4.	"Cargue en Isolucion diccionario datos.pdf"
IPOC
1.	"Envio tematico Plan general IPOC para ajustes- Coord.pdf"</t>
  </si>
  <si>
    <t>1. Ver carpeta "IPOC" en el comprimido enviado en las evidencias
2. Ver carpeta "ECG y EC" en el comprimido enviado en las evidencias</t>
  </si>
  <si>
    <t>1.	Durante los meses de julio, agosto y septiembre se avanzó con el desarrollo de las historias de usuario y prueba del módulo de novedades del SIPOC (Sistema Integrado de Información del Indicador de Producción de Obras Civiles)
2.	Durante los meses de julio, agosto y septiembre se avanzó con el desarrollo de las historias de usuario de los aplicativos de FIVI y CHV
3.	Durante los meses de julio, agosto y septiembre se avanzó con el desarrollo de las historias de usuario de los aplicativos de EC y ECG
4.	Durante los meses de julio, agosto y septiembre se avanzó con el desarrollo de las historias de usuario de los aplicativos de ELIC</t>
  </si>
  <si>
    <t>1.	Ver carpeta “IPOC”
2.	Ver carpeta “FIVI y CHV”
3.	Ver carpeta “ECG y EC”
4.	Ver carpeta “ELIC”</t>
  </si>
  <si>
    <t xml:space="preserve"> TEMÁTICA_CONSTRUCCIÓN </t>
  </si>
  <si>
    <t>1. https://www.dane.gov.co/index.php/estadisticas-por-tema/construccion/licencias-de-construccion/historicos-elic 
•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  https://www.dane.gov.co/index.php/estadisticas-por-tema/construccion/estadisticas-de-cemento-gris
4. https://www.dane.gov.co/index.php/estadisticas-por-tema/construccion/indicador-de-inversion-en-obras-civiles
5. https://www.dane.gov.co/index.php/estadisticas-por-tema/construccion/indicador-de-produccion-de-obras-civiles-ipoc
6. "Cobertura CEED 98 fase 1", "Reporte CEED 98 Fase 2_Feb _28_2021" y "Reporte CEED 98 Fase 3_Mar _26_2021"
EVIDENCIAS I TRI 2021.rar</t>
  </si>
  <si>
    <t>1. https://www.dane.gov.co/index.php/estadisticas-por-tema/construccion/licencias-de-construccion/historicos-elic 
•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  https://www.dane.gov.co/index.php/estadisticas-por-tema/construccion/estadisticas-de-cemento-gris
4. Ver carpeta "IPOC"
5. "Reporte CEED 99 Fase 1_May_03_2021", "Reporte CEED 99 Fase 2_May_31_2021" y "Reporte CEED 99 Fase 3_Jun_28_2021"
6. "01 INFORME 1 TRMESTRE FIVI"
7 ."01 INFORME 1 TRMESTRE CHV"</t>
  </si>
  <si>
    <t>1.	En EC el operativo de recolección durante julio 2021 (publica cifras en julio 2021 corte mayo 2021), operativo recolección durante agosto 2021 (publica cifras en agosto 2021 corte junio 2021) y operativo recolección durante septiembre 2021 (publica cifras en septiembre 2021 corte agosto 2021)
2.	En ECG el operativo de recolección durante julio 2021 (publica cifras en julio 2021 corte junio 2021), operativo recolección durante agosto 2021 (publica cifras en agosto 2021 corte agosto 2021) y operativo recolección durante septiembre 2021 (publica cifras en septiembre 2021 corte septiembre 2021)
3.	En IPOC el operativo de recolección durante julio 2021 (publica cifras en agosto 2021 corte segundo trimestre 2021)
4.	En CEED el operativo de recolección durante los meses de julio, agosto y septiembre del 2021 corresponden a las tres fases de recolección de cifras corte III trimestre del 2021, cuyas cifras se publicarán en noviembre 2021
5.	En ELIC el operativo de recolección durante julio 2021 (publica cifras en julio 2021 corte mayo 2021), operativo recolección durante agosto 2021 (publica cifras en agosto 2021 corte junio 2021) y operativo recolección durante septiembre 2021 (publica cifras en septiembre 2021 corte agosto 2021). Adicionalmente, se avanzó en la recuperación de información años 2019 y 2020 para la ampliación de cobertura de ELIC.
6.	En FIVI el operativo de recolección se realiza mensual para la consolidación del trimestre. La recolección de los meses de julio, agosto y septiembre del 2021 corresponden a cifras corte III trimestre del 2021, cuyas cifras se publicarán en noviembre 2021
7.	En CHV el operativo de recolección durante julio 2021 (publica cifras en agosto 2021 corte segundo trimestre 2021)</t>
  </si>
  <si>
    <t>1.	Ver carpeta “ECG y EC”
2.	Ver carpeta “ECG y EC”
3.	Ver carpeta “IPOC”
4.	Ver carpeta “IPOC”
5.	Ver carpeta “ELIC”
6.	Ver carpeta “FIVI y CHV”
7.	Ver carpeta “FIVI y CHV”</t>
  </si>
  <si>
    <t>1. https://www.dane.gov.co/index.php/estadisticas-por-tema/construccion/licencias-de-construccion/historicos-elic 
•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 https://www.dane.gov.co/index.php/estadisticas-por-tema/construccion/estadisticas-de-cemento-gris
4. https://www.dane.gov.co/index.php/estadisticas-por-tema/construccion/indicador-de-inversion-en-obras-civiles
5. https://www.dane.gov.co/index.php/estadisticas-por-tema/construccion/indicador-de-produccion-de-obras-civiles-ipoc
6. https://www.dane.gov.co/index.php/estadisticas-por-tema/construccion/censo-de-edificaciones</t>
  </si>
  <si>
    <t>1. https://www.dane.gov.co/index.php/estadisticas-por-tema/construccion/licencias-de-construccion/historicos-elic 
•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 https://www.dane.gov.co/index.php/estadisticas-por-tema/construccion/estadisticas-de-cemento-gris
4. https://www.dane.gov.co/index.php/estadisticas-por-tema/construccion/indicador-de-produccion-de-obras-civiles-ipoc
5. https://www.dane.gov.co/index.php/estadisticas-por-tema/construccion/censo-de-edificaciones
6. https://www.dane.gov.co/index.php/estadisticas-por-tema/construccion/cartera-hipotecaria-de-vivienda
7. https://www.dane.gov.co/index.php/estadisticas-por-tema/construccion/financiacion-de-vivienda</t>
  </si>
  <si>
    <t>1.	En ELIC se procesaron bases durante julio 2021 para publicación de cifras corte mayo 2021, durante agosto 2021 se procesaron bases para publicación de cifras corte junio 2021 y se procesaron bases durante septiembre 2021 para publicación de cifras corte julio 2021
2.	En EC se procesaron bases durante julio 2021 para publicación de cifras corte mayo 2021, durante agosto 2021 se procesaron bases para publicación de cifras corte junio 2021 y se procesaron bases durante septiembre 2021 para publicación de cifras corte julio 2021
3.	En ECG se procesaron bases durante julio 2021 para publicación de cifras corte junio 2021, durante agosto 2021 se procesaron bases para publicación de cifras corte julio 2021 y se procesaron bases durante septiembre 2021 para publicación de cifras corte agosto 2021
4.	En IPOC se procesaron bases durante julio y agosto 2021 para publicación de cifras corte segundo trimestre 2021
5.	En CEED se procesaron bases durante julio y agosto 2021 para publicación de cifras corte segundo trimestre 2021
6.	En FIVI se procesaron bases durante julio y agosto 2021 para publicación de cifras corte segundo trimestre 2021
7.	En CHV se procesaron bases durante julio y agosto 2021 para publicación de cifras corte segundo trimestre 2021</t>
  </si>
  <si>
    <t>Relacion_paginas-web
1.	https://www.dane.gov.co/index.php/estadisticas-por-tema/construccion/licencias-de-construccion
2.	https://www.dane.gov.co/index.php/estadisticas-por-tema/construccion/estadisticas-de-concreto-premezclado
3.	https://www.dane.gov.co/index.php/estadisticas-por-tema/construccion/estadisticas-de-cemento-gris
4.	https://www.dane.gov.co/index.php/estadisticas-por-tema/construccion/indicador-de-produccion-de-obras-civiles-ipoc
5.	https://www.dane.gov.co/index.php/estadisticas-por-tema/construccion/censo-de-edificaciones y https://www.dane.gov.co/index.php/estadisticas-por-tema/construccion/vivienda-vis-y-no-vis
6.	https://www.dane.gov.co/index.php/estadisticas-por-tema/construccion/financiacion-de-vivienda
7.	https://www.dane.gov.co/index.php/estadisticas-por-tema/construccion/cartera-hipotecaria-de-vivienda</t>
  </si>
  <si>
    <t>1. https://www.dane.gov.co/index.php/estadisticas-por-tema/construccion/licencias-de-construccion/historicos-elic 
•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 https://www.dane.gov.co/index.php/estadisticas-por-tema/construccion/estadisticas-de-cemento-gris
4. https://www.dane.gov.co/index.php/estadisticas-por-tema/construccion/indicador-de-inversion-en-obras-civiles
5. https://www.dane.gov.co/index.php/estadisticas-por-tema/construccion/indicador-de-produccion-de-obras-civiles-ipoc
6. https://www.dane.gov.co/index.php/estadisticas-por-tema/construccion/censo-de-edificaciones</t>
  </si>
  <si>
    <t>1.	En ELIC se procesó análisis y elaboraron productos de difusión durante julio 2021 para publicación de cifras corte mayo 2021, durante agosto 2021 se procesaron bases para publicación de cifras corte junio 2021 y se procesaron bases durante septiembre 2021 para publicación de cifras corte julio 2021
2.	En EC se procesó análisis y elaboraron productos de difusión durante julio 2021 para publicación de cifras corte mayo 2021, durante agosto 2021 se procesaron bases para publicación de cifras corte junio 2021 y se procesaron bases durante septiembre 2021 para publicación de cifras corte julio 2021
3.	En ECG se procesó análisis y elaboraron productos de difusión durante julio 2021 para publicación de cifras corte junio 2021, durante agosto 2021 se procesaron bases para publicación de cifras corte julio 2021 y se procesaron bases durante septiembre 2021 para publicación de cifras corte agosto 2021
4.	En IPOC se procesó análisis y elaboraron productos de difusión durante agosto 2021 para publicación de cifras corte segundo trimestre 2021
5.	En CEED se procesó análisis y elaboraron productos de difusión agosto 2021 para publicación de cifras corte segundo trimestre 2021
6.	En FIVI se procesó análisis y elaboraron productos de difusión agosto 2021 para publicación de cifras corte segundo trimestre 2021
7.	En CHV se procesó análisis y elaboraron productos de difusión agosto 2021 para publicación de cifras corte segundo trimestre 2021</t>
  </si>
  <si>
    <t>Matriz para la identificación de necesidades para caracterización de grupos de interés del DANE_cio interno_jun 2021</t>
  </si>
  <si>
    <t>IMPO-EXPO Matriz para la identificación de necesidades para caracterización de grupos de interés del DANE</t>
  </si>
  <si>
    <t>El equipo técnico de comercio exterior realiza mensualmente la identificación de necesidades de información, con el fin de implementar mejoras en las operaciones estadísticas y/o dar respuesta a las necesidades de los diferentes usuarios de información.</t>
  </si>
  <si>
    <t>IMPO-EXPO Matriz para la identificación de necesidades para caracterización de grupos de interés del DANE
MTCES  Matriz para la identificación de necesidades para la caracterización de grupos de interes del DANE</t>
  </si>
  <si>
    <t>Evidencia actualización MET IMPO-EXPO</t>
  </si>
  <si>
    <t>Metodología Expo2021
Metodología Impo2021</t>
  </si>
  <si>
    <t>Se realizaron los ajustes sugeridos en la revisión de pares y se subieron a Isolución donde ya fueron revisadas por la Dirección técnica de DIMPE, está pendiente la revisión y aprobación de subdirección.</t>
  </si>
  <si>
    <t>Metodología de importaciones - IMPO
Metodología de exportaciones - EXPO</t>
  </si>
  <si>
    <t>Revisión EAID_ Formulario</t>
  </si>
  <si>
    <t>El equipo técnico realizó los ajustes generales y el desarrollo de especificaciones de los  requerimientos y  ajustes  de la recolección para el  formulario de la EAID de las empresas de régimen cambiario especial,  dando cumplimiento a este hito.</t>
  </si>
  <si>
    <t xml:space="preserve"> C_INTERNAL_2021_EXPO_IMPO </t>
  </si>
  <si>
    <t>Pantallazos Bases
Consolidado.zip</t>
  </si>
  <si>
    <t xml:space="preserve">Se realizaron todas las publicaciones de Comercio Exterior de Bienes y Servicios, evidencias en la página web del DANE
</t>
  </si>
  <si>
    <t>•https://www.dane.gov.co/index.php/estadisticas-por-tema/comercio-internacional/exportaciones
  •https://www.dane.gov.co/index.php/estadisticas-por-tema/comercio-internacional/importaciones
•https://www.dane.gov.co/index.php/estadisticas-por-tema/comercio-internacional/muestra-trimestral-de-comercio-exterior-de-servicios</t>
  </si>
  <si>
    <t>•https://www.dane.gov.co/index.php/estadisticas-por-tema/comercio-internacional/exportaciones
  •https://www.dane.gov.co/index.php/estadisticas-por-tema/comercio-internacional/importaciones
•https://www.dane.gov.co/index.php/estadisticas-por-tema/comercio-internacional/muestra-trimestral-de-comercio-exterior-de-servicios
Pantallazo _consolidación bases MTCES</t>
  </si>
  <si>
    <t>•https://www.dane.gov.co/index.php/estadisticas-por-tema/comercio-internacional/exportaciones
• https://www.dane.gov.co/index.php/estadisticas-por-tema/comercio-internacional/importaciones
•https://www.dane.gov.co/index.php/estadisticas-por-tema/comercio-internacional/muestra-trimestral-de-comercio-exterior-de-servicios</t>
  </si>
  <si>
    <t>Matriz para la identificación de necesidades para caracterización de grupos de interés del DANE_cio_dic_2020</t>
  </si>
  <si>
    <t>Matriz para la identificación de necesidades para caracterización de grupos de interés del DANE_cio interno_abr_2021
Matriz para la identificación de necesidades para caracterización de grupos de interés del DANE_cio interno_may_2021
Matriz para la identificación de necesidades para caracterización de grupos de interés del DANE_cio interno_jun_2021</t>
  </si>
  <si>
    <t>El equipo técnico del GIT Comercio interno realizó seguimiento a las necesidades de los usuarios, al diligenciar la Matriz de necesidades de los usuarios durante el tercer trimestre de 2021</t>
  </si>
  <si>
    <t>Matriz para la identificación de necesidades para caracterización de grupos de interés del DANE_cio interno_jul_2021
Matriz para la identificación de necesidades para caracterización de grupos de interés del DANE_cio interno_ago_2021
Matriz para la identificación de necesidades para caracterización de grupos de interés del DANE_cio interno_sept_2021</t>
  </si>
  <si>
    <t>El equipo técnico de comercio interno realiza mensualmente los procesos de diseño, procesamiento, análisis  y generación de resultados de la información de la coyuntura del sector a partir de la Encuesta Mensual de Comercio. En cuanto  a la información estructural, se realizan estos procesos una vez al año, especialmente en el último trimestre.</t>
  </si>
  <si>
    <t>Pantallazo MET -EAC</t>
  </si>
  <si>
    <t>Evidencia revisión de pares Documento Metodológico_EMC</t>
  </si>
  <si>
    <t>El equipo técnico del GIT Comercio interno Avanzó en el cargue del documento metodológico de la EMC en Isolucion.</t>
  </si>
  <si>
    <t>Evidencia avance cargue documento metodológico en Isolucón_EMC</t>
  </si>
  <si>
    <t xml:space="preserve"> TEMÁTICA_COMERCIO_INTERNO </t>
  </si>
  <si>
    <t>• RV EMC_ENTREGA DE BASES_PROCESAMIENTO_FEBRERO_2021
• RV EMC_ENTREGA DE BASES_PROCESAMIENTO_DICIEMBRE_2020
• RV EMC_ENTREGA DE BASES_PROCESAMIENTO_ENERO_2021
• RV EMC_ENTREGA DE BASES_PROCESAMIENTO_FEBRERO_2021
• CONSOLIDADO.ZIP</t>
  </si>
  <si>
    <t>Evidencia Base de datos_EMC_ENE19_ABR21_Publicación junio2021</t>
  </si>
  <si>
    <t>El equipo técnico del GIT Comercio interno contó con la base de datos para la elaboración de productos  de la EMC y entrega a la DSCN durante el tercer trimestre de 2021</t>
  </si>
  <si>
    <t>Evidencia Base de datos_EMC_ENE19_JUL21_Publicación sept2021</t>
  </si>
  <si>
    <t>https://www.dane.gov.co/index.php/estadisticas-por-tema/comercio-interno/encuesta-mensual-de-comercio-emc</t>
  </si>
  <si>
    <t>1.Boletín técnico_EMC_cifras feb 2021_publicado abr 2021
2.Boletín técnico EMC_cifras mar 2021 _publicado may2021
3.Boletín técnico EMC_Cifras Abr2021_publicado jun2021</t>
  </si>
  <si>
    <t>El equipo técnico del GIT Comercio interno generó los boletines de prensa para la divulgación de los resultados de la EMC durante el tercer trimestre de 2021</t>
  </si>
  <si>
    <t>1.Boletín técnico EMC_Cifras May2021_publicado jul2021
2.Boletín técnico EMC_Cifras Jun2021_publicado ago2021
3.Boletín técnico EMC_Cifras Jul2021_publicado sept2021</t>
  </si>
  <si>
    <t>EMC_Comite Análisis de contexto_cifras feb2021_publicado abr2021
EMC_Comite Análisis de contexto_cifras mar2021_publicado may2021
EMC_Comite Análisis de contexto_cifras abr2021_publicado jun2021</t>
  </si>
  <si>
    <t>El equipo técnico del GIT Comercio interno generó los informes de análisis de contexto de los resultados de la EMC durante el tercer trimestre de 2021</t>
  </si>
  <si>
    <t>EMC_Informe de contexto_cifras_may2021_elaborado jul2021Mayorista
EMC_Informe de contexto_cifras_jun2021_elaborado ago2021
EMC_Informe de contexto_cifras_jul2021_elaborado sept2021</t>
  </si>
  <si>
    <t xml:space="preserve">SOLICITUD DE DESARROLLO DE ISTEMAS DE INFORMACIÓN </t>
  </si>
  <si>
    <t>módulo sistemas aplicativo</t>
  </si>
  <si>
    <t>Se dio cumplimiento a este hito en el II trimestre</t>
  </si>
  <si>
    <t>Base febrero</t>
  </si>
  <si>
    <t>Resolucion-0414de2021
Resolucion-0595de2021
Resolucion-0738de2021
Resolucion-0540de2021
Resolucion-0470de2021
Resolucion-0676de2021</t>
  </si>
  <si>
    <t>El equipo técnico generó las bases de datos para la certificación de precios imputados y recibió de parte del equipo logístico las bases de datos para la certificación de precios 2022</t>
  </si>
  <si>
    <t>"Evidencia 1"</t>
  </si>
  <si>
    <t xml:space="preserve"> PRECIOS_2021_PVPLVA </t>
  </si>
  <si>
    <t>https://www.dane.gov.co/index.php/estadisticas-por-tema/precios-y-costos/precio-promedio-de-bebidas-alcoholicas</t>
  </si>
  <si>
    <t>Resolucion 0750 de 2021</t>
  </si>
  <si>
    <t>Acta comite Licores</t>
  </si>
  <si>
    <t>Matriz Identificación Necesidades Caracterización Grupos Interés_DANE_GIT_CyCV enero2021
Matriz Identificación Necesidades Caracterización Grupos Interés_DANE_GIT_CyCV febrero2021
Matriz Identificación Necesidades Caracterización Grupos Interés_DANE_GIT CyCV marzo2021</t>
  </si>
  <si>
    <t xml:space="preserve"> - Matriz Identificación Necesidades Caracterización Grupos Interés_DANE_ECV abril2021
- Matriz Identificación Necesidades Caracterización Grupos Interés_DANE_ECV mayo2021</t>
  </si>
  <si>
    <t>Se diligenció la matriz para la identificación de necesidades de información estadística para la caracterización de grupos de interés correspondientes a los meses de junio, julio y agosto</t>
  </si>
  <si>
    <t xml:space="preserve"> - Matriz Identificación Necesidades Caracterización Grupos Interés_DANE_ECV junio2021
- Matriz Identificación Necesidades Caracterización Grupos Interés_DANE_ECV julio2021
- Matriz Identificación Necesidades Caracterización Grupos Interés_DANE_ECV agosto2021</t>
  </si>
  <si>
    <t>El equipo de trabajo de la Encuesta de calidad de vida trabajó durante el III trimestre en  la finalización de los productos de publicación de la ECV2020 y en el diseño del formulario, el manual y el aplicativo de la ECV2021</t>
  </si>
  <si>
    <t>El plazo para la entrega de las matrices de identificación de necesidades de información estadística para la caracterización de grupos de interés es hasta el día 10 del mes siguiente. Dado que la prioridad en este momento es el operativo de la ECV2021 y la atención de requerimientos de información, aún no se ha hecho la matriz de septiembre, pero se espera construirla la segunda semana de octubre.</t>
  </si>
  <si>
    <t xml:space="preserve"> POBREZA_2021_ENCV </t>
  </si>
  <si>
    <t xml:space="preserve"> - Documento Metodológico_ECV_2020 29042021
- Ficha Metodologica_ECV2020 29042021</t>
  </si>
  <si>
    <t>Se aprobaron y publicaron los documentos metodológicos en ANDA y/o en la página del DANE</t>
  </si>
  <si>
    <t xml:space="preserve"> - Metodología Encuesta Nacional de Calidad de Vida - ECV en http://microdatos.dane.gov.co/index.php/catalog/718/related_materials
- Metodología y Ficha metodológica en
https://www.dane.gov.co/index.php/estadisticas-por-tema/salud/calidad-de-vida-ecv/encuesta-nacional-de-calidad-de-vida-ecv-2020</t>
  </si>
  <si>
    <t xml:space="preserve"> - Formulario ECV 2021_ 25062021</t>
  </si>
  <si>
    <t>Se diseñó, probó y aprobó el aplicativo de la ECV2021</t>
  </si>
  <si>
    <t xml:space="preserve"> - ECV_2021.xml</t>
  </si>
  <si>
    <t xml:space="preserve"> - Contenido y acceso a base de datos ECV2020</t>
  </si>
  <si>
    <t>Se publicaron los microdatos de la ECV2020</t>
  </si>
  <si>
    <t xml:space="preserve"> - Enlace donde se publicaron los microdatos
http://microdatos.dane.gov.co/index.php/catalog/718/get_microdata</t>
  </si>
  <si>
    <t xml:space="preserve"> - Cuadros de salida ECV2020 con CV-IC_publicables 09062021
Anexos deficit habitacional ECV2020 con CV-IC_02-06-21</t>
  </si>
  <si>
    <t>Se procesaron las bases de datos y se publicaron los cuadros de salida.</t>
  </si>
  <si>
    <t xml:space="preserve"> - Enlace donde se publicaron los anexos estadísticos
https://www.dane.gov.co/index.php/estadisticas-por-tema/salud/calidad-de-vida-ecv/encuesta-nacional-de-calidad-de-vida-ecv-2020</t>
  </si>
  <si>
    <t xml:space="preserve"> - Boletín técnico ECV 2020 09062021
- Boletin Deficit Habitacional_ECV 2020 18062021</t>
  </si>
  <si>
    <t xml:space="preserve">Se elaboraron y publicaron dos boletines y tres presentaciones con resultados de la encuesta y del déficit habitacional </t>
  </si>
  <si>
    <t xml:space="preserve"> - Enlace donde se publicaron los boletines y presentaciones
https://www.dane.gov.co/index.php/estadisticas-por-tema/salud/calidad-de-vida-ecv/encuesta-nacional-de-calidad-de-vida-ecv-2020</t>
  </si>
  <si>
    <t>ENUT_Matriz para la identificación de necesidades abril a junio 2021.</t>
  </si>
  <si>
    <t>Se reporta matriz de identificación de necesidades de los meses julio, agosto y septiembre</t>
  </si>
  <si>
    <t>Matriz de identiificación de necesidades III trimestre</t>
  </si>
  <si>
    <t xml:space="preserve">El grupo de temática de la ENUT trabajó en la recopilación de la información estadística relacionada con actividades de trabajo de remunerado y no remunerado con información del periodo de  referencia del cuatrimestre enero -abril 2021. Como resultado se obtuvo la publicación del comité técnico y de los resultados estadísticos en la página del dane para el trimestre en mención
</t>
  </si>
  <si>
    <t>Metodología General ENUT 2020 - 2021</t>
  </si>
  <si>
    <t>ENUT 2020 - 2021_Metodología General ajustada Isolución 17032021 vf</t>
  </si>
  <si>
    <t>Se realizaron ajustes correspondientes a las observaciones  remitidas por el comité técnico, se realiza la entrega de los documentos metodológicos a dirección general el 26 de agosto</t>
  </si>
  <si>
    <t>Evidencia correo de cargue documental a la dirección general</t>
  </si>
  <si>
    <t xml:space="preserve"> POBREZA_2021_ENUT </t>
  </si>
  <si>
    <t>FORMULARIO_ENUT_2020_2021</t>
  </si>
  <si>
    <t>FORMULARIO_ENUT_2020_2021_vf</t>
  </si>
  <si>
    <t xml:space="preserve"> Se realizó la validación del formulario de los usuarios de información se agregaron preguntas referentes a la emergencia sanitaria, se incluyen opciones de respuesta de GEDI relacionadas al enfoque diferencial interseccional</t>
  </si>
  <si>
    <t>Formulario ENUT 2020_2021</t>
  </si>
  <si>
    <t>Bases datos ENUT 2020_2021</t>
  </si>
  <si>
    <t>Evidencia cargue bases datos ENUT 2020_2021</t>
  </si>
  <si>
    <t>Se concluyó la fase de recolección de información para la OE de ENUT</t>
  </si>
  <si>
    <t>Pantallazo BD de resgistros recolectados_ ENUT 2020-2021</t>
  </si>
  <si>
    <t>Publicación en la página web del DANE https://www.dane.gov.co/index.php/estadisticas-por-tema/pobreza-y-condiciones-de-vida/encuesta-nacional-del-uso-del-tiempo-enut</t>
  </si>
  <si>
    <t>Procesamiento de la base de la ENUT para los meses de enero a abril del 2021 para publicación parcial de la ENUT, con la elaboración de 16 cuadros de salida.</t>
  </si>
  <si>
    <t>Boletin enero-abril 2021</t>
  </si>
  <si>
    <t>Resultados parciales de la ENUT 2020 - 2021 para los meses de enero a abril del 2021, publicación de resultados en un webinar, anexos, presentación y boletín.</t>
  </si>
  <si>
    <t>Boletine enero-abril 2021</t>
  </si>
  <si>
    <t>• Matriz para la identificación de necesidades para caracterización - Enero 2021
• Matriz para la identificación de necesidades para caracterización - Febrero 2021
• Matriz para la identificación de necesidades para caracterización - Marzo 2021</t>
  </si>
  <si>
    <t>• Matriz para la identificación de necesidades para caracterización - Mayo 2021
Matriz para la identificación de necesidades para caracterización - Abril 2021</t>
  </si>
  <si>
    <t>Se diligencia la matriz para la identificación de necesidades de información estadística para la caracterización de grupos de interés del DANE, para el trimestre correspondiente.</t>
  </si>
  <si>
    <t>Matriz para la identificación de necesidades para caracterización - julio 2021
Matriz para la identificación de necesidades para caracterización - agosto  2021
Matriz para la identificación de necesidades para caracterización - septiembre  2021</t>
  </si>
  <si>
    <t>EMMET Metodología
Diseño EAM Manual de diligenciamiento 2020 preliminar</t>
  </si>
  <si>
    <t>ENVÍO DOCUMENTO PES-EAM-MDI</t>
  </si>
  <si>
    <t xml:space="preserve">Se actualiza la  Metodología General  y Ficha Metodológica de la Encuesta Anual Manufacturera -EAM, las cuales han pasado por revisión de pares y se encuentran desde el 25 de agosto  en revisión de Dirección. </t>
  </si>
  <si>
    <t>Pantallazo correo Metodología General- Ficha Metodológica EAM</t>
  </si>
  <si>
    <t>•Ajustes desarrollo plantilla formulario EAM 2020
•Desarrollo de requerimientos y ajustes de instrumentos de recolección EAM
•Matrizpruebas SIN031 - EMMET
• Matriz de pruebas de instrumento de recolección EAM</t>
  </si>
  <si>
    <t>Acta_EMMET_Entregacrearfuentes_08062021
caso revision chequeos EAM</t>
  </si>
  <si>
    <t>Se realizan ajustes y actualizaciones al instrumento de recolección (sistema) en la parte correspondiente a códigos C.P.C</t>
  </si>
  <si>
    <t>Pantallazo correo de ajustes al instumento de recolección sistema y Listaasistencia a revision de requerimientos de analisis a sistemasEAM 2020
EMMET Acta requerimiento análisis de información Quantum</t>
  </si>
  <si>
    <t xml:space="preserve"> TEMÁTICA_INDUSTRIA </t>
  </si>
  <si>
    <t>Evidencia base de datos de información recolectada
EVI 2 ENTREGA BASE EMMET.pdf</t>
  </si>
  <si>
    <t>EMMET variaciones y contribuciones marzo 2021</t>
  </si>
  <si>
    <t>Se realiza cargue de la base de datos recolectada  con la  información de la EAM  al systema 44, para realizar la consistencia respectiva.  Registro de las carpetas donde reposan las bases de datos EMMET (por reserva estadísticas y tamaño del archivo no se pueden compartir)</t>
  </si>
  <si>
    <t>Pantallazo base de datos de información recolectada EAM. 
PANTALLAZO Registro de las carpetas donde reposan el procesamiento de la EMMET</t>
  </si>
  <si>
    <t>Evidencia procesamiento de la información</t>
  </si>
  <si>
    <t>Entrega archivos primer cierre EMMET FEBRERO 2021</t>
  </si>
  <si>
    <t xml:space="preserve">PANTALLAZO Registro de las carpetas donde reposan el procesamiento de la EMMET
</t>
  </si>
  <si>
    <t xml:space="preserve">Para cada periodo publicado:
1. EMMETNal Var y Contrib 
2. EMMETRial Var_Contrib 
EMMET Acta precomite interno
EMMET Análisis coyuntura  </t>
  </si>
  <si>
    <t xml:space="preserve"> 
EMMET Actas precomite interno
</t>
  </si>
  <si>
    <t xml:space="preserve">Actas de precomités EMMET periodos  de procesamiento mayo, junio y julio  2021 que reportan los análisis de consistencia, así como los informes de coyuntura </t>
  </si>
  <si>
    <t>EMMET Acta precomite Interno Jul2021
EMMET Acta precomite Interno Jun2021
EMMET Acta precomite Interno May2021
EMMET Análisis coyuntura  Jul2021
EMMET Análisis coyuntura  Jun2021
EMMET Análisis coyuntura  May2021</t>
  </si>
  <si>
    <t>•Matriz para la identificacioìn de necesidades para grupos de interes del DANE - TA Febrero 2021.xlsx
•Identificaciondenecesidadesdeinformacion GIT TematicaAmbiental_Enero2021.xlsx
•Identificaciondenecesidadesdeinformacion GIT TematicaAmbiental_Diciembre2020.xlsx</t>
  </si>
  <si>
    <t xml:space="preserve">
•Matrizparala identificaciondenecesidades_EAI_Abril_2021
•Matrizparala identificaciondenecesidades_EAI_Mayo_2021</t>
  </si>
  <si>
    <t>Mensualmente se diligenció el formato Matriz para la identificación de necesidades de información estadística para la caracterización de grupos de interés del DANE, relacionando cada uno de las necesidades de información.</t>
  </si>
  <si>
    <t xml:space="preserve">
Identificacion de necesidades EAI Julio 2021.xlsx
Identificacion de necesidades EAI agosto 2021.xlsx
Identificación de necesidades Septiembre.xlsx</t>
  </si>
  <si>
    <t>El equipo de trabajo de la Encuesta Ambiental Industrial (Git Temática Ambiental, GIT – Área de logística y producción de la información, Git Sistemas de Información Técnica, Git Diseños Muestrales) desarrolló del proceso de identificación y análisis de necesidades, recolección y validación de la información EAI 2020, ajustes de los cuadros de salida y respuesta a solicitudes de información.</t>
  </si>
  <si>
    <t>•2_30 DSO-EAI-MET-001 2019.doc</t>
  </si>
  <si>
    <t>Ajuste de la Metodología de acuerdo a las observaciones de DIRPEN y solicitud de aprobación por parte de la Dirección</t>
  </si>
  <si>
    <t xml:space="preserve">RE_ Documentos revisados por el Comité Técnico.eml
</t>
  </si>
  <si>
    <t xml:space="preserve"> AMBIENTAL_2021_EAI </t>
  </si>
  <si>
    <t>•2_30_EAI_Procedimiento para el desarrollo de pruebas</t>
  </si>
  <si>
    <t>•2_30_EAI_Procedimiento para el desarrollo de pruebas
Pruebas EAI 2020 11_06_2021.xlsx
Pruebas EAI 2020 24_05_2021.xlsx
Pruebas EAI 2020 26_05_2021.xlsx
Pruebas temática consolidado.docx
Pruebas temática consolidadoV1.docx</t>
  </si>
  <si>
    <t>En el desarrollo del operativo de recolección EAI 2020, se identificaron y corrigieron fallas en el aplicativo de recolección, lo que hizo necesario realizar pruebas de escritorio de los ajustes hechos por la Oficina de Sistemas</t>
  </si>
  <si>
    <t>Pruebas tercer trimestre</t>
  </si>
  <si>
    <t>•Cap 1.xlsx
•Cap 2.xlsx
•Cap 2A.xlsx
•Cap 3.xlsx
•Cap 4.xlsx
•Cap 5.xlsx
•Novedades.xlsx
• EVI 2 ENTREGA BASE EAI.pdf
•  EVI ENTREGA BASE EAI.pdf</t>
  </si>
  <si>
    <t xml:space="preserve">•Cap 1.xlsx
•Cap 2.xlsx
•Cap 2A.xlsx
•Cap 3.xlsx
•Cap 4.xlsx
•Cap 5.xlsx
•Novedades.xlsx
</t>
  </si>
  <si>
    <t>Se remite base de datos preliminar de operativo que se encuentra en proceso de recolección y que surte procesos de validación previos para garantizar la consistencia</t>
  </si>
  <si>
    <t>EAI 2020_Preliminar 30_09_2021</t>
  </si>
  <si>
    <t>CUADROS DE SALIDA ALL EXP PANEL 14_04.xlsx</t>
  </si>
  <si>
    <t>Anexos_EAI2019_publicados_23042021.xlsx</t>
  </si>
  <si>
    <t>Procesamientos preliminares EAI 2020</t>
  </si>
  <si>
    <t>Validaciones 24_09_2021.xlsx</t>
  </si>
  <si>
    <t>FormatoBoletintecnicofinal_EAI2019 v1.docx</t>
  </si>
  <si>
    <t>Bol_EAI_2019_Publicado_23042021.pdf</t>
  </si>
  <si>
    <t>Conceptos por establecimiento que permiten enfocar el análisis</t>
  </si>
  <si>
    <t>Conceptos EAI 2020.xlsx</t>
  </si>
  <si>
    <t xml:space="preserve">"Necesidades de información_DIMPE-GITSERVICIOS-Diciembre 2020
Necesidades de información_DIMPE-GITSERVICIOS-Enero 2021
Necesidades de información_DIMPE-GITSERVICIOS-Febrero 2021
Necesidades de información_DIMPE-GITSERVICIOS-Marzo 2021"
</t>
  </si>
  <si>
    <t>DISEÑO CUADROS EGIT 2019_Trimestral_CNPV2018
DISEÑO CUADROS EGIT 2021_Trimestral</t>
  </si>
  <si>
    <t xml:space="preserve"> POBREZA_2021_EGIT </t>
  </si>
  <si>
    <t xml:space="preserve">CUADROS DEL 006A  AL 048
</t>
  </si>
  <si>
    <t>Boletin EGIT año 2020_VF.pdf
Boletin EGIT l-trim 2021.pdf
EGIT_I_trim_21</t>
  </si>
  <si>
    <t xml:space="preserve">Boletin EGIT lI-trim 2021.pdf
</t>
  </si>
  <si>
    <t xml:space="preserve">Entrega_Cuadros_EGIT_Anual2020
Variaciones significativas EGIT 24 ciudades y AM_YAM
CUADROS DEL 006A  AL 048
</t>
  </si>
  <si>
    <t>1. Productos EGIT 2020:
• Boletin EGIT año 2020_VF
• ANEXO_EGIT_SV_2020
• Gráfica destacada EGIT 2020
• PPT EGIT_DIMPE_AÑO_2020
2. Productos EGIT IV trim_20
• Boletin EGIT IV 2020
• ANEXO_EGIT_SV_IV2020_VF
• gráfica destacada EGIT IV 2020
• Presentación EGIT IV 2020</t>
  </si>
  <si>
    <t>4. MINIECGI GIT Agropercuaria periodo de referencia enero 2021
3. MINIECGI GIT Agropecuarias periodo de referencia febrero 2021
Matriz para la identificacioìn de necesidades para grupos de interes del DANE - AGROPECUARIA 2021</t>
  </si>
  <si>
    <t>Reporte Matriz de Ident. Abril 21
Reporte Matriz de Ident. Mayo 21</t>
  </si>
  <si>
    <t xml:space="preserve">
 Matriz para la identificación de necesidades para grupos de interés del DANE - Agrop sept. 21
</t>
  </si>
  <si>
    <t xml:space="preserve">La Coordinación Temática Agropecuaria ha realizado avances en la metas propuestas para suplir las continuas y nuevas necesidades de información de los usuarios, dentro de un proceso de mejora continua.
</t>
  </si>
  <si>
    <t>ESAG. • DSO-ESAG-EVA-001 15_03_2021.
•  Equinos def_2018 en adelante.xlsx
ENA. • Cuestionario_ENA 2021_12_03_2021_V10_Rev.xlsx</t>
  </si>
  <si>
    <t>ESAG: https://danegovco-my.sharepoint.com/:f:/g/personal/hdgonzalezc_dane_gov_co/Eo7Rj4OHrw9Bna9QkQ-P6f0B-SKNWMCz_V-6YCDqHRnSvw?e=eYRrfq
ENA. • Cuestionario_ENA 2021_V16_03062021.</t>
  </si>
  <si>
    <t>ENA.  Metodología se ha surtido la revisión de pares y revisó del Comité Técnico, está a la espera de la revisión y aprobación del Director del Dane.</t>
  </si>
  <si>
    <t>Se envìa la Metodologìa y la Ficha Metodològica de la ENA 2019.
A4_ DSO-ENA-FME-001-01 V9_Andrea Viviana Poved y A4_ DSO-ENA-MET-001-01 V7_Andrea Viviana Poved con observaciones</t>
  </si>
  <si>
    <t>ESAG. • DSO-ESAG-EVA-001 15_03_2021.xls
• Evidencia especificaciones ESAG-1
ENA.  • Modelo_Prueba escritorio_
•Cuestionario ENA_12032021_Ver4_Rev.xlsx
•Instructivo prueba de escritorio cuestionario ENA 2021.docx</t>
  </si>
  <si>
    <t>• Evidencia especificaciones DSO-ESAG-EVA-001 15_03_2021
ENA.  • Informe Prueba de Campo consolidado (Pretest)
•Cuestionario_ENA 2021_V16_03062021
•Piloto cuestionario ENA FAO 25-6-21
* Especificaciones de Validaciones ENA 2021_10ma Versión_7ma Entrega - Consolidado - 03062021</t>
  </si>
  <si>
    <t>ESAG. Se desarrollo el rol fuente por parte de la Oficina de Sistemas, se han realizado las reuniones semanales de seguimiento y no se han podido realizar las pruebas a este módulo debido a las fallas presentadas a los sistemas del Dane.
ENA. Prueba Pilo de la ENA en ejecución de forma conjunta con la FAO, con el fin de probar formulario, aplicativos y demás herramientas que hacen parte de la encuesta.</t>
  </si>
  <si>
    <t xml:space="preserve"> TEMÁTICA_AGROPECUARIA </t>
  </si>
  <si>
    <t>ESAG.  • Equinos def_2018 en adelante.xlsx
Link de almacenamiento de SIPSA.pdf</t>
  </si>
  <si>
    <t>ESAG.  • Equinos def_2018 en adelante</t>
  </si>
  <si>
    <t>ESAG. https://www.dane.gov.co/index.php/estadisticas-por-tema/agropecuario/encuesta-de-sacrificio-de-ganado</t>
  </si>
  <si>
    <t>Matriz de necesidades de informaciòn</t>
  </si>
  <si>
    <t>MATRIZ DE IDENTIFICACION DE USUARIOS
Plan General SIECI
Proyecto de Resolución SIECI</t>
  </si>
  <si>
    <t>Se registraron las solicitudes de información recibidas durante el tercer trimestre de 2021 en la Matriz de identificación de necesidades, para la caracterización de grupos de interés del DANE.</t>
  </si>
  <si>
    <t>MATRIZ DE IDENTIFICACION DE NECESIDADES</t>
  </si>
  <si>
    <t>El equipo de trabajo de Micronegocios durante el III trimestre  adelantó  lo correspondiente a los productos de publicación del II trimestre 2021, así mismo actualizó los aplicativos de captura con la inclusión de los nuevos módulos. Se pública la resolución del SIECI y se hacen los primeros acercamientos con los proveedores de información.</t>
  </si>
  <si>
    <t>Documento metodologico EMICRON 2020</t>
  </si>
  <si>
    <t>Documento metodológico EMICRON 2020</t>
  </si>
  <si>
    <t>El documento metodológico de la EMICRON se ajustó de acuerdo con los cambios operativos que se dieron en el 2020 y los comentarios de los evaluadores de la DIRPEN. En este momento ya surtió la revisión de pares y se encuentra en la Subdirección para  revisión y aprobación.</t>
  </si>
  <si>
    <t xml:space="preserve"> C_INTERNO_2021_EMICRON </t>
  </si>
  <si>
    <t>Especificaciones de validaciòn y consistencia EMICRON 2020</t>
  </si>
  <si>
    <t>Especificaciones de validadción de consistencias cambios 2021</t>
  </si>
  <si>
    <t>Se actualizaron los aplicativos de captura de la EMICRON (formulario web y dispositivo móvil de captura) para la inclusión de los nuevos módulos y se realizaron las pruebas correspondientes.</t>
  </si>
  <si>
    <t xml:space="preserve">Observaciones temáticas al aplicativo de EMICRON </t>
  </si>
  <si>
    <t>Bases de datos 2021</t>
  </si>
  <si>
    <t>Evidencia_base</t>
  </si>
  <si>
    <t>Se generó la base de datos del segundo trimestre 2021</t>
  </si>
  <si>
    <t>Cuadros de salida EMICRON 2020</t>
  </si>
  <si>
    <t>EMICRON_2020_DEF.R</t>
  </si>
  <si>
    <t>Se realizó el procesamiento de la base de datos del segundo trimestre 2021</t>
  </si>
  <si>
    <t>EMICRON_2T_2021.R</t>
  </si>
  <si>
    <t>Productos  EMICRON 2020</t>
  </si>
  <si>
    <t>Boletín Técnico EMICRON I Trimestre 2021
Presentación EMICRON 2021_1_TRIMESTRE</t>
  </si>
  <si>
    <t>Se realizó el proceso de análisis de información y elaboración de productos de publicación para el segundo trimestre de 2021.</t>
  </si>
  <si>
    <t>Boletín Técnico EMICRON II Trimestre 2021
Presentación EMICRON 2021_2_TRIMESTRE</t>
  </si>
  <si>
    <t xml:space="preserve">Todas las dependencias que intervienen en el operativo de la EMMET realizaron las actividades de su competencia en la recolección, procesamiento y análisis, que produjo información estadística de los periodos de publicación mayo, junio y julio de 2021, equivalente a los meses julio, agosto y septiembre de 2021, el GIT Industria realizó la identificación de necesidades de información y diligenció la matriz mensualmente. Por otra parte, se ajustó la metodología de la EMMET de acuerdo con los procedimientos y se desarrollaron pruebas y ajustes en el aplicativo para el operativo de recolección de la EAM 2020 y su correspondiente ajuste del formulario. </t>
  </si>
  <si>
    <t>PO_DIRPEN_1</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</si>
  <si>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</si>
  <si>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Dos (2) bases de microdatos anonimizadas</t>
  </si>
  <si>
    <t>Proyecto de inversión</t>
  </si>
  <si>
    <t>PO_DIRPEN_1.1</t>
  </si>
  <si>
    <t>El GIT ha realizado revisión de riesgos y ataque a bases de datos relacionados con requerimientos hechos por comunidades indígenas en la MPC.   Se han presentado reportes de dichos análisis de riesgos, ataque y recomendaciones para la anonimización de datos requerido ante el comité de reserva de la entidad.  También se ha realizado un ejercicio exploratorio de las técnicas de anonimización que pueden ser aplicadas a bases de datos tipo panel, esto orientado a dar respuesta a inquietudes presentadas por los equipos de la ELCO y la EMSB.</t>
  </si>
  <si>
    <t>Presentación de los análisis de riesgos y ataque a las bases de datos del CNPV requerido por comunidades etnicas a la DCD.  Presentación con los resultados de revision de referentes internacionales de técnicas de anonimización aplicables a bases de datos tipo panel.</t>
  </si>
  <si>
    <t>Con los ejercicios de análisis de riesgos y ataque realizados a las bases de datos requeridos por la MPC se ha identificado los mecanismos de anonimización de datos más adecuados para dar respuesta a los requerimientos planteados por las comunidades indígenas al DANE.</t>
  </si>
  <si>
    <t>COORDINACION Y REGULACION DEL SEN</t>
  </si>
  <si>
    <t>COOR_REG_SEN</t>
  </si>
  <si>
    <t>Bases de microdatos anonimizados</t>
  </si>
  <si>
    <t>C-0401-1003-26-0-0401091-02</t>
  </si>
  <si>
    <t>Se atienden requerimientos de la mesa permanente de concertación indígena para el ajuste de las bases de datos anonimizadas en dicha mesa.  Se avanza con los ejercicios de  anonimización de la muestra de datos del Censo de Población la cual se busca compartir con IPUMS.</t>
  </si>
  <si>
    <t>Nota técnica en la que se describe el procedimiento de anonimización de la base de viviendas requerida por la Mesa permanente de concertación indígena. Códigos de programación para la implementación de la anonimización.</t>
  </si>
  <si>
    <t>GPD</t>
  </si>
  <si>
    <t>UAD_2021_BMA</t>
  </si>
  <si>
    <t>En Julio continuaron los ejercicios de definición metodológica de la anonimización de las bases de datos requeridas en el marco de la Mesa Permanente de Concertación, se realizan ajustes a la Nota Técnica elaborada en este proceso. En Agosto se realizaron los ejercicios de análisis de la base de datos de muestra del CNPV 2018 requerido por IPUMS, se elaboró un documento con los principales hallazgos de este análisis. En agosto también se realizan ejercicios de revisión y ajuste de los códigos en SAS desarrollados para la anonimización del Censo de Edificaciones en 2020.  En Septiembre se continúo los ejercicios de revisión de las bases IPUMS frente a las bases anonimizadas del CNPV2018.</t>
  </si>
  <si>
    <t xml:space="preserve">
Se atienden requerimientos de la mesa permanente de concertación indígena para el ajuste de las bases de datos anonimizadas.  Se atiende requerimiento de la Dirección de Censos y Demografías de revisión de bases de datos IPUMS. Se atienden requerimientos del equipo del Censo de Edificaciones y la Oficina de Sistemas relacionados con la revisión de los algoritmos de anonimización del Censo de Edificaciones realizados en 2020.
</t>
  </si>
  <si>
    <t>PO_DIRPEN_2</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</si>
  <si>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</si>
  <si>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Cuarenta (40) operaciones estadísticas con seguimiento de plan de mejoramiento, para identificar el nivel de cumplimiento de las acciones propuestas y subsanar las debilidades del proceso estadístico, realizado</t>
  </si>
  <si>
    <t>Plan Estratégico Institucional PEI 2019-2022</t>
  </si>
  <si>
    <t>PO_DIRPEN_2.1</t>
  </si>
  <si>
    <t>Cuarenta (40) formatos de seguimiento finalizados</t>
  </si>
  <si>
    <t>En el marco del esquema de evaluación y certificación de la calidad estadística, el GIT Calidad Estadística realiza vigilancia de las operaciones estadísticas certificadas, asimismo, de acuerdo con el Documento de Condiciones para la Evaluación y la Certificación Estadística, numeral 9 “Reporte del Desarrollo del Proceso Estadístico”, anualmente los responsables deben presentar el resultado de su ejercicio de autoevaluación, con el propósito de entre otros aspectos soportar la implementación de mejoras en la producción estadística.  
Seguimientos Operaciones Estadísticas DANE:
*Durante el primer trimestre de la vigencia 2021 se construyeron y notificaron presentaciones para cada uno de los Grupos Internos de Trabajo de la Dirección de Metodología y Producción Estadística (DIMPE) y para la Dirección de Censos y Demografía (DCD), incluyendo el estado actual y el cronograma detallado de los seguimientos a las operaciones estadísticas certificadas  y el plan de intervención para las operaciones estadísticas no certificadas.
*Se realizaron requerimientos de información para  7 operaciones estadísticas del DANE,
Seguimientos Operaciones Estadísticas Entidades SEN:
*Se realizaron requerimientos de información para 10 operaciones estadísticas certificadas de Entidades SEN,</t>
  </si>
  <si>
    <t>17 Formatos de Vigilancia 
11 Presentación en Power point que incluyen el estado actual y el cronograma detallado de los seguimientos a las operaciones estadísticas certificadas  y el plan de intervención para las operaciones estadísticas no certificadas del DANE.</t>
  </si>
  <si>
    <t>Seguimientos Operaciones Estadísticas DANE: 
Durante el primer trimestre de la vigencia 2021 se construyeron y notificaron presentaciones para cada uno de los Grupos Internos de Trabajo de la Dirección de Metodología y Producción Estadística (DIMPE) y para la Dirección de Censos y Demografía (DCD), incluyendo el estado actual y el cronograma detallado de los seguimientos a las operaciones estadísticas certificadas  y el plan de intervención para las operaciones estadísticas no certificadas.
*Se realizaron requerimientos de información para  7 operaciones estadísticas del DANE,
Seguimientos Operaciones Estadísticas Entidades SEN:
*Se realizaron requerimientos de información para 10 operaciones estadísticas certificadas de Entidades SEN,</t>
  </si>
  <si>
    <t>C-0401-1003-26-0-0401095-02</t>
  </si>
  <si>
    <t>En el marco del Esquema de Evaluación y Certificación de la Calidad Estadística se ejecuta vigilancia a las operaciones estadísticas certificadas en las vigencias 2018, 2019 y 2020, por medio del seguimiento a los planes de mejoramiento establecidos en los formatos de declaración de no conformidades. Durante el segundo trimestre de la vigencia 2021 se revisaron las evidencias entregadas por los responsables de 5 operaciones estadísticas de Entidades SEN y de 10 operaciones estadísticas del DANE.
Así mismo se desarrollaron mesas de trabajo con los responsables de los Grupos Internos de Trabajo de DIMPE, para validar el estado y avance de los planes de mejoramiento, validando el estado de las acciones para 17 operaciones estadísticas.
Se elaboraron y notificaron a la Dirección General reportes del estado de seguimiento de los planes de mejoramiento generados de las evaluaciones de la calidad a las operaciones estadísticas del DANE, de la siguiente manera:
*Abril: Diagnóstico sobre la evolución de las acciones establecidas para las no conformidades generadas de las evaluaciones de la calidad estadística (correspondientes a los años 2018 y 2019), en comparación con los resultados de la vigencia 2020, describiendo aspectos reiterativos.
*Mayo: Resultados de seguimiento  a 9 operaciones estadísticas (2 evaluadas en la vigencia 2018 y 7 evaluadas en la vigencia 2019).
*Junio: Resultados de los seguimientos realizados a 5 operaciones estadísticas (1 evaluada en la vigencia 2020, y 4 evaluadas en la vigencia 2019).</t>
  </si>
  <si>
    <t>*Formatos de Vigilancia seguimiento planes de mejoramiento entidades SEN.
*Reportes a Dirección General sobre el seguimiento de los planes de mejoramiento generados de las evaluaciones de la calidad estadística del DANE</t>
  </si>
  <si>
    <t>En el marco del Esquema de Evaluación y Certificación de la Calidad Estadística se ejecuta vigilancia a las operaciones estadísticas certificadas en las vigencias 2018, 2019 y 2020, por medio del seguimiento a los planes de mejoramiento establecidos en los formatos de identificación de evidencias, de la siguiente manera: 
*Entidades SEN: Durante el segundo trimestre del año se finalizó el seguimiento a las operaciones estadísticas IBR, CAPTACIÓN, Deuda externa, Resultado de operaciones de desminado humanitario y Variables hidrológicas.
*DANE: Se realizó seguimiento a los planes de mejoramiento de las operaciones estadísticas EAS, ENAM, ETUP, IPP, ECG, EC, ELIC, CHV, ECV e IIOC, desarrollando mesas de trabajo con los responsables de las operaciones estadísticas y generando reportes a la Dirección General del DANE.</t>
  </si>
  <si>
    <t>CAL_2021_EVAL_CAL</t>
  </si>
  <si>
    <t xml:space="preserve">En el marco del Esquema de Evaluación y Certificación de la Calidad Estadística se ejecuta vigilancia a las operaciones estadísticas certificadas en las vigencias 2018, 2019 y 2020, por medio del seguimiento a los planes de mejoramiento establecidos en los formatos de identificación de evidencias, de la siguiente manera: 
*Entidades SEN: Durante el tercer trimestre del año se solicitó requerimientos de información a supersubsidio familiar, Ideam, Migración colombia, Banco de la República y Minsterio de Educación;  *Se realizó seguimiento Variables Hidrológicas, ENDS, IPE, MINTIC, MEN, MIGRACIÓN COLOMBIA  desarrollando mesas de trabajo con los grupos internos de trabajo de Migración Colombia y MEN. 
*Se finaliza plan de mejoramiento de ANI, AUNAP, REMESAS, COLOCACIÓN
DANE
*Se realizó seguimiento a las condiciones establecidas por el Comité de Certificación para ampliar el alcance de la Certificación de 2 operaciones estadísticas.
*Se revisaron las evidencias reportadas sobre los planes de mejoramiento de 3 operaciones estadísticas
*Se desarrolló diagnóstico de las correcciones y acciones correctivas suscritas ante el GIT Calidad Estadística en los Formatos de Declaración de No Conformidades con respecto a las suscritas ante la Oficina de Control Interno para 8 operaciones estadísticas.
Los resultados de las actividades relacionadas previamente fueron incluidos y notificados a la Dirección General en los reportes del estado de seguimiento de los planes de mejoramiento generados de las evaluaciones de la calidad a las operaciones estadísticas del DANE correspondientes a los meses de julio, agosto y septiembre de 2021.
</t>
  </si>
  <si>
    <t>Carpeta DANE: Se podra encontrar la siguiente información: 
- Formatos de Vigilancia seguimiento planes de mejoramiento
- Reportes de seguimiento de los planes de mejoramiento generados de las evaluaciones de la calidad de las operaciones estadísticas del DANE
Carpeta Evidencias SEN:Se podra encontrar los planes de mejoramiento que se encuentran finalizados y los planes de mejoramiento que estan en seguimiento</t>
  </si>
  <si>
    <t>Se realizó la verificación de las acciones formuladas por parte de los responsables de las operaciones estadísticas para subsanar los hallazgos encontrados en el proceso de evaluación de la calidad, así como el cumplimiento de las condiciones establecidas por el comité de certificación para mantenimiento de la certificación, de la siguiente manera:
ENTIDADES SEN
*Se solicitaron requerimientos de información a supersubsidio familiar, IDEAM, Migración Colombia, Banco de la República y Minsterio de Educación;  
*Se realizó seguimiento a las operaciones estadísticas Variables Hidrológicas, ENDS, IPE, MINTIC, MEN, Entradas y salidas de personas del país  desarrollando mesas de trabajo con los grupos internos de trabajo de Migración Colombia y MEN. 
*Se finalizó seguimiento al plan de mejoramiento de ANI, AUNAP, REMESAS, COLOCACIÓN
DANE
*Se realizó seguimiento a las condiciones establecidas por el Comité de Certificación para ampliar el alcance de la certificación de las operaciones estadísticas: Encuesta Amnbiental Industrial (EAI) e índice de Produccion Industrial (IPI)
*Se revisaron las evidencias reportadas sobre los planes de mejoramiento de las operaciones estadísticas e Concreto Premezclado (EC), Extadísticas de Cemento Gris (ECG)  e Indice de Valoración Predial (IVP)
*Se desarrolló diagnóstico de las correcciones y acciones correctivas suscritas ante el GIT Calidad Estadística en los Formatos de Declaración de No Conformidades con respecto a las suscritas ante la Oficina de Control Interno para las operaciones estadísticas ENA, EGIT, ETUP, IPP, EAS, ECV, ENAM y  ENPH
Los resultados de las actividades relacionadas previamente fueron incluidos y notificados a la Dirección General en los  reportes del estado de seguimiento de los planes de mejoramiento generados de las evaluaciones de la calidad a las operaciones estadísticas del DANE correspondientes a los meses de julio, agosto y septiembre de 2021.</t>
  </si>
  <si>
    <t>PO_DIRPEN_3</t>
  </si>
  <si>
    <t>La herramienta contribuye al aseguramiento de la calidad en el cumplimiento de las metas de la DIRPEN, generando alertas tempranas para la corrección de posibles desviaciones en la planeación definida para la vigencia</t>
  </si>
  <si>
    <t>Un (1) tablero de control en planner, elaborado</t>
  </si>
  <si>
    <t>PO_DIRPEN_3.1</t>
  </si>
  <si>
    <t>Una (1) herramienta de tablero de control diseñada</t>
  </si>
  <si>
    <t>Se realizó un diseño de seguimiento de metas en MS Planner, se actualizan las actividades con base en el reporte quincenal</t>
  </si>
  <si>
    <t>docuemento word PO_DIRPEN_3.1</t>
  </si>
  <si>
    <t>Se realizó diseño de tablero de control en MS Planner, se alimenta con base en los informes quincenales.</t>
  </si>
  <si>
    <t>Servicio de articulación del Sistema Estadístico Nacional</t>
  </si>
  <si>
    <t>Se realizó un diseño de seguimiento de metas en MS Planner, se actualizan las actividades con base en el reporte quincenal, con base en el reporte se envían reportes de metas mensualmente</t>
  </si>
  <si>
    <t>Documento word PO_DIRPEN_3
METAS DIRPEN - 2021.xls</t>
  </si>
  <si>
    <t>Aprobación de la DT, adición de otros componentes como alertas y presupuestos que la aplicación no relaciona directamente a las metas, se está trabajando en la forma de incluirlos</t>
  </si>
  <si>
    <t>DTEC_DIRPEN_2021_ARTI_SEN</t>
  </si>
  <si>
    <t>Se elaboró tablero de control de las metas del PAI se actualizan metas, responsables y fechas cada vez que hay un cambio en el plan de acción, contiene responsables, notas sobre el avance, fechas de inicio y fin.</t>
  </si>
  <si>
    <t>https://tasks.office.com/dane.gov.co/es-ES/Home/Planner/#/plantaskboard?groupId=e4f49491-c7e2-4bca-9d5a-0b0b3754cadf&amp;planId=bkODM8oIhE6xc3GSScceVWUAA9th
PO_DIRPEN_3.1.doc</t>
  </si>
  <si>
    <t>Se elaboró un tablero de control para las metas de DIRPEN en Planner el diseño contiene metas, hitos, responsables fechas de inicio y fin, con base en el registro s einforma a los responsbles mensualmente el inicio de hitos o su finalización, esto se para que entreguem los productos en los tiempos establecidos</t>
  </si>
  <si>
    <t>PO_DIRPEN_3.2</t>
  </si>
  <si>
    <t>Una (1) prueba piloto de tablero de control implementada</t>
  </si>
  <si>
    <t>Se realizó prueba piloto del tablero, con base en este plan se envía mensualmente una comunicación que contiene información sobre los hitos que inician para dicho mes y los hitos que finalizan el siguiente mes de la comunicación a los responsables de las metas, este reporte contiene el estado en el que deberia ir teniendo en cuenta y las fechas de cierre.</t>
  </si>
  <si>
    <t xml:space="preserve">Carpeta PO_DIRPEN_3.2
evidencia en carpetas septiembre : 1,2,3,4 y 5
agosto: 1,2,3,4 y 5
</t>
  </si>
  <si>
    <t>PAI_DIRPEN_1</t>
  </si>
  <si>
    <t>PAI_DIRPEN_2</t>
  </si>
  <si>
    <t>PAI_DIRPEN_3</t>
  </si>
  <si>
    <t>PAI_DIRPEN_4</t>
  </si>
  <si>
    <t>PAI_DIRPEN_5</t>
  </si>
  <si>
    <t>PAI_DIRPEN_6</t>
  </si>
  <si>
    <t>PAI_DIRPEN_7</t>
  </si>
  <si>
    <t>PAI_DIRPEN_8</t>
  </si>
  <si>
    <t>PAI_DIRPEN_9</t>
  </si>
  <si>
    <t>PAI_DIRPEN_10</t>
  </si>
  <si>
    <t>PAI_DIRPEN_11</t>
  </si>
  <si>
    <t>PAI_DIRPEN_12</t>
  </si>
  <si>
    <t>PAI_DIRPEN_13</t>
  </si>
  <si>
    <t>PAI_DIRPEN_14</t>
  </si>
  <si>
    <t>PAI_DIRPEN_15</t>
  </si>
  <si>
    <t>PAI_DIRPEN_16</t>
  </si>
  <si>
    <t>PAI_DIRPEN_17</t>
  </si>
  <si>
    <t>PAI_DIRPEN_18</t>
  </si>
  <si>
    <t>Seis (6) nuevas funcionalidades en la plataforma tecnológica del SEN 2.0. desarrolladas y la actualización permanente de los contenidos de la plataforma.</t>
  </si>
  <si>
    <t>PAI_DIRPEN_1.1</t>
  </si>
  <si>
    <t>Un (1) aplicativo de la clasificacion CUOC para su consulta en la web SEN desarrollado</t>
  </si>
  <si>
    <t>Se desarrolla el formulario de mantenimiento CUOC, modelo de datos, modulos de administracion, funcionalidades de consulta y navegacion del aplicativo CUOC.</t>
  </si>
  <si>
    <t>http://codeversion.dane.gov.co/DIRPEN/sistemaClasificaciones</t>
  </si>
  <si>
    <t>El GIT de Prospectiva y Analisis de Datos con el trabajo liderado por su equipo de Ingenieros desarrolladores y diseñador han avanzado en el desarrollo del aplicativo CUOC, El visor Federado SDMX y módulo de revisiones Sistémicas así como en el mantenimiento permanente de la página web sen 2.0.   Se presentan retrasos en el cronograma de trabajo de 2 semana derivados de restrasos en la contratacion del equipo de ingenieros y el inicio de un nuevo proceso de seleccion para el diseñador, esto dado que la persona seleccionada inicialmente desistio del contrato.</t>
  </si>
  <si>
    <t>Restraso en el inicio del desarrollo informático derivado de demoras en la contratación de tres ingenieros de sistemas  y un diseñador.</t>
  </si>
  <si>
    <t>La etapa de desarrollo se encuentra finalizada, el aplicativo actualmente se encuentra en entorno  de pruebas a la espera de la resolución que respalde la salida del aplicativo a  entorno productivo</t>
  </si>
  <si>
    <t xml:space="preserve">http://clasificaciones-dev.dane.gov.co/cuoc/estructura_cuoc
- Correos de soporte
- Documento explicativo del aplicativo, módulos de consulta y administrador, Histórico del desarrollo,  Soporte de repositorio Codeversion </t>
  </si>
  <si>
    <t>El GIT de Prospectiva y Análisis de Datos con el trabajo liderado por su equipo de Ingenieros desarrolladores y diseñador entregan el desarrollo del aplicativo de consulta CUOC, y avanzan en el desarrollo del aplicativo de consulta CPC, El visor Federado SDMX y módulo de revisiones Sistémicas así como en el mantenimiento permanente de la página web sen 2.0.</t>
  </si>
  <si>
    <t>GCI</t>
  </si>
  <si>
    <t>PAI_DIRPEN_1.2</t>
  </si>
  <si>
    <t>Un (1) aplicativo de la clasificacion CPC 2.1 A.C para su consulta en la web SEN desarrollado</t>
  </si>
  <si>
    <t>El aplicativo se encuentra en servidor de pruebas para que el  Git de Regulación realice la respectiva revisión y se realicen los ajustes que se requieran</t>
  </si>
  <si>
    <t xml:space="preserve">http://clasificaciones-dev.dane.gov.co/cpc/estructura_cpc
- Correos de soporte
- Documento explicativo del aplicativo, módulos de consulta y administrador, Histórico del desarrollo,  Soporte de repositorio Codeversion </t>
  </si>
  <si>
    <t>PAI_DIRPEN_1.3</t>
  </si>
  <si>
    <t>Un (1) módulo de caracterizacion de demandas de informacion del SEN para su consulta en la web SEN desarrollado</t>
  </si>
  <si>
    <t>Se inicia levantamiento de requerimientos con el  Git de Planificación</t>
  </si>
  <si>
    <t>Correo de envío de documento de erguimientos y aclaración de los puntos a desarrollar</t>
  </si>
  <si>
    <t>PAI_DIRPEN_1.4</t>
  </si>
  <si>
    <t>Un (1) aplicativo de chequeo para los equipos evaluadores desarrollado</t>
  </si>
  <si>
    <t>Se inicia el levantamiento de requerimientos con el GIT de Calidad</t>
  </si>
  <si>
    <t>Informe de avance, actas o instrumentos de levantamiento de requerimientos</t>
  </si>
  <si>
    <t>PAI_DIRPEN_1.5</t>
  </si>
  <si>
    <t>Un (1) visor federado de los endpoinds SDMX de las entidades del SEN para su consulta en la web SEN desarrollado</t>
  </si>
  <si>
    <t>Se hacen pruebas de instalación y despliegue sobre varios sistemas operativos con el fin de establecer la compatibilidad, se hace prueba de cara de servicios SDMX v2.1</t>
  </si>
  <si>
    <t>http://codeversion.dane.gov.co/DIRPEN/sen-visor-federado</t>
  </si>
  <si>
    <t>Se hacen pruebas de despliegue y configuración en el servidor bremen01.dane.gov.co</t>
  </si>
  <si>
    <t>Informe de avance o ppt con el resumen del avance</t>
  </si>
  <si>
    <t>PAI_DIRPEN_1.6</t>
  </si>
  <si>
    <t>Un (1) modulo de revisiones sistemicas para su aplicación a entidades del SEN desarrollado.</t>
  </si>
  <si>
    <t>Se define e implementa el modelo de datos a usar en entorno de pruebas y se establece la base de desarrollo sobre el framework DJango 3.2</t>
  </si>
  <si>
    <t>http://codeversion.dane.gov.co/DIRPEN/revisionesSistemicas</t>
  </si>
  <si>
    <t>Se inicia el levantamiento de requerimientos con el GIT de Calidad y se inicia el proceso de desarrollo de la plataforma base en DJango</t>
  </si>
  <si>
    <t>PAI_DIRPEN_1.7</t>
  </si>
  <si>
    <t>Una (1) página Web del SEN como herramienta para facilitar la articulación y fortalecimiento del SEN mantenido</t>
  </si>
  <si>
    <t>Se carga y actualiza la información de eventos y cursos del aula virtual para el primer trimestre de 2021 y se actualiza y publica los contenidos solicitados por la DIRPEN</t>
  </si>
  <si>
    <t>http://codeversion.dane.gov.co/DIRPEN/sen-portal-web http://codeversion.dane.gov.co/DIRPEN/portal-web-sen-files https://www.sen.gov.co/</t>
  </si>
  <si>
    <t>Se hace la carga, edición de contenido y actualización de los archivos solicitados por los GIT de DIRPEN</t>
  </si>
  <si>
    <t>La meta aporta el 25% al objetivo plantedo para el cuatrienio de tener 32 Registros Administrativos que pasan por el Programa de Fortalecimiento de RRAA.</t>
  </si>
  <si>
    <t>Siete (7) diagnósticos y planes de fortalecimiento de Registros Administrativos- RRAA, realizados</t>
  </si>
  <si>
    <t>PAI_DIRPEN_2.1</t>
  </si>
  <si>
    <t>Un (1) listado de los registros administrativos para ser priorizados en 2021 realizado.</t>
  </si>
  <si>
    <t>Se levanta listado de 14 Registros Administrativos priorizados. De estos se viene adelantando el diagnostico de 4 RRAA realizados bajo convenio con la Superservicios y la supernotariado.</t>
  </si>
  <si>
    <t>Presentación con el listado de RRAA priorizados y justificación de dicha priorización.</t>
  </si>
  <si>
    <t>El GIT de Prospectiva y Análisis de Datos, con el trabajo realizado por su equipo líder en diagnósticos de Registros Administrativos (RRAA) avanzó en la identificación de los RRAA que requieren priorización en 2021, de este ejercicio se cuenta con un listado de 14 RRAA a fortalecer, de estos  se ha podido tener avance en 4 RRAA con las entidades con las que el DANE tiene convenio actualmente, para los otros RRAA se remitió comunicación a través de la Dirección General solicitando insumos para el proceso, Solo se ha tenido repuesta de la Fiscalía General en forma negativa a iniciar un diagnóstico de sus registros.</t>
  </si>
  <si>
    <t>Documentos de diagnóstico del aprovechamiento de registros administrativos</t>
  </si>
  <si>
    <t>C-0401-1003-26-0-0401089-02</t>
  </si>
  <si>
    <t>Se cuenta con listado de registros administrativos priorizados para diagnostico. En el trimestre se incluyen registros a cargo del IDEAM y Ministerio de Cultura, asociados con los sistemas de economía circular y economía naranja respectivamente.</t>
  </si>
  <si>
    <t>Listado de registros administrativos priorizados para diagnóstico.</t>
  </si>
  <si>
    <t>El GIT de Prospectiva y Análisis de Datos, con el trabajo realizado por su equipo líder en diagnósticos de Registros Administrativos (RRAA) avanzó en la actualización de los RRAA que requieren priorización en 2021, incluyendo los registros requeridos por los sistemas de economía naranja y economía circular.  En el trimestre se avanza con el diagnostico de los registros administrativos de las siguientes entidades: Superintendencia de Servicios Públicos domiciliarios, IDEAM e Instituto Nacional de Salud.</t>
  </si>
  <si>
    <t>PAI_DIRPEN_2.2</t>
  </si>
  <si>
    <t>Siete (7) informes de diagnóstico de RRAA realizados</t>
  </si>
  <si>
    <t>Se avanza en el diligenciamiento de los instrumentos de diagnostico documental y de bases de datos de los registros administrativos de las siguientes entidades: Superintendencia de servicios públicos, Instituto Nacional de Salud, IDEAM.</t>
  </si>
  <si>
    <t xml:space="preserve">Actas, formularios de levantamiento </t>
  </si>
  <si>
    <t>PAI_DIRPEN_2.3</t>
  </si>
  <si>
    <t>Siete  (7) planes de fortalecimiento de RRAA realizados</t>
  </si>
  <si>
    <t>PAI_DIRPEN_2.4</t>
  </si>
  <si>
    <t>Siete  (7) socializaciones de los diagnósticos y planes de fortalecimiento de RRAA realizadas</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</si>
  <si>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</si>
  <si>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Ocho (8) estudios de prospectiva y análisis de datos que conduzcan a la modernización de la gestión en el proceso estratégico y misional del DANE, realizados</t>
  </si>
  <si>
    <t>PAI_DIRPEN_3.1</t>
  </si>
  <si>
    <t>Un (1) listado de los estudios de analitica propuestos para 2021 realizado.</t>
  </si>
  <si>
    <t>Listado de 15 propuestas de proyectos de investigacion aplicada los cuales fueron sensibilizados en comité tecnico de direccion.</t>
  </si>
  <si>
    <t>presentacion con el listado de proyectos de analítica de datos priorizados y fichas resumen de los proyectos que han iniciado.</t>
  </si>
  <si>
    <t>El GIT de Prospectiva y Análisis de Datos, con el trabajo realizado por su equipo líder en Analítica de datos, avanzó en la identificación de 15 temas de investigación aplicada que involucran un trabajo integrado con otras áreas del DANE. De estos proyectos se avanzó en la definición de 5 fichas resumen de los proyectos con las áreas involucradas. La propuesta de proyectos fue presentada al comité técnico de la entidad del cual se espera una aprobación y priorización de los 8 que se pueden adelantar en la presente vigencia.</t>
  </si>
  <si>
    <t>Listado de 15 propuestas de proyectos de los cuales se prioriza la realización de 8 de estos en la presenté vigencia.</t>
  </si>
  <si>
    <t>presentación con el listado de proyectos de analítica de datos priorizados y fichas resumen de los proyectos que han iniciado.</t>
  </si>
  <si>
    <t>El GIT de Prospectiva y Análisis de Datos, con el trabajo realizado por su equipo líder en Analítica de datos, cuenta con 15 propuestas de temas de investigación aplicada los cuales  involucran trabajo integrado con otras dependencias del DANE. De estos proyectos se avanzó en la definición de 7 fichas base de los proyectos sobre las cuales se ha avanzado en su desarrollo.</t>
  </si>
  <si>
    <t>PAI_DIRPEN_3.2</t>
  </si>
  <si>
    <t>Ocho (8) fichas de estudios de analitica diligenciadas</t>
  </si>
  <si>
    <t>Diligenciamiento de 5 fichas resumen de proyectos de analitica a desarrollar en 2021.</t>
  </si>
  <si>
    <t>Diligenciamiento de 7 fichas resumen de proyectos de analítica en desarrollo en 2021.</t>
  </si>
  <si>
    <t>PAI_DIRPEN_3.3</t>
  </si>
  <si>
    <t>Ocho (8) informes de resultados presentados</t>
  </si>
  <si>
    <t>PAI_DIRPEN_3.4</t>
  </si>
  <si>
    <t>Ocho (8) socializaciones de resultados presentados</t>
  </si>
  <si>
    <t>Una (1) estrategia de gestión del SEN y sus instancias de coordinación, implementada</t>
  </si>
  <si>
    <t>PAI_DIRPEN_4.1</t>
  </si>
  <si>
    <t xml:space="preserve">Cinco (5) Comités  Estadísticos Sectoriales realizados
</t>
  </si>
  <si>
    <t>A partir de Abril se realizarà la gestión de las instancias de coordinación, nota se debe ajustar el % de avance de la siguiente manera: II trimestre: 30; III trimestre: 60; IV trimeste: 100</t>
  </si>
  <si>
    <t>Servicio de información de las estadísticas de las entidades del Sistema Estadístico Nacional</t>
  </si>
  <si>
    <t>C-0401-1003-26-0-0401090-02</t>
  </si>
  <si>
    <t>Se tiene contemplando instalar los comites en el tercer trimestre del 2021</t>
  </si>
  <si>
    <t>Se desarrollaron las mesas estadísticas de economía circular, Eduación, Mineroenergetica y agropecuria.  Tambien se realizó gestión para retomar mesa de transporte e instalar la de servicios publicos. De igual manera, se realizaron las reuniones en las 5 salas especilizadas y se definieron las líneas a trabajar en el 2021.  
Se cuenta con los inventarios actualizados de ooee y rraa con corte 30 de junio, el cual se desarrollo en el marco del SICODE. y</t>
  </si>
  <si>
    <t>Se tiene contemplando instalar los comites en el tercer semestre del 2021</t>
  </si>
  <si>
    <t>PAI_DIRPEN_4.2</t>
  </si>
  <si>
    <t>Durante el segundo trimestre se desarrollaron las siguientes mesas estadísticas:  1. Agropecuaria, 2. Economía circular; 3. Educación; 4. Minero energetica. De igual manera, se inicio gestión para la reactivar la mesa de transporte, así como la mesa de servicios publicos para instalar el 9 Julio.</t>
  </si>
  <si>
    <t xml:space="preserve">Listados de asistencias, PPT y cargas enviadas para instalar la mesa de servicicios publicos. </t>
  </si>
  <si>
    <t>PAI_DIRPEN_4.3</t>
  </si>
  <si>
    <t xml:space="preserve">Tres (3) líneas de investigación en cada una de las salas especilizadas del CASEN desarrolladas </t>
  </si>
  <si>
    <t>En el segundo trimestre se realizaron reuniones en las 5 salas especializadas, en la cuales se determinaron los temas a trabajar durante el 2021 y tambien se presento a los expertos los avances obtenidos de las recomendaciones realizadas en el 2020</t>
  </si>
  <si>
    <t>Actas Sesiones CASEN</t>
  </si>
  <si>
    <t>PAI_DIRPEN_4.4</t>
  </si>
  <si>
    <t>Un (1) repositorio con las memorías de los comités internos de las operaciones estadísticas del DANE, donde participa DIRPEN, consolidado</t>
  </si>
  <si>
    <t>Se asistió a los comités internos de las operaciones publicadas ente abril y junio de 2021 y realizo las actas respectivas.</t>
  </si>
  <si>
    <t>Actas de comités</t>
  </si>
  <si>
    <t>PAI_DIRPEN_4.5</t>
  </si>
  <si>
    <t>Dos (2) informes de seguimiento al PEN 2020 - 2022 elaborados</t>
  </si>
  <si>
    <t>Se estructuro la metodologia para realizar el seguimiento al plan estadístico, en el mes de julio se enviarán a los responsables de implementación los formularios para que reporten el avance en las acciones del PEN con corte 30 de junio.</t>
  </si>
  <si>
    <t>Metodología para el seguimiento al PEN</t>
  </si>
  <si>
    <t>El porcentaje es menor, en la medida que el seguimiento se debe realizar con corte 30 de junio del 2021, por ello no se tiene el primer seguimiento 2021.</t>
  </si>
  <si>
    <t>PAI_DIRPEN_4.6</t>
  </si>
  <si>
    <t>Tres (3) inventarios actualizados (1 de operaciones estadísticas, 1 de registros administrativos y 1 de demandas de información)</t>
  </si>
  <si>
    <t>Se cuenta con los inventarios actualizados de OOEE y RRAA administrativos con corte 30 de junio de 2021</t>
  </si>
  <si>
    <t>Inventarios de ooee y RRAA</t>
  </si>
  <si>
    <t>PAI_DIRPEN_4.7</t>
  </si>
  <si>
    <t>Un (1) documento de síntesis que contenga las recomendaciones para el fortalecimiento de los procesos priorizados por el Grupo de GEDI en las sesiones de trabajo y la importancia de las adaptaciones metodológicas y de divulgación generadas por la estrategias del equipo, entregado</t>
  </si>
  <si>
    <t>Esta actividad se debe reprogramar con el grupo de GEDI</t>
  </si>
  <si>
    <t>Este producto debe ser revisado junto con el grupo de GEDi y estructurase de acuerdo al trabajo que vienen desarrollando</t>
  </si>
  <si>
    <t>Indirecto: El ICET es un indicador multidimensional y sistémico, que mide la capacidad estadística territorial, que permite obtener información comparable entre departamentos y entre municipios (subsistemas departamental y municipal) a nivel global y por dimensiones.</t>
  </si>
  <si>
    <t xml:space="preserve">Un (1) índice para medir la Capacidad Estadística Territorial, calculado </t>
  </si>
  <si>
    <t>PAI_DIRPEN_5.1</t>
  </si>
  <si>
    <t>Una (1) metodología del ICET 2021 actualizada</t>
  </si>
  <si>
    <t xml:space="preserve">Se actulizó la metodologia del ICET, cumpliendo con la guía para la documentacíón de operaciones estadísticas </t>
  </si>
  <si>
    <t>Metodologia ICET</t>
  </si>
  <si>
    <t>Se cuenta con el documento metodologico del ICET, así mismo con base del levantamiento de informacón del necesidades de las territoriales y la metodoliga del ICET, se tiene el documento preliminar de dimensiones del Índice de capacidades para Territoriales del DANE (sedes y subsedes)</t>
  </si>
  <si>
    <t>Servicio de asistencia técnica para el fortalecimiento de la capacidad estadística</t>
  </si>
  <si>
    <t>C-0401-1003-26-0-0401094-02</t>
  </si>
  <si>
    <t>En el segundo semestre se elaboró el  costeo de los posibles escenarios del operativo de recolección del ICET, se consolidó el directorio de alcaldías y gobernaciones , el directorio de entidades usuarias de información estadística territorial y se realzaron los Ajustes al cuestionarios de recolección ICET y elaboración de manuales de diligenciamiento.  de igual manera, se estructuró la  propuesta de medición de dicho índice de capactidades para las territoriales, con dimensiones y sin dimensiones</t>
  </si>
  <si>
    <t>PAI_DIRPEN_5.2</t>
  </si>
  <si>
    <t xml:space="preserve">Un (1) Índice de Capacidad Estadística Territorial calculado </t>
  </si>
  <si>
    <t xml:space="preserve">Se trabajo con subdirección, logística y Oplan, para la consecuención de los recursos para desarrollar el operativo 2021, de igual manera se avanzo en la construcción de los directorios , en los formularios y el manual de dilienciamiento, que serán usados en el proceso de recolección de la información. </t>
  </si>
  <si>
    <t>PPT Escenarios y costeo ICET
Directorio de entidades territoriales
Directorio preliminar de entidades usuarias
Cuestionarios de recolección
Manuales de diligenciamiento</t>
  </si>
  <si>
    <t>Se relaciona con el indicador: Incremento en el resultado de la medición de la capacidad territorial.</t>
  </si>
  <si>
    <t>PAI_DIRPEN_5.3</t>
  </si>
  <si>
    <t>Diseño y medición de un (1) índice de capacidades para Territoriales del DANE (sedes y subsedes)</t>
  </si>
  <si>
    <t xml:space="preserve">Se esta desarrollando las fases de DAN y Diseño del índices </t>
  </si>
  <si>
    <t>1. Documento borrador de dimensiones y subíndices.</t>
  </si>
  <si>
    <t>Se desarrollaron diferentes propuestas conforme a la estructura del índice de capacidad territoriales del dane. En este sentido se desarrollaron 3 propuestas con respecto a las dimensiones y subindices de dicho índice. Estas propuestas serán compartidas con el equipo de dirpen para establecer cuál es el mejor enfoque y desarrollarlo</t>
  </si>
  <si>
    <t xml:space="preserve">Documento del Índice de medición de capacidades Direcciones territoriales (Sedes/subsedes) DANE. Instrumento para medir el PEI </t>
  </si>
  <si>
    <t>Indirecto: A través del plan de fortalecimiento territorial, se brindan herramientas a las entidades territoriales que le permiten mejorar su capacidad estadística a las entidades territorio</t>
  </si>
  <si>
    <t>Un (1) programa para el fortalecimiento estadístico, implementado</t>
  </si>
  <si>
    <t>PAI_DIRPEN_6.1</t>
  </si>
  <si>
    <t xml:space="preserve">Cinco (5) cursos virtuales en plataforma Aprendanet activos 
</t>
  </si>
  <si>
    <t xml:space="preserve">En el primer trimestre se dispusieron 3 cursos virtuales en la plataforma de Aprendanet, los cuales se lanzarán en el mes de Abril.  </t>
  </si>
  <si>
    <t>Pantallazos Aprendanet</t>
  </si>
  <si>
    <t>En el primmer trimestre se dispusieron 3 cursos en la plataforma: Fortalecimiento de RRAA para su aprovechamiento estadístico, 2. Proceso estadístico y 3 condiciones para la evaluación de la calidad estadística.  
De igual forma se definieron los cursos que se desarrollaran en el 2021, entre los cuales están: 
1. Enfoque diferencial e intersecciones en la producción estadística
2. Sistema de Ética Estadística del DANE (SETE)
3. Curso Política de Gestión de la Información Estadística
4.Clasificaciones estadísticas económicas
5. Clasificaciones estadísticas sociales
Por otra parte, se ha cumplido con el cronograma de plan de capacitaciones
Por último el DANE a dado respuesta a los compromisos solicitados por el DAFP en el marco de la política.</t>
  </si>
  <si>
    <t>En el segundo trimestre se realizó la preparación para disponer para inscripción de los 5 cursos que se elaboraron en el 2020. de esta manera ente el 7 al 09 julio serán las inscripciones, entre el 12 al 14 se realizará la depuración y consolidación de personas inscritas, del 15 al 19 se enviarán los usarios y las contraseñas a los inscritos, para que puedan inciar los cursos a apartir del 19 de julio. los curso a desarrollaran son: 1.Planificación Estadística, Formulación y Ejecución de Planes Estadísticos; 2.Proceso Estadístico; 3.Fortalecimiento de Registros Administrativos para su aprovechamiento estadístico; 4. Condiciones para la Evaluación de la Calidad Estadística y 5.Diseño y construcción de indicadores</t>
  </si>
  <si>
    <t>Documento ajustes curso Planificación estadística
Cronograma lanzamiento (6) cursos virtuales en Aprendanet y piezas gráficas iniciales 
ver tambien:  https://www.sen.gov.co/servicios/aula-digital</t>
  </si>
  <si>
    <t>La preparación de los cursos, implico la revisión y ajustes del curso de planificación estadística y el de diseño de indicadores, así como incluir estos cursos en la nueva plataforma de aprendanet.  De igual manera, se realizo el desarrollo de las piezas graficas para realizar la promoción de los mismo y la construcción del listado del correos al cual se le enviará la invitación a participar en los cursos.
Se desarrollo el Curso de EDIPE, el cual se pondrá a disposición del SEN a partir del 7 de julio, de igual manera se entrego el material por parte de los expertos para los cursos de politica GES y SETE.
De igual manera se realizaron las capacitaciones establecidas en el plan de capacitación.  De igual manera se continuó brindado asistencia técnica con los territorios que se tienen acuerdo y se elaboraron propuestas técnico económicos para a través de convenios interadministrativos con recursos, se brinden las asistencias.</t>
  </si>
  <si>
    <t>PAI_DIRPEN_6.2</t>
  </si>
  <si>
    <t>Cinco (5) nuevos cursos virtuales en plataforma Aprendanet diseñados</t>
  </si>
  <si>
    <t>Se definieron los cursos virtuales que se desarrollaran en el 2021: 
Se incia la adecuación de la ficha técnica y modulo uno del curso de Guia diferecncial, así como la ficha técnica del curso SETE. 
Se cuenta con la ficha técnica del curso de política de gestión de inforamación y el modúlo 0 del curso de clasificaciones.</t>
  </si>
  <si>
    <t>Fichas y guías adelantadas</t>
  </si>
  <si>
    <t xml:space="preserve">Finalización de adecuación diseño  y maquetación del curso enfoque diferencia e intreseccional en la producción estadística, el cual será lanzado el 7 de julio al SEN. Se realizó la entrega del material del curso de la política de gestión de información estadística, para su adecuación, para el curso de Sistema de Etica estadística se entrego los insumos de los modulos 1, 2 y 3.
</t>
  </si>
  <si>
    <t xml:space="preserve">Se adjuntan las fichas de los cursos, así como los módulos contruidos en cada uno de estos. </t>
  </si>
  <si>
    <t>PAI_DIRPEN_6.3</t>
  </si>
  <si>
    <t>Un (1) programa de capacitación de la Coordinación de Planificación y Articulación Estadística ejecutado</t>
  </si>
  <si>
    <t>Socialización Política de Gestión de la Información Estadística: se realizaron 3 capacitaciones, Miércoles 27 de enero, Jueves 25 de febrero y Miércoles 24 de marzo, se contó con la participación de mas de 200 asistentes de entidades del orden nacional y territorial.
Socialización de la metodología para la formulación de planes estadísticos, participaron 16 asistentes (Alcaldía: Sabanalarga Casanare, Pereira, Zipaquirá, Yopal y Guatape; Gobernacion del Quindio; Entidades del orden naciona:  Superintendencia de industria y comercio, Agencia Nacional de Minería, Migración Colombia, Ministerio de Relaciones Exteriores, Función pública, Ministerio de cultura; y Secretaria Distrital de Hacienda - Dirección de Impuestos) (24/03/21)
Capacitación Línea Base de Indicadores (LBI), con la participación de 33 asistentes (Función Pública, Gestión de proyectos de Casanare, INVEMAR, Mindeporte, Cancillería, Planeación Estratégica Floridablanca, Fusagasugá). (25/03/2021)</t>
  </si>
  <si>
    <t>Listas de asistencias y ppt</t>
  </si>
  <si>
    <t>En el marco del plan de capacitiaciones de realizaron las siguientes capacitaciones: 
1. Capacitación Política: Sector hacienda en abril, 27 de mayo y 28 de junio
2. Capacitación en Planificación estadísticas: 19 de mayo
3. Diseño de indicadores: 2 de junio
4. LBI: 20 de mayo</t>
  </si>
  <si>
    <t>Se adjuntas las presentaciones, junto con las listas de asistencia.</t>
  </si>
  <si>
    <t>PAI_DIRPEN_6.4</t>
  </si>
  <si>
    <t>Una (1) política de Gestión de la Información Estadístca actualizada</t>
  </si>
  <si>
    <t>Preparación del material solicitado por el DAFP para la actualización de la política de gestión de información estadística del MIPG y del Furag:
Revisión y actualización de las preguntas e ítems de la Política de Gestión de la Información Estadística en el FURAG. (Febrero 2021); confirmando que continúan los 3 subíndices para la medición de la Política (planeación estadística, fortalecimiento de registros administrativos y calidad estadística). 
Se resolvieron las preguntas remitidas por entidades de la Rama Ejecutiva y el DAFP, en el marco del Diligenciamiento del FURAG.</t>
  </si>
  <si>
    <t>Excel remitido al DAFP y correos enviados</t>
  </si>
  <si>
    <t>Se realizó la revisión del pivote de resultados, el cual es insumo del icet.</t>
  </si>
  <si>
    <t xml:space="preserve">Pivote resultados </t>
  </si>
  <si>
    <t>PAI_DIRPEN_6.5</t>
  </si>
  <si>
    <t>Cuatro (4) asesorías técnicas y acompañamiento a entidades territoriales realizadas.</t>
  </si>
  <si>
    <t xml:space="preserve">Se brido Asistencia al Valle de Cauca, Mosquera y Perira. Tabien se continua desareollando el PET de Monteria. Por utlimo se remitieron propuestas técnicas a las entidades territoriales que las solicitaron, pendiente aprobación de las entidades para continuar con el convenio. </t>
  </si>
  <si>
    <t>Propuestas Técnicas, listas de asistencias y PPT realizadas</t>
  </si>
  <si>
    <t>Se continuao brindando asistencias técnicas a Yopal y Valle del Cauca.
De igual manera, se acordo con el muncipio de puerto tejada brindar asistencia técnicas en el desarrollo de PET. 
Se han desarrollado y ajustado propuestas técnicas con los siguientes entidades territoriales, con las cuales se espera desarrollar asesorias en PET y RRAA:  Cucutá, Atlantico, Santander, Popayan, Cauca y Nariño.</t>
  </si>
  <si>
    <t>Se adjunta evidencias de las asitencias, junto con las propuestas técnicas desarrolladas.</t>
  </si>
  <si>
    <t>E. Capacidad metodológica</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</si>
  <si>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</si>
  <si>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Veintinueve (29) evaluaciones de la calidad estadística, para identificar el grado de cumplimiento de los atributos de calidad por parte de las operaciones estadísticas, ejecutadas</t>
  </si>
  <si>
    <t>PAI_DIRPEN_7.1</t>
  </si>
  <si>
    <t>Once (11) contratos interadministrativos suscritos con las entidades del SEN a evaluar</t>
  </si>
  <si>
    <t>Se inicia el proceso precontractual a través de mesas de trabajo con las entidades del SEN que conforman el PECE 2021 incluyendo fechas de ejecución del proceso, lo cual debe generar el alistamiento de los instrumentos necesarios para la suscripción del contrato, principalmente la propuesta técnico económica. De igual manera se inicia la convocatoria para la conformación de las ternas de expertos que desempeñarán el rol temático de las evaluaciones.</t>
  </si>
  <si>
    <t>Propuesta técnico-económica a IDEAM, Mincultura, CAMACOL. DIMAR, FEDEGAN, Minciencias, SIC.</t>
  </si>
  <si>
    <t xml:space="preserve">Inicio de la etapa precontractual con 7 entidades del Sistema Estadístico Nacional,para el desarrollo de las evaluaciones de calidad (IDEAM, Mincultura, CAMACOL. DIMAR, FEDEGAN, Minciencias, SIC),  se conformaron las ternas de expertos temáticos para la evaluación de las operaciones estadísticas: Balance de Masa Glaciar y  Estadística de monitoreo y seguimiento RUA manufacturero en Colombia. Adicionalmente se realiza ajuste de formato de identificación de evidencias, documento de condiciones y formato de informe de análisis de archivos de datos 
</t>
  </si>
  <si>
    <t>Se desarrolló el proceso contractual con las entidades del SEN que conforman el PECE 2021(CAMACOL,  Mincultura e IDEAM), teniendo como resultado la firma de los contratos y se adelantan procesos precontractuales con FEDEGAN, MinTiC, Superintendencia de Industria y Comercio, DIMAR, Superinetendencia de Servicios Públicos Domiciliarios y Observatorio de Ciencia y Tecnología.</t>
  </si>
  <si>
    <t>Contratos firmados IDEAM, Mincultura y CAMACOL.
Propuestas Técnico Económicas: DIMAR, SSPD, SIC y OCYT
Minuta FEDEGAN y Min Tic</t>
  </si>
  <si>
    <t>Durante el segundo trimestre del año se ha continuado gestionando el proceso contractual y de selección de expertos para el desarrollo de las evaluaciones de la calidad estadística, dando como resultado la firma de tres contratos interadministraivos y la selección de expertos para los ciclos 2 y 3 de evaluación (8 operaciones estadísticas). Adicionalmente, se inició la etapa documental de las evaluaciones del ciclo 2 que corresponden a 2 OE del IDEAM: Balance de Masa Glaciar y Estadísticas de Monitoreo y Segumiento del RUA Manufacturero en Colombia</t>
  </si>
  <si>
    <t>PAI_DIRPEN_7.2</t>
  </si>
  <si>
    <t>Treinta y cinco (35) contratos de prestación de servicios suscritos para desempeñar los diferentes roles del equipo evaluador de la calidad estadística</t>
  </si>
  <si>
    <t>Se realiza proceso de convocatoria, recepción de hojas de vida y entrevista para calificación de criterios de competencia de candidatos a expertos temáticos para el proceso de evaluación de la calidad estadística en consideración con el PECE 2021.</t>
  </si>
  <si>
    <t xml:space="preserve">Presentación y calificación de criterios de competencia para proceso de selección del experto temático por parte de Director del General del DANE que acompañe la evaluación de las operaciones estadísticas del IDEAM: Balance de masa glaciar y, Estadística de monitoreo y seguimiento RUA manufacturero en Colombia. 
</t>
  </si>
  <si>
    <t>Se realiza proceso de convocatoria, recepción de hojas de vida , entrevista para calificación de criterios de competencia de candidatos y contratación de expertos temáticos, expertos en proceso, expertos estadísticos y evaluador líder para el proceso de evaluación de la calidad estadística en consideración con el PECE 2021.</t>
  </si>
  <si>
    <t>Presentación y calificación de criterios de competencia para proceso de selección del experto temático para las operaciones de CAMACOL-Censo de coordenada urbana, MinCultura- Estadísticas del sector de los espectaculos públicos de las artes escenicas, MinTIC- Estadísticas del servicio de telefonía Móvil, SIC- Estadísticas de nuevas creaciones en Colombia, OCYT-Estadísticas sobre calculo de la inversión,  e IDEAM- Infromación de la radiación global recibida en superficie e Inventario de equipos y desechos PCB.
Además se realiza la calificación de competencia para proceso de selección para los expertos estadísticos, expertos en proceso y evaluador líder.
Se realiza la gestión con la oficina de cooperación para la consecución de apoyo por parte de otros entes estad´siticos internacionales para tener como expertos temáticos en las operaciones estadísticas de:
Cuenta satelite de turismo-CEPAL
Matriz Insumo Producto-INEGI México
Producto Interno Bruto por departamento-INEGI México
Índice de costos de la producción de obras civiles-INEGI México
Encuesta de Micronegocios-INE Chile
Encuesta Mensual de Alojamiento-INE España</t>
  </si>
  <si>
    <t>PAI_DIRPEN_7.3</t>
  </si>
  <si>
    <t>Veintinueve (29) listas de chequeo consolidadas</t>
  </si>
  <si>
    <t>Como fase previa para el proceso de evaluación de las operaciones estadísticas de la vigencia 2021 se realizó el ajuste del Formato de Identificación de Evidencias para la NTC PE 1000:2020 , indicando la documentación guía  que deben trener en cuenta las operaciones estadísticas para la evaluación. También se reestructuró el formato para el informe de análisis de la base de datos. Adicionalmente se realizó la revisión y ajuste del Documento de Condiciones para la Evaluación y la Certificación de la Calidad Estadística</t>
  </si>
  <si>
    <t>Formato de Identificación de Evidencias NTC PE 1000:2020
Formato informe análisis archivos de datos
Documento de Condiciones para la Evaluación y la Certificación de la Calidad</t>
  </si>
  <si>
    <t>Se inició proceso de evaluación para las operaciones estadísticas:  Estadística de monitoreo y seguimiento RUA manufacturero en Colombia y Balance de Masa Glaciar del IDEAM que incluye la formulación del plan de evaluación, la recepción de evidencias y el inicio de la etapa documental.
Adicionalmente, se formuló el Plan de Evaluación para las operaciones estadísticas: Censo de Coordenda Urbana y Estadísticas del sector de los espectaculos públicos de las artes escenicas.</t>
  </si>
  <si>
    <t xml:space="preserve">Plan de Evaluación RUA Manufacturero
Plan de Evaluación Balance de Masa Glaciar
Formato de identificación de evidencias RUA Manufacturero
Formato de identificación de evidencias Balance de Masa Glaciar
Plan de Evaluación Censo de Coordenda Urbana
Plan de Evaluación Estadísticas del sector de los espectaculos públicos de las artes escenicas. </t>
  </si>
  <si>
    <t>PAI_DIRPEN_7.4</t>
  </si>
  <si>
    <t>Veintinueve (29) informes de evaluación de la calidad estadística finalizados</t>
  </si>
  <si>
    <t xml:space="preserve">Se inició etapa de revisión documental para las operaciones estadísticas:  Estadística de monitoreo y seguimiento RUA manufacturero en Colombia y Balance de Masa Glaciar del IDEAM </t>
  </si>
  <si>
    <t>Formato de identificación de evidencias RUA Manufacturero
Formato de identificación de evidencias Balance de Masa Glaciar</t>
  </si>
  <si>
    <t>Las revisiones sistémicas aportan al 100% al cumplimiento del objetivo estartégico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</si>
  <si>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Una (1) revisión sistémica para analizar la coherencia de las estadísticas de comercio exterior, implementada</t>
  </si>
  <si>
    <t>PAI_DIRPEN_8.1</t>
  </si>
  <si>
    <t>Cinco (5) formularios de las dimensiones de la revisión sistémica ajustados</t>
  </si>
  <si>
    <t>Revisión de formularios e informes del componente CITUR - SITUR y evaluaciones año 2019 a las operaciones estadísticas para construcción y ajustes del componente de comercio exterior.</t>
  </si>
  <si>
    <t>Informe Final CITUR
Informes Comercio Exterior</t>
  </si>
  <si>
    <t>Revisión de formularios e informe de la revisión sistémica del esquema CITUR - SITUR y evaluaciones de la calidad año 2019 para las operaciones estadísticas Impo, Expo y Zonas Francas para construcción y ajustes de la revisión sistémica del componente de comercio exterior.</t>
  </si>
  <si>
    <t>El porcentaje de avance cualitativo es menor al avance esperado dado que el inicio de la actividad y la conformación del equipo de trabajo inició en el mes de marzo de 2021.</t>
  </si>
  <si>
    <t>Se revisan y ajustan los formularios para cada una de las dimensiones y el modulo de usuarios (5 formularios) de acuerdo con el análisis de aplicabilidad para las estadísticas de Comercio Exterior y las sesiones de retroalimentación que se desarrollaron al interior del equipo que desarrollará la revisión sistémica.</t>
  </si>
  <si>
    <t>Dimensión 1. Entorno Institucional.
Dimensión 2. Proceso Estadístico y sus Resultados
Dimensión 3. Tecnologia.
Dimensión 4. Usos de la Información Estadística y Articulación con las Políticas Públicas.
Encuesta a Usuarios Comercio Exterior.</t>
  </si>
  <si>
    <t>Durante el segundo trimestre se finalizaron los ajustes en los formularios de las cuatro dimensiones de la revisión sistémica de Comercio Exterior, así como la encuesta a usuarios</t>
  </si>
  <si>
    <t>PAI_DIRPEN_8.2</t>
  </si>
  <si>
    <t>Un (1) informe final de la revisión sistemica finalizado</t>
  </si>
  <si>
    <t xml:space="preserve">Construcción de la primera versión del documento de requerimientos para el desarrollo del aplicativo de revisiones sistémicas </t>
  </si>
  <si>
    <t>Requermientos funcionales para el desarrollo del aplicativo de revisiones sistémicas</t>
  </si>
  <si>
    <t xml:space="preserve">Las revisiones focalizadas aportan al 100% al cumplimento del objetivo estratégico de asegurar la calidad estadística en procesos y resultados, puesto que identifican causas de problemas identificados en las estadísticas y generan las acciones que permiten resolverlos </t>
  </si>
  <si>
    <t>Un (1) instrumento de revisión focalizada con sus respectivos soportes, que permita establecer la causa de un problema presentado por una operación estadística en la fase de difusión, finalizado</t>
  </si>
  <si>
    <t>PAI_DIRPEN_9.1</t>
  </si>
  <si>
    <t>Un (1)  formulario de reporte de problema desarrollado y una aplicación de apoyo al análisis del problema ajustado.</t>
  </si>
  <si>
    <t xml:space="preserve">Inicio de las actividades para  el desarrollo del formulario del reporte del problema con el apoyo de la coordinación de Prospectiva a Análisis de Datos  </t>
  </si>
  <si>
    <t>Formato identificación problema revisiones focalizadas</t>
  </si>
  <si>
    <t xml:space="preserve">Se inició el desarrollo informático para el formato de identificación del problema del instrumento de revisiones focalizadas, así mismo se realizaron ajustes en el documento conceptual y en la herramienta de apoyo al análisis </t>
  </si>
  <si>
    <t xml:space="preserve">Desarrollo informático (pendiente la fase de pruebas), del formato de identificación del problema, que organiza las preguntas en  forma de pestañas, incluye campo de selección de las operaciones estadísticas y se estructura  por módulos. </t>
  </si>
  <si>
    <t>Link desarrollo Formato de Identificación del Problema</t>
  </si>
  <si>
    <t>Para las revisones focalizadas, durante el segundo trimeste se desarrolló el formato de identificación del problema quedando listo para pruebas y se construyó la primera versión de las guías para el diligenciamiento del formato de reporte del problema y de uso de la herramienta de apoyo al análisis</t>
  </si>
  <si>
    <t>PAI_DIRPEN_9.2</t>
  </si>
  <si>
    <t>Un (1) documento metodológico para las revisiones focalizadas finalizado</t>
  </si>
  <si>
    <t xml:space="preserve">Se han realizado ajustes al documento en cuanto a las fases de la revisión focalizada </t>
  </si>
  <si>
    <t>Conceptualizacion revisiones focalizadas</t>
  </si>
  <si>
    <t>Ajustes al documento metodológico en cuanto a las fases del proceso de revisión focalizada, actividades, gráficos</t>
  </si>
  <si>
    <t>Documento metodológico para las revisiones focalizadas V1</t>
  </si>
  <si>
    <t>PAI_DIRPEN_9.3</t>
  </si>
  <si>
    <t>Una (1) guia para el diligenciamiento del formato reporte del problema y guia de uso de la herramienta de apoyo al análisis de revisiones focalizadas</t>
  </si>
  <si>
    <t>Socialización,revisión y ajustes a la herramienta de apoyo al análisis de revisiones focalizadas</t>
  </si>
  <si>
    <t>Herramienta de apoyo al análisis revisiones focalizadas</t>
  </si>
  <si>
    <t>Elaboración de la guía de la herramienta de apoyo al análisis y de la guía del formato del problema</t>
  </si>
  <si>
    <t>Guia para el diligenciamiento del formato reporte del problema V1
Guia de uso de la herramienta de apoyo al análisis de revisiones focalizadas V1</t>
  </si>
  <si>
    <t>A través de la estrategia del Marco de Aseguramiento de la Calidad, se aporta al 100% al cumplimiento del objetivo estratégico de asegurar la calidad estadística en procesos y procedimientos, puesto que los miembros del SEN podrán conocer la interralción de cada uno de los instrumentos que lo componen y la forma en que pueden aplicarlos para contribuir con la calidad en el proceso de producción estadística y sus resultados</t>
  </si>
  <si>
    <t xml:space="preserve">Una (1) estrategia para fortalecer el Marco de Aseguramiento de la Calidad para Colombia, implementada </t>
  </si>
  <si>
    <t>PAI_DIRPEN_10.1</t>
  </si>
  <si>
    <t>Un (1) documento del Marco de Aseguramiento de la Calidad para Colombia finalizado</t>
  </si>
  <si>
    <t>El desarrollo de las buenas prácticas, iniciativas e instrumentos del MAC se basaron en estándares internacionales (NQAF UN, Canada, Euroestad, Ecuador y Jamaica) y en los resultados de la implementación en el DANE en su rol de coordinador del SEN y gracias a su amplia experiencia como productor de estadisticas oficiales, con el objeto de que sirva de marco de referencia para la aplicación de las demás entidades del SEN que producen estadísticas oficiales. 
El MAC para Colombia, consta de cuatro niveles y diecinueve principios de calidad, cada nivel define un tema de gestión de la calidad. Los principios se desarrollan en tres partes: la descripción, la cual introduce los  conceptos de calidad que se desarrollarán en los siguientes apartes, tambien se definen los términos relevantes y proporciona contexto e información de fondo; la evaluación, en esta parte se enumeran los elementos esenciales para la aplicación de cada principio, tomando como base el documento general y cuestionario del NQAF  UN y por último la sección de implementación, la cual describe las buenas prácticas, iniciativas e instrumentos que dan respuesta a los elementos esenciales de la evaluación.</t>
  </si>
  <si>
    <t>Material para marco
Marco de aseguramiento de la calidad para Colombia actualizado 2021</t>
  </si>
  <si>
    <t xml:space="preserve">Se avanza en la estrategia para fortalecer el Marco de Aseguramiento de la Calidad para Colombia, para ser implementada basada en el desarrollo de las buenas prácticas, iniciativas e instrumentos tomando los estándares internacionales (NQAF UN, Canada, Euroestad, Ecuador y Jamaica) y en los resultados de la implementación en el DANE en su rol rol de coordinador del SEN y gracias a su amplia experiencia como productor de estadisticas oficiales, con el objeto de que sirva de marco de referencia para la aplicación de las demás entidades del SEN que producen estadísticas oficiales. </t>
  </si>
  <si>
    <t>Se finalizó la construcción del documento del Marco de Aseguramiento de la Calidad el cual consta de cuatro niveles y diecinueve principios de calidad, cada nivel define un tema de gestión de la calidad. Los principios se desarrollan en tres partes: la descripción, introduce conceptos que se desarrollarán, define términos relevantes y proporciona contexto e información de fondo; la evaluación, enumera los elementos esenciales para la aplicación de cada principio, tomando como base el cuestionario NQAF de las Naciones Unidas y por último la implementación, describe las buenas prácticas, iniciativas e instrumentos que dan respuesta a los elementos esenciales de la evaluación.</t>
  </si>
  <si>
    <t xml:space="preserve">Documento Marco de aseguramiento de la calidad del Sistema Estadístico Nacional de Colombia V1 </t>
  </si>
  <si>
    <t>Finalización del documento del Marco de Aseguramiento de la Calidad del Sistema Estadístico Nacional, revisión del documento e instrumentos de autoevaluación para ejecutar el esquema de acompañamiento y construcción de la guía de uso del visor de autoevaluación</t>
  </si>
  <si>
    <t>PAI_DIRPEN_10.2</t>
  </si>
  <si>
    <t>Tres (3) sesiones de sensibilización sobre el Marco de Aseguramiento de la Calidad desarrolladas</t>
  </si>
  <si>
    <t>PAI_DIRPEN_10.3</t>
  </si>
  <si>
    <t>Tres (3) sesiones de acompañamiento para la implementación del instrumento de autoevaluación desarrolladas</t>
  </si>
  <si>
    <t xml:space="preserve">Se hace la revisión para la implementación del instrumento de autoevaluación el cual desarrolla el proceso de Autoevaluación, alineado con buenas prácticas que buscan garantizar la calidad de la información estadística. Las autoevaluaciones contribuyen al aseguramiento de la calidad, a través de un ejercicio de análisis integral, una revisión permanente de las acciones propias en el desarrollo de la operación estadística, y la configuración procesos de autogestión y de retroalimentación. </t>
  </si>
  <si>
    <t>Documento de autoevaluación</t>
  </si>
  <si>
    <t>Revisión del documento e instrumentos (indicadores y listas de chequeo) los cuales desarrollan el proceso de Autoevaluación, alineado con buenas prácticas que buscan garantizar la calidad de la información estadística. De igual manera se construyó la guía para el uso del visor del instrumento de autoevaluación.</t>
  </si>
  <si>
    <t xml:space="preserve">Metodología de autoevaluación a la calidad del proceso estadístico de Operaciones Estadísticas
Visor Autoevaluaciones
Guía uso Visor Autoevaluaciones </t>
  </si>
  <si>
    <t>PAI_DIRPEN_10.4</t>
  </si>
  <si>
    <t>Un (1) material de apoyo sobre el Marco de Aseguramiento de la Calidad diseñado y elaborado</t>
  </si>
  <si>
    <t>Se construyó presentación inicial del Marco de Aseguramiento de la Calidad para el Grupo de Trabajo de Calidad Esatdística de la CEPAL</t>
  </si>
  <si>
    <t>PPT Marco de aseguramiento de calidad estadística avances en Colombia-DANE</t>
  </si>
  <si>
    <t>La implementación del indicador sintético de calidad aporta al 100% al cumplimiento del objetivo estratégico de asegurar la calidad estadística en procesos y procedimientos, puesto que generará una innovación en el procedimiento para el análisis de la calidad de los datos</t>
  </si>
  <si>
    <t xml:space="preserve">Un (1) indicador sintético de calidad para la evaluación de la calidad de los archivos de datos, implementado </t>
  </si>
  <si>
    <t>PAI_DIRPEN_11.1</t>
  </si>
  <si>
    <t>Un (1) desarrollo para la visualización de datos (resumen de inconsistencias) y consolidados de inconsistencias por dimensiones de calidad (modelo de calidad de datos, norma ISO-25012) para las operaciones evaluadas del DANE y del SEN.</t>
  </si>
  <si>
    <t xml:space="preserve">En conjunto con la coordinación de Prospectiva y Análisis de Datos quienes generaron el archivo fuente para el desarrollo de los datos insumo para las visualizaciones en power Bi, se implementaron estas visualizaciones para las operaciones estadísticas evaluadas en el año 2020 por inconsistencia a nivel de campo y por dimensiones de calidad </t>
  </si>
  <si>
    <t>Pruebas visualizaciones</t>
  </si>
  <si>
    <t>Se realizaron los ajustes, pruebas e instalación del software aplicativo (Pentaho Data Integration) para generar los archivos insumo para el indicador sintético de calidad. De igual manera, se implementron las visualizaciones en Power Bi para las operaciones evaluadas en 2020</t>
  </si>
  <si>
    <t>PAI_DIRPEN_11.2</t>
  </si>
  <si>
    <t>Un (1) desarrollo para la implementación del indicador sintético de calidad en el proceso de evaluación de calidad</t>
  </si>
  <si>
    <t xml:space="preserve">1. Se realizaron los ajustes al software aplicativo (Pentaho Data Integration) para generar los archivos insumo para el indicador sintético (Detalle_Variables_Afectadas_x_Registro.txt ) 
2. Se realizaron las pruebas funcionales del software aplicativo de evaluación, para 9 Operaciones estadísticas las cuales concluyeron en forma exitosa. 
3. Se realizo la instalación de la nueva versión del software aplicativo de evaluación en los PC de los Ingenieros de sistemas del área de calidad.
</t>
  </si>
  <si>
    <t>Ajustes software_PDI_GINI_2021</t>
  </si>
  <si>
    <t>Permiten el fortalecimiento de la calidad estadística, aporte directo 100% al PEI_E17</t>
  </si>
  <si>
    <t>Diecinueve (19) instrumentos elaborados para el fortalecimiento de la producción estadística</t>
  </si>
  <si>
    <t>PAI_DIRPEN_12.1</t>
  </si>
  <si>
    <t xml:space="preserve">Cinco (5) documentos técnicos para el fortalecimiento de la producción estadística finalizados y publicados </t>
  </si>
  <si>
    <t>Se elabora la propuesta de: 
-Formato plan de pruebas
- Guía para informe final de pruebas
- Guia para el intercabio de registros administrativos
 - Formato para cronograma de las operaciones estadisticas</t>
  </si>
  <si>
    <t xml:space="preserve">Guías propuestas V1 </t>
  </si>
  <si>
    <t>Se realiza la primera versión de la documentación técnica para le fortalecimiento de la producción estadística de las guías nombradas en el avance cualitativo del hito T1.
Para la clasificaciones la CUOC, CISO se encuentran finalizadas y en proceso de oficialización y la CCFI - COICOP 2018 se encuentra en adaptación.
Se publicó la CPC 2.1 A.C. APSP y tres correlativas asociadas a clasificacines economicas</t>
  </si>
  <si>
    <t>Documentos de Regulación</t>
  </si>
  <si>
    <t>C-0401-1003-26-0-0401088-02</t>
  </si>
  <si>
    <t>Al segundo trimestre se tienen publicados 2 documentos
*Guía informes finales pruebas
*Formato Plan de Pruebas
Se avanzó en los documentos
*Lineamientos para el intercambio de registros administrativos
*Guía para diseñar Sistemas de Información
*Guía para mantenimiento de la CUOC</t>
  </si>
  <si>
    <t>Documentos publicados y en avance</t>
  </si>
  <si>
    <t>Al segundo trimestre se tienen publicados
*Guía informes finales pruebas
*Formato Plan de Pruebas
*Clasificación Internacional de la Situación en la Ocupación Adptada para Colombia (CISO 18 A.C.)
*Correativa CPC 2.1 A.C. vs CPC 2.1.Internacional
*CorreltativaCPC 2.1 Internacional vs CPC 2.1 A.C.
*Correlativa Arancel vs SCN versión 41
Se avanzó en 
*Lineamientos para el intercambio de registros administrativos
*Guía para diseñar Sistemas de Información
*Guía para mantenimiento de la CUOC
*Clasificación Única de Ocupaciones Adaptada para Colombia (CUOC)
*el proceso de mantenimiento de CIIU Rev. 4 A.C (2020) y CPC 2.1 A.C
*Matriz IPC (Base 2016) vs CPC 2.1 A.C. vs COICOP vs CIIU 4.0 2020
*Tablas correlativas de las clasificaciones estadísticas de la temática ambiental
*Coorelativa ICCS Internacional vs ICCS A.C. 
*Correspondencia ICCS A.C. vs Código penal colombiano</t>
  </si>
  <si>
    <t>REG</t>
  </si>
  <si>
    <t>PAI_DIRPEN_12.2</t>
  </si>
  <si>
    <t>Dos (2) clasificaciones estadísticas oficializadas para Colombia y publicadas</t>
  </si>
  <si>
    <t>Se finalizan documentos de las clasificaciones CUOC y CISO, se publica CPC 2.1 A.C. APSP</t>
  </si>
  <si>
    <t>Documentos CUOC, CISO finalizados y documento CPC 2.1 A.C.  APSP publicado</t>
  </si>
  <si>
    <t>Se publicó la clasificación
*Clasificación Internacional de la Situación en la Ocupación Adptada para Colombia (CISO 18 A.C.)
Se avanzó en el proceso de la clasificación:
*Clasificación Única de Ocupaciones Adaptada para Colombia (CUOC)</t>
  </si>
  <si>
    <t>Clasificaciones publicadas y en avance</t>
  </si>
  <si>
    <t>PAI_DIRPEN_12.3</t>
  </si>
  <si>
    <t>Dos (2) clasificaciones con mantenimiento oficializadas  para Colombia y publicadas</t>
  </si>
  <si>
    <t>En recopilación de requerimientos para mantenimiento de CIIU Rev. 4 A.C (2020) y CPC 2.1 A.C</t>
  </si>
  <si>
    <t>Se avanzó en el proceso de mantenimiento de CIIU Rev. 4 A.C (2020) y CPC 2.1 A.C</t>
  </si>
  <si>
    <t>PAI_DIRPEN_12.4</t>
  </si>
  <si>
    <t>Diez (10) tablas correlativas actualizadas o elaboradas finalizadas y publicadas</t>
  </si>
  <si>
    <t>Ya se encuentran publicadas: 
CPC 2.1 A.C. vs CPC 2.1. Internacional
CPC 2.1 Internacional vs CPC 2.1 A.C.
Arancel vs SCN versión 41</t>
  </si>
  <si>
    <t>CPC 2.1 A.C. vs CPC 2.1. Internacional
CPC 2.1 Internacional vs CPC 2.1 A.C.
Arancel vs SCN versión 41</t>
  </si>
  <si>
    <t>Al segundo trimestres se tienen publicadas las correlativas: 
*CPC 2.1 A.C. vs CPC 2.1. Internacional
*CPC 2.1 Internacional vs CPC 2.1 A.C.
*Arancel vs SCN versión 41
Se avanzó en las correlativas 
*Matriz IPC (Base 2016) vs CPC 2.1 A.C. vs COICOP vs CIIU 4.0 2020
*Tablas correlativas de las clasificaciones estadísticas de la temática ambiental
*ICCS Internacional vs ICCS A.C. 
*Correspondencia ICCS A.C. vs Código penal colombiano</t>
  </si>
  <si>
    <t>Correlativas publicadas y en avance</t>
  </si>
  <si>
    <t>Permiten el fortalecimiento de la calidad estadística, aporte directo al PEI_E20 y PEI_E21</t>
  </si>
  <si>
    <t>Un (1) plan de capacitación y acompañamiento para la promoción de lineamientos, normas y estándares estadísticos en el Sistema Estadístico Nacional SEN, finalizado</t>
  </si>
  <si>
    <t>PAI_DIRPEN_13.1</t>
  </si>
  <si>
    <t xml:space="preserve">Diez (10) informes de los procesos de intervención finalizados </t>
  </si>
  <si>
    <t xml:space="preserve">Se esta realizando el diagnóstico de implementación de Regulación Estadística  </t>
  </si>
  <si>
    <t xml:space="preserve">En este trimestre se ha ejecutado el plan de capacitación  2021 dando cumplimiento a cada una de las capacitaciones establecidas para lineamientos, normas y estándares estadísticos en el Sistema Estadístico Nacional SEN  </t>
  </si>
  <si>
    <t>Se avanzó en  proceso de diagnóstico de implementación de Regulación Estadística</t>
  </si>
  <si>
    <t>Se avanzó en  proceso de diagnóstico de implementación de Regulación Estadística y se realizadon las capacitaciones con forme al plan de capacitación para la Regulación Estadística</t>
  </si>
  <si>
    <t>PAI_DIRPEN_13.2</t>
  </si>
  <si>
    <t xml:space="preserve">Un (1) plan de capacitación para la promoción de lineamientos, normas y estándares estadísticos en el Sistema Estadístico Nacional SEN  ejecutado </t>
  </si>
  <si>
    <t>Se ha ejecutado el plan de capacitación para la Regulación Estadística</t>
  </si>
  <si>
    <t xml:space="preserve">Informe mensual de las Capacitaciones 
Listas de asistencia de las capacitaciones </t>
  </si>
  <si>
    <t>Se han realizado las capacitación con forme al plan de capacitación para la Regulación Estadística</t>
  </si>
  <si>
    <t>Informes mensuales y listados de asistencia a capacitaciones</t>
  </si>
  <si>
    <t>Cien (100) conceptos para la producción estadística, dispuestos</t>
  </si>
  <si>
    <t>PAI_DIRPEN_14.1</t>
  </si>
  <si>
    <t>Setenta (70) conceptos estandarizados difundidos en el sistema de consulta del DANE</t>
  </si>
  <si>
    <t>Se adelanta la estandarización de 145 conceptos, pendientes de cargue</t>
  </si>
  <si>
    <t xml:space="preserve">
Ayudas de memoria y listados de asistencia de las mesas de trabajo.</t>
  </si>
  <si>
    <t xml:space="preserve">En cumplimineto de la meta en el primer trimstre el  equipo de Conceptos ha trabajado junto con las responsables de cada una de las temáticas: 
Estadísticas Vitales 
Encuesta Nacional Agropecuaria  
Encuesta Mensual de Alojamiento
Encuesta de Educación Formal
Cartera Hipotecaria de Vivienda
Censo Económico
Registros Administrativos 
</t>
  </si>
  <si>
    <t>Al segundo trimestre se han cargado un total de 135 conceptos nuevos</t>
  </si>
  <si>
    <t>Conceptos nuevos cargados</t>
  </si>
  <si>
    <t>Se cargaron un total de 135 nuevos conceptos y 21 concpetos actualizados</t>
  </si>
  <si>
    <t>PAI_DIRPEN_14.2</t>
  </si>
  <si>
    <t>Treinta (30) conceptos  actualizados difundidos en el sistema de consulta del DANE</t>
  </si>
  <si>
    <t>Se adelanta la actualización de 16 conceptos estandarizados de tematicas económica y demográfica, pendientes de cargue</t>
  </si>
  <si>
    <t>Al segundo trimestre se han cargado un total de 21 conceptos actualizados</t>
  </si>
  <si>
    <t>Conceptos actualizados cargados</t>
  </si>
  <si>
    <t>Al ser un trabajo que parte de un referente internacional y a su vez a una adaptación para la región, el DANE queda alineado a estos estandares internacionales de aseguramiento de calidad de las naciones unidas</t>
  </si>
  <si>
    <t>Un (1) diagnóstico sectorial del marco de aseguramiento de la calidad estadística, elaborado</t>
  </si>
  <si>
    <t>PAI_DIRPEN_15.1</t>
  </si>
  <si>
    <t>Un (1)  cuestionario adaptado para los paises de la región  en versión definitiva.</t>
  </si>
  <si>
    <t>La funcionaria y la contratista encargadas de la DT realizaron la propuesta de cuestionario  adaptado para los paises de la región  en versión definitiva junto con un instruvo de diligenciamiento para el mismo, los cuales fueron entregados a la DT el 26 de marzo.</t>
  </si>
  <si>
    <t xml:space="preserve"> Cuestionario adaptado para los paises de la región  en versión definitiva.
Instructivo diligenciamiento cuestionario de autodiagnóstico</t>
  </si>
  <si>
    <t>La funcionaria y la contratista encargadas de la DT realizaron la propuesta de cuestionario  adaptado para los paises de la región  en versión definitiva junto con un instruvo de diligenciamiento para el mismo, los cuales fueron entregados a la DT el 26 de marzo.
A su vez durante el primer trimestre se avanzó con el desarrollo de la  matriz preliminar de consolidación de resultados de la aplicación del cuestionario en los paises de la región. Hasta el momento se cuenta con los resultados de 7 países; se espera a 30 de mayo tener los resultados de aproximadamente 15 países.</t>
  </si>
  <si>
    <t>La funcionaria y la contratista de la DT encargadas, completaron en su totalidad la  matriz de consolidación de resultados de la aplicación del cuestionario en los paises de la región. Se contó con los resultados de 8 países en total.</t>
  </si>
  <si>
    <t>PAI_DIRPEN_15.2</t>
  </si>
  <si>
    <t>Una (1) matriz de consolidación de resultados de la aplicación del cuestionario en los paises de la región</t>
  </si>
  <si>
    <t>La funcionaria y la contratista encargadas de la DT realizaron el avance de la matriz de consolidación de resultados de la aplicación del cuestionario en los paises de la región. Hasta el momento se cuenta con los resultados de 7 países.</t>
  </si>
  <si>
    <t xml:space="preserve"> Matriz  de consolidación de resultados de la aplicación del cuestionario en los paises de la región - Avance 50%</t>
  </si>
  <si>
    <t>La funcionaria y la contratista de la DT encargadas, completaron la matriz de consolidación de resultados de la aplicación del cuestionario en los paises de la región</t>
  </si>
  <si>
    <t xml:space="preserve"> Matriz  de consolidación de resultados de la aplicación del cuestionario en los paises de la región - 100%</t>
  </si>
  <si>
    <t>PAI_DIRPEN_15.3</t>
  </si>
  <si>
    <t>Un (1) documento diagnóstico para los paises de la  región del marco de aseguramiento de la autoevaluación</t>
  </si>
  <si>
    <t>Aun no se ha iniciado este hito debido a que se encuentra en revisión la redaccion del diagnostico que se realiza en conjunto con el grupo coordinador en el capitulo 4 del documento Guia con los lineamientos para la implementación de un marco de aseguramiento de la calidad</t>
  </si>
  <si>
    <t>Un (1) marco de aseguramiento de la calidad adaptado para la región.</t>
  </si>
  <si>
    <t>PAI_DIRPEN_16.1</t>
  </si>
  <si>
    <t>Una (1) guía con los lineamientos para la implementación de un marco de aseguramiento de la calidad</t>
  </si>
  <si>
    <t>La funcionaria y la contratista encargadas de la DT realizaron el avance de los capitulos 1 y 4 para la guía con los lineamientos para la implementación de un marco de aseguramiento de la calidad cuyo avance (documento borrador fue enviado a la Oficina de Relacionamiento el 23 de marzo.</t>
  </si>
  <si>
    <t>Guia con los lineamientos para la implementación de un marco de aseguramiento de la calidad-Avance 25%</t>
  </si>
  <si>
    <t>La funcionaria y la contratista encargadas de la DT realizaron el avance de los capitulos 1 y 4 para la guía con los lineamientos para la implementación de un marco de aseguramiento de la calidad cuyo avance (documento borrador fue enviado a la Oficina de Relacionamiento el 23 de marzo. A la fecha se esta avanzando en la recopílacion dela informacion para el contenido del capitulo 2.</t>
  </si>
  <si>
    <t xml:space="preserve">Las funcionarias y  la contratista encargadas, realizaron el avance y ajuste de los capitulos 1, 2 y 4 de un total de 6 capitulos que contiene la guía con los lineamientos para la implementación de un marco de aseguramiento de la calidad. </t>
  </si>
  <si>
    <t>Guia con los lineamientos para la implementación de un marco de aseguramiento de la calidad-Avance 50%</t>
  </si>
  <si>
    <t>Las funcionarias y  la contratista encargadas, realizaron el avance y ajuste de los capitulos 1, 2 y 4 de un total de 6 capitulos que contiene la guía con los lineamientos para la implementación de un marco de aseguramiento de la calidad. A la fecha se esta avanzando en la recopílacion dela informacion para el contenido del capitulo 3.</t>
  </si>
  <si>
    <t>PAI_DIRPEN_16.2</t>
  </si>
  <si>
    <t>Un (1) taller de métodos de implementación de marcos de aseguramiento de calidad</t>
  </si>
  <si>
    <t>Fortalecer las competencias de los servidores en cuanto a los principios y riesgos éticos del proceso estadístico</t>
  </si>
  <si>
    <t>Un (1) sistema de ética estadística, implementado</t>
  </si>
  <si>
    <t>PAI_DIRPEN_17.1</t>
  </si>
  <si>
    <t xml:space="preserve">Veinticinco (25) piezas comunicacionales para el fortalecimiento y apropiación del marco ético  en el DANE realizadas </t>
  </si>
  <si>
    <t>Como punto de partida para dar a conocer el Sistema de Ética Estadística del DANE, el grupo base SETE desarrolló durante el primer trimestre de la vigencia 2021 la estrategia para instaurar de forma oficial el Sistema de Ética Estadística del DANE (SETE); para ello, formuló y diseñó un total ocho piezas comunicacionales. De este modo, preparó una serie de piezas que iniciaron con material propio del SETE como sello de identidad (formatos en Word y Power Point con marca SETE) para el envío de comunicaciones, estas piezas se desarrollaron en el mes de enero con el apoyo del grupo DICE. Posteriormente se empezó a trabajar en el evento de instauración del SETE a través de un webinar denominado "La ética en la producción de información estadística: Baluarte de la democracia. Instauración del Sistema de Ética Estadística del DANE" a ser llevado a cabo el 15 de abril de 2021. Para la promoción de este evento se desarrollaron las siguientes piezas comunicacionales:  Brochure SETE en versiones español e ingles; póster del evento; nota conceptual del evento (para ser divulgada ante Comité Directivo y a los invitados a participar en el panel); encabezado de publicidad para divulgación del evento a grupos de interés; y encabezado para divulgación del evento en el canal YouTube DANE Colombia.  Estas piezas tuvieron varias versiones y se desarrollaron en colaboración con el equipo de DICE.  Se anexan como soporte las versiones finales aprobadas por el equipo de Comunicaciones del DANE.</t>
  </si>
  <si>
    <t>Plantilla oficial SETE formato documentos 
Plantilla oficial SETE formato presentaciones
Brochure SETE versión español
Brochure SETE versión inglés
Nota conceptual Webinar SETE
Póster instauración SETE
Encabezado invtiación Webinar SETE
Fondo invitación Youtube</t>
  </si>
  <si>
    <t>Como punto de partida para dar a conocer el Sistema de Ética Estadística del DANE, el grupo base SETE desarrolló durante el primer trimestre de la vigencia 2021 la estrategia para instaurar de forma oficial el Sistema de Ética Estadística del DANE (SETE); para ello, formuló y diseñó un total ocho piezas comunicacionales. De este modo, preparó una serie de piezas que iniciaron con material propio del SETE como sello de identidad (formatos en Word y Power Point con marca SETE) para el envío de comunicaciones, estas piezas se desarrollaron en el mes de enero con el apoyo del grupo DICE. Posteriormente se empezó a trabajar en el evento de instauración del SETE a través de un webinar denominado "La La ética en la producción de información estadística: Baluarte de la democracia. Instauración del Sistema de Ética Estadística del DANE" a ser llevado a cabo el 15 de abril de 2021. Para la promoción de este evento se desarrollaron las siguientes piezas comunicacionales:  Brochure SETE en versiones español e ingles; póster del evento; nota conceptual del evento (para ser divulgada ante Comité Directivo y a los invitados a participar en el panel); encabezado de publicidad para divulgación del evento a grupos de interés; y encabezado para divulgación del evento en el canal YouTube DANE Colombia.  Estas piezas tuvieron varias versiones y se desarrollaron en colaboración con el equipo de DICE.  Se anexan como soporte las versiones finales aprobadas por el equipo de Comunicaciones del DANE.</t>
  </si>
  <si>
    <t>El 15 da abril se llevó a cabo el evento de instauración del SETE denominado: "La  ética en la producción de información estadística: Baluarte de la democracia. Instauración del Sistema de Ética Estadística del DANE". Este evento contó con la participación de expertos en ética aplicada y en producción estadística. El evento se transmitió por el canal YouTube del DANE; con previa divulgación e invitación en la intranet del DANE y en la página del SEN.  Posterior al  evento se publicó una noticia en la intranet del DANE en la que se contó de forma breve, sobre los participantes y sobre los temas  debatidos en el webinar. El SETE cuenta con un espacio de consulta permanente en la página del SEN, el cual, se creó como mecanismo de divulgación y promoción. El siguiente enlace remite al contenido del Sistema de Ética Estadística del DANE: https://www.sen.gov.co/conozca-el-sen/instancias/sete. El conjunto de piezas comunicacionales para promocionar el SETE en el segundo trimestre comprende: Vídeo de instauración SETE colgado en la página YouTube del DANE https://www.youtube.com/results?search_query=dane+balaurte+de+la+democracia; divulgación webinar en TwitterWebinar SETE; noticia Webinar SETE Instauración_en Intranet1; noticia Webinar SETE Instauración_en Intranet2; noticia Webinar SETE Instauración_en SEN; y, SETE en el SEN.
De otra parte y con ocasión de la sesión Plenaria No. 69 de la Conferencia de Estadístico Europeos (CES) convocada por UNECE y que se llevó a cabo en la última semana de junio, el Director del DANE dio a conocer a la comunidad internacional el Sistema de Ética Estadística de la entidad, como instancia que promueve la incorporación y aplicación de principios éticos en las producción de estadísticas del departamento. Para este evento se elaboró el documento preparatorio: Aportes del SETE-DANE, evento previo a la Sesión Plenaria No. 69 de la Conferencia de Estadístico Europeos (CES) convocada por UNECE, a partir de reflexiones alrededor de mantener los valores fundamentales de las estadísticas oficiales durante la pandemia mundial; el cual, se acompañó de un resumen sobre el SETE.</t>
  </si>
  <si>
    <t xml:space="preserve">Evento Instauración SETE en YouTube
Divulgación Webinar en TwitterWebinar SETE
Noticia Webinar SETE Instauración_en Intranet1
Noticia Webinar SETE Instauración_en Intranet2
Noticia Webinar SETE Instauración_en SEN
SETE en el SEN
Aportes SETE_69 Conf CES-UNECE_04062021 y SETE
</t>
  </si>
  <si>
    <t>Para fortalecer las competencias de los servidores en cuanto a los principios y riesgos éticos del proceso estadístico; durante el segundo trimestre se trabajó en varios frentes: el primero se relaciona con la instauración oficial del Sistema de Ética Estadística, evento que se realizó el 15 de abril, con una etapa de sensibilización previa y posterior al evento.  El segundo se relaciona con la presentación del SETE  a nivel internacional por parte del Director del DANE con ocasión de la 69 de la Conferencia de Estadístico Europeos (CES) convocada por UNECE y que se llevó a cabo en la última semana de junio.
De otra parte, se inició la evaluación ética de las operaciones estadísticas priorizadas, iniciando con la Encuesta longitudinal de Colombia y la Encuesta de comportamientos y factores de riesgos en niños, niñas y adolescentes escolarizados.  Las dos operaciones tuvieron una etapa de revisión documental, autoevaluación ética (etapa que se trabajó con el área temática a cargo de las operaciones estadísticas y trabajando con ellas, la herramienta de autoevaluación), proceso de deliberación y evaluación por parte del Comité de Ética y de la Sala de Apelaciones.</t>
  </si>
  <si>
    <t>PAI_DIRPEN_17.2</t>
  </si>
  <si>
    <t>Ocho (8) operaciones estadísticas en el componente ético evaluadas.</t>
  </si>
  <si>
    <t>Durante el segundo trimestre de la vigencia se evaluaron dos operaciones estadísticas: la Encuesta longitudinal de Colombia y la Encuesta de comportamientos y factores de riesgos en niños, niñas y adolescentes escolarizados. Las dos operaciones tuvieron una etapa de revisión documental, autoevaluación ética, proceso de deliberación y evaluación por parte del Comité de Ética y de la Sala de Apelaciones.</t>
  </si>
  <si>
    <t>Presentación resultados votación ELCO
Presentación resultados votación ECAS</t>
  </si>
  <si>
    <t>PAI_DIRPEN_17.3</t>
  </si>
  <si>
    <t>Un (1) documento con lineas estratégicas de articulación elaborado</t>
  </si>
  <si>
    <t>Tiene un aporte directo al PEI_E22, dado que los resgistros administrativos permiten una interacción y aprovechamiento de los mismos con los proveeedores de datos para la producción de estadísticas, mejorando la comunicación y fortaleciendo la relación.</t>
  </si>
  <si>
    <t>Tres (3) registros administrativos para la elaboración de estadísticas, integrados</t>
  </si>
  <si>
    <t>PAI_DIRPEN_18.1</t>
  </si>
  <si>
    <t>Un (1) proceso de gestión de proveedores implementado</t>
  </si>
  <si>
    <t>Se diseñó el prceso Gestión de Proveedores de Datos con sus subprocesos y se realizó el cargue en el sistema ISOLUCION de la caracterización del proceso.</t>
  </si>
  <si>
    <t>Proceso cargado en el sistema ISOLUCION</t>
  </si>
  <si>
    <t xml:space="preserve">Dentro del proceso para garanizar coherencia y calidad en las estadisticas basadas en registreos, se requiere fortalecer la gestión de proveedores, que permite tener acceso a la información y abre un canal de retroalimentación, la estandarización de tratamiento de datos y el módulo de gestión de calidad. El avance que se presentó en este trimestre establece roles, responsabilidades, procesos y subprocesos. </t>
  </si>
  <si>
    <t xml:space="preserve">Documentos de diagnóstico del aprovechamiento de registros administrativos </t>
  </si>
  <si>
    <t>Se realizó un piloto con el proveedor PILA y dentro del piloto se realizaron evaluaciones de la calidad que permitieron divulgar hallazgos a través de las variables utilizadas por los diferentes usuarios del SEN y del DANE. Se evaluó el instrumento de necesidades a partir de la solicitud que se hace desde el DANE sobre el RRAA del RUNT.</t>
  </si>
  <si>
    <t>Respuestas de usuarios SEN y DANE
Formatos diligenciados por usuarios necesidades del RUNT y pila.
Formatos de calidad para revisión de pares pila y diligenciamientos por parte de los usuarios.</t>
  </si>
  <si>
    <t>Se realizaron pruebas piloto y se han retroalimentado a los proveedores con la retroalimentación de pares y se están evaluando las posibles recomendaciones y lineamientos dentro del DANE para garantizar la calidad que garanticen  coherencia para  las estadísticas producidas por los integrantes del SEN</t>
  </si>
  <si>
    <t>PAI_DIRPEN_18.2</t>
  </si>
  <si>
    <t>Tres (3) registros administrativos para aprovechamiento estadístico gestionados</t>
  </si>
  <si>
    <t>Se solicitaron registros de ayudas institucionales como registros de familias en acción, remesas (formatos 1809 y 1812 del banco de la republica ) y el PAEF</t>
  </si>
  <si>
    <t>Archivos planos de registros administrativos los cuales estan custodiados por la oficina de sistemas (Reserva Estadística), los cuales se encuentran en la siguiente estación de trabajo: 
ws-aholguinc</t>
  </si>
  <si>
    <t>Estimación de pobreza motetaria con la integración de la GEIH y los RRAA de ayudas institucionales, (ingreso solidario, jovenes en acción, familias en acción y PILA</t>
  </si>
  <si>
    <t>Publicación de Pobreza</t>
  </si>
  <si>
    <t>UAD_2021_ARTI_SEN</t>
  </si>
  <si>
    <t>El GIT de Prospectiva y Análisis de Datos con el trabajo liderado por su equipo de ingenieros desarrolladores y diseñador entregan el desarrollo del aplicativo de consulta CUOC y CPC, y avanzan en el desarrollo del visor Federado SDMX, módulo de revisiones sistémicas así como en el mantenimiento permanente de la página web sen 2.0.</t>
  </si>
  <si>
    <t>El aplicativo de consulta fue entregado en este trimestre y actualmente se encuentra disponible al público</t>
  </si>
  <si>
    <t>Aplicación desplegada en entorno de producción: 
https://clasificaciones.dane.gov.co/cpc/cpc_descripcion
PPA - Especificaciones Sistematicas 0721
Documentación:
https://openproject.dane.gov.co/projects/clasificacion-cpc/documents
Código fuente:
http://codeversion.dane.gov.co/DIRPEN/sistemaClasificacioneshttps://clasificaciones.dane.gov.co/cpc/cpc_descripcion</t>
  </si>
  <si>
    <t>El aplicativo cuenta con modelo de base de datos, propuesta gráfica de los módulos de demanda, ficha técnica, validaciones de flujo de preguntas y respuestas.</t>
  </si>
  <si>
    <t>modelo de datos en dbdiagram.io https://dbdiagram.io/d/5d26036aced98361d6dc889a
http://codeversion.dane.gov.co/DIRPEN/
Pantallazo de la información recolectada en ORACLE</t>
  </si>
  <si>
    <t>Se presentaron  retrasos en las fases iniciales de levantamiento de requerimientos, lo que no permitio llegar al 50% de lo esperado en el III trimestre</t>
  </si>
  <si>
    <t>Se tiene la funcionalidad de gestión de variables de dominio de las aplicación, la definición de apps a desarrollar para el aplicativo en django.</t>
  </si>
  <si>
    <t>http://codeversion.dane.gov.co/DIRPEN/
Rents 2018-2020</t>
  </si>
  <si>
    <t>Se presentaron  retrasos en las fases iniciales de levantamiento de requerimientos, lo que no permitio llegar al 80% de lo esperado en el III trimestre</t>
  </si>
  <si>
    <t>Se realizaron las pruebas de despliegue de componentes de servicio de búsqueda desde el código fuente para reparar inicio de contenedor docker sfs
Se realizaron las prueba de despliegue en el servidor bremen01.dane.gov.co
Se realizó el cargue y pruebas de los archivos de configuración y personalización del visor SDMX y datasources en el servidor de pruebas</t>
  </si>
  <si>
    <t>servidor bremen01.dane.gov.co
Electricity and Gas 2018-2020</t>
  </si>
  <si>
    <t>Se presentaron retrasos durante el proyecto asociado con la disposición del servidor de pruebas.  Para el cierre se requiere cerrar con el plan de pruebas de usuarios.</t>
  </si>
  <si>
    <t>Al cierre del trimestre se tienen:
- el frontend de formulario de creación de revisiones sistémicas;
- las pruebas de implementación de estilos generados por diseñadora;
- el formulario base de creación de revisiones sistémicas;
- y la configuración y pruebas del servidor de entorno de desarrollo.</t>
  </si>
  <si>
    <t>http://codeversion.dane.gov.co/DIRPEN/</t>
  </si>
  <si>
    <t xml:space="preserve">Se presentaron  retrasos en len el inicio del plan de trabajo, lo que no permitio llegar al 100% de lo esperado en el III trimestre. </t>
  </si>
  <si>
    <t>Se realizaron las cargas de contenido, ajustes de contenido solicitados y cargas de noticias.</t>
  </si>
  <si>
    <t>wer sen 2.0 actualizada.  
www.sen.gov.co</t>
  </si>
  <si>
    <t>UAD_2021_FORT_FRA</t>
  </si>
  <si>
    <t>Hito cumplido en el II Trimestre</t>
  </si>
  <si>
    <t>El GIT de Prospectiva y Análisis de Datos, con el trabajo realizado por su equipo líder en diagnósticos de Registros Administrativos (RRAA) avanzó en el trimestre con el diagnóstico de los registros administrativos de las siguientes entidades: Superintendencia de Servicios Públicos domiciliarios, IDEAM, Instituto Nacional de Salud y Ministerio de Cultura.</t>
  </si>
  <si>
    <t>Se avanza en el diligenciamiento de los instrumentos de diagnóstico documental y de bases de datos de los registros administrativos de las siguientes entidades: Superintendencia de servicios públicos, Instituto Nacional de Salud, IDEAM, Ministerio de Cultura.</t>
  </si>
  <si>
    <t>Se presentaron retrasos en la transmisión de bases de datos e insumos requeridos para los diagnósticos de RRAA por parte de entidades externas, se presentaron demoras en la contratación de personal en los primeros trimestres, lo que generó represamiento de tareas hacia el segundo y tercer trimestre.  La capacidad de procesamiento de bases de datos de gran volumen generaron retraso de un diagnóstico y se direccionaron algunas actividades hacia otras labores prioritarias requeridas por la Dirección técnica.</t>
  </si>
  <si>
    <t>Se cuenta con insumos para la identificación de hallazgos cualitativos de los RRAA bajo diagnóstico, y se comienza con la revisión  cuantitativa de calidad de datos de los mismos.</t>
  </si>
  <si>
    <t>Formatos de caracterización de RRAA.  Y actas de reunión con entidades</t>
  </si>
  <si>
    <t>Se realizan reuniones con las entidades para revisión de algunos hallazgos relacionados con la documentación de sus RRAA.</t>
  </si>
  <si>
    <t>Actas de reunión y presentaciones ppt.</t>
  </si>
  <si>
    <t>Hito cunmplido en el II Trimestre</t>
  </si>
  <si>
    <t>El GIT de Prospectiva y Análisis de Datos, con el trabajo realizado por su equipo líder en Analítica de datos, cuenta con avance de 8 proyectos de investigación aplicada los cuales  involucran trabajo coordinado con otras dependencias del DANE.</t>
  </si>
  <si>
    <t>Fichas de proyectos de analítica diligenciados</t>
  </si>
  <si>
    <t>Fichas de proyectos</t>
  </si>
  <si>
    <t>Se cuenta con informes de avance parcial de los proyectos de analítica</t>
  </si>
  <si>
    <t>Documentos word y actas de reunión</t>
  </si>
  <si>
    <t>Se cuenta con presentación de resultados parciales realizados a las áreas involucradas en los proyectos</t>
  </si>
  <si>
    <t>Presentaciones en power point, actas de reunión</t>
  </si>
  <si>
    <t>PLAYART_2021_INF_SEN</t>
  </si>
  <si>
    <t xml:space="preserve">Se realizaron los preparativos para instalar los CES en el mes de octubre, de esta manera se programaron los CES de Economía 26 de oct, Salud 27 de oct y gobierno 28. </t>
  </si>
  <si>
    <t xml:space="preserve">Se tiene las fechas programadas, así como los insumos para la instalación de los CES, de  igual manera, se logró instalar la mesa de estadísticias étnicas, la cual es fundamental para cumplir con las acciones de la sentencia T302; también se instaló la mesa de servicios pùblicos y se reactivó la mesa de migración. por otra parte, continua la actualización de los inventarios.  Por último se han desarrollado 23 sesiones de las salas especializadas del CASEN. </t>
  </si>
  <si>
    <t>Hubo retraso en el proceso logístico para la invitación de los directivos de las entidades que confoman el CES. En Noviembre iniciara su instalación.</t>
  </si>
  <si>
    <t>Durante el tercer rimestre se desarrollaron las siguientes mesas estadísticas:  1. Agropecuaria, 2. Economía circular; 3. Educación; 4. Minero energetica, 5. Migración, y;  6. Servicios públicos. De igual manera, se reactivó la mesa de transporte.  por otra parte se esta trabajando para reactivar la mesa de TIC; e instalar la mesa de infraestructura y la mesa informalidad.</t>
  </si>
  <si>
    <t>En el tercer trimestre se realizaron reuniones en las 5 salas especializadas, en la cuales se avanzó en líenas de investigación 2021.</t>
  </si>
  <si>
    <t xml:space="preserve">Se asistió a los comités internos de las operaciones publicadas entre julio y septiembre, de igual manera se desarrolló la nueva ficha de metricas, de acuerdo con las instrucciones del Director.  </t>
  </si>
  <si>
    <t>Se realizó ajustes a la metodologia de seguimiento del PEN</t>
  </si>
  <si>
    <t>En el tercer trimestre se realizaron ajustes a la metodología para el seguimiento del PEN, sin embargo no se pudo alcanzar el porcentaje esperado, en el cuarto trimestre se realizarán los dos informes, uno con corte a 30 de junio y otro con corte a 3 de noviembre.</t>
  </si>
  <si>
    <t>Se cuenta con los inventarios actualizados de OOEE y RRAA administrativos con corte 30 de septiembre de 2021</t>
  </si>
  <si>
    <t>Inventarios de OOEE y RRAA</t>
  </si>
  <si>
    <t>Se han realizado sesiones de discusión mensuales con bibliografía actualizada en las que se abordan las necesidades en cuanto a producción estadística en enfoque diferencial, dirigidas por la consultora Lina Céspedes. El producto de recomendaciones se aporta en su totalidad en diciembre cuando finalicen las sesiones.</t>
  </si>
  <si>
    <t xml:space="preserve">Plan de Sesiones de trabajo 2021_Transversalización enfoque de género </t>
  </si>
  <si>
    <t>PLAYART_2021_ASIS_TEC</t>
  </si>
  <si>
    <t>En el tercer trimestre, se avanzó en el procesamiento de la información, para dos dimensiones de las cuatro que conforma el ICET, así  mismo se puso en marcha el operativos para la dimensión de acceso y uso, el cual esta dirigido a las alcaldía, gobernaciones y usuarios; por otra parte se avanzo en el diseño de la prueba piloto del índice de capacidades para Territoriales del DANE</t>
  </si>
  <si>
    <t>Se realizó el procesamiento de las bases de datos de dimensiones de Entorno institucional, metodología e infraestructura; se inció el operativo de recolección para obtener la información de la dimensión de accesiblidad y uso; seguimiento a cobertura; socialización  entidades territoriales.</t>
  </si>
  <si>
    <t>Se adjunta evidencias del procesamiento en R, junto con las evidencias del operativo</t>
  </si>
  <si>
    <t>Se realizó la definición de indicadores y de sus respectivas preguntas para la medición de dichos indicadores. Se tomó como referencia el FURAG, el ICET y TASC; se está haciendo el formulario para hacer el piloto con una subsede</t>
  </si>
  <si>
    <t>Excel con la descripción de cada una de las dimensiones del índice. Con sus correspondientes sub dimensiones y Banco de preguntas</t>
  </si>
  <si>
    <t xml:space="preserve">En el tercer trimestre se pusó a disposición del SEN, 6 cursos virtuales, relacionados con: 
- Procesos de producción de información estadística
- Fortalecimiento de registros administrativos
- Planificación y ejecución de planes estadísticos
- Diseño y construcción de indicadores
-Condiciones para la evaluación de la calidad estadística
-Enfoque diferencial e interseccional en la producción estadística. 
Las inscripciones de estos cursos se realizaron entre el 07 y 09 de julio de 2021; se inscribieron 2.198 personas a los cursos, es de resaltar que las personas se pueden inscribir a más de un curso. </t>
  </si>
  <si>
    <t>En el tercer trimestre se tuvo una avance significativo del la meta "Un programa para el fortalecimiento estadístico" en la medida que se pusieeron 6 cursos virutales a disposición del SEN,herramienta que nos permite que las entidades territoriales, conozcan y adopten los mecanimos de la Política de Gestión de Información Estadística .  De igual manera, se continuó con el acompañamiento a las entidades territoriales relacionado con la formulación de planes estadísticos. 
Por último, se ajustaron las preguntas de la Política de Gestión de Información Estadística, de acuerdo con la solicitud del DAFP.</t>
  </si>
  <si>
    <t xml:space="preserve">De igual manera, se avanzo en la adecuación, diseño y maquetación del curso de Política de Gestión de Información Estadística. Asimismo se adelantó el diseño del modúlo 0 de los cursos de Clasificaciones sociales y clasificaciones económicas 
</t>
  </si>
  <si>
    <t>En el marco del plan de capacitiaciones se realizaron las siguientes capacitaciones:
julio: 28. Formulación de planes estadísticos 
julio 29. Formulación de LBI
agosto: 11.  Diseño de indicadores 
agosto 24. Política de Gestión de Información Estadíistica.
septiembre:  23. Política de Gestión de Información Estadíistica</t>
  </si>
  <si>
    <t xml:space="preserve">De acuerdo a las instrucciones dadas por el DAFP, se realizó la actualización de las preguntas de la Política GES que son incluidas en el FURAG, de igual manera se reviso el alcance de las entidades que deben reportar.  
</t>
  </si>
  <si>
    <t>En el tecer trimestre se bridaron asesorías a Valle de Cauca y Yopal; por otra parte se inició el acompañamiento a Puerta Tejada en el mes de Agosto y de Chia en el mes de Septiembre.</t>
  </si>
  <si>
    <t>Ya se cuenta con los contratos firmados para las siguientes entidades: 1. Agencia Nacional de Seguridad Víal (ANSV), 2. Cámara Colombiana de la Construcción (CAMACOL), 3. Dirección General MarÍtima (DIMAR), 4. Departamento Administrativo para la Prosperidad Social (DPS), 5. Federación Colombiana de Ganaderos (FEDEGAN), 6. Instituto de Hidrología, Metereología y Estudios Ambientales (IDEAM), 7. Ministerio de Cultura, 8. Ministerio de Tecnologías de la Información y las Comunicaciones (MINTIC), 9. Observatorio Colombiano de Ciencia y Tecnología (OCyT), 10. Superintendencia de Industria y Comercio (SIC), 11. Superintendencia de Servicios Públicos Domiciliarios.</t>
  </si>
  <si>
    <t>Once (11) contratos interadministrativos firmados, de las siguientes entidades: 1. Agencia Nacional de Seguridad Víal (ANSV), 2. Cámara Colombiana de la Construcción (CAMACOL), 3. Dirección General MarÍtima (DIMAR), 4. Departamento Administrativo para la Prosperidad Social (DPS), 5. Federación Colombiana de Ganaderos (FEDEGAN), 6. Instituto de Hidrología, Metereología y Estudios Ambientales (IDEAM), 7. Ministerio de Cultura, 8. Ministerio de Tecnologías de la Información y las Comunicaciones (MINTIC), 9. Observatorio Colombiano de Ciencia y Tecnología (OCyT), 10. Superintendencia de Industria y Comercio (SIC), 11. Superintendencia de Servicios Públicos Domiciliarios.</t>
  </si>
  <si>
    <t>Durante el tercer trimestre de 2021, se concluyó la suscripción de los contratos interdaministrativos requeridos para dar cumplimiento al Programa Anual para la Evaluación de la Calidad Estadística y se contrató el talento humano necesario para la ejecución de las evaluaciones de calidad. Por otra parte, se desarrollaron las etapas de revisión documental y de revisión remota para nueve operaciones estadísticas y se construyeron los informes finales de evaluación para cuatro de ellas</t>
  </si>
  <si>
    <t>Se cuenta con treinta (30) contratos firmados de las personas que intervienen en el proceso de evaluación de la calidad estadística, lo que permite disponer del talento humano requerido para la ejecución de este proceso en cada una de las operaciones programadas a 30 de sptiembre de 2021.</t>
  </si>
  <si>
    <t>Treinta (30) Contratos de prestación de servicios firmados.</t>
  </si>
  <si>
    <t>En el marco de la evaluación de la calidad estadística y como resultado del desarrollo de la etapa documental y de revisión remota, se cuenta con las listas de chequeo para las siguientes operaciones estadísticas: 1. Balance de Masa Glaciar, 2. Estadísticas de Monitoreo y Seguimiento al RUA Manufacturero en  Colombia, 3. Estadísticas de los Espectáculos Públicos de las Artes Escénicas, 4. Censo de Coordenada Urbana, 5. Estadísticas de Monitoreo y Seguimiento del Inventario de Equipos y Desechos que Consisten, Contienen o están Contaminados con Bifenilos Policlorados (IPCB), 6. Información de la Radiación Global Recibida en Superficie, 7. Estadísticas del servicio de Telefonía Móvil 8.  Información Oceanográfica y de Meteorología Marina (DIMAR) y 9. Encuesta de Micronegocios EMICRON.</t>
  </si>
  <si>
    <t>Extracto lista de chequeo resultado de la evaluación de las operaciones estadísticas: 1. Balance de Masa Glaciar, 2. Estadísticas de Monitoreo y Seguimiento al RUA Manufacturero en  Colombia, 3. Estadísticas de los Espectáculos Públicos de las Artes Escénicas, 4. Censo de Coordenada Urbana, 5. Estadísticas de Monitoreo y Seguimiento del Inventario de Equipos y Desechos que Consisten, Contienen o están Contaminados con Bifenilos Policlorados (IPCB), 6. Información de la Radiación Global Recibida en Superficie, 7. Estadísticas del servicio de Telefonía Móvil 8.  Información Oceanográfica y de Meteorología Marina (DIMAR) y 9. Encuesta de Micronegocios EMICRON.</t>
  </si>
  <si>
    <t>Posterior al desarrollo de la etapa documental y de revisión remota, se han construido los informes finales de evaluación de las siguientes operaciones estadísticas: 1. Balance de Masa Glaciar, 2. Estadísticas de Monitoreo y Seguimiento al RUA Manufacturero en  Colombia, 3. Estadísticas de los Espectáculos Públicos de las Artes Escénicas y 4. Censo de Coordenada Urbana.</t>
  </si>
  <si>
    <t>Como fase inicial para el desarrollo de la revisión sistémica de las estadísticas de comercio exterior, se realizaron las siguientes actividades: 1. Sensibilización a los responsables de las operaciones estadísticas: Estadísticas de Importaciones, Estadísticas de Exportaciones, Zonas Francas y Muestra Trimestral de Comercio Exterior de Servicios, con el fin de explicar las actividades a desarrollar para la revisión sistémica.
2. Ajustes finales en los formularios de la revisión sistémica previo a su aplicación a los responsables de las operaciones estadísticas anteriormente mencionadas.</t>
  </si>
  <si>
    <t>Se realizó la prueba al formato de identificación de evidencias desarrollado</t>
  </si>
  <si>
    <t>Archivos consolidación de resultados de la prueba 
20201130_FORMATO_IDENTIFICACIÓN_PROBLEMA_REVISIONES_FOCALIZADAS
20210813_Prueba escritorio_formato reporte del problema_2021</t>
  </si>
  <si>
    <t xml:space="preserve">Se realizó la prueba al formato de identificación de evidencias desarrollado y  ajustes  a la metodológia , guia y herramienta </t>
  </si>
  <si>
    <t>Se realizaron ajustes al documento metodológico y se pasó a revisón</t>
  </si>
  <si>
    <t>Documento metodológico con revisiones para ajustar 
20210703_V1_Documento revisiones focalizada_version preliminar
20210703_V1_Documento revisiones focalizada_version preliminar_rec08072021_nag</t>
  </si>
  <si>
    <t>Se realizó la guía de la herramienta de apoyo al análisis y la guía del formato del problema</t>
  </si>
  <si>
    <t>Guía diligenciamiento herramienta de apoyo al análisis  y guía formato del problema
20200703_V3_Guia_Focalizadas
20210921_V5_Guia_Focalizadas
20210921_V11_Diagrama_Focalizadas</t>
  </si>
  <si>
    <t>Para el tercer trimestre del 2021, se dispuso a consulta de asesores y coordinadores de DIRPEN el documento del Marco de Aseguramiento de la Calidad del Sistema Estadístico Nacional, lo cual dió lugar a ajustes como resultado de las observaciones recibidas, se formuló propuesta de acompañamiento para el instrumento de autoevaluación y se inició acompañamiento  para cuatro operaciones estadísticas del DANE. Adicionalmente, se construyó la primera versión del módulo 1 del curso virtual del MAC</t>
  </si>
  <si>
    <t xml:space="preserve">Como fase preparatoria para el desarrollo de las tres sesiones de sensibilización respecto al Marco de Aseguramiento de la Calidad, se dispuso el documento conceptual para consulta de los coordinadores y asesores de DIRPEN. Los comentarios y propuestas de ajuste fueron analizados e incorporados en el documento según el caso. </t>
  </si>
  <si>
    <t>Documento del MAC ajustado según observaciones de coordinadores y asesores DIRPEN</t>
  </si>
  <si>
    <t>Para el instrumento de autoevaluación se construyó la propuesta de acompañamiento, incluyendo operaciones del DANE y del SEN que serán evaluadas en 2022 o forman parte de los sistemas de consulta Naranja o Circular. ¨Para las operaciones estadísticas priorizadas se desarrolaron las siguientes actividades:
Encuesta Mensual de Comercio: Se realizó explicación del instrumento y se fijó fecha para sesión de acompañamiento con el fin de revisar avances.
Cuentas económicas y ambientales de flujos de energía y de activos de los recursos mineros y energéticos: Se realizó  explicación del instrumento y se cuenta con el diligenciamiento de la lista de chequeo para las fases de detección y análisis de necesidades; y diseño 
Censo Económico: Se realizó diligenciamiento de la lista de chequeo para la fase de Diseño.</t>
  </si>
  <si>
    <t>Presentación propuesta de acompañamiento
Presentación instrumento de autoevalaución para operaciones estadísticas 
Listas de chequeo Censo Económico, 
Lista de chequeo cuentas económicas y ambientales de flujos de energía y de activos de los recursos mineros y energéticos</t>
  </si>
  <si>
    <t>Se construyó y revisó la Ficha de Acción Docente para el Curso del Marco de Aseguramiento de la Calidad que se brindará a los países de la Comunidad Andina de Naciones (CAN)
Se construyó la primera versión del Módulo 1 del curso virtual del Marco de Aseguramiento de la Calidad</t>
  </si>
  <si>
    <t>Ficha de Acción Docente Curso CAN
Propuesta de contenidos Módulo 1 curso virtual del MAC</t>
  </si>
  <si>
    <t>Meta finalizada en el 1 trimestre</t>
  </si>
  <si>
    <t>REGU_2021_DOC_REG</t>
  </si>
  <si>
    <t>Al tercer trimestre se tienen publicados 5 documentos
*Guía informes finales pruebas
*Formato Plan de Pruebas
*Guía para diseñar Sistemas de Información
*Guía para mantenimiento de la CUOC
Se avanzó en el documento:
*Lineamientos para el intercambio de registros administrativos</t>
  </si>
  <si>
    <t>Al tercer trimestre se tienen publicados:
*Guía informes finales de pruebas
*Formato Plan de Pruebas
*Guía para diseñar Sistemas de Información
*Guía para mantenimiento de la CUOC
*Guía de estandarización de conceptos
*Clasificación Internacional de la Situación en la Ocupación Adptada para Colombia (CISO 18 A.C.)
*Clasificación Única de Ocupaciones Adaptada para Colombia (CUOC)
*CPC 2.1 A.C. vs CPC 2.1. Internacional
*CPC 2.1 Internacional vs CPC 2.1 A.C.
*Arancel vs SCN versión 41
*ICCS Internacional vs ICCS A.C.
*Correspondencia ICCS A.C. vs Código penal colombiano
*TOTPART-v71
*ARANCEL-vs-SCN-v42
*CORARAN-v48
Se avanzó en el proceso de mantenimiento de CIIU Rev. 4 A.C (2020) y CPC 2.1 A.C
Se avanzó en:
*Lineamientos para el intercambio de registros administrativos
*CCIF 2018
*Correlativa de Productos Residuales
*Correlativa de Residuos
*Correlativa RESPEL
*CUODE vs CGCE</t>
  </si>
  <si>
    <t>Al tercer trimestre se tienen publicadas las siguientes clasificaciones:
*Clasificación Internacional de la Situación en la ocupación adaptada para Colombia (CISO 18 A.C.)
*Clasificación Única de Ocupaciones Adaptada para Colombia (CUOC)
Se avanzó con:
*CCIF 2018</t>
  </si>
  <si>
    <t>Acompañamientos</t>
  </si>
  <si>
    <t>Se esta realizando el diagnóstico de implementación de Regulación Estadística  y las capacitaciones conforme al plan de capacitación para la Regulación Estadística</t>
  </si>
  <si>
    <t>Se han realizado las capacitación conforme al plan de capacitación para la Regulación Estadística</t>
  </si>
  <si>
    <t>Durante el tercer trimestre se cargaron 35 conceptos nuevos</t>
  </si>
  <si>
    <t>Se cargaron un total de 189 nuevos conceptos y 45 conceptos actualizados</t>
  </si>
  <si>
    <t>Durante el tercer trimestre se cargaron 20 conceptos actualizados</t>
  </si>
  <si>
    <t>Se completan en su totalidad los 3 hitos que conforman la meta: "diagnóstico sectorial del marco de aseguramiento de la calidad estadística, elaborado"</t>
  </si>
  <si>
    <t>La funcionaria encargada de la DT finalizó el documento diagnóstico el 30 de septiembtre.</t>
  </si>
  <si>
    <t>Documento diagnóstico para los paises de la  región del marco de aseguramiento de la calidad</t>
  </si>
  <si>
    <t>Las funcionarias y el contratista encargados, completaron el contenido del documento conforme a las observaciones de los lideres del grupo coordinador conformado por DANE, INEGI y CEPAL; adicionalmente se realizaron ajustes teniendo en cuenta las observaciones de algunos países de la región.</t>
  </si>
  <si>
    <t>Para el cumplimiento de la meta: "Marco de aseguramiento de la calidad adaptado para la región", se cuenta con la guia terminada en su totalidad correspondiente al primer hito. Se terminó de manera anticipada por requerimiento de la CEPAL, pues en el DANE se esperaba que su finalizacion fuera en diciembre. El taller de metodos correspondiente al segundo hito a la fecha no se ha iniciado, pues tuvo que darse toda la prioridad y dedicación a la finalización del documento guia regional.</t>
  </si>
  <si>
    <t>No se ha iniciado el Hito</t>
  </si>
  <si>
    <t>El taller de métodos correspondiente al segundo hito,  no ha iniciado a la fecha, pues tuvo que darse toda la prioridad y dedicación a la finalización del documento guia regional.</t>
  </si>
  <si>
    <t>Para el fortalecimiento y apropiación del marco ético estadístico, durante el tercer trimestre se desarrollaron cuatro estrategias, con la producción de 10 piezas comunicacionales. A continuación, se resume cada  una de las estrategias:
1. Webinar denominado "Ética, Tecnología y Escasez: algoritmos e inteligencia artificial para afrontar la pobreza". Este evento  se llevó a cabo el día 17 de agosto vía streaming. Contó con la participación de Roberto Angulo, experto en pobreza; Armando Guío Español, experto en inteligencia artificial; Juan Daniel Oviedo, Director del DANE y Valérie Gauthier Umaña, experta de la Sala de Modernización Tecnológica del Consejo Asesor Técnico del Sistema Estadístico Nacional (CASEN). El objetivo de este seminario se centró en discutir en torno a cómo la Inteligencia Artificial (IA) puede aportar a la disminución de la pobreza, bajo un esquema metodológico y operativo consistente con la ética de los datos.  La metodología del seminario se desarrolló a partir de preguntas orientadoras a los expertos invitados. El evento quedó registrado en la página YouTube DANE Colombia.  https://www.youtube.com/watch?v=8z-jyuacfG8&amp;t=365s.
2. Se revisaron y ajustaron los cuatro módulos del curso virtual del SETE en la plataforma Aprendanet. Esta actividad se realizó de forma conjunta entre el equipo de maqueteadores y el grupo base SETE.  Se tiene previsto para el último trimestre de la vigencia lanzar el curso del SETE.
3. Se inició el curso "Ética y estadística: que nadie quede Atrás”, Facultad Economía - Universidad de los Andes. Este curso es impartido en la facultad de economía por dos miembros del grupo base del SETE.
4. Se publicaron cinco noticias relacionadas con: 1) la formulación y publicación del Reglamento interno del SETE; 2)divulgación del segundo webinar del SETE en la página del SEN y en la intranet del DANE; 3) prelanzamiento del curso virtual SETE; 4) lanzamiento del curso virtual del SETE; 5) presentación de la ficha de análisis y deliberación del SETE.</t>
  </si>
  <si>
    <t xml:space="preserve">Póster segundo webinar SETE para redes sociales
Divulgación del webinar en YouTube
Invitación correo masivo del webinar
Invitación a expertos a participar en el webinar
Curso SETE en Aprendanet: enlace  https://boston01.dane.gov.co/login/index.php
Programa curso de Ética y Estadística Universidad de los Andes
Noticias SETE. Enlaces:  https://www.sen.gov.co/novedades/Noticias/Pr%C3%B3ximo-lanzamiento-curso-Sistema-%C3%89tica-Estad%C3%ADstica-DANE-SETE
https://www.sen.gov.co/novedades/Noticias/Sistema-%C3%89tica-Estad%C3%ADstica-DANE-presenta-reglamento-interno
https://www.sen.gov.co/novedades/Noticias/SETE-ficha-an%C3%A1lisis-deliberaci%C3%B3n-para-evaluar-%C3%A9ticamente-opreaciones-estad%C3%ADsticas
https://www.sen.gov.co/novedades/Noticias/webinar-tecnolog%C3%ADa-%C3%A9tica-escasez-algoritmos-inteligencia-artificial-para-afrontar-pobreza
https://danegovco.sharepoint.com/sites/IntranetDANEnet/Noticias/SitePages/Tecnolog%C3%ADa,-%C3%A9tica-y-escasez--algoritmos-e-inteligencia-artificial-para-afrontar-la-pobreza.aspx
</t>
  </si>
  <si>
    <t>Durante el tercer trimestre se avanzó en la apropiación del marco ético estadístico del DANE; para ello, se desarrolló el segundo webinar del SETE en torno a la tecnología, la ética y la pobreza.  De otra parte, se culminó el diseño de los módulos del curso virtual del SETE y se inició el curso de ética y estadística en la Universidad de los Andes.  En cuanto a la evaluación de las operaciones estadísticas, se avanzó con tres evaluaciones más, para un total de cinco operaciones evaluadas a la fecha.  Por último, se avanzó en la formulación del documento de articulación con énfasis en tres temáticas de interacción del SETE: 1. El marco ético y los estándares de la calidad estadística; 2) el SETE y el código de integridad; y 3) el SETE, el Comité Técnico del DANE y el SEN.</t>
  </si>
  <si>
    <t>Durante el tercer trimestre se evaluaron tres operaciones estadísticas:
Encuesta Nacional de consumo de sustancias Psicoactivas
Censo Económico
Encuesta Convivencia y Seguridad Ciudadana</t>
  </si>
  <si>
    <t>Fichas de análisis y deliberación de: Encuesta Nacional de consumo de sustancias Psicoactivas y Censo Económico
Presentación Encuesta Convivencia y Seguridad Ciudadana</t>
  </si>
  <si>
    <t>Durante el tercer trimestre se avanzó en la formulación del documento con líneas de articulación entre el SETE y el DANE.  Las líneas propuestas son:  1. El marco ético y los estándares de la calidad estadística; 2) el SETE y el código de integridad; y 3) el SETE, el Comité Técnico del DANE y el SEN.</t>
  </si>
  <si>
    <t>Avance del documento de articulación SETE</t>
  </si>
  <si>
    <t xml:space="preserve">Se implementó el formulario de requerimientos de información para la identificación de necesidades de información de los Sistemas de Información de la Mesa de Servicios Públicos (SUI, GESPROY, SISBEN IV y SIGESCO) y se desarrollaron ejercicios de acompañamiento a los diferentes grupos de trabajo para el correcto diligenciamiento, en el marco de la gestión del cambio cultural para la implementación del Proceso de Gestión de Proveedores de Datos. Adicionalmente, se implementó el formulario para identificar las necesidades de información en torno a el RR.AA: Contribución Parafiscal para la Promoción del Turismo del FONTUR y la Encuesta de actualización del Registro Nacional de Turismo- RNT del MinCIT. Finalmente, previo a la aplicación del formulario, se realizaron ajustes derivados de la retroalimentación recibida por parte de agentes externos. </t>
  </si>
  <si>
    <t xml:space="preserve">Correcta identificación de las necesidades de información de los diferentes grupos de trabajo al interior del DANE, así como el fortalecimiento del proceso a partir de su implementación. </t>
  </si>
  <si>
    <t>PAI_DIG_1</t>
  </si>
  <si>
    <t>Los Directorios aportarán al 100% del indicador Operaciones estadísticas nuevas o rediseñadas que atienden necesidades del país</t>
  </si>
  <si>
    <t>Tres (3) publicaciones del directorio estadístico de empresas y una (1) del sector público versión 2.0, actualizadas.</t>
  </si>
  <si>
    <t>PAI_DIG_1.1</t>
  </si>
  <si>
    <t>Tres (3) bases de datos del directorio estadístico cuatrimestral para las investigaciones de acuerdo con las bases de datos de las entidades actualizadas y dispuestas.</t>
  </si>
  <si>
    <t>Se diseño el plan de trabajo, en el cual se avanzo en la gestión, análisis y control de calidad de la información de las entidades proveedoras del Directorio Estadístico.</t>
  </si>
  <si>
    <t>EVIDENCIA_DIG_1.1</t>
  </si>
  <si>
    <t xml:space="preserve">Durante el primer trimestre del año 2021, se cuenta con el Plan de trabajo estructurado en el diagnostico y aprovechamiento de nuevas fuentes de información interna y externa. Asi mismo, se cuenta con una primera base de datos actualizada. 
En temas de economía naranja, se elaboro el marco empresarial naranja como insumo básico del RELAB y la construcción de indicadores de demografía empresarial. 
Frente al Directorio del sector público en su versión 2.0, con el trabajo conjunto con DAFP se busca ampliar la base de entidades públicas. Y se adelantó la actualización y mantenimiento del directorio con información a cierre del 2020. Actividades adelantadas por el Grupo Interno de Trabajo del Directorio Estadístico de la DIG.
</t>
  </si>
  <si>
    <t>INFORMACION GEOESPACIAL</t>
  </si>
  <si>
    <t>GEOESPACIAL</t>
  </si>
  <si>
    <t>C-0401-1003-21-0-0401003-02</t>
  </si>
  <si>
    <t>Se avanzo en la construcción del documento de contextualización de las diferentes metodologías y criterios de calidad aplicados en las diferentes etapas de análisis de la información de las entidades.
Como del Documento con el modelo de datos geográfico y diccionario de datos.
Se adelanto la actualización de los manuales de actualización del directorio de empresas. Asi mismo se adelanto la actualización de las bases de datos del directorio de educación  (DIREDU) y el directorio agropecuario.   Y se avanza en la gestión, análisis y control de calidad de la información de las entidades proveedoras del Directorio Estadístico.</t>
  </si>
  <si>
    <t xml:space="preserve">Se adelanto la actualización de los manuales de actualización del directorio de empresas. Asi mismo se adelanto la actualización de las bases de datos del directorio de educación  (DIREDU) y el directorio agropecuario.   Y se avanza en la gestión, análisis y control de calidad de la información de las entidades proveedoras del Directorio Estadístico.
</t>
  </si>
  <si>
    <t>BDMGN_2021_ACTUALIZAR_MGN</t>
  </si>
  <si>
    <t>Se actualizó los manuales, se aprovecho información frente a registros administrativos para el periodo 2018-2020, asi mismo se generó una (1) base con las salidas de los indicadores preliminares a partir del aprovechamiento de los ciclos 2019C2, 2020C1, 2020C2 de Fedegan.     Y se cuenta con  Tres (3) documentos en Word con el informe de calidad del RUES y Supersociedades así como la descripción de los ajustes en calidad del Directorio estadístico con el mantenimiento de actividades económicas de manera masiva</t>
  </si>
  <si>
    <t xml:space="preserve">Se adelanto la actualización de la documentación referente al directorio de empresas como al del sector público. Asi mismo se adelanto los controles de calidad al directorio estadístico. Del Directorio del Sector Público se adelanto la  consolidado del total de entidades contables públicas clasificadas a 2020.
Así mismo un trabajo continuo con el DAFP para el piloto de implementación del esquerma colaborativo con el geovisor del sector público
</t>
  </si>
  <si>
    <t>INFORMACIÓN GEOESPACIAL</t>
  </si>
  <si>
    <t>PAI_DIG_1.2</t>
  </si>
  <si>
    <t>Una (1)  base de datos del directorio del sector público del país articulado, con la caracterización y clasificación institucional de las entidades para los análisis por parte de los usuarios dispuesta.</t>
  </si>
  <si>
    <t>se avanza en la actualización de la clasificación historica para ser incluida en el geoportal. Y con el trabajo conjunto con el DAFP se avaza en la estrategia de esquema colaborativo, para ampliar la base de entidades públicas.</t>
  </si>
  <si>
    <t>EVIDENCIA_DIG_1.2</t>
  </si>
  <si>
    <t xml:space="preserve"> Se genero la base de datos con la construcción y depuración de datos de entidades del sector público, incluyendo las entidades que no son parte del universo de Entidades contables públicas y que entraron al directorio este mes, debido a las investigaciones concernientes al ICET, además de los resultados parciales de cruces con las demás bases de datos que reposan en el directorio.  Y con el trabajo conjunto con el DAFP se avaza en el esquema colaborativo, para ampliar la base de entidades públicas.</t>
  </si>
  <si>
    <t>Se han adelantado las siguientes acciones: Un (1) archivo en Excel de estructura del visor con los respectivos dominios referentes a naturaleza, nivel y tipología de entidades (muestra representativa) con información completa y verificada.
Y dos (2) archivos en Excel con el consolidado del total de entidades contables públicas clasificadas a 2020.
Así mismo un trabajo continuo con el DAFP para el piloto de implementación del esquerma colaborativo con el geovisor del sector público</t>
  </si>
  <si>
    <t>PAI_DIG_2</t>
  </si>
  <si>
    <t>El Marco Geoestadistico Nacional aportará al 100% con información al cumplimiento de las operaciones estadisticas nuevas o rediseñadas que atienden a las necesidades del país.</t>
  </si>
  <si>
    <t>Una (1) base de datos del Marco Geoestadistico Nacional cartografico y temático, actualizado.</t>
  </si>
  <si>
    <t>PAI_DIG_2.1</t>
  </si>
  <si>
    <t>Un (1) marco geoestadistico nacional en sus componentes cartográficos, temáticos y de la sectorización rural actualizado.</t>
  </si>
  <si>
    <t>Se avanzo en la actualización y estructuración de los niveles de manzana de cabeceras municipales del MGN</t>
  </si>
  <si>
    <t>EVIDENCIA_DIG_2.1</t>
  </si>
  <si>
    <t xml:space="preserve">Durante el primer trimestre del año 2021, se avanzo en la actualización MGN: en la actividad de actualización y estructuración de: 32.210 manzanas y estructuración cartográfica de 45. Así mismo, se reporto novedades cartográficas de los conteo de 15.633. 
De otra parte, de la generación de productos cartográficos se tienen 34.173 productos para las operaciones estadísticas de GEIH tradicional, GEIH Paralela, CEED, EGIT, ECSC y EMICRON. Actividades adelantadas por el Grupo Interno de Trabajo del MGN de la DIG.
</t>
  </si>
  <si>
    <t xml:space="preserve">Se avanzo en la actualización de 179 centros poblado, como de las secciones rurales, variable de viviendaen el MGN. </t>
  </si>
  <si>
    <t xml:space="preserve">Durante el segundo trimestre del año 2021, se avanzo en la actualización MGN: en las actividades de actualización y estructuración de manzanas, estructuración cartográfica de centros poblados, y se realizó el cargue de recuentos de áreas geograficas de las investigaciones GEIH_PARALELA, EGIT, ENUT y GEIH continua, MULTIPROPOSITO y ECSC, para la actualización de la variable vivienda.
De otra parte, se generaron de productos cartográficos para las operaciones estadísticas de GEIH tradicional, GEIH Paralela, CEED, EGIT, ECSC y EMICRON. Actividades adelantadas por el Grupo Interno de Trabajo del MGN de la DIG.
</t>
  </si>
  <si>
    <t xml:space="preserve">BDMGN_2021_INTEGRAR_MGN
BDMGN_2021_GESTIONAR_INFO
</t>
  </si>
  <si>
    <t xml:space="preserve">Se efectuó el conteo de edificaciones en 268 centros poblados actualizados, Estructuración cartográfica de 10.935 Manzanas, correspondientes a 27 cabeceras municipales y se avanzó en la actualización de los niveles departamento, municipio, sector y sección rural del MGN 2021, para 695 municipios
</t>
  </si>
  <si>
    <t xml:space="preserve">Durante el tercer trimestre del año 2021, se continuo con la actualización MGN: en las actividades de actualización y estructuración de manzanas, estructuración cartográfica de centros poblados, y se realizó el cargue de recuentos de áreas geograficas de las investigaciones GEIH_PARALELA, EGIT, ENUT y GEIH continua, MULTIPROPOSITO y ECSC, para la actualización de la variable vivienda.
De otra parte, se generaron de productos cartográficos para las operaciones estadísticas de GEIH Paralela, CEED, EGIT, EMICRON, CAM, GEIH Tradicional, ECV Y ENTIC. Actividades adelantadas por el Grupo Interno de Trabajo del MGN de la DIG.
</t>
  </si>
  <si>
    <t>BDMGN_2021_INTEGRAR_MGN
BDMGN_2021_GESTIONAR_INFO</t>
  </si>
  <si>
    <t>PAI_DIG_2.2</t>
  </si>
  <si>
    <t>Ochenta mil (80.000) productos cartográficos para las operaciones estadísticas generados</t>
  </si>
  <si>
    <t>Se avanzo en la generación de productos cartográficos análogos y digitales.</t>
  </si>
  <si>
    <t>EVIDENCIA_DIG_2.2</t>
  </si>
  <si>
    <t>Se avanzo en la generación de 8866 productos cartográficos análogos y digitales,  para las operaciones estadísticas de GEIH Paralela, CEED, EGIT, EMICRON y GEIH Tradicional.</t>
  </si>
  <si>
    <t>Se elaboraron 18.125 productos cartográficos para las operaciones estadísticas de GEIH Paralela, CEED, EGIT, EMICRON, CAM, GEIH Tradicional, ECV Y ENTIC.</t>
  </si>
  <si>
    <t>PAI_DIG_3</t>
  </si>
  <si>
    <t>El Marco Maestro Rural Agropecuario aportará al 100% con información al cumplimiento del indicador de Operaciones estadísticas con atributos de relevancia, oportunidad, exactitud y precisión fortalecidos</t>
  </si>
  <si>
    <t>Una (1) base de datos del Marco Maestro Rural y Agropecuario cartográficamente, actualizado.</t>
  </si>
  <si>
    <t>PAI_DIG_3.1</t>
  </si>
  <si>
    <t>Treinta mil (30.000) conglomerados del Marco Maestro Rural y Agropecuario actualizados</t>
  </si>
  <si>
    <t>Se avanza en la actualización de conglomerados de acuerdo a la programación de la ENA</t>
  </si>
  <si>
    <t>EVIDENCIA_DIG_3</t>
  </si>
  <si>
    <t>Durante el primer trimestre del año 2021, se avanzo en la actualización  de los conglomerados del MMRA con la información espacial de vías y ríos de la base geográfica del IGAC.
Y se avanza en la edición de los límites de los lotes o fincas enviados por FEDEARROZ para los municipios de Aipe, Garzón, Gigante, Hobo, Iquira, Neiva, Paicol, Rivera, Campoalegre y Baraya del departamento del Huila. Actividad adelantada por el Grupo Interno de Trabajo del MGN de la DIG.</t>
  </si>
  <si>
    <t>Se avanza en la actualización con la información entregada por FEDEARROZ y de fuentes secundarias como FEDEGAN-FNG.</t>
  </si>
  <si>
    <t>EVIDENCIA_DIG_3.1</t>
  </si>
  <si>
    <t>Durante el segundo trimestre del año 2021, se avanzo en la actualización  de los conglomerados del MMRA con las fuentes de FEDEARROZ y FEDEGAN - FNG. Actividad adelantada por el Grupo Interno de Trabajo del MGN de la DIG.</t>
  </si>
  <si>
    <t>BDMGN_2021_INTEGRAR_MGN</t>
  </si>
  <si>
    <t xml:space="preserve">Durante el presente trimestre del año 2021, se avanzo en la actualización de 10.279 conglomerados de los departamentos de Vaupés, San Andres y Providencia, Vichada, Huila, Risaralda y Chocó mediante clasificación supervisada en la plataforma Google Earth Engine y se han editado 28 geopaquetes para la segunda entrega a FEDEARROZ. </t>
  </si>
  <si>
    <t>Durante el tercer trimestre del año 2021, se avanzo el 40% en la consolidación de una cobertura única a nivel nacional de los conglomerados que componen el marco maestro rural y agropecuario MMRA 2021 con la información resultante de las actividades de actualización del MMRA.</t>
  </si>
  <si>
    <t>PAI_DIG_4</t>
  </si>
  <si>
    <t>E. Gestión pública admirable</t>
  </si>
  <si>
    <t>La participación en iniciativas nacionales e internacionales aportarán en 20% en la  articulación de  la producción de la información estadística a nivel nacional.
Los talleres aportarán al 40% de la modernización de la gestión territorial del DANE en su indicador Aumentar el conocimiento de los servidores respecto a la misionalidad de la entidad..
La participacoón de grupos focales le aportara 50% al intercambio de conocimientos, misiones y eventos por entidades y organismos internacionales.</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</si>
  <si>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</si>
  <si>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PAI_DIG_4.1</t>
  </si>
  <si>
    <t>Cuatro (4) listados y boletines  con  la codificación de la División Político-Administrativa de Colombia - DIVIPOLA, a partir de las solicitudes internas y externas recibidas, actualizados y generados.</t>
  </si>
  <si>
    <t>Se realizo la publicación del boletin del listado de la DIVIPOLA</t>
  </si>
  <si>
    <t>EVIDENCIA_DIG_4.1</t>
  </si>
  <si>
    <t xml:space="preserve">Durante el primer trimestre del año 2021, se avanzo en las actividades de: Identificación de las metas vigentes del sector estadísticas y de su avance de cumplimiento, en el marco del Plan Nacional de Gestión del Riesgo y Desastres 2015-2025,  Consolidación y entrega de documento borrador del Marco Metodológico Armonizado en el Grupo de Trabajo de Estadísticas RRD CEA-CEPAL, en MEGA se aprobó la propuesta de disposición de geoservicios, se participó en el  grupo de observaciones de la Tierra para  para la producción de estadísticas de agricultura.
Así mismo, se publico el listados DIVIPOLA trimestral. Actividades adelantadas por el Grupo Interno de Trabajo de Investigación y Desarrollo de la DIG.
</t>
  </si>
  <si>
    <t>Servicio de geo información Estadística</t>
  </si>
  <si>
    <t>C-0401-1003-21-0-0401051-02</t>
  </si>
  <si>
    <t>Se realizo la publicación correspondiente del boletin del listado de la DIVIPOLA</t>
  </si>
  <si>
    <t xml:space="preserve">Durante el segundo trimestre del año 2021, se genero el reporte a nivel de sector estadísticas de su avance de cumplimiento, en el marco del Plan Nacional de Gestión del Riesgo y Desastres 2015-2025,  se participo en las encuentas de MEGA.  Asi mismo, se publico el listados DIVIPOLA trimestral. Actividades adelantadas por el Grupo Interno de Trabajo de Investigación y Desarrollo de la DIG.
</t>
  </si>
  <si>
    <t>SGEO_2021_GESTION_CONOCIMIENTO</t>
  </si>
  <si>
    <t>Se realizo la actualización del listado de la DIVIPOLA</t>
  </si>
  <si>
    <t xml:space="preserve">Durante el tercer trimestre del año 2021, se genero el reporte actualizado de la DIVIPOLA, asi como se àrticipo en las iniciativas nacionales e internacionales frente a gestión del riesgo y se participo en la revisón de documentación del proyecto MEGA. Actividades adelantadas por el Grupo Interno de Trabajo de Investigación y Desarrollo de la DIG.
</t>
  </si>
  <si>
    <t>PAI_DIG_4.2</t>
  </si>
  <si>
    <t>Participación en al menos una (1) iniciativa nacional y una (1) internacional, referentes al uso e integración de la información estadística y geoespacial en agendas globales y temáticas definidas</t>
  </si>
  <si>
    <t>Se aprobo la propuesta de disposición de geoservicios, en el marco de MEGA.</t>
  </si>
  <si>
    <t>EVIDENCIA_DIG_4.2</t>
  </si>
  <si>
    <t>Se ha participado en MEGA y UN-GGIM, en el diligenciamiento de puntos focales.</t>
  </si>
  <si>
    <t>Se ha participado en MEGA y UN-GGIM, y se asistio a la sesion de INEC Ecuador</t>
  </si>
  <si>
    <t>PAI_DIG_4.3</t>
  </si>
  <si>
    <t>Cinco (5) talleres temáticos para el fortalecimiento en las territoriales, sobre el uso y manejo de información geoespacial dentro del proceso estadístico realizados.</t>
  </si>
  <si>
    <t>Se avanza en la programación y articulación con los enlaces cartográficos de las DT</t>
  </si>
  <si>
    <t>EVIDENCIA_DIG_4.3</t>
  </si>
  <si>
    <t>Se adelanto taller  de articulación con los enlaces cartográficos de las DT</t>
  </si>
  <si>
    <t xml:space="preserve">Preparación y citación al cuarto taller de fortalecimiento sobre novedades cartográficas. </t>
  </si>
  <si>
    <t>PAI_DIG_4.4</t>
  </si>
  <si>
    <t>A demanda participar como punto focal, en los grupos e iniciativas nacionales e internacionales definidos para la integración de información estadística y geoespacial en la gestión de riesgo de desastres, adelantados.</t>
  </si>
  <si>
    <t>En el marco del PNGRD 2015 - 2025, se identificacrón las metas y avances vigentes del sector de estadística.</t>
  </si>
  <si>
    <t>EVIDENCIA_DIG_4.4</t>
  </si>
  <si>
    <t>En el marco del PNGRD 2015 - 2025, genero el reporte correspondiente del  primer semestre de 2021.  de las metas y avances vigentes del sector de estadística.</t>
  </si>
  <si>
    <t>Apoyo al diligenciamiento del formulario de capacidades sectoriales de la UNGRD; alistamiento y envío de ajustes a la ficha de seguimientos PAS del CONPES de variabilidad climática.</t>
  </si>
  <si>
    <t>PAI_DIG_5</t>
  </si>
  <si>
    <t>Las estadísticas  le aportará 50% asegurar la calidad estadística que  contempla acciones de innovación, tecnología y comunicación orientadas a optimizar la atención de las necesidades de nuestros grupos de interés.</t>
  </si>
  <si>
    <t>Estadísticas requeridas a partir de datos geoespaciales aprovechando los datos de equipamientos, CNPV y Marcos Geoestadísticos, generadas.</t>
  </si>
  <si>
    <t>PAI_DIG_5.1</t>
  </si>
  <si>
    <t>Análisis y modelados espaciales requeridos para soportar los procesos de producción estadística y la generación de valor agregado a los resultados obtenidos, realizados.</t>
  </si>
  <si>
    <t xml:space="preserve">Se avanza en la propuesta preliminar de indicadores a partir de prioridades definidas por el GIT del Marco Geoestadístico Nacional.
</t>
  </si>
  <si>
    <t>EVIDENCIA_DIG_5.1</t>
  </si>
  <si>
    <t>Durante el primer trimestre del año 2021, se avanza en la propuesta de análisis y modelados espaciales y en la Propuesta Metodológica para el fortalecimiento del Marco Maestro Rural Agropecuario (MMRA). Actividad adelantada por el Grupo Interno de Trabajo de Investigación y Desarrollo de la DIG.</t>
  </si>
  <si>
    <t xml:space="preserve">Se generaron los productos geoespaciales temáticos y geoanalíticos requeridos.
</t>
  </si>
  <si>
    <t>Durante el primer semestre del año 2021, Se avanza en la Propuesta Metodológica para la identificación y priorización de áreas susceptibles de actualización en el Marco Geoestadístico Nacional a partir de indicadores de dinámica urbana; se avanza en el calculo del indicador ODS 11.7.1 para las ciudades selecionadas y se generaron los análisis espaciales demandados. Actividad adelantada por el Grupo Interno de Trabajo de Investigación y Desarrollo de la DIG.</t>
  </si>
  <si>
    <t>Durante este periodo, Se avanza en el documeento de resultados de  la Propuesta Metodológica para la identificación y priorización de áreas susceptibles de actualización en el Marco Geoestadístico Nacional a partir de indicadores de dinámica urbana; se avanza en el calculo del indicador ODS 11.1.1 y 11,2,1. Actividad adelantada por el Grupo Interno de Trabajo de Investigación y Desarrollo de la DIG.</t>
  </si>
  <si>
    <t>PAI_DIG_5.2</t>
  </si>
  <si>
    <t xml:space="preserve">Un (1) indicador de los Objetivos de Desarrollo Sostenible - ODS, a través del uso y procesamiento y análisis de información geoespacial generado </t>
  </si>
  <si>
    <t xml:space="preserve">Se esta trabajando en el indicador: 11.7.1: Delimitación de espacios públicos abiertos en las áreas construidas urbanas.
</t>
  </si>
  <si>
    <t>EVIDENCIA_DIG_5.2</t>
  </si>
  <si>
    <t>Se continua en el indicador: 11.7.1: Delimitación de espacios públicos abiertos en las áreas construidas urbanas.</t>
  </si>
  <si>
    <t>Se continua el calculo del indicador  11.1.1. Y se calculo el indicador 11.2.1</t>
  </si>
  <si>
    <t>PAI_DIG_5.3</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</si>
  <si>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</si>
  <si>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 xml:space="preserve">Se avanza en la Propuesta Metodológica para el fortalecimiento
del Marco Maestro Rural Agropecuario (MMRA)
</t>
  </si>
  <si>
    <t>EVIDENCIA_DIG_5.3</t>
  </si>
  <si>
    <t xml:space="preserve">Se avanza en la Propuesta Metodológica para la identificación y priorización de áreas susceptibles de actualización en el Marco Geoestadístico Nacional a partir de indicadores de dinámica urbana
</t>
  </si>
  <si>
    <t>Avance en el desarrollo del documento de resultados.</t>
  </si>
  <si>
    <t>PAI_DIG_6</t>
  </si>
  <si>
    <t>Accesibilidad</t>
  </si>
  <si>
    <t>El nuevo geovisor le aportará 50% al objetivo estratégico de asegurar la calidad estadísitica en procesos y resultados.</t>
  </si>
  <si>
    <t xml:space="preserve">Geoportal y herramientas colaborativas demandadas para la actualización de los marcos, desarrollados. </t>
  </si>
  <si>
    <t>PAI_DIG_6.1</t>
  </si>
  <si>
    <t>Un (1) nuevo visor del sector público publicado</t>
  </si>
  <si>
    <t>Se avanza en su actualización</t>
  </si>
  <si>
    <t>EVIDENCIA_DIG_6.1</t>
  </si>
  <si>
    <t xml:space="preserve">Durante el primer trimestre del año 2021, se avanzo en las actividades de: 1. Se generó el prototipo del visor del sector público version 2.0, 2. Se generaron servicios web de acuerdo a las solicitudes de las diferentes áreas de la entidad y se han ido publicando en el Geoportal y 3. Se avanza en la aplicación movil de consulta del CNPV2018, donde se viene actualizando las capas de información, como es los datos anonimizados por manzana del CNPV2018. Actividad adelantada por el Grupo Interno de Trabajo de Geoinformación de la DIG. 
</t>
  </si>
  <si>
    <t>Se avanza en los ajustes de acuerdo con requerimientos temáticos del Directorio estadístico DEST y se adiciona el tema de categorización de Entidades.</t>
  </si>
  <si>
    <t xml:space="preserve">Durante el primer semestre del año 2021, se avanza en las actividades de: 1. Ajustes del visor del sector público version 2.0, 2. Se generaron servicios web de acuerdo a las solicitudes de las diferentes áreas de la entidad y se han ido publicando en el Geoportal y 3. Se avanza en la aplicación movil de consulta del CNPV2018, se genero la interfaz de usuario Mochup. Actividad adelantada por el Grupo Interno de Trabajo de Geoinformación de la DIG. 
</t>
  </si>
  <si>
    <t>SGEO_2021_PLAN_SIGE</t>
  </si>
  <si>
    <t>Geovisor del sector publico publicado de acuerdo con los requerimientos iniciales, base de datos actualizada para incluir el tema colaborativo</t>
  </si>
  <si>
    <t xml:space="preserve">Durante el tercer semestre del año 2021, se avanza en las actividades de: 1. se actualizó la base de datos del visor del sector público version 2.0, 2. Se generaron servicios web de acuerdo a las solicitudes de las diferentes áreas de la entidad y se han ido publicando en el Geoportal y 3. Se avanza en la aplicación movil de consulta del CNPV2018, se genero versión de pruebas del Apk. Actividad adelantada por el Grupo Interno de Trabajo de Geoinformación de la DIG. 
</t>
  </si>
  <si>
    <t>servicio de geo información Estadística</t>
  </si>
  <si>
    <t>PAI_DIG_6.2</t>
  </si>
  <si>
    <t>Servicios Web Geográficos a demanda generados</t>
  </si>
  <si>
    <t>Se generaron servicios conforme a las necesidades de la entidad</t>
  </si>
  <si>
    <t>EVIDENCIA_DIG_6.2</t>
  </si>
  <si>
    <t>De acuerdo a las necesidades se generaron los servicios solicitados</t>
  </si>
  <si>
    <t>PAI_DIG_6.3</t>
  </si>
  <si>
    <t>Una (1) aplicación móvil  para consulta de CNPV2018 utilizando tecnología de realidad aumentada desarrollada</t>
  </si>
  <si>
    <t>EVIDENCIA_DIG_6.3</t>
  </si>
  <si>
    <t>Se avanza en su actualización de la interfaz de usuario mockup.</t>
  </si>
  <si>
    <t>Se continúa en la exploración del tema de realidad aumentada y el desarrollo de las funcionalidades definidas, se tiene una versión de pruebas del apk, se analizaron los resultados de las pruebas y se avanza con los ajustes solicitados.</t>
  </si>
  <si>
    <t>PAI_DIG_7</t>
  </si>
  <si>
    <t>La herramienta le aportará 50% a la accesibilidad que  contempla acciones de innovación, tecnología y comunicación orientadas a optimizar la atención de las necesidades de nuestros grupos de interés.</t>
  </si>
  <si>
    <t>Un (1) modelo de transformación digital y de gestión del cambio implementado en el marco de la política de gobernanza de datos de la DIG.</t>
  </si>
  <si>
    <t>PAI_DIG_7.1</t>
  </si>
  <si>
    <t>Una (1) herramienta de edición concurrente del Marco Geoestadístico implementada</t>
  </si>
  <si>
    <t>Se avanza en la implementación de la  Edición concurrente del Marco Geoestadístico</t>
  </si>
  <si>
    <t>EVIDENCIA_DIG_7.1</t>
  </si>
  <si>
    <t xml:space="preserve">Durante el primer trimestre del año 2021, en el proyecto de transformación digital se avanzo los proyectos de edición concurrente y de gestión de datos e información, donde se han levantado requerimientos y en algunos se han generado propuestas preliminares. Actividad adelantada por el Grupo Interno de Trabajo de Geoinformación de la DIG. 
</t>
  </si>
  <si>
    <t>Se avanza en la implementación de la  Edición concurrente  conforme a las requerimientos del Marco Geoestadístico</t>
  </si>
  <si>
    <t xml:space="preserve">Durante el segundo trimestre del año 2021, en el proyecto de transformación digital se avanzo los proyectos de edición concurrente y de gestión de datos e información, de manera articulado con la oficina de sistemas, en el marco d elas politicas de MINTIC. Actividad adelantada por el Grupo Interno de Trabajo de Geoinformación de la DIG. 
</t>
  </si>
  <si>
    <t>Se avanza en el modelo definitivo para la edición concurrente del MGN, se continua con los trabajos conjuntos de las coordinaciones de MGN, y GGI, para migrar las validaciones al nuevo modelo y teniendo en cuenta el tema de la migración a ARC GIS PRO.</t>
  </si>
  <si>
    <t xml:space="preserve">Durante el tercer trimestre del año 2021, en el proyecto de transformación digital se continua en la ejecución de los proyectos de edición concurrente y de gestión de datos e información, de manera articulado con la oficina de sistemas. Actividad adelantada por el Grupo Interno de Trabajo de Geoinformación de la DIG. 
</t>
  </si>
  <si>
    <t>PAI_DIG_7.2</t>
  </si>
  <si>
    <t>Un (1) proyecto de gestión de datos implementado</t>
  </si>
  <si>
    <t>Se trabaja para contar con una solución para el almacenamiento y procesamiento de la información proveniente de las fuentes de datos</t>
  </si>
  <si>
    <t>EVIDENCIA_DIG_7.2</t>
  </si>
  <si>
    <t>Se trabaja para contar con una solución para el almacenamiento y procesamiento de la información proveniente de las fuentes de datos (lago de datos, bus de servicios)</t>
  </si>
  <si>
    <t>En el marco del proyecto de gestión de datos, se termina de hacer la configuración de Oracle en el servidor. Donde se comenzara a poner los servicios del geoportal.</t>
  </si>
  <si>
    <t>PAI_DIG_7.3</t>
  </si>
  <si>
    <t>Un (1) sistema gestión  de información actualizado e  Implementado</t>
  </si>
  <si>
    <t>Se trabaja en la actualización e Implementación del Sistema Gestión  de información</t>
  </si>
  <si>
    <t>EVIDENCIA_DIG_7.3</t>
  </si>
  <si>
    <t>Se trabaja en la actualización e Implementación del Sistema Gestión  de información, Con el objetivo de catalogar, distribuir y facilitar su uso.</t>
  </si>
  <si>
    <t>PAI_DIG_8</t>
  </si>
  <si>
    <t>El SIGESCO le aportará 50% a la accesibilidad frente a nuevos canales de interacción con los grupos de interés.</t>
  </si>
  <si>
    <t xml:space="preserve">Dos (2) módulos de SIGESCO maestro y servcios asociados al sistema de información de estratificación socioeconómica, desarrollados. </t>
  </si>
  <si>
    <t>PAI_DIG_8.1</t>
  </si>
  <si>
    <t>Un (1) módulo de SIGESCO maestro desarrollado</t>
  </si>
  <si>
    <t>Se avanza en su desarrollo conforme al diseño</t>
  </si>
  <si>
    <t>EVIDENCIA_DIG_8.1</t>
  </si>
  <si>
    <t>Se avanza en su desarrollo conforme al diseño y con ajustes de acuerdo a nuevos requerimientos, en mejora de los módulos.</t>
  </si>
  <si>
    <t>SGEO_2021_INFO_ESTRATIF</t>
  </si>
  <si>
    <t>Se avanza en su desarrollo conforme a los requerimientos  y a los ajustes sugeridos por los usuarios</t>
  </si>
  <si>
    <t>Se continua en su desarrollo conforme al diseño y con ajustes de acuerdo a nuevos requerimientos, en mejora de los módulos, que han salido de las validaciones por parte de los susuarios del GIT  de Estratificación.</t>
  </si>
  <si>
    <t>PAI_DIG_8.2</t>
  </si>
  <si>
    <t>Un (1) módulo de servicios desarrollado</t>
  </si>
  <si>
    <t>EVIDENCIA_DIG_8.2</t>
  </si>
  <si>
    <t>PO_DIG_1</t>
  </si>
  <si>
    <t>Un (1) registro base de inmuebles versión 1.0 alineado con las directrices del Catastro Multipropósito, conformado.</t>
  </si>
  <si>
    <t>PO_DIG_1.1</t>
  </si>
  <si>
    <t>Un (1) registro de base de inmuebles conformado y disponible</t>
  </si>
  <si>
    <t>Se avanza en la definición de la metodología de este registro administrativo</t>
  </si>
  <si>
    <t>EVIDENCIA_PO_DIG_1.1</t>
  </si>
  <si>
    <t xml:space="preserve">Durante este periodo se avanza en la construcción de la metodología para la integración de la información alfanumérica y geográfica de los dos proveedores de mayor tamaño: SNR y Catastro e inicio de Prueba Piloto de aplicación de criterios de calidad, validación e integración de la información para círculos registrales de Sabanalarga y Cali.
</t>
  </si>
  <si>
    <t>Durante este semestre se  genero el Documento con el modelo de datos geográfico del registro de inmuebles y esquema del diccionario de datos en formato Excel, así como consolidación de información a cierre del mes de junio en formato gdb y se adelanto la presentación con la definición de la nueva estructura de la GDB (base de datos geoestadística).ETL de las validaciones de propietarios sin cruce, propietarios y preparación del cruce general del registro base conformado por catastro y Supernotariado y registro.</t>
  </si>
  <si>
    <t>En este semestre se cuenta con el primer documento en proceso de construcción de conceptualización de diferentes metodologías y criterios de calidad aplicados en las diferentes etapas de análisis de la información del Supernotariado y registro que se integra como base del registro de inmuebles.</t>
  </si>
  <si>
    <t>Durante el tercer trimestre se genero los documentos  con la versión final del análisis de la inclusión y hallazgos sobre el manejo de los datos geográficos y alfanuméricos. Asimismo se incluye la primera versión del Dashboard en formato de PowerBI el cual sigue las actualizaciones del Registro de Inmuebles por círculo registral, un Excel que lista las variables del Registro con las actualizaciones realizadas en julio y agosto.</t>
  </si>
  <si>
    <t>PO_DIG_2</t>
  </si>
  <si>
    <t>La atención a solicitudes requeridas aportaran 100% a la capacidad metodológica que Contempla acciones integrales relacionadas con el diseño, producción, análisis, difusión y regulación de la información estadística.</t>
  </si>
  <si>
    <t>Modelamientos espaciales y análisis postcensales requeridos para soportar los procesos de producción y análisis de información estadística, realizados.</t>
  </si>
  <si>
    <t>PO_DIG_2.1</t>
  </si>
  <si>
    <t>Productos a demanda geoespaciales temáticos, geoanalíticos y geovisores para la difusión y geovisualización de resultados de operaciones estadísticas y otras fuentes de información generados.</t>
  </si>
  <si>
    <t xml:space="preserve">Se han generado los productos geoespaciales temáticos y geonaliticos demandados
</t>
  </si>
  <si>
    <t>EVIDENCIA_PO_DIG_2.1</t>
  </si>
  <si>
    <t xml:space="preserve">Durante el primer trimestre del año 2021, se avanzo en la generación de 226  productos geoanalíticos y geovisores de las operaciones estadísticas: CNPV 2018, GEIH, ESAG, ENAM, EMICRON, CNUE, SIPSA. Y 114 productos de temas como la tasa de desempleo; NBI y miseria; déficit de vivienda.
</t>
  </si>
  <si>
    <t>Se han generado los productos geoespaciales temáticos y geonaliticos demandados</t>
  </si>
  <si>
    <t>Productos geoespaciales temáticos: 47 productos generados en temas tales como: PIB departamental 2002pr; conteo de unidades económicas; FEDEGÁN; resguardos indígenas.  Productos geoanalíticos: 67 productos generados para temas como: GEIH; Pobreza; CENPV 2018.  Desarrollo de dos (2) geovisores para la publicación del PIB departamental 2020pr y serie histórica.</t>
  </si>
  <si>
    <t>Se han generado los productos geoespaciales temáticos y geonaliticos demandados por las operaciones estadisticas</t>
  </si>
  <si>
    <t xml:space="preserve">Se generaron productos geoespaciales temáticos en temas tales como: PIB departamental 2002pr; conteo de unidades económicas; anticonceptivos; FEDEGÁN; resguardos indígenas.  y productos geoanalíticos: en temas como: GEIH; tasas de desempleo; CENPV 2018.  </t>
  </si>
  <si>
    <t>Está pendiente la revisión y aprobación de subdirección.</t>
  </si>
  <si>
    <t>Se avanzó en la consolidación de la información de FUT, SIIF, SGR año 2020
Se actualizó la información del año 2019 y su parametrización a clasificación  SOCX y se concreto en un archivo las salidas con los resultados preliminares.</t>
  </si>
  <si>
    <t>Se elaboró cronograma de trabajo
Se propuso las nuevas lineas de acción para actualizar las presentación de resultados - incluyendo el calculo de  subsectores financieros como avance de esta investigación.
Se empezó el proceso de cargas y consolidación del sistema</t>
  </si>
  <si>
    <t>Nota técnica anonimización bases MPC.
Código de anonimización en SAS del Censo de Edificaciones ajustado.
Documento exploratorio de la base IPUMS.</t>
  </si>
  <si>
    <t>Pendiente la aprobación del documento. por parte de la subdirección</t>
  </si>
  <si>
    <t xml:space="preserve">SEGUIMIENTO I TRIMESTRE                                            </t>
  </si>
  <si>
    <t>REPORTE DE AVANCE METAS</t>
  </si>
  <si>
    <t>REPORTE DE AVANCE PRESUPUESTAL</t>
  </si>
  <si>
    <t xml:space="preserve">SEGUIMIENTO II TRIMESTRE      </t>
  </si>
  <si>
    <t xml:space="preserve">SEGUIMIENTO III TRIMESTRE  </t>
  </si>
  <si>
    <t xml:space="preserve">ÁREA </t>
  </si>
  <si>
    <t>Dirección</t>
  </si>
  <si>
    <t xml:space="preserve">La actualización documental tipo parámetro y registro asociada al sistema de nómina Kactus para facilitar el desempeño del proceso aportará un 1,29% a la meta de mejorar el bienestar, las competencias y las habilidades de los servidores
</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</si>
  <si>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
Los inventarios de las operaciones estadísticas, registros administrativos y demanda aportarán 100% al cumplimiento del indicador del PEI relacionado con: "Disposición y actualización de los inventario de Operaciones Estadísticas y Registros Administrativos"</t>
  </si>
  <si>
    <t>Se realizaron ajustes al sistema de GI, equivalentes al 77% de avance acumulado, de acuerdo con las observaciones asignadas. Se implementaron funcionalidades, equivalentes al 38% de avance acumulado, de acuerdo con los nuevos requerimientos de desarrollo asignados. - se realizó la actualización de las tablas entidades y funcionarios de la base de datos</t>
  </si>
  <si>
    <t>Se avanza en su desarrollo conforme al diseño y se  inicia revisión mockup módulo SSDP y de la verificación responsive módulo maestro</t>
  </si>
  <si>
    <r>
      <rPr>
        <sz val="14"/>
        <color theme="1"/>
        <rFont val="Times New Roman"/>
        <family val="1"/>
      </rPr>
      <t>•</t>
    </r>
    <r>
      <rPr>
        <sz val="14"/>
        <color theme="1"/>
        <rFont val="Segoe UI"/>
        <family val="2"/>
      </rPr>
      <t xml:space="preserve"> 28022021_FORMATO_PRIMER_INFORME_OPERATIVO_CONTEO
• 31032021_FORMATO_SEGUNDO_INFORME_OPERATIVO_CONTEO</t>
    </r>
  </si>
  <si>
    <r>
      <t xml:space="preserve">Formulario de modificación de fichas del MFCL    </t>
    </r>
    <r>
      <rPr>
        <sz val="14"/>
        <color rgb="FFFF0000"/>
        <rFont val="Segoe UI"/>
        <family val="2"/>
      </rPr>
      <t xml:space="preserve">
</t>
    </r>
    <r>
      <rPr>
        <sz val="14"/>
        <rFont val="Segoe UI"/>
        <family val="2"/>
      </rPr>
      <t xml:space="preserve">Metodología y Justificación técnica actualización del Manual Específico de Funciones y Competencias Laborales 
Proyecto Resolución de adopción MEFCL 
Sabana Manual de Funciones
</t>
    </r>
    <r>
      <rPr>
        <sz val="14"/>
        <color rgb="FFFF0000"/>
        <rFont val="Segoe UI"/>
        <family val="2"/>
      </rPr>
      <t xml:space="preserve">
</t>
    </r>
  </si>
  <si>
    <r>
      <t xml:space="preserve"> En marzo de 2021 el GIT Servicios Administrativos con el acompañamiento de Secretaria General dió inicio al proceso de actualización de la siguiente forma: </t>
    </r>
    <r>
      <rPr>
        <b/>
        <sz val="14"/>
        <rFont val="Calibri"/>
        <family val="2"/>
        <scheme val="minor"/>
      </rPr>
      <t>18 documentos, equivalentes al 53%</t>
    </r>
    <r>
      <rPr>
        <sz val="14"/>
        <rFont val="Calibri"/>
        <family val="2"/>
        <scheme val="minor"/>
      </rPr>
      <t xml:space="preserve">  ya han sido revisados.  De estos, 3 fueron actualizados ( GTH-070-PDT-008, GTH-070-PDT-003-f-002 y 	GTH-070-PDT-003) y 15 no requieren ser actualizados debido a que a pesar de la entrada en uso del autoservicio, los servidores eventualmente podrían requerir el uso de los documentos, por no autorizar el uso de datos y por ende el autoservicio.
</t>
    </r>
  </si>
  <si>
    <r>
      <rPr>
        <b/>
        <sz val="14"/>
        <color theme="1"/>
        <rFont val="Calibri"/>
        <family val="2"/>
        <scheme val="minor"/>
      </rPr>
      <t xml:space="preserve">Este hito se cumplió con el reporte de GIT Logística en el hito PAI_GITLOG_1.1, </t>
    </r>
    <r>
      <rPr>
        <sz val="14"/>
        <color theme="1"/>
        <rFont val="Calibri"/>
        <family val="2"/>
        <scheme val="minor"/>
      </rPr>
      <t xml:space="preserve">donde mencionan: "El departamento cuenta con una propuesta de ajuste a la manera como hasta ahora se viene ejerciendo la función operativa, que busca transversalizar dicha función, en el entendido de que las distintas dependencias del departamento tienen responsabilidades frente a la función operativa, complementarias entre sí, que comprenden el empleo de recursos (presupuestales, tecnológicos y humanos) para diseñar, producir y poner al servicio de la recolección y el análisis de la información, los medios necesarios para que ambas cosas ocurran bajo estrictos estándares de calidad. La propuesta define las responsabilidadaes generales de las áreas, la necesaria reconstitución de los equipos de trabajo conforme a las necesidades de la transversalización, medidas para fortalecer la capacidad del nivel central y descentralizado para adelantar la fase de recolección y acopio y la creación de figuras e instrumentos para la garantía de la calidad. </t>
    </r>
  </si>
  <si>
    <r>
      <t xml:space="preserve">Para el primer semestre del 2021 se han entregado los siguientes visores de datos: 
</t>
    </r>
    <r>
      <rPr>
        <b/>
        <sz val="14"/>
        <color theme="1"/>
        <rFont val="Calibri"/>
        <family val="2"/>
        <scheme val="minor"/>
      </rPr>
      <t xml:space="preserve">I - Trimestre: </t>
    </r>
    <r>
      <rPr>
        <sz val="14"/>
        <color theme="1"/>
        <rFont val="Calibri"/>
        <family val="2"/>
        <scheme val="minor"/>
      </rPr>
      <t xml:space="preserve">
1. Visor de datos del Censo de Habitantes de Calle 
</t>
    </r>
    <r>
      <rPr>
        <b/>
        <sz val="14"/>
        <color theme="1"/>
        <rFont val="Calibri"/>
        <family val="2"/>
        <scheme val="minor"/>
      </rPr>
      <t xml:space="preserve">II- Trimestre. </t>
    </r>
    <r>
      <rPr>
        <sz val="14"/>
        <color theme="1"/>
        <rFont val="Calibri"/>
        <family val="2"/>
        <scheme val="minor"/>
      </rPr>
      <t xml:space="preserve">
2. Visor de datos Población Ocupada por Actividad Económica  
3. Visor SIPSA (en desarrollo, se realizará la entrega en el mes de Julio).</t>
    </r>
  </si>
  <si>
    <r>
      <rPr>
        <sz val="14"/>
        <color theme="1"/>
        <rFont val="Calibri"/>
        <family val="2"/>
        <scheme val="minor"/>
      </rPr>
      <t>En el segundo trimestre se entregó una (1) herramienta de visualización de datos finalizada y otra en desarrollo:</t>
    </r>
    <r>
      <rPr>
        <b/>
        <sz val="14"/>
        <color theme="1"/>
        <rFont val="Calibri"/>
        <family val="2"/>
        <scheme val="minor"/>
      </rPr>
      <t xml:space="preserve">
A. Visor de datos Población Ocupada por Actividad Económica (publicado en sitio web el 18 de junio de 2021): 
</t>
    </r>
    <r>
      <rPr>
        <sz val="14"/>
        <color theme="1"/>
        <rFont val="Calibri"/>
        <family val="2"/>
        <scheme val="minor"/>
      </rPr>
      <t>Los datos que presenta este visor, muestran la información de la población ocupada para el total nacional por trimestres fijos desde el 2015 hasta 2021 junto con su desagregación por sexo. Igualmente presenta la población ocupada de 23 ciudades capitales y sus áreas metropolitanas obtenida a partir de la Gran Encuesta Integrada de Hogares – GEIH. Esta información se encuentra clasificada según la CIIU Rev. 4 A.C., que hace referencia a la «Clasificación Industrial Internacional Uniforme» de todas las actividades económicas.</t>
    </r>
    <r>
      <rPr>
        <b/>
        <sz val="14"/>
        <color theme="1"/>
        <rFont val="Calibri"/>
        <family val="2"/>
        <scheme val="minor"/>
      </rPr>
      <t xml:space="preserve">
</t>
    </r>
    <r>
      <rPr>
        <sz val="14"/>
        <color theme="1"/>
        <rFont val="Calibri"/>
        <family val="2"/>
        <scheme val="minor"/>
      </rPr>
      <t>Soporte: https://sitios.dane.gov.co/poblacion_ocupada/</t>
    </r>
    <r>
      <rPr>
        <b/>
        <sz val="14"/>
        <color theme="1"/>
        <rFont val="Calibri"/>
        <family val="2"/>
        <scheme val="minor"/>
      </rPr>
      <t xml:space="preserve">
B. Visor SIPSA: (en fase de desarrollo para ser publicada en julio). 
</t>
    </r>
    <r>
      <rPr>
        <sz val="14"/>
        <color theme="1"/>
        <rFont val="Calibri"/>
        <family val="2"/>
        <scheme val="minor"/>
      </rPr>
      <t xml:space="preserve">Permite consultar y explorar la información actualizada sobre los precios mayoristas de los principales productos agrícolas que componen la canasta de los alimentos del país a través de gráficos interactivos.
</t>
    </r>
    <r>
      <rPr>
        <b/>
        <sz val="14"/>
        <color theme="1"/>
        <rFont val="Calibri"/>
        <family val="2"/>
        <scheme val="minor"/>
      </rPr>
      <t xml:space="preserve">
</t>
    </r>
    <r>
      <rPr>
        <sz val="14"/>
        <color theme="1"/>
        <rFont val="Calibri"/>
        <family val="2"/>
        <scheme val="minor"/>
      </rPr>
      <t>Soporte: Documento descripción del visor.</t>
    </r>
  </si>
  <si>
    <r>
      <t xml:space="preserve">Para el III trimestre se cumple con la entrega de las siguientes herramientas de visualización de datos: 
</t>
    </r>
    <r>
      <rPr>
        <b/>
        <sz val="14"/>
        <color theme="1"/>
        <rFont val="Calibri"/>
        <family val="2"/>
        <scheme val="minor"/>
      </rPr>
      <t>A. VISOR DE DATOS POBLACIÓN OCUPADA POR ACTIVIDAD ECONÓMICA.</t>
    </r>
    <r>
      <rPr>
        <sz val="14"/>
        <color theme="1"/>
        <rFont val="Calibri"/>
        <family val="2"/>
        <scheme val="minor"/>
      </rPr>
      <t xml:space="preserve">
Nota: reportado en el trimestre anterior. Se relaciona para informar los 2 visores que se entregan como parte del HITO. 
</t>
    </r>
    <r>
      <rPr>
        <b/>
        <sz val="14"/>
        <color theme="1"/>
        <rFont val="Calibri"/>
        <family val="2"/>
        <scheme val="minor"/>
      </rPr>
      <t xml:space="preserve">
B. CENSO ECONÓMICO - CONTEO DE UNIDADES ECONÓMICAS.</t>
    </r>
    <r>
      <rPr>
        <sz val="14"/>
        <color theme="1"/>
        <rFont val="Calibri"/>
        <family val="2"/>
        <scheme val="minor"/>
      </rPr>
      <t xml:space="preserve">
https://sitios.dane.gov.co/visor-conteo/</t>
    </r>
  </si>
  <si>
    <r>
      <t xml:space="preserve">Se entregó la documentación de la fase de desarrollo para la App SIPSA. Esta información se encuentra en repositorio GitLab (codeversion) espacio asignado por la Oficina de Sistemas para el almacenamiento. 
A. Arquitectura para el desarrollo de software (clean_architecture): son los recursos necesarios para la escabilidad, reusabilidad y pruebas de código. 
B. Guía para la configuración de la APP SIPSA en IMAC e instalación por escritorio remoto.
C. Contenido wiki (medio que permite almacenar la documentación técnica): La  wiki  es  fundamental  porque  permite  evidenciar  y  conservar  el  histórico  de  la  documentación técnica, la cual se va ajustando de forma dinámica y a medida que avanza el proyecto. Al ingresar a la wiki se observará la siguiente estructura y contenido:
• Menú. 
• Alcance. 
• Antecedentes. 
• Datos.
D. Código fuente: El  código  fuente  es  el  corazón  del  proyecto  y  permite  que  futuros desarrolladores  puedan  continuar con  la  modificación  o  adición  de  nuevas funcionales  e  incluso  facilitar  la  fase  de  soporte  y mantenimiento del software. 
</t>
    </r>
    <r>
      <rPr>
        <b/>
        <u/>
        <sz val="14"/>
        <color theme="1"/>
        <rFont val="Calibri"/>
        <family val="2"/>
        <scheme val="minor"/>
      </rPr>
      <t xml:space="preserve">
Nota: Para ingresar al repositorio se solicita un usuario y contraseña, los cuales son asignados al equipo de desarrollo de software. </t>
    </r>
    <r>
      <rPr>
        <sz val="14"/>
        <color theme="1"/>
        <rFont val="Calibri"/>
        <family val="2"/>
        <scheme val="minor"/>
      </rPr>
      <t xml:space="preserve">
</t>
    </r>
  </si>
  <si>
    <r>
      <t xml:space="preserve">Se actualizaron las funcionalidades de productos, mercados, top precios y top variación con el valor de la variación.  La Oficina de Sistemas actualizó el servicio SDMX con el precio anterior y con base en esto se puede calcular la variación teniendo en cuenta el precio actual. Se diligenció la matriz de pruebas para hacer el seguimiento a la  verificación de cada una de las funcionalidades propuestas y el chequeo de los datos que se visualizan al usuario.  Se entrega vídeo demo de la app en emulador que evidencia el desarrollo y pruebas realizadas.
Anexo: Vídeo presentación emulador app SIPSA.
Anexo: formato_prueba_funcional_app_SIPSA.
</t>
    </r>
    <r>
      <rPr>
        <b/>
        <sz val="14"/>
        <color theme="1"/>
        <rFont val="Calibri"/>
        <family val="2"/>
        <scheme val="minor"/>
      </rPr>
      <t>Nota:</t>
    </r>
    <r>
      <rPr>
        <sz val="14"/>
        <color theme="1"/>
        <rFont val="Calibri"/>
        <family val="2"/>
        <scheme val="minor"/>
      </rPr>
      <t xml:space="preserve"> La documentación técnica y el código fuente se encuentran actualizados en el repositorio asignado al proyecto (para el ingreso, requiere de autenticación del equipo de desarrollo de software). 
</t>
    </r>
  </si>
  <si>
    <r>
      <t xml:space="preserve">Se entregó la propuesta para la implementación de las dos nuevas funcionalidades en el chat virtual el día 24 de marzo de 2021:
</t>
    </r>
    <r>
      <rPr>
        <b/>
        <sz val="14"/>
        <color theme="1"/>
        <rFont val="Calibri"/>
        <family val="2"/>
        <scheme val="minor"/>
      </rPr>
      <t xml:space="preserve">• Funcionalidad módulo de tickets: </t>
    </r>
    <r>
      <rPr>
        <sz val="14"/>
        <color theme="1"/>
        <rFont val="Calibri"/>
        <family val="2"/>
        <scheme val="minor"/>
      </rPr>
      <t xml:space="preserve">Para la resolución de consultas escaladas fuera de línea. Dentro de los Módulos de Atención del sistema de Respuesta Automática, estará el módulo de Tickets que permitirá al DANE brindar una atención detallada y personalizada a cada uno de sus clientes o usuarios tanto internos como externos. El módulo de Tickets que permite enviar respuestas fuera de línea vía correo electrónico a los clientes que no alcanzan a ser atendidos por los Asesores destinados para esta tarea.
</t>
    </r>
    <r>
      <rPr>
        <b/>
        <sz val="14"/>
        <color theme="1"/>
        <rFont val="Calibri"/>
        <family val="2"/>
        <scheme val="minor"/>
      </rPr>
      <t>• Clasificación automática de preguntas no resueltas</t>
    </r>
    <r>
      <rPr>
        <sz val="14"/>
        <color theme="1"/>
        <rFont val="Calibri"/>
        <family val="2"/>
        <scheme val="minor"/>
      </rPr>
      <t>: La clasificación de texto, también conocida como categorización de texto o etiquetado de texto, es la tarea de asignar un conjunto de categorías predefinidas al texto libre. La clasificación de texto permite estructurar el texto de una manera rápida y rentable para mejorar la toma de decisiones y automatizar los procesos.</t>
    </r>
  </si>
  <si>
    <r>
      <t xml:space="preserve">Las dos nuevas funcionalidades para el chat virtual son las siguientes:
</t>
    </r>
    <r>
      <rPr>
        <b/>
        <sz val="14"/>
        <color theme="1"/>
        <rFont val="Calibri"/>
        <family val="2"/>
        <scheme val="minor"/>
      </rPr>
      <t xml:space="preserve">1. Funcionalidad módulo de tickets: </t>
    </r>
    <r>
      <rPr>
        <sz val="14"/>
        <color theme="1"/>
        <rFont val="Calibri"/>
        <family val="2"/>
        <scheme val="minor"/>
      </rPr>
      <t xml:space="preserve">Implementada y en funcionamiento. 
 Para la resolución de consultas escaladas fuera de línea. Dentro de los Módulos de Atención del sistema de Respuesta Automática, estará el módulo de Tickets que permitirá al DANE brindar una atención detallada y personalizada a cada uno de sus clientes o usuarios tanto internos como externos. El módulo de Tickets que permite enviar respuestas fuera de línea vía correo electrónico a los clientes que no alcanzan a ser atendidos por los Asesores destinados para esta tarea.
</t>
    </r>
    <r>
      <rPr>
        <b/>
        <sz val="14"/>
        <color theme="1"/>
        <rFont val="Calibri"/>
        <family val="2"/>
        <scheme val="minor"/>
      </rPr>
      <t>2. Clasificación automática de preguntas no resueltas:</t>
    </r>
    <r>
      <rPr>
        <sz val="14"/>
        <color theme="1"/>
        <rFont val="Calibri"/>
        <family val="2"/>
        <scheme val="minor"/>
      </rPr>
      <t xml:space="preserve"> se encuentra desarrollada y se inicia con la fase de integración a la base de datos. 
La funcionalidad permite clasificar y resolver las inquietudes presentadas por consulta de los ciudadanos y que no pueden ser atendidas por el asesor virtual, con esto se puede actualizar rápidamente la base de conocimientos del chatbot y programar la prioridad temática de actualización para los asesores humanos que apoyan el sistema</t>
    </r>
  </si>
  <si>
    <r>
      <t xml:space="preserve">Trece (13) mesas Estadísticas Sectoriales MES realizadas
</t>
    </r>
    <r>
      <rPr>
        <sz val="14"/>
        <color rgb="FFFF0000"/>
        <rFont val="Calibri"/>
        <family val="2"/>
        <scheme val="minor"/>
      </rPr>
      <t xml:space="preserve">Monica Pinzón
</t>
    </r>
  </si>
  <si>
    <r>
      <rPr>
        <sz val="14"/>
        <rFont val="Segoe UI"/>
        <family val="2"/>
      </rPr>
      <t>Registro de poblacion étnica Mininterior Prelim_AVegaL_revHCO (2)</t>
    </r>
    <r>
      <rPr>
        <sz val="14"/>
        <color rgb="FF000000"/>
        <rFont val="Segoe UI"/>
        <family val="2"/>
        <charset val="1"/>
      </rPr>
      <t xml:space="preserve">
Sugerencias técnicas   reuniones y prueba piloto_DANE.
Informe técnico DANE - acompañamiento La Toma_19_04_2021
Guia-para-la-aplicacion-y-definicion-de-pruebas</t>
    </r>
  </si>
  <si>
    <r>
      <rPr>
        <b/>
        <sz val="14"/>
        <color theme="1"/>
        <rFont val="Calibri"/>
        <family val="2"/>
        <scheme val="minor"/>
      </rPr>
      <t xml:space="preserve">DT Noroccidental: </t>
    </r>
    <r>
      <rPr>
        <sz val="14"/>
        <color theme="1"/>
        <rFont val="Calibri"/>
        <family val="2"/>
        <scheme val="minor"/>
      </rPr>
      <t xml:space="preserve">Asistencia Actividades Drollo Personal DT Noroccidente
</t>
    </r>
    <r>
      <rPr>
        <b/>
        <sz val="14"/>
        <color theme="1"/>
        <rFont val="Calibri"/>
        <family val="2"/>
        <scheme val="minor"/>
      </rPr>
      <t xml:space="preserve">DT Centro Occidente:
</t>
    </r>
    <r>
      <rPr>
        <sz val="14"/>
        <color theme="1"/>
        <rFont val="Calibri"/>
        <family val="2"/>
        <scheme val="minor"/>
      </rPr>
      <t xml:space="preserve">Capacitación Central de Cuentas_30092021
Presentación Tips Central de Cuentas Sept 2021.
</t>
    </r>
    <r>
      <rPr>
        <b/>
        <sz val="14"/>
        <color theme="1"/>
        <rFont val="Calibri"/>
        <family val="2"/>
        <scheme val="minor"/>
      </rPr>
      <t xml:space="preserve">DT Norte:
</t>
    </r>
    <r>
      <rPr>
        <sz val="14"/>
        <color theme="1"/>
        <rFont val="Calibri"/>
        <family val="2"/>
        <scheme val="minor"/>
      </rPr>
      <t xml:space="preserve">Actividades T Barranquilla  2021
</t>
    </r>
    <r>
      <rPr>
        <b/>
        <sz val="14"/>
        <color theme="1"/>
        <rFont val="Calibri"/>
        <family val="2"/>
        <scheme val="minor"/>
      </rPr>
      <t xml:space="preserve">DT Centro:
</t>
    </r>
    <r>
      <rPr>
        <sz val="14"/>
        <color theme="1"/>
        <rFont val="Calibri"/>
        <family val="2"/>
        <scheme val="minor"/>
      </rPr>
      <t xml:space="preserve">Inducción de SG-SST Sede Bogotá (Encuesta EAI) Julio
Inducción de SG-SST Sede Neiva (Encuesta EDUC y SIPSA) Agosto
Inducción de SG-SST Sede Bogotá (Encuesta SIPSA) Agosto
Inducción de SG-SST Sede Bogotá (Encuesta EAID) Septiembre
Inducción de SG-SST Sede Bogotá (Encuesta EMMET) Septiembre
Presentación Inducciones de SG-SST
PIC Tercer trimestre
</t>
    </r>
    <r>
      <rPr>
        <b/>
        <sz val="14"/>
        <color theme="1"/>
        <rFont val="Calibri"/>
        <family val="2"/>
        <scheme val="minor"/>
      </rPr>
      <t xml:space="preserve">
DT Centro Oriente:
DT Suroccidente:</t>
    </r>
    <r>
      <rPr>
        <sz val="14"/>
        <color theme="1"/>
        <rFont val="Calibri"/>
        <family val="2"/>
        <scheme val="minor"/>
      </rPr>
      <t xml:space="preserve"> 
Asistencia
Entrenamiento_Aplicativo
PIC_EntrenamientoAgosto30
Video Taller_A
Video Taller_B
Video Taller_C</t>
    </r>
  </si>
  <si>
    <t>Oficina Asesora de Planeación</t>
  </si>
  <si>
    <t>Oficina Control Interno</t>
  </si>
  <si>
    <t>Oficina Asesora Jurídica</t>
  </si>
  <si>
    <t>Oficina de Sistemas</t>
  </si>
  <si>
    <t>Secretaria General</t>
  </si>
  <si>
    <t>Subdirección</t>
  </si>
  <si>
    <t>GIT de Logística y Producción Estadística</t>
  </si>
  <si>
    <t>Dirección de Difusión, Comunicación y Cultura Estadística - DICE</t>
  </si>
  <si>
    <t>Dirección de Regulación, Planeación, Estandarización y Normalización - DIRPEN</t>
  </si>
  <si>
    <t>Dirección de Geoestadística - DIG</t>
  </si>
  <si>
    <t>Dirección de Censos y Demografía - DCD</t>
  </si>
  <si>
    <t>Dirección de Síntesis y Cuentas Nacionales - DSCN</t>
  </si>
  <si>
    <t>Dirección de Metodología y Producción estadística - DIMPE</t>
  </si>
  <si>
    <t>Direcciones Territoriales</t>
  </si>
  <si>
    <t>Dirección Territorial Suroccidente - Cali</t>
  </si>
  <si>
    <t>FONDANE</t>
  </si>
  <si>
    <r>
      <rPr>
        <sz val="14"/>
        <color theme="1"/>
        <rFont val="Calibri"/>
        <family val="2"/>
        <scheme val="minor"/>
      </rPr>
      <t>Manual V14
Partes Interesadas</t>
    </r>
    <r>
      <rPr>
        <u/>
        <sz val="14"/>
        <color theme="1"/>
        <rFont val="Calibri"/>
        <family val="2"/>
        <scheme val="minor"/>
      </rPr>
      <t xml:space="preserve">
http://isolucionpro.dane.gov.co/Isolucion40Dane/Documentacion/frmEditarArticulo.aspx?CodArticulo=MTAzMDk=</t>
    </r>
  </si>
  <si>
    <r>
      <rPr>
        <sz val="14"/>
        <color theme="1"/>
        <rFont val="Calibri"/>
        <family val="2"/>
        <scheme val="minor"/>
      </rPr>
      <t>Estado Documental Sistema de Gestión</t>
    </r>
    <r>
      <rPr>
        <u/>
        <sz val="14"/>
        <color theme="1"/>
        <rFont val="Calibri"/>
        <family val="2"/>
        <scheme val="minor"/>
      </rPr>
      <t xml:space="preserve">
http://isolucionpro.dane.gov.co/Isolucion40Dane/Documentacion/frmArticuloMenu.aspx?DocumentCreationType=
SIO-040-GUI-001</t>
    </r>
  </si>
  <si>
    <r>
      <rPr>
        <sz val="14"/>
        <color theme="1"/>
        <rFont val="Calibri"/>
        <family val="2"/>
        <scheme val="minor"/>
      </rPr>
      <t>Estado Documental Sistema de Gestión
Modulo SST 312</t>
    </r>
    <r>
      <rPr>
        <u/>
        <sz val="14"/>
        <color theme="1"/>
        <rFont val="Calibri"/>
        <family val="2"/>
        <scheme val="minor"/>
      </rPr>
      <t xml:space="preserve">
http://isolucionpro.dane.gov.co/Isolucion40Dane/Homes/HomeSistemas.aspx?CodSistemaGestion=112</t>
    </r>
  </si>
  <si>
    <t xml:space="preserve">Actas, presentaciones (No vienen ni las actas, ni presentaciones)
Anexos de revisión de calidad de datos.
Ejercicio inflactor energía
Ejercicio inflactor petróleo
Formato solicitud de información gas-acueducto
Formato solicitud de información gas distribuido
</t>
  </si>
  <si>
    <t>Listados de invitados, cartas proyectadas, versión preliminar ppt y versión preliminar ddas insatisfecha…No hay ninguna de estas evidencias</t>
  </si>
  <si>
    <t xml:space="preserve">Mesa Agropecuaria: No hay evidencias 
Mesa de servicios públicos: No hay evidencias 
Mesa Étnica: No hay evidencias </t>
  </si>
  <si>
    <t>No vienen las ecvidencias dentro de cada carpeta
Fichas antigüas por asignar
Revisión asesoras
Revisión DT</t>
  </si>
  <si>
    <r>
      <rPr>
        <b/>
        <sz val="14"/>
        <color theme="1"/>
        <rFont val="Calibri"/>
        <family val="2"/>
        <scheme val="minor"/>
      </rPr>
      <t>Brochure de los cursos y listado de personas inscritas:</t>
    </r>
    <r>
      <rPr>
        <sz val="14"/>
        <color theme="1"/>
        <rFont val="Calibri"/>
        <family val="2"/>
        <scheme val="minor"/>
      </rPr>
      <t xml:space="preserve">
-Brochure Curso Evaluacion Calidad Estadistica
-Brochure Curso Fortalecimiento
-Brochure Curso Proceso Estadistico
-Brochure diseño, construcción e interpretación de indicadores
-Brochure Enfoque diferencial e interseccional en la producción estadística
-Brochure Planificación Estadística, formulación y ejecución de planes estadísticos
- INSCRITOS CURSOS VIRTUALES 7_9 JULIO
- INSCRITOS CURSOS VIRTUALES 7_9 JULIO CON REQUERIMIENTOS
- INSCRITOS A CURSOS VIRTUALES QUE INICIAN EL 19 DE JIULIO pasar a PDF o Excel</t>
    </r>
  </si>
  <si>
    <t>Pantallazos módulos 
EDIPE, POLITICA y SETE
No vienen evidencias</t>
  </si>
  <si>
    <t>Correo de respuesta al DAFP, junto con matrices revisadas:
2021_08_25_MatrizX_GEstadística_DANE
GEstadística_entidades_ámbito_2021_DANE</t>
  </si>
  <si>
    <t>Extracto informes finales de evaluación operaciones estadísticas: 1. Balance de Masa Glaciar (esta en control de cambios y el encabezado de este seguimiento dice informe final) 2. Estadísticas de Monitoreo y Seguimiento al RUA Manufacturero en  Colombia, 3. Estadísticas de los Espectáculos Públicos de las Artes Escénicas y 4. Censo de Coordenada Urbana.</t>
  </si>
  <si>
    <t xml:space="preserve">Presentación revisión sistémica para responsables operaciones estadísticas de comercio exterior
Encuesta a usuarios CE
Instrumento4Dimensiones_CE
Link formularios en forms </t>
  </si>
  <si>
    <t>Correlativas publicadas y en avance
*CPC 2.1 A.C. vs CPC 2.1. Internacional
*CPC 2.1 Internacional vs CPC 2.1 A.C.
*Arancel vs SCN versión 41
*ICCS Internacional vs ICCS A.C.
*Correspondencia ICCS A.C. vs Código penal colombiano
*TOTPART-v71
*ARANCEL-vs-SCN-v42
*CORARAN-v48</t>
  </si>
  <si>
    <t>Reuniones con los equipos de trabajo
Formatos diligenciados con las necesidades de información
No hay evidencias</t>
  </si>
  <si>
    <r>
      <rPr>
        <sz val="14"/>
        <color theme="1"/>
        <rFont val="Calibri"/>
        <family val="2"/>
        <scheme val="minor"/>
      </rPr>
      <t>Se adjunta pantallazo de correo de la convocatoria a la reunión, pantallazo de la presentación  y de los asistentes.</t>
    </r>
    <r>
      <rPr>
        <u/>
        <sz val="14"/>
        <color theme="1"/>
        <rFont val="Calibri"/>
        <family val="2"/>
        <scheme val="minor"/>
      </rPr>
      <t xml:space="preserve">
</t>
    </r>
  </si>
  <si>
    <t xml:space="preserve">Propuesta metodológica -Autocen Comu Negras, afro, Rai, Palen.docx_02092021
Propuesta formulario Comunidades Negras- Afro-List Censa_02092021
</t>
  </si>
  <si>
    <r>
      <rPr>
        <sz val="14"/>
        <color theme="1"/>
        <rFont val="Calibri"/>
        <family val="2"/>
        <scheme val="minor"/>
      </rPr>
      <t>Sistema de Monitoreo y control 
Censo Nacional Minero - CNM 2021</t>
    </r>
    <r>
      <rPr>
        <u/>
        <sz val="14"/>
        <color theme="1"/>
        <rFont val="Calibri"/>
        <family val="2"/>
        <scheme val="minor"/>
      </rPr>
      <t xml:space="preserve">
</t>
    </r>
  </si>
  <si>
    <t xml:space="preserve">Guía con los lineamientos para la implementación de un marco de aseguramiento de la calidad
</t>
  </si>
  <si>
    <t xml:space="preserve">Informes mensuales y listados de asistencia a capacitaciones
</t>
  </si>
  <si>
    <t>Al tercer trimestres se tienen publicadas las siguientes correlativas:
*CPC 2.1 A.C. vs CPC 2.1. Internacional
*CPC 2.1 Internacional vs CPC 2.1 A.C.
*Arancel vs SCN versión 41
*ICCS Internacional vs ICCS A.C.
*Correspondencia ICCS A.C. vs Código penal colombiano
*TOTPART-v71
*ARANCEL-vs-SCN-v42
*CORARAN-v48
Se está trabajando en: 
*Correlativa de Productos Residuales
*Correlativa de Residuos
*Correlativa RESPEL
*CUODE vs CGCE</t>
  </si>
  <si>
    <t>Documento mantenimiento CIIU en elaboración</t>
  </si>
  <si>
    <t>Presentaciones realizadas, listas de asistencias y  documento revisados</t>
  </si>
  <si>
    <t xml:space="preserve">Presentaciones y lista de asistencias </t>
  </si>
  <si>
    <t xml:space="preserve"> Actas de las 23 reuniones de las salas especializadas del CASEN a corte 30 de septiembre de 2021. </t>
  </si>
  <si>
    <r>
      <rPr>
        <b/>
        <sz val="14"/>
        <color theme="1" tint="4.9989318521683403E-2"/>
        <rFont val="Segoe UI"/>
      </rPr>
      <t>CEED</t>
    </r>
    <r>
      <rPr>
        <sz val="14"/>
        <color theme="1" tint="4.9989318521683403E-2"/>
        <rFont val="Segoe UI"/>
      </rPr>
      <t xml:space="preserve">
1.	Envió del Plan general del CEED a revisión del Director general.
2.	Envió de la metodología  del CEED a revisión del Director general.
3.	Envió de la ficha metodológica del CEED a revisión del Director general.
</t>
    </r>
    <r>
      <rPr>
        <b/>
        <sz val="14"/>
        <color theme="1" tint="4.9989318521683403E-2"/>
        <rFont val="Segoe UI"/>
      </rPr>
      <t>FIVI</t>
    </r>
    <r>
      <rPr>
        <sz val="14"/>
        <color theme="1" tint="4.9989318521683403E-2"/>
        <rFont val="Segoe UI"/>
      </rPr>
      <t xml:space="preserve">
1.	Envió del Plan general de FIVI  a revisión del Director general.
2.	Envió de la metodología de FIVI a revisión del Director general.
3.	Envió de la ficha metodológica de FIVI a revisión del Director general.
4.	Documento “Plan de pruebas” de FIVI aprobado en Isolucion.
5.	Documento “Procedimiento de análisis de contexto, coherencia y consistencia” de FIVI aprobado en Isolucion.
</t>
    </r>
    <r>
      <rPr>
        <b/>
        <sz val="14"/>
        <color theme="1" tint="4.9989318521683403E-2"/>
        <rFont val="Segoe UI"/>
      </rPr>
      <t>CHV</t>
    </r>
    <r>
      <rPr>
        <sz val="14"/>
        <color theme="1" tint="4.9989318521683403E-2"/>
        <rFont val="Segoe UI"/>
      </rPr>
      <t xml:space="preserve">
1.	Envió a pares técnicos plan general de CHV
2.	Envió de la metodología de CHV a revisión del Director general.
3.	Envió de la ficha metodológica de CHV a revisión del Director general.
4.	Documento “Cuadro de salidas” de CHV aprobado en Isolucion.
</t>
    </r>
    <r>
      <rPr>
        <b/>
        <sz val="14"/>
        <color theme="1" tint="4.9989318521683403E-2"/>
        <rFont val="Segoe UI"/>
      </rPr>
      <t>EC</t>
    </r>
    <r>
      <rPr>
        <sz val="14"/>
        <color theme="1" tint="4.9989318521683403E-2"/>
        <rFont val="Segoe UI"/>
      </rPr>
      <t xml:space="preserve">
1.	Envió del Plan general de EC  a revisión del Director general.
2.	Envió de la metodología de EC a revisión del Director general.
3.	Envió de la ficha metodológica de EC a revisión del Director general.
4.	Documento “Modelo funcional” de EC aprobado en Isolucion.
5.	Procedimiento “Planear y coordinar” de EC aprobado en Isolucion.
6.	Procedimiento “Análisis y contexto” de EC aprobado para cargar en Isolucion.
</t>
    </r>
    <r>
      <rPr>
        <b/>
        <sz val="14"/>
        <color theme="1" tint="4.9989318521683403E-2"/>
        <rFont val="Segoe UI"/>
      </rPr>
      <t xml:space="preserve">ECG
</t>
    </r>
    <r>
      <rPr>
        <sz val="14"/>
        <color theme="1" tint="4.9989318521683403E-2"/>
        <rFont val="Segoe UI"/>
      </rPr>
      <t xml:space="preserve">1.	Envió del Plan general de ECG  para ajustes del temático resultado de revisión de comité técnico.
2.	Envió de la metodología de ECG para ajustes del temático resultado de revisión de comité técnico.
3.	Envió de la ficha metodológica de ECG para ajustes del temático resultado de revisión de comité técnico.
4.	Procedimiento “Análisis y contexto” de ECG aprobado en Isolucion.
5.	Documento “Modelo funcional” de ECG aprobado en Isolucion.
6.	Documento “Descripción Modelo funcional” de ECG aprobado en Isolucion.
7.	Procedimiento “Planear y coordinar” de ECG aprobado en Isolucion.
</t>
    </r>
    <r>
      <rPr>
        <b/>
        <sz val="14"/>
        <color theme="1" tint="4.9989318521683403E-2"/>
        <rFont val="Segoe UI"/>
      </rPr>
      <t xml:space="preserve">ELIC
</t>
    </r>
    <r>
      <rPr>
        <sz val="14"/>
        <color theme="1" tint="4.9989318521683403E-2"/>
        <rFont val="Segoe UI"/>
      </rPr>
      <t xml:space="preserve">1.	Envió a pares técnicos plan general de ELIC
2.	Envió de la metodología de ECG para ajustes del temático resultado de revisión de pares técnicos.
3.	Envió de la ficha metodológica de ECG para ajustes del temático resultado de revisión de  pares técnicos.
4.	Documento “Diccionario de datos” de ELIC  para cargar en Isolucion.
</t>
    </r>
    <r>
      <rPr>
        <b/>
        <sz val="14"/>
        <color theme="1" tint="4.9989318521683403E-2"/>
        <rFont val="Segoe UI"/>
      </rPr>
      <t xml:space="preserve">IPOC
</t>
    </r>
    <r>
      <rPr>
        <sz val="14"/>
        <color theme="1" tint="4.9989318521683403E-2"/>
        <rFont val="Segoe UI"/>
      </rPr>
      <t>1.	Envió del Plan general de IPOC para ajustes del temático resultado de revisión de coordinación GIT infraestructura.</t>
    </r>
  </si>
  <si>
    <r>
      <t>ENA-ESAG-ENAM-SIPSA</t>
    </r>
    <r>
      <rPr>
        <sz val="14"/>
        <color theme="1" tint="4.9989318521683403E-2"/>
        <rFont val="Segoe UI"/>
      </rPr>
      <t xml:space="preserve"> Esta Matriz se actualiza mensualmente, para el correspondiente análisis</t>
    </r>
  </si>
  <si>
    <r>
      <t xml:space="preserve">ESAG. </t>
    </r>
    <r>
      <rPr>
        <sz val="14"/>
        <color theme="1" tint="4.9989318521683403E-2"/>
        <rFont val="Segoe UI"/>
      </rPr>
      <t>Acta_14 sistemas_desarrollo ESAG 7
Acta_15 sistemas_desarrollo ESAG 8
Acta_16 sistemas_desarrollo ESAG 9
Acta_17sistemas_desarrollo ESAG 10
Acta_18 sistemas_desarrollo ESAG 11
Acta_19 sistemas_desarrollo ESAG 12</t>
    </r>
    <r>
      <rPr>
        <b/>
        <sz val="14"/>
        <color theme="1" tint="4.9989318521683403E-2"/>
        <rFont val="Segoe UI"/>
      </rPr>
      <t xml:space="preserve">
ENA.  </t>
    </r>
    <r>
      <rPr>
        <sz val="14"/>
        <color theme="1" tint="4.9989318521683403E-2"/>
        <rFont val="Segoe UI"/>
      </rPr>
      <t xml:space="preserve">Plan de trabajo Carta de acuerdo 025 DANE-FONDANE. 2309020 FAO </t>
    </r>
  </si>
  <si>
    <r>
      <t>ESAG.</t>
    </r>
    <r>
      <rPr>
        <sz val="14"/>
        <color theme="1" tint="4.9989318521683403E-2"/>
        <rFont val="Segoe UI"/>
      </rPr>
      <t xml:space="preserve"> Se anexa la base de datos de equinos. Esta base se ha recolectado a través de un formulario en Excel en las cuatro fuentes que realizan sacrificio de estas especies en el país,.</t>
    </r>
  </si>
  <si>
    <r>
      <t>ESAG.</t>
    </r>
    <r>
      <rPr>
        <sz val="14"/>
        <color theme="1" tint="4.9989318521683403E-2"/>
        <rFont val="Segoe UI"/>
      </rPr>
      <t xml:space="preserve">  • Equinos agosto20_julio2021</t>
    </r>
  </si>
  <si>
    <r>
      <t>ESAG</t>
    </r>
    <r>
      <rPr>
        <sz val="14"/>
        <color theme="1" tint="4.9989318521683403E-2"/>
        <rFont val="Segoe UI"/>
      </rPr>
      <t>. Se han procesado y publicado en este trimestre los meses de junio, julio y agosto de 2021</t>
    </r>
  </si>
  <si>
    <r>
      <t>ESAG.</t>
    </r>
    <r>
      <rPr>
        <sz val="14"/>
        <color theme="1" tint="4.9989318521683403E-2"/>
        <rFont val="Segoe UI"/>
      </rPr>
      <t xml:space="preserve">
Reporte_mensual_jun_2021
Reporte_mensual_jul_2021
Reporte_mensual_ago_2021</t>
    </r>
  </si>
  <si>
    <r>
      <t>ESAG.</t>
    </r>
    <r>
      <rPr>
        <sz val="14"/>
        <color theme="1" tint="4.9989318521683403E-2"/>
        <rFont val="Segoe UI"/>
      </rPr>
      <t xml:space="preserve"> Se han analizado y publicado los meses de junio, julio y agosto de 2021 las publicaciones programadas para esta vigencia</t>
    </r>
  </si>
  <si>
    <t xml:space="preserve">SEGUIMIENTO I TRIMESTRE                           </t>
  </si>
  <si>
    <t xml:space="preserve">SEGUIMIENTO III TRIMESTRE      </t>
  </si>
  <si>
    <t>DEPARTAMENTO ADMINISTRATIVO NACIONAL DE ESTADÍSTICA
 PLAN DE ACCIÓN INSTITUCIONAL 2021
SEGUIMIENTO - III TRIMESTRE</t>
  </si>
  <si>
    <t>RESPONSABLES</t>
  </si>
  <si>
    <t>ID</t>
  </si>
  <si>
    <t>ÁREA RESPONSABLE</t>
  </si>
  <si>
    <t>Secretaria General - GIT Gestión Administrativa</t>
  </si>
  <si>
    <t>Secretaria General - GIT Financiera</t>
  </si>
  <si>
    <t>Secretaria General - GIT Gestión Humana</t>
  </si>
  <si>
    <t>Dirección de Metodología y Producción Estadística - DIMPE</t>
  </si>
  <si>
    <t>DEPARTAMENTO ADMINISTRATIVO NACIONAL DE ESTADÍSTICA
 PLAN OPERATIVO 2021
SEGUIMIENTO - III TRIMESTRE</t>
  </si>
  <si>
    <t xml:space="preserve">Censo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</si>
</sst>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dd/mm/yyyy;@"/>
    <numFmt numFmtId="167" formatCode="0.0%"/>
    <numFmt numFmtId="168" formatCode="_-* #,##0.000_-;\-* #,##0.000_-;_-* &quot;-&quot;??_-;_-@_-"/>
    <numFmt numFmtId="169" formatCode="_(&quot;$&quot;\ * #,##0.00_);_(&quot;$&quot;\ * \(#,##0.00\);_(&quot;$&quot;\ * &quot;-&quot;??_);_(@_)"/>
    <numFmt numFmtId="170" formatCode="_-&quot;$&quot;\ * #,##0_-;\-&quot;$&quot;\ * #,##0_-;_-&quot;$&quot;\ * &quot;-&quot;??_-;_-@_-"/>
    <numFmt numFmtId="171" formatCode="_(&quot;$ &quot;* #,##0.00_);_(&quot;$ &quot;* \(#,##0.00\);_(&quot;$ &quot;* \-??_);_(@_)"/>
    <numFmt numFmtId="172" formatCode="_(&quot;$ &quot;* #,##0_);_(&quot;$ &quot;* \(#,##0\);_(&quot;$ &quot;* \-??_);_(@_)"/>
    <numFmt numFmtId="173" formatCode="[$$-240A]\ #,##0"/>
    <numFmt numFmtId="174" formatCode="_-[$$-240A]\ * #,##0_-;\-[$$-240A]\ * #,##0_-;_-[$$-240A]\ * &quot;-&quot;??_-;_-@_-"/>
    <numFmt numFmtId="175" formatCode="_-[$$-240A]\ * #,##0.00_-;\-[$$-240A]\ * #,##0.00_-;_-[$$-240A]\ * &quot;-&quot;??_-;_-@_-"/>
    <numFmt numFmtId="176" formatCode="_-&quot;$&quot;* #,##0_-;\-&quot;$&quot;* #,##0_-;_-&quot;$&quot;* &quot;-&quot;??_-;_-@_-"/>
    <numFmt numFmtId="177" formatCode="&quot;$&quot;#,##0;[Red]&quot;-&quot;&quot;$&quot;#,##0"/>
    <numFmt numFmtId="178" formatCode="_(&quot;$&quot;\ * #,##0_);_(&quot;$&quot;\ * \(#,##0\);_(&quot;$&quot;\ * &quot;-&quot;??_);_(@_)"/>
    <numFmt numFmtId="179" formatCode="[$$-240A]&quot; &quot;#,##0"/>
    <numFmt numFmtId="180" formatCode="&quot;$&quot;#,##0"/>
    <numFmt numFmtId="181" formatCode="&quot;$&quot;\ #,##0"/>
    <numFmt numFmtId="182" formatCode="_(&quot;$&quot;* #,##0.00_);_(&quot;$&quot;* \(#,##0.00\);_(&quot;$&quot;* &quot;-&quot;??_);_(@_)"/>
    <numFmt numFmtId="183" formatCode="_(&quot;$&quot;* #,##0_);_(&quot;$&quot;* \(#,##0\);_(&quot;$&quot;* &quot;-&quot;??_);_(@_)"/>
  </numFmts>
  <fonts count="69" x14ac:knownFonts="1">
    <font>
      <sz val="11"/>
      <color theme="1"/>
      <name val="Calibri"/>
      <family val="2"/>
      <scheme val="minor"/>
    </font>
    <font>
      <sz val="11"/>
      <color theme="1"/>
      <name val="Calibri"/>
      <family val="2"/>
      <scheme val="minor"/>
    </font>
    <font>
      <sz val="12"/>
      <color theme="1"/>
      <name val="Calibri"/>
      <family val="2"/>
      <scheme val="minor"/>
    </font>
    <font>
      <sz val="12"/>
      <color rgb="FF000000"/>
      <name val="Calibri"/>
      <family val="2"/>
      <charset val="1"/>
    </font>
    <font>
      <sz val="11"/>
      <color rgb="FF000000"/>
      <name val="Calibri"/>
      <family val="2"/>
      <charset val="1"/>
    </font>
    <font>
      <u/>
      <sz val="11"/>
      <color rgb="FF0563C1"/>
      <name val="Calibri"/>
      <family val="2"/>
      <scheme val="minor"/>
    </font>
    <font>
      <sz val="14"/>
      <color theme="1"/>
      <name val="Calibri"/>
      <family val="2"/>
      <scheme val="minor"/>
    </font>
    <font>
      <b/>
      <sz val="14"/>
      <color theme="0"/>
      <name val="Segoe UI"/>
    </font>
    <font>
      <sz val="14"/>
      <color theme="1"/>
      <name val="Segoe UI"/>
    </font>
    <font>
      <b/>
      <sz val="14"/>
      <color theme="1"/>
      <name val="Segoe UI"/>
    </font>
    <font>
      <u/>
      <sz val="11"/>
      <color theme="10"/>
      <name val="Calibri"/>
      <family val="2"/>
      <scheme val="minor"/>
    </font>
    <font>
      <u/>
      <sz val="12"/>
      <color theme="10"/>
      <name val="Calibri"/>
      <family val="2"/>
      <scheme val="minor"/>
    </font>
    <font>
      <u/>
      <sz val="12"/>
      <color rgb="FF0563C1"/>
      <name val="Calibri"/>
      <family val="2"/>
      <charset val="1"/>
    </font>
    <font>
      <b/>
      <sz val="14"/>
      <color rgb="FF000000"/>
      <name val="Segoe UI"/>
    </font>
    <font>
      <b/>
      <sz val="14"/>
      <name val="Segoe UI"/>
    </font>
    <font>
      <b/>
      <sz val="14"/>
      <color theme="1"/>
      <name val="Calibri"/>
      <family val="2"/>
      <scheme val="minor"/>
    </font>
    <font>
      <b/>
      <sz val="14"/>
      <color rgb="FF000000"/>
      <name val="Calibri"/>
      <family val="2"/>
      <scheme val="minor"/>
    </font>
    <font>
      <b/>
      <sz val="14"/>
      <name val="Calibri"/>
      <family val="2"/>
      <scheme val="minor"/>
    </font>
    <font>
      <b/>
      <sz val="14"/>
      <color rgb="FF9C0006"/>
      <name val="Calibri"/>
      <family val="2"/>
      <scheme val="minor"/>
    </font>
    <font>
      <b/>
      <sz val="14"/>
      <color rgb="FF9C5700"/>
      <name val="Calibri"/>
      <family val="2"/>
      <scheme val="minor"/>
    </font>
    <font>
      <b/>
      <sz val="14"/>
      <color theme="1"/>
      <name val="Segoe UI"/>
      <family val="2"/>
    </font>
    <font>
      <b/>
      <sz val="14"/>
      <color rgb="FF000000"/>
      <name val="Calibri"/>
      <family val="2"/>
    </font>
    <font>
      <b/>
      <sz val="14"/>
      <color rgb="FF002060"/>
      <name val="Calibri"/>
      <family val="2"/>
      <scheme val="minor"/>
    </font>
    <font>
      <b/>
      <sz val="9"/>
      <color indexed="81"/>
      <name val="Tahoma"/>
      <family val="2"/>
    </font>
    <font>
      <sz val="9"/>
      <color indexed="81"/>
      <name val="Tahoma"/>
      <family val="2"/>
    </font>
    <font>
      <b/>
      <sz val="14"/>
      <color theme="1" tint="4.9989318521683403E-2"/>
      <name val="Segoe UI"/>
    </font>
    <font>
      <b/>
      <sz val="14"/>
      <color theme="1"/>
      <name val="Calibri"/>
      <family val="2"/>
    </font>
    <font>
      <sz val="48"/>
      <color theme="1"/>
      <name val="Segoe UI"/>
    </font>
    <font>
      <sz val="14"/>
      <color theme="1"/>
      <name val="Segoe UI"/>
      <family val="2"/>
    </font>
    <font>
      <u/>
      <sz val="14"/>
      <color theme="10"/>
      <name val="Calibri"/>
      <family val="2"/>
      <scheme val="minor"/>
    </font>
    <font>
      <sz val="14"/>
      <color rgb="FF000000"/>
      <name val="Calibri"/>
      <family val="2"/>
      <scheme val="minor"/>
    </font>
    <font>
      <sz val="14"/>
      <color rgb="FF000000"/>
      <name val="Segoe UI"/>
    </font>
    <font>
      <sz val="14"/>
      <color rgb="FF000000"/>
      <name val="Segoe UI"/>
      <family val="2"/>
      <charset val="1"/>
    </font>
    <font>
      <sz val="14"/>
      <color rgb="FF9C5700"/>
      <name val="Calibri"/>
      <family val="2"/>
      <scheme val="minor"/>
    </font>
    <font>
      <sz val="14"/>
      <color rgb="FF9C0006"/>
      <name val="Calibri"/>
      <family val="2"/>
      <scheme val="minor"/>
    </font>
    <font>
      <sz val="14"/>
      <color theme="1"/>
      <name val="Times New Roman"/>
      <family val="1"/>
    </font>
    <font>
      <sz val="14"/>
      <name val="Calibri"/>
      <family val="2"/>
      <scheme val="minor"/>
    </font>
    <font>
      <sz val="14"/>
      <name val="Segoe UI"/>
    </font>
    <font>
      <sz val="14"/>
      <name val="Segoe UI"/>
      <family val="2"/>
    </font>
    <font>
      <sz val="14"/>
      <color theme="1"/>
      <name val="Calibri Light"/>
      <family val="2"/>
      <scheme val="major"/>
    </font>
    <font>
      <u/>
      <sz val="14"/>
      <color theme="10"/>
      <name val="Calibri Light"/>
      <family val="2"/>
      <scheme val="major"/>
    </font>
    <font>
      <sz val="14"/>
      <color rgb="FF002060"/>
      <name val="Calibri"/>
      <family val="2"/>
      <scheme val="minor"/>
    </font>
    <font>
      <sz val="14"/>
      <name val="Segoe UI"/>
      <family val="2"/>
      <charset val="1"/>
    </font>
    <font>
      <sz val="14"/>
      <color rgb="FFFF0000"/>
      <name val="Segoe UI"/>
      <family val="2"/>
    </font>
    <font>
      <sz val="14"/>
      <color rgb="FFFF0000"/>
      <name val="Calibri"/>
      <family val="2"/>
      <scheme val="minor"/>
    </font>
    <font>
      <u/>
      <sz val="14"/>
      <color theme="1"/>
      <name val="Calibri"/>
      <family val="2"/>
      <scheme val="minor"/>
    </font>
    <font>
      <b/>
      <u/>
      <sz val="14"/>
      <color theme="1"/>
      <name val="Calibri"/>
      <family val="2"/>
      <scheme val="minor"/>
    </font>
    <font>
      <u/>
      <sz val="14"/>
      <color theme="1"/>
      <name val="Segoe UI"/>
      <family val="2"/>
    </font>
    <font>
      <sz val="14"/>
      <color rgb="FF000000"/>
      <name val="Segoe UI"/>
      <family val="2"/>
    </font>
    <font>
      <b/>
      <sz val="14"/>
      <color rgb="FF000000"/>
      <name val="Segoe UI"/>
      <family val="2"/>
      <charset val="1"/>
    </font>
    <font>
      <b/>
      <sz val="14"/>
      <name val="Segoe UI"/>
      <family val="2"/>
      <charset val="1"/>
    </font>
    <font>
      <sz val="14"/>
      <color rgb="FF000000"/>
      <name val="Calibri"/>
      <family val="2"/>
      <charset val="1"/>
    </font>
    <font>
      <u/>
      <sz val="14"/>
      <color rgb="FF0563C1"/>
      <name val="Calibri"/>
      <family val="2"/>
      <charset val="1"/>
    </font>
    <font>
      <sz val="14"/>
      <color theme="4" tint="-0.499984740745262"/>
      <name val="Calibri"/>
      <family val="2"/>
      <scheme val="minor"/>
    </font>
    <font>
      <sz val="14"/>
      <name val="Calibri"/>
      <family val="2"/>
      <charset val="1"/>
    </font>
    <font>
      <sz val="14"/>
      <color theme="1"/>
      <name val="Segoe UI"/>
      <family val="2"/>
      <charset val="1"/>
    </font>
    <font>
      <sz val="14"/>
      <color rgb="FFFF0000"/>
      <name val="Segoe UI"/>
      <family val="2"/>
      <charset val="1"/>
    </font>
    <font>
      <sz val="14"/>
      <color rgb="FF000000"/>
      <name val="Calibri"/>
      <family val="2"/>
    </font>
    <font>
      <sz val="14"/>
      <color theme="1"/>
      <name val="Calibri"/>
      <family val="2"/>
    </font>
    <font>
      <b/>
      <sz val="14"/>
      <color rgb="FFFFFFFF"/>
      <name val="Segoe UI"/>
    </font>
    <font>
      <sz val="14"/>
      <color theme="1" tint="4.9989318521683403E-2"/>
      <name val="Segoe UI"/>
    </font>
    <font>
      <u/>
      <sz val="14"/>
      <color theme="1" tint="4.9989318521683403E-2"/>
      <name val="Segoe UI"/>
    </font>
    <font>
      <b/>
      <sz val="16"/>
      <color theme="1"/>
      <name val="Segoe UI"/>
      <family val="2"/>
    </font>
    <font>
      <b/>
      <sz val="14"/>
      <name val="Segoe UI"/>
      <family val="2"/>
    </font>
    <font>
      <b/>
      <sz val="14"/>
      <color theme="0"/>
      <name val="Segoe UI"/>
      <family val="2"/>
    </font>
    <font>
      <b/>
      <sz val="16"/>
      <color theme="0"/>
      <name val="Segoe UI"/>
      <family val="2"/>
    </font>
    <font>
      <b/>
      <sz val="18"/>
      <color theme="1"/>
      <name val="Segoe UI"/>
      <family val="2"/>
    </font>
    <font>
      <b/>
      <sz val="12"/>
      <color theme="1"/>
      <name val="Calibri"/>
      <family val="2"/>
      <scheme val="minor"/>
    </font>
    <font>
      <b/>
      <sz val="14"/>
      <color theme="1" tint="4.9989318521683403E-2"/>
      <name val="Segoe UI"/>
      <family val="2"/>
    </font>
  </fonts>
  <fills count="53">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tint="-4.9989318521683403E-2"/>
        <bgColor rgb="FFD6DCE4"/>
      </patternFill>
    </fill>
    <fill>
      <patternFill patternType="solid">
        <fgColor theme="0" tint="-4.9989318521683403E-2"/>
        <bgColor rgb="FFE2F0D9"/>
      </patternFill>
    </fill>
    <fill>
      <patternFill patternType="solid">
        <fgColor theme="0" tint="-4.9989318521683403E-2"/>
        <bgColor rgb="FFDEEBF7"/>
      </patternFill>
    </fill>
    <fill>
      <patternFill patternType="solid">
        <fgColor theme="0" tint="-4.9989318521683403E-2"/>
        <bgColor rgb="FFF2F2F2"/>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4" tint="0.79998168889431442"/>
        <bgColor rgb="FFFCE4D6"/>
      </patternFill>
    </fill>
    <fill>
      <patternFill patternType="solid">
        <fgColor theme="4" tint="0.79998168889431442"/>
        <bgColor rgb="FFD6DCE4"/>
      </patternFill>
    </fill>
    <fill>
      <patternFill patternType="solid">
        <fgColor theme="9" tint="0.79998168889431442"/>
        <bgColor rgb="FF000000"/>
      </patternFill>
    </fill>
    <fill>
      <patternFill patternType="solid">
        <fgColor theme="7" tint="-0.499984740745262"/>
        <bgColor indexed="64"/>
      </patternFill>
    </fill>
    <fill>
      <patternFill patternType="solid">
        <fgColor theme="7" tint="0.79998168889431442"/>
        <bgColor rgb="FF000000"/>
      </patternFill>
    </fill>
    <fill>
      <patternFill patternType="solid">
        <fgColor theme="3" tint="-0.499984740745262"/>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0" tint="-0.14999847407452621"/>
        <bgColor rgb="FF000000"/>
      </patternFill>
    </fill>
    <fill>
      <patternFill patternType="solid">
        <fgColor theme="0" tint="-0.14999847407452621"/>
        <bgColor rgb="FFF2F2F2"/>
      </patternFill>
    </fill>
    <fill>
      <patternFill patternType="solid">
        <fgColor theme="0" tint="-0.14999847407452621"/>
        <bgColor rgb="FFD6DCE4"/>
      </patternFill>
    </fill>
    <fill>
      <patternFill patternType="solid">
        <fgColor theme="4" tint="0.39997558519241921"/>
        <bgColor indexed="64"/>
      </patternFill>
    </fill>
    <fill>
      <patternFill patternType="solid">
        <fgColor theme="4" tint="0.39997558519241921"/>
        <bgColor rgb="FF000000"/>
      </patternFill>
    </fill>
    <fill>
      <patternFill patternType="solid">
        <fgColor theme="4" tint="0.39997558519241921"/>
        <bgColor rgb="FFDDEBF7"/>
      </patternFill>
    </fill>
    <fill>
      <patternFill patternType="solid">
        <fgColor theme="9" tint="0.79998168889431442"/>
        <bgColor indexed="64"/>
      </patternFill>
    </fill>
    <fill>
      <patternFill patternType="solid">
        <fgColor theme="9" tint="0.79998168889431442"/>
        <bgColor rgb="FFD6DCE4"/>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9" tint="0.39997558519241921"/>
        <bgColor rgb="FFDDEBF7"/>
      </patternFill>
    </fill>
    <fill>
      <patternFill patternType="solid">
        <fgColor theme="7" tint="0.79998168889431442"/>
        <bgColor indexed="64"/>
      </patternFill>
    </fill>
    <fill>
      <patternFill patternType="solid">
        <fgColor theme="7" tint="0.79998168889431442"/>
        <bgColor rgb="FFFFEB9C"/>
      </patternFill>
    </fill>
    <fill>
      <patternFill patternType="solid">
        <fgColor theme="7" tint="0.79998168889431442"/>
        <bgColor rgb="FFD6DCE4"/>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7" tint="0.39997558519241921"/>
        <bgColor rgb="FFDDEBF7"/>
      </patternFill>
    </fill>
    <fill>
      <patternFill patternType="solid">
        <fgColor theme="0" tint="-0.14999847407452621"/>
        <bgColor rgb="FFE2F0D9"/>
      </patternFill>
    </fill>
    <fill>
      <patternFill patternType="solid">
        <fgColor theme="0" tint="-0.14999847407452621"/>
        <bgColor rgb="FFDEEBF7"/>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3" tint="-0.249977111117893"/>
        <bgColor rgb="FF000000"/>
      </patternFill>
    </fill>
    <fill>
      <patternFill patternType="solid">
        <fgColor rgb="FF00B050"/>
        <bgColor indexed="64"/>
      </patternFill>
    </fill>
    <fill>
      <patternFill patternType="solid">
        <fgColor rgb="FF92D050"/>
        <bgColor indexed="64"/>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6" tint="0.59999389629810485"/>
        <bgColor rgb="FFFCE4D6"/>
      </patternFill>
    </fill>
    <fill>
      <patternFill patternType="solid">
        <fgColor theme="6" tint="0.59999389629810485"/>
        <bgColor rgb="FFDDEBF7"/>
      </patternFill>
    </fill>
    <fill>
      <patternFill patternType="solid">
        <fgColor rgb="FF92D050"/>
        <bgColor rgb="FF000000"/>
      </patternFill>
    </fill>
    <fill>
      <patternFill patternType="solid">
        <fgColor theme="6" tint="0.39997558519241921"/>
        <bgColor rgb="FF000000"/>
      </patternFill>
    </fill>
    <fill>
      <patternFill patternType="solid">
        <fgColor theme="6" tint="0.39997558519241921"/>
        <bgColor indexed="64"/>
      </patternFill>
    </fill>
  </fills>
  <borders count="17">
    <border>
      <left/>
      <right/>
      <top/>
      <bottom/>
      <diagonal/>
    </border>
    <border>
      <left style="dashed">
        <color theme="0"/>
      </left>
      <right style="dashed">
        <color theme="0"/>
      </right>
      <top style="dashed">
        <color theme="0"/>
      </top>
      <bottom style="dashed">
        <color theme="0"/>
      </bottom>
      <diagonal/>
    </border>
    <border>
      <left style="dashed">
        <color theme="0"/>
      </left>
      <right/>
      <top style="dashed">
        <color theme="0"/>
      </top>
      <bottom style="dashed">
        <color theme="0"/>
      </bottom>
      <diagonal/>
    </border>
    <border>
      <left/>
      <right/>
      <top style="dashed">
        <color theme="0"/>
      </top>
      <bottom style="dashed">
        <color theme="0"/>
      </bottom>
      <diagonal/>
    </border>
    <border>
      <left/>
      <right style="dashed">
        <color theme="0"/>
      </right>
      <top style="dashed">
        <color theme="0"/>
      </top>
      <bottom style="dashed">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diagonal/>
    </border>
    <border>
      <left/>
      <right style="thin">
        <color theme="0"/>
      </right>
      <top style="thin">
        <color theme="0"/>
      </top>
      <bottom/>
      <diagonal/>
    </border>
    <border>
      <left style="dashed">
        <color theme="0"/>
      </left>
      <right style="dashed">
        <color theme="0"/>
      </right>
      <top style="dashed">
        <color theme="0"/>
      </top>
      <bottom/>
      <diagonal/>
    </border>
    <border>
      <left style="dashed">
        <color theme="0"/>
      </left>
      <right/>
      <top style="dashed">
        <color theme="0"/>
      </top>
      <bottom style="thin">
        <color theme="0"/>
      </bottom>
      <diagonal/>
    </border>
    <border>
      <left/>
      <right/>
      <top style="dashed">
        <color theme="0"/>
      </top>
      <bottom style="thin">
        <color theme="0"/>
      </bottom>
      <diagonal/>
    </border>
    <border>
      <left/>
      <right style="dashed">
        <color theme="0"/>
      </right>
      <top style="dashed">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0"/>
      </bottom>
      <diagonal/>
    </border>
  </borders>
  <cellStyleXfs count="26">
    <xf numFmtId="0" fontId="0" fillId="0" borderId="0"/>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 fillId="0" borderId="0"/>
    <xf numFmtId="0" fontId="3" fillId="0" borderId="0"/>
    <xf numFmtId="9" fontId="3" fillId="0" borderId="0" applyBorder="0" applyProtection="0"/>
    <xf numFmtId="0" fontId="4" fillId="0" borderId="0"/>
    <xf numFmtId="0" fontId="4" fillId="0" borderId="0"/>
    <xf numFmtId="9" fontId="3" fillId="0" borderId="0" applyBorder="0" applyProtection="0"/>
    <xf numFmtId="0" fontId="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9" fontId="1" fillId="0" borderId="0" applyFont="0" applyFill="0" applyBorder="0" applyAlignment="0" applyProtection="0"/>
    <xf numFmtId="171" fontId="3" fillId="0" borderId="0" applyBorder="0" applyProtection="0"/>
    <xf numFmtId="0" fontId="1" fillId="0" borderId="0"/>
    <xf numFmtId="165" fontId="2"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2" fillId="0" borderId="0" applyBorder="0" applyProtection="0"/>
  </cellStyleXfs>
  <cellXfs count="1228">
    <xf numFmtId="0" fontId="0" fillId="0" borderId="0" xfId="0"/>
    <xf numFmtId="0" fontId="9" fillId="0" borderId="0" xfId="0" applyFont="1" applyAlignment="1">
      <alignment horizontal="center" vertical="center"/>
    </xf>
    <xf numFmtId="0" fontId="9" fillId="11" borderId="5"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9" fillId="2" borderId="5" xfId="2" applyFont="1" applyFill="1" applyBorder="1" applyAlignment="1">
      <alignment horizontal="center" vertical="center"/>
    </xf>
    <xf numFmtId="0" fontId="15" fillId="2" borderId="5" xfId="2" applyFont="1" applyFill="1" applyBorder="1" applyAlignment="1">
      <alignment horizontal="center" vertical="center"/>
    </xf>
    <xf numFmtId="0" fontId="19" fillId="3" borderId="5" xfId="0" applyFont="1" applyFill="1" applyBorder="1" applyAlignment="1">
      <alignment horizontal="center" vertical="center"/>
    </xf>
    <xf numFmtId="0" fontId="18" fillId="3" borderId="5" xfId="0" applyFont="1" applyFill="1" applyBorder="1" applyAlignment="1">
      <alignment horizontal="center" vertical="center"/>
    </xf>
    <xf numFmtId="0" fontId="15" fillId="2" borderId="5" xfId="2" applyFont="1" applyFill="1" applyBorder="1" applyAlignment="1">
      <alignment horizontal="center" vertical="center" wrapText="1"/>
    </xf>
    <xf numFmtId="0" fontId="16" fillId="6" borderId="5" xfId="7" applyFont="1" applyFill="1" applyBorder="1" applyAlignment="1">
      <alignment horizontal="center" vertical="center"/>
    </xf>
    <xf numFmtId="0" fontId="21"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5" xfId="2" applyFont="1" applyFill="1" applyBorder="1" applyAlignment="1">
      <alignment horizontal="center" vertical="center" wrapText="1"/>
    </xf>
    <xf numFmtId="0" fontId="8" fillId="0" borderId="0" xfId="0" applyFont="1" applyBorder="1" applyAlignment="1">
      <alignment horizontal="center" vertical="center"/>
    </xf>
    <xf numFmtId="0" fontId="9" fillId="11" borderId="11" xfId="0" applyFont="1" applyFill="1" applyBorder="1" applyAlignment="1" applyProtection="1">
      <alignment horizontal="center" vertical="center" wrapText="1"/>
      <protection locked="0"/>
    </xf>
    <xf numFmtId="0" fontId="9" fillId="16" borderId="11" xfId="0" applyFont="1" applyFill="1" applyBorder="1" applyAlignment="1" applyProtection="1">
      <alignment horizontal="center" vertical="center" wrapText="1"/>
      <protection locked="0"/>
    </xf>
    <xf numFmtId="0" fontId="9" fillId="16" borderId="11" xfId="2" applyFont="1" applyFill="1" applyBorder="1" applyAlignment="1" applyProtection="1">
      <alignment horizontal="center" vertical="center" wrapText="1"/>
      <protection locked="0"/>
    </xf>
    <xf numFmtId="0" fontId="9" fillId="4" borderId="5" xfId="2" applyFont="1" applyFill="1" applyBorder="1" applyAlignment="1">
      <alignment horizontal="center" vertical="center"/>
    </xf>
    <xf numFmtId="0" fontId="15" fillId="4" borderId="5" xfId="2" applyFont="1" applyFill="1" applyBorder="1" applyAlignment="1">
      <alignment horizontal="center" vertical="center"/>
    </xf>
    <xf numFmtId="0" fontId="19" fillId="20" borderId="5" xfId="0" applyFont="1" applyFill="1" applyBorder="1" applyAlignment="1">
      <alignment horizontal="center" vertical="center"/>
    </xf>
    <xf numFmtId="0" fontId="15" fillId="4" borderId="5" xfId="2" applyFont="1" applyFill="1" applyBorder="1" applyAlignment="1">
      <alignment horizontal="center" vertical="center" wrapText="1"/>
    </xf>
    <xf numFmtId="0" fontId="16" fillId="22" borderId="5" xfId="7" applyFont="1" applyFill="1" applyBorder="1" applyAlignment="1">
      <alignment horizontal="center" vertical="center"/>
    </xf>
    <xf numFmtId="0" fontId="21" fillId="4"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9" fontId="9" fillId="11" borderId="5" xfId="2" applyNumberFormat="1" applyFont="1" applyFill="1" applyBorder="1" applyAlignment="1">
      <alignment horizontal="center" vertical="center"/>
    </xf>
    <xf numFmtId="9" fontId="15" fillId="10" borderId="5" xfId="4" applyFont="1" applyFill="1" applyBorder="1" applyAlignment="1">
      <alignment horizontal="center" vertical="center" wrapText="1"/>
    </xf>
    <xf numFmtId="9" fontId="15" fillId="26" borderId="5" xfId="4" applyFont="1" applyFill="1" applyBorder="1" applyAlignment="1">
      <alignment horizontal="center" vertical="center"/>
    </xf>
    <xf numFmtId="9" fontId="16" fillId="14" borderId="5" xfId="3" applyFont="1" applyFill="1" applyBorder="1" applyAlignment="1">
      <alignment horizontal="center" vertical="center"/>
    </xf>
    <xf numFmtId="9" fontId="16" fillId="27" borderId="5" xfId="8" applyFont="1" applyFill="1" applyBorder="1" applyAlignment="1" applyProtection="1">
      <alignment horizontal="center" vertical="center"/>
    </xf>
    <xf numFmtId="9" fontId="15" fillId="30" borderId="5" xfId="8" applyFont="1" applyFill="1" applyBorder="1" applyAlignment="1" applyProtection="1">
      <alignment horizontal="center" vertical="center"/>
    </xf>
    <xf numFmtId="9" fontId="15" fillId="29" borderId="5" xfId="3" applyFont="1" applyFill="1" applyBorder="1" applyAlignment="1">
      <alignment horizontal="center" vertical="center"/>
    </xf>
    <xf numFmtId="9" fontId="8" fillId="2" borderId="5" xfId="4"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166" fontId="8" fillId="2" borderId="5" xfId="1" applyNumberFormat="1" applyFont="1" applyFill="1" applyBorder="1" applyAlignment="1" applyProtection="1">
      <alignment horizontal="center" vertical="center" wrapText="1"/>
      <protection locked="0"/>
    </xf>
    <xf numFmtId="9" fontId="9" fillId="2" borderId="5" xfId="4" applyFont="1" applyFill="1" applyBorder="1" applyAlignment="1" applyProtection="1">
      <alignment horizontal="center" vertical="center" wrapText="1"/>
      <protection locked="0"/>
    </xf>
    <xf numFmtId="0" fontId="8" fillId="3" borderId="5"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5" xfId="0" applyFont="1" applyFill="1" applyBorder="1" applyAlignment="1">
      <alignment horizontal="center" vertical="center" wrapText="1"/>
    </xf>
    <xf numFmtId="9" fontId="8" fillId="4" borderId="5" xfId="4" applyFont="1" applyFill="1" applyBorder="1" applyAlignment="1" applyProtection="1">
      <alignment horizontal="center" vertical="center" wrapText="1"/>
      <protection locked="0"/>
    </xf>
    <xf numFmtId="0" fontId="9" fillId="4" borderId="5" xfId="2"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wrapText="1"/>
      <protection locked="0"/>
    </xf>
    <xf numFmtId="166" fontId="8" fillId="4" borderId="5" xfId="1" applyNumberFormat="1" applyFont="1" applyFill="1" applyBorder="1" applyAlignment="1" applyProtection="1">
      <alignment horizontal="center" vertical="center" wrapText="1"/>
      <protection locked="0"/>
    </xf>
    <xf numFmtId="9" fontId="9" fillId="4" borderId="5" xfId="4" applyFont="1" applyFill="1" applyBorder="1" applyAlignment="1" applyProtection="1">
      <alignment horizontal="center" vertical="center" wrapText="1"/>
      <protection locked="0"/>
    </xf>
    <xf numFmtId="0" fontId="8" fillId="20" borderId="5" xfId="2" applyFont="1" applyFill="1" applyBorder="1" applyAlignment="1">
      <alignment horizontal="center" vertical="center" wrapText="1"/>
    </xf>
    <xf numFmtId="164" fontId="8" fillId="4" borderId="5" xfId="5" applyFont="1" applyFill="1" applyBorder="1" applyAlignment="1">
      <alignment horizontal="center" vertical="center" wrapText="1"/>
    </xf>
    <xf numFmtId="164" fontId="8" fillId="4" borderId="5" xfId="5" applyFont="1" applyFill="1" applyBorder="1" applyAlignment="1">
      <alignment horizontal="center" vertical="center"/>
    </xf>
    <xf numFmtId="0" fontId="8" fillId="4" borderId="5" xfId="2" applyFont="1" applyFill="1" applyBorder="1" applyAlignment="1">
      <alignment horizontal="center" vertical="center" wrapText="1"/>
    </xf>
    <xf numFmtId="0" fontId="8" fillId="4" borderId="5" xfId="0" applyFont="1" applyFill="1" applyBorder="1" applyAlignment="1">
      <alignment horizontal="center" vertical="center"/>
    </xf>
    <xf numFmtId="0" fontId="8" fillId="2" borderId="5" xfId="2" applyFont="1" applyFill="1" applyBorder="1" applyAlignment="1" applyProtection="1">
      <alignment horizontal="center" vertical="center" wrapText="1"/>
      <protection locked="0"/>
    </xf>
    <xf numFmtId="0" fontId="8" fillId="4" borderId="5" xfId="2" applyFont="1" applyFill="1" applyBorder="1" applyAlignment="1" applyProtection="1">
      <alignment horizontal="center" vertical="center" wrapText="1"/>
      <protection locked="0"/>
    </xf>
    <xf numFmtId="0" fontId="8" fillId="4" borderId="5" xfId="0" applyFont="1" applyFill="1" applyBorder="1" applyAlignment="1">
      <alignment horizontal="center" vertical="center" wrapText="1"/>
    </xf>
    <xf numFmtId="42" fontId="8" fillId="4" borderId="5" xfId="15" applyFont="1" applyFill="1" applyBorder="1" applyAlignment="1">
      <alignment horizontal="center" vertical="center"/>
    </xf>
    <xf numFmtId="0" fontId="28" fillId="2" borderId="5" xfId="2" applyFont="1" applyFill="1" applyBorder="1" applyAlignment="1">
      <alignment horizontal="center" vertical="center" wrapText="1"/>
    </xf>
    <xf numFmtId="0" fontId="6" fillId="2" borderId="5" xfId="2" applyFont="1" applyFill="1" applyBorder="1" applyAlignment="1">
      <alignment horizontal="center" vertical="center"/>
    </xf>
    <xf numFmtId="164" fontId="6" fillId="2" borderId="5" xfId="5" applyFont="1" applyFill="1" applyBorder="1" applyAlignment="1">
      <alignment horizontal="center" vertical="center"/>
    </xf>
    <xf numFmtId="0" fontId="6" fillId="2" borderId="5" xfId="2" applyFont="1" applyFill="1" applyBorder="1" applyAlignment="1" applyProtection="1">
      <alignment horizontal="center" vertical="center" wrapText="1"/>
      <protection locked="0"/>
    </xf>
    <xf numFmtId="164" fontId="6" fillId="2" borderId="5" xfId="5" applyFont="1" applyFill="1" applyBorder="1" applyAlignment="1" applyProtection="1">
      <alignment horizontal="center" vertical="center" wrapText="1"/>
      <protection locked="0"/>
    </xf>
    <xf numFmtId="0" fontId="8" fillId="2" borderId="5" xfId="0" applyFont="1" applyFill="1" applyBorder="1" applyAlignment="1">
      <alignment horizontal="center" vertical="center"/>
    </xf>
    <xf numFmtId="164" fontId="6" fillId="2" borderId="5" xfId="5" applyFont="1" applyFill="1" applyBorder="1" applyAlignment="1">
      <alignment horizontal="center" vertical="center" wrapText="1"/>
    </xf>
    <xf numFmtId="0" fontId="6" fillId="4" borderId="5" xfId="2" applyFont="1" applyFill="1" applyBorder="1" applyAlignment="1">
      <alignment horizontal="center" vertical="center" wrapText="1"/>
    </xf>
    <xf numFmtId="0" fontId="28" fillId="4" borderId="5" xfId="2" applyFont="1" applyFill="1" applyBorder="1" applyAlignment="1">
      <alignment horizontal="center" vertical="center" wrapText="1"/>
    </xf>
    <xf numFmtId="164" fontId="6" fillId="4" borderId="5" xfId="5" applyFont="1" applyFill="1" applyBorder="1" applyAlignment="1">
      <alignment horizontal="center" vertical="center"/>
    </xf>
    <xf numFmtId="164" fontId="6" fillId="4" borderId="5" xfId="5" applyFont="1" applyFill="1" applyBorder="1" applyAlignment="1">
      <alignment horizontal="center" vertical="center" wrapText="1"/>
    </xf>
    <xf numFmtId="0" fontId="6" fillId="4" borderId="5" xfId="2" applyFont="1" applyFill="1" applyBorder="1" applyAlignment="1">
      <alignment horizontal="center" vertical="center"/>
    </xf>
    <xf numFmtId="0" fontId="6" fillId="4" borderId="5" xfId="2" applyFont="1" applyFill="1" applyBorder="1" applyAlignment="1" applyProtection="1">
      <alignment horizontal="center" vertical="center" wrapText="1"/>
      <protection locked="0"/>
    </xf>
    <xf numFmtId="0" fontId="29" fillId="2" borderId="5" xfId="24" applyFont="1" applyFill="1" applyBorder="1" applyAlignment="1">
      <alignment horizontal="center" vertical="center" wrapText="1"/>
    </xf>
    <xf numFmtId="164" fontId="6" fillId="4" borderId="5" xfId="5" applyFont="1" applyFill="1" applyBorder="1" applyAlignment="1" applyProtection="1">
      <alignment horizontal="center" vertical="center" wrapText="1"/>
      <protection locked="0"/>
    </xf>
    <xf numFmtId="9" fontId="31" fillId="4" borderId="5" xfId="0" applyNumberFormat="1"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9" fontId="13" fillId="4" borderId="5" xfId="0" applyNumberFormat="1" applyFont="1" applyFill="1" applyBorder="1" applyAlignment="1" applyProtection="1">
      <alignment horizontal="center" vertical="center" wrapText="1"/>
      <protection locked="0"/>
    </xf>
    <xf numFmtId="9" fontId="15" fillId="11" borderId="5" xfId="0" applyNumberFormat="1" applyFont="1" applyFill="1" applyBorder="1" applyAlignment="1">
      <alignment horizontal="center" vertical="center"/>
    </xf>
    <xf numFmtId="0" fontId="30" fillId="4" borderId="5"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3" fillId="20" borderId="5" xfId="0" applyFont="1" applyFill="1" applyBorder="1" applyAlignment="1">
      <alignment horizontal="center" vertical="center"/>
    </xf>
    <xf numFmtId="0" fontId="30" fillId="20" borderId="5" xfId="0" applyFont="1" applyFill="1" applyBorder="1" applyAlignment="1">
      <alignment horizontal="center" vertical="center" wrapText="1"/>
    </xf>
    <xf numFmtId="9" fontId="31" fillId="2" borderId="5" xfId="0" applyNumberFormat="1"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166" fontId="31" fillId="2" borderId="5" xfId="0" applyNumberFormat="1" applyFont="1" applyFill="1" applyBorder="1" applyAlignment="1" applyProtection="1">
      <alignment horizontal="center" vertical="center" wrapText="1"/>
      <protection locked="0"/>
    </xf>
    <xf numFmtId="9" fontId="13" fillId="2" borderId="5" xfId="0" applyNumberFormat="1" applyFont="1" applyFill="1" applyBorder="1" applyAlignment="1" applyProtection="1">
      <alignment horizontal="center" vertical="center" wrapText="1"/>
      <protection locked="0"/>
    </xf>
    <xf numFmtId="0" fontId="30" fillId="2" borderId="5"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4" fillId="3" borderId="5" xfId="0" applyFont="1" applyFill="1" applyBorder="1" applyAlignment="1">
      <alignment horizontal="center" vertical="center"/>
    </xf>
    <xf numFmtId="0" fontId="30" fillId="3" borderId="5" xfId="0" applyFont="1" applyFill="1" applyBorder="1" applyAlignment="1">
      <alignment horizontal="center" vertical="center"/>
    </xf>
    <xf numFmtId="0" fontId="30" fillId="2" borderId="5" xfId="0" applyFont="1" applyFill="1" applyBorder="1" applyAlignment="1">
      <alignment horizontal="center" vertical="center"/>
    </xf>
    <xf numFmtId="9" fontId="15" fillId="10" borderId="5" xfId="4" applyFont="1" applyFill="1" applyBorder="1" applyAlignment="1">
      <alignment horizontal="center" vertical="center"/>
    </xf>
    <xf numFmtId="0" fontId="28" fillId="4" borderId="5" xfId="2" applyFont="1" applyFill="1" applyBorder="1" applyAlignment="1">
      <alignment horizontal="center" vertical="center"/>
    </xf>
    <xf numFmtId="0" fontId="36" fillId="4" borderId="5" xfId="0" applyFont="1" applyFill="1" applyBorder="1" applyAlignment="1">
      <alignment horizontal="center" vertical="center" wrapText="1"/>
    </xf>
    <xf numFmtId="0" fontId="37" fillId="2" borderId="5" xfId="1" applyFont="1" applyFill="1" applyBorder="1" applyAlignment="1" applyProtection="1">
      <alignment horizontal="center" vertical="center" wrapText="1"/>
      <protection locked="0"/>
    </xf>
    <xf numFmtId="0" fontId="28" fillId="2" borderId="5" xfId="2" applyFont="1" applyFill="1" applyBorder="1" applyAlignment="1">
      <alignment horizontal="center" vertical="center"/>
    </xf>
    <xf numFmtId="9" fontId="37" fillId="2" borderId="5" xfId="4" applyFont="1" applyFill="1" applyBorder="1" applyAlignment="1" applyProtection="1">
      <alignment horizontal="center" vertical="center" wrapText="1"/>
      <protection locked="0"/>
    </xf>
    <xf numFmtId="0" fontId="37" fillId="2" borderId="5" xfId="2" applyFont="1" applyFill="1" applyBorder="1" applyAlignment="1" applyProtection="1">
      <alignment horizontal="center" vertical="center" wrapText="1"/>
      <protection locked="0"/>
    </xf>
    <xf numFmtId="0" fontId="14" fillId="2" borderId="5" xfId="2" applyFont="1" applyFill="1" applyBorder="1" applyAlignment="1" applyProtection="1">
      <alignment horizontal="center" vertical="center" wrapText="1"/>
      <protection locked="0"/>
    </xf>
    <xf numFmtId="166" fontId="37" fillId="2" borderId="5" xfId="1" applyNumberFormat="1" applyFont="1" applyFill="1" applyBorder="1" applyAlignment="1" applyProtection="1">
      <alignment horizontal="center" vertical="center" wrapText="1"/>
      <protection locked="0"/>
    </xf>
    <xf numFmtId="9" fontId="14" fillId="2" borderId="5" xfId="4" applyFont="1" applyFill="1" applyBorder="1" applyAlignment="1" applyProtection="1">
      <alignment horizontal="center" vertical="center" wrapText="1"/>
      <protection locked="0"/>
    </xf>
    <xf numFmtId="9" fontId="6" fillId="2" borderId="5" xfId="4" applyFont="1" applyFill="1" applyBorder="1" applyAlignment="1">
      <alignment horizontal="center" vertical="center"/>
    </xf>
    <xf numFmtId="0" fontId="36" fillId="2" borderId="5" xfId="2" applyFont="1" applyFill="1" applyBorder="1" applyAlignment="1">
      <alignment horizontal="center" vertical="center"/>
    </xf>
    <xf numFmtId="9" fontId="39" fillId="2" borderId="5" xfId="4" applyFont="1" applyFill="1" applyBorder="1" applyAlignment="1">
      <alignment horizontal="center" vertical="center"/>
    </xf>
    <xf numFmtId="0" fontId="36" fillId="2" borderId="5" xfId="2" applyFont="1" applyFill="1" applyBorder="1" applyAlignment="1">
      <alignment horizontal="center" vertical="center" wrapText="1"/>
    </xf>
    <xf numFmtId="9" fontId="39" fillId="2" borderId="5" xfId="4" applyFont="1" applyFill="1" applyBorder="1" applyAlignment="1">
      <alignment horizontal="center" vertical="center" wrapText="1"/>
    </xf>
    <xf numFmtId="9" fontId="37" fillId="4" borderId="5" xfId="4" applyFont="1" applyFill="1" applyBorder="1" applyAlignment="1" applyProtection="1">
      <alignment horizontal="center" vertical="center" wrapText="1"/>
      <protection locked="0"/>
    </xf>
    <xf numFmtId="0" fontId="37" fillId="4" borderId="5" xfId="2" applyFont="1" applyFill="1" applyBorder="1" applyAlignment="1" applyProtection="1">
      <alignment horizontal="center" vertical="center" wrapText="1"/>
      <protection locked="0"/>
    </xf>
    <xf numFmtId="0" fontId="14" fillId="4" borderId="5" xfId="2" applyFont="1" applyFill="1" applyBorder="1" applyAlignment="1" applyProtection="1">
      <alignment horizontal="center" vertical="center" wrapText="1"/>
      <protection locked="0"/>
    </xf>
    <xf numFmtId="0" fontId="37" fillId="4" borderId="5" xfId="1" applyFont="1" applyFill="1" applyBorder="1" applyAlignment="1" applyProtection="1">
      <alignment horizontal="center" vertical="center" wrapText="1"/>
      <protection locked="0"/>
    </xf>
    <xf numFmtId="166" fontId="37" fillId="4" borderId="5" xfId="1" applyNumberFormat="1" applyFont="1" applyFill="1" applyBorder="1" applyAlignment="1" applyProtection="1">
      <alignment horizontal="center" vertical="center" wrapText="1"/>
      <protection locked="0"/>
    </xf>
    <xf numFmtId="9" fontId="14" fillId="4" borderId="5" xfId="4" applyFont="1" applyFill="1" applyBorder="1" applyAlignment="1" applyProtection="1">
      <alignment horizontal="center" vertical="center" wrapText="1"/>
      <protection locked="0"/>
    </xf>
    <xf numFmtId="9" fontId="6" fillId="4" borderId="5" xfId="4" applyFont="1" applyFill="1" applyBorder="1" applyAlignment="1">
      <alignment horizontal="center" vertical="center"/>
    </xf>
    <xf numFmtId="0" fontId="36" fillId="4" borderId="5" xfId="2" applyFont="1" applyFill="1" applyBorder="1" applyAlignment="1">
      <alignment horizontal="center" vertical="center"/>
    </xf>
    <xf numFmtId="9" fontId="39" fillId="4" borderId="5" xfId="4" applyFont="1" applyFill="1" applyBorder="1" applyAlignment="1">
      <alignment horizontal="center" vertical="center"/>
    </xf>
    <xf numFmtId="0" fontId="39" fillId="2" borderId="5" xfId="2" applyFont="1" applyFill="1" applyBorder="1" applyAlignment="1">
      <alignment horizontal="center" vertical="center" wrapText="1"/>
    </xf>
    <xf numFmtId="9" fontId="6" fillId="4" borderId="5" xfId="4" applyFont="1" applyFill="1" applyBorder="1" applyAlignment="1">
      <alignment horizontal="center" vertical="center" wrapText="1"/>
    </xf>
    <xf numFmtId="9" fontId="39" fillId="4" borderId="5" xfId="4" applyFont="1" applyFill="1" applyBorder="1" applyAlignment="1">
      <alignment horizontal="center" vertical="center" wrapText="1"/>
    </xf>
    <xf numFmtId="0" fontId="36" fillId="4" borderId="5" xfId="2" applyFont="1" applyFill="1" applyBorder="1" applyAlignment="1">
      <alignment horizontal="center" vertical="center" wrapText="1"/>
    </xf>
    <xf numFmtId="9" fontId="6" fillId="2" borderId="5" xfId="4" applyFont="1" applyFill="1" applyBorder="1" applyAlignment="1">
      <alignment horizontal="center" vertical="center" wrapText="1"/>
    </xf>
    <xf numFmtId="9" fontId="29" fillId="2" borderId="5" xfId="24" applyNumberFormat="1" applyFont="1" applyFill="1" applyBorder="1" applyAlignment="1">
      <alignment horizontal="center" vertical="center" wrapText="1"/>
    </xf>
    <xf numFmtId="0" fontId="36" fillId="2" borderId="5" xfId="1" applyFont="1" applyFill="1" applyBorder="1" applyAlignment="1" applyProtection="1">
      <alignment horizontal="center" vertical="center" wrapText="1"/>
      <protection locked="0"/>
    </xf>
    <xf numFmtId="9" fontId="40" fillId="2" borderId="5" xfId="24" applyNumberFormat="1" applyFont="1" applyFill="1" applyBorder="1" applyAlignment="1">
      <alignment horizontal="center" vertical="center" wrapText="1"/>
    </xf>
    <xf numFmtId="0" fontId="36" fillId="4" borderId="5" xfId="1" applyFont="1" applyFill="1" applyBorder="1" applyAlignment="1" applyProtection="1">
      <alignment horizontal="center" vertical="center" wrapText="1"/>
      <protection locked="0"/>
    </xf>
    <xf numFmtId="0" fontId="39" fillId="4" borderId="5" xfId="2" applyFont="1" applyFill="1" applyBorder="1" applyAlignment="1">
      <alignment horizontal="center" vertical="center" wrapText="1"/>
    </xf>
    <xf numFmtId="0" fontId="29" fillId="4" borderId="5" xfId="23" applyFont="1" applyFill="1" applyBorder="1" applyAlignment="1">
      <alignment horizontal="center" vertical="center" wrapText="1"/>
    </xf>
    <xf numFmtId="0" fontId="13" fillId="2" borderId="5" xfId="2" applyFont="1" applyFill="1" applyBorder="1" applyAlignment="1" applyProtection="1">
      <alignment horizontal="center" vertical="center" wrapText="1"/>
      <protection locked="0"/>
    </xf>
    <xf numFmtId="0" fontId="31" fillId="2" borderId="5" xfId="2" applyFont="1" applyFill="1" applyBorder="1" applyAlignment="1" applyProtection="1">
      <alignment horizontal="center" vertical="center" wrapText="1"/>
      <protection locked="0"/>
    </xf>
    <xf numFmtId="9" fontId="31" fillId="2" borderId="5" xfId="2" applyNumberFormat="1" applyFont="1" applyFill="1" applyBorder="1" applyAlignment="1" applyProtection="1">
      <alignment horizontal="center" vertical="center" wrapText="1"/>
      <protection locked="0"/>
    </xf>
    <xf numFmtId="166" fontId="31" fillId="2" borderId="5" xfId="2" applyNumberFormat="1" applyFont="1" applyFill="1" applyBorder="1" applyAlignment="1" applyProtection="1">
      <alignment horizontal="center" vertical="center" wrapText="1"/>
      <protection locked="0"/>
    </xf>
    <xf numFmtId="9" fontId="13" fillId="2" borderId="5" xfId="2" applyNumberFormat="1" applyFont="1" applyFill="1" applyBorder="1" applyAlignment="1" applyProtection="1">
      <alignment horizontal="center" vertical="center" wrapText="1"/>
      <protection locked="0"/>
    </xf>
    <xf numFmtId="9" fontId="9" fillId="2" borderId="5" xfId="2" applyNumberFormat="1" applyFont="1" applyFill="1" applyBorder="1" applyAlignment="1" applyProtection="1">
      <alignment horizontal="center" vertical="center" wrapText="1"/>
      <protection locked="0"/>
    </xf>
    <xf numFmtId="9" fontId="15" fillId="10" borderId="5" xfId="2" applyNumberFormat="1" applyFont="1" applyFill="1" applyBorder="1" applyAlignment="1">
      <alignment horizontal="center" vertical="center"/>
    </xf>
    <xf numFmtId="0" fontId="30" fillId="2" borderId="5" xfId="2" applyFont="1" applyFill="1" applyBorder="1" applyAlignment="1">
      <alignment horizontal="center" vertical="center" wrapText="1"/>
    </xf>
    <xf numFmtId="0" fontId="32" fillId="2" borderId="5" xfId="2" applyFont="1" applyFill="1" applyBorder="1" applyAlignment="1">
      <alignment horizontal="center" vertical="center" wrapText="1"/>
    </xf>
    <xf numFmtId="0" fontId="30" fillId="2" borderId="5" xfId="2" applyFont="1" applyFill="1" applyBorder="1" applyAlignment="1">
      <alignment horizontal="center" vertical="center"/>
    </xf>
    <xf numFmtId="0" fontId="13" fillId="4" borderId="5" xfId="2" applyFont="1" applyFill="1" applyBorder="1" applyAlignment="1" applyProtection="1">
      <alignment horizontal="center" vertical="center" wrapText="1"/>
      <protection locked="0"/>
    </xf>
    <xf numFmtId="0" fontId="31" fillId="4" borderId="5" xfId="2" applyFont="1" applyFill="1" applyBorder="1" applyAlignment="1" applyProtection="1">
      <alignment horizontal="center" vertical="center" wrapText="1"/>
      <protection locked="0"/>
    </xf>
    <xf numFmtId="9" fontId="31" fillId="4" borderId="5" xfId="2" applyNumberFormat="1" applyFont="1" applyFill="1" applyBorder="1" applyAlignment="1" applyProtection="1">
      <alignment horizontal="center" vertical="center" wrapText="1"/>
      <protection locked="0"/>
    </xf>
    <xf numFmtId="166" fontId="31" fillId="4" borderId="5" xfId="2" applyNumberFormat="1" applyFont="1" applyFill="1" applyBorder="1" applyAlignment="1" applyProtection="1">
      <alignment horizontal="center" vertical="center" wrapText="1"/>
      <protection locked="0"/>
    </xf>
    <xf numFmtId="9" fontId="13" fillId="4" borderId="5" xfId="2" applyNumberFormat="1" applyFont="1" applyFill="1" applyBorder="1" applyAlignment="1" applyProtection="1">
      <alignment horizontal="center" vertical="center" wrapText="1"/>
      <protection locked="0"/>
    </xf>
    <xf numFmtId="9" fontId="9" fillId="4" borderId="5" xfId="2" applyNumberFormat="1" applyFont="1" applyFill="1" applyBorder="1" applyAlignment="1" applyProtection="1">
      <alignment horizontal="center" vertical="center" wrapText="1"/>
      <protection locked="0"/>
    </xf>
    <xf numFmtId="9" fontId="15" fillId="12" borderId="5" xfId="2" applyNumberFormat="1" applyFont="1" applyFill="1" applyBorder="1" applyAlignment="1">
      <alignment horizontal="center" vertical="center"/>
    </xf>
    <xf numFmtId="0" fontId="30" fillId="4" borderId="5" xfId="2" applyFont="1" applyFill="1" applyBorder="1" applyAlignment="1">
      <alignment horizontal="center" vertical="center" wrapText="1"/>
    </xf>
    <xf numFmtId="0" fontId="32" fillId="4" borderId="5" xfId="2" applyFont="1" applyFill="1" applyBorder="1" applyAlignment="1">
      <alignment horizontal="center" vertical="center" wrapText="1"/>
    </xf>
    <xf numFmtId="0" fontId="30" fillId="4" borderId="5" xfId="2" applyFont="1" applyFill="1" applyBorder="1" applyAlignment="1">
      <alignment horizontal="center" vertical="center"/>
    </xf>
    <xf numFmtId="9" fontId="8" fillId="2" borderId="5" xfId="2" applyNumberFormat="1" applyFont="1" applyFill="1" applyBorder="1" applyAlignment="1" applyProtection="1">
      <alignment horizontal="center" vertical="center" wrapText="1"/>
      <protection locked="0"/>
    </xf>
    <xf numFmtId="49" fontId="8" fillId="2" borderId="5" xfId="2" applyNumberFormat="1" applyFont="1" applyFill="1" applyBorder="1" applyAlignment="1" applyProtection="1">
      <alignment horizontal="center" vertical="center" wrapText="1"/>
      <protection locked="0"/>
    </xf>
    <xf numFmtId="9" fontId="8" fillId="4" borderId="5" xfId="2" applyNumberFormat="1" applyFont="1" applyFill="1" applyBorder="1" applyAlignment="1" applyProtection="1">
      <alignment horizontal="center" vertical="center" wrapText="1"/>
      <protection locked="0"/>
    </xf>
    <xf numFmtId="9" fontId="37" fillId="4" borderId="5" xfId="2" applyNumberFormat="1" applyFont="1" applyFill="1" applyBorder="1" applyAlignment="1" applyProtection="1">
      <alignment horizontal="center" vertical="center" wrapText="1"/>
      <protection locked="0"/>
    </xf>
    <xf numFmtId="9" fontId="15" fillId="11" borderId="5" xfId="4" applyFont="1" applyFill="1" applyBorder="1" applyAlignment="1">
      <alignment horizontal="center" vertical="center"/>
    </xf>
    <xf numFmtId="0" fontId="38" fillId="4" borderId="5" xfId="2" applyFont="1" applyFill="1" applyBorder="1" applyAlignment="1">
      <alignment horizontal="center" vertical="center" wrapText="1"/>
    </xf>
    <xf numFmtId="0" fontId="36" fillId="20" borderId="5" xfId="2" applyFont="1" applyFill="1" applyBorder="1" applyAlignment="1">
      <alignment horizontal="center" vertical="center"/>
    </xf>
    <xf numFmtId="0" fontId="30" fillId="20" borderId="5" xfId="2" applyFont="1" applyFill="1" applyBorder="1" applyAlignment="1">
      <alignment horizontal="center" vertical="center"/>
    </xf>
    <xf numFmtId="0" fontId="36" fillId="20" borderId="5" xfId="2" applyFont="1" applyFill="1" applyBorder="1" applyAlignment="1">
      <alignment horizontal="center" vertical="center" wrapText="1"/>
    </xf>
    <xf numFmtId="0" fontId="38" fillId="20" borderId="5" xfId="2" applyFont="1" applyFill="1" applyBorder="1" applyAlignment="1">
      <alignment horizontal="center" vertical="center" wrapText="1"/>
    </xf>
    <xf numFmtId="0" fontId="42" fillId="21" borderId="5" xfId="2" applyFont="1" applyFill="1" applyBorder="1" applyAlignment="1">
      <alignment horizontal="center" vertical="center" wrapText="1"/>
    </xf>
    <xf numFmtId="9" fontId="37" fillId="2" borderId="5" xfId="2" applyNumberFormat="1" applyFont="1" applyFill="1" applyBorder="1" applyAlignment="1" applyProtection="1">
      <alignment horizontal="center" vertical="center" wrapText="1"/>
      <protection locked="0"/>
    </xf>
    <xf numFmtId="9" fontId="36" fillId="2" borderId="5" xfId="4" applyFont="1" applyFill="1" applyBorder="1" applyAlignment="1">
      <alignment horizontal="center" vertical="center" wrapText="1"/>
    </xf>
    <xf numFmtId="0" fontId="38" fillId="2" borderId="5" xfId="2" applyFont="1" applyFill="1" applyBorder="1" applyAlignment="1">
      <alignment horizontal="center" vertical="center" wrapText="1"/>
    </xf>
    <xf numFmtId="0" fontId="36" fillId="3" borderId="5" xfId="2" applyFont="1" applyFill="1" applyBorder="1" applyAlignment="1">
      <alignment horizontal="center" vertical="center"/>
    </xf>
    <xf numFmtId="0" fontId="30" fillId="3" borderId="5" xfId="2" applyFont="1" applyFill="1" applyBorder="1" applyAlignment="1">
      <alignment horizontal="center" vertical="center"/>
    </xf>
    <xf numFmtId="0" fontId="36" fillId="3" borderId="5" xfId="2" applyFont="1" applyFill="1" applyBorder="1" applyAlignment="1">
      <alignment horizontal="center" vertical="center" wrapText="1"/>
    </xf>
    <xf numFmtId="0" fontId="38" fillId="3" borderId="5" xfId="2"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4" borderId="5" xfId="0" applyFont="1" applyFill="1" applyBorder="1" applyAlignment="1">
      <alignment horizontal="center" vertical="center" wrapText="1"/>
    </xf>
    <xf numFmtId="9" fontId="38" fillId="4" borderId="5" xfId="4" applyFont="1" applyFill="1" applyBorder="1" applyAlignment="1">
      <alignment horizontal="center" vertical="center" wrapText="1"/>
    </xf>
    <xf numFmtId="9" fontId="38" fillId="20" borderId="5" xfId="4" applyFont="1" applyFill="1" applyBorder="1" applyAlignment="1">
      <alignment horizontal="center" vertical="center" wrapText="1"/>
    </xf>
    <xf numFmtId="9" fontId="38" fillId="2" borderId="5" xfId="4" applyFont="1" applyFill="1" applyBorder="1" applyAlignment="1">
      <alignment horizontal="center" vertical="center"/>
    </xf>
    <xf numFmtId="9" fontId="38" fillId="2" borderId="5" xfId="3" applyFont="1" applyFill="1" applyBorder="1" applyAlignment="1">
      <alignment horizontal="center" vertical="center" wrapText="1"/>
    </xf>
    <xf numFmtId="9" fontId="9" fillId="4" borderId="5" xfId="1" applyNumberFormat="1" applyFont="1" applyFill="1" applyBorder="1" applyAlignment="1" applyProtection="1">
      <alignment horizontal="center" vertical="center" wrapText="1"/>
      <protection locked="0"/>
    </xf>
    <xf numFmtId="9" fontId="9" fillId="2" borderId="5" xfId="1" applyNumberFormat="1" applyFont="1" applyFill="1" applyBorder="1" applyAlignment="1" applyProtection="1">
      <alignment horizontal="center" vertical="center" wrapText="1"/>
      <protection locked="0"/>
    </xf>
    <xf numFmtId="9" fontId="15" fillId="10" borderId="5" xfId="1" applyNumberFormat="1" applyFont="1" applyFill="1" applyBorder="1" applyAlignment="1" applyProtection="1">
      <alignment horizontal="center" vertical="center" wrapText="1"/>
      <protection locked="0"/>
    </xf>
    <xf numFmtId="9" fontId="6" fillId="10" borderId="5" xfId="4" applyFont="1" applyFill="1" applyBorder="1" applyAlignment="1">
      <alignment horizontal="center" vertical="center"/>
    </xf>
    <xf numFmtId="9" fontId="6" fillId="10" borderId="5" xfId="2" applyNumberFormat="1" applyFont="1" applyFill="1" applyBorder="1" applyAlignment="1">
      <alignment horizontal="center" vertical="center"/>
    </xf>
    <xf numFmtId="9" fontId="6" fillId="2" borderId="5" xfId="2" applyNumberFormat="1" applyFont="1" applyFill="1" applyBorder="1" applyAlignment="1">
      <alignment horizontal="center" vertical="center"/>
    </xf>
    <xf numFmtId="9" fontId="28" fillId="4" borderId="5" xfId="4" applyFont="1" applyFill="1" applyBorder="1" applyAlignment="1">
      <alignment horizontal="center" vertical="center" wrapText="1"/>
    </xf>
    <xf numFmtId="164" fontId="36" fillId="4" borderId="5" xfId="5" applyFont="1" applyFill="1" applyBorder="1" applyAlignment="1">
      <alignment horizontal="center" vertical="center" wrapText="1"/>
    </xf>
    <xf numFmtId="0" fontId="36" fillId="4" borderId="5" xfId="2" applyFont="1" applyFill="1" applyBorder="1" applyAlignment="1" applyProtection="1">
      <alignment horizontal="center" vertical="center" wrapText="1"/>
      <protection locked="0"/>
    </xf>
    <xf numFmtId="42" fontId="36" fillId="4" borderId="5" xfId="2" applyNumberFormat="1" applyFont="1" applyFill="1" applyBorder="1" applyAlignment="1">
      <alignment horizontal="center" vertical="center" wrapText="1"/>
    </xf>
    <xf numFmtId="164" fontId="6" fillId="4" borderId="5" xfId="2" applyNumberFormat="1" applyFont="1" applyFill="1" applyBorder="1" applyAlignment="1">
      <alignment horizontal="center" vertical="center"/>
    </xf>
    <xf numFmtId="9" fontId="45" fillId="4" borderId="5" xfId="24" applyNumberFormat="1" applyFont="1" applyFill="1" applyBorder="1" applyAlignment="1">
      <alignment horizontal="center" vertical="center" wrapText="1"/>
    </xf>
    <xf numFmtId="42" fontId="6" fillId="4" borderId="5" xfId="15" applyFont="1" applyFill="1" applyBorder="1" applyAlignment="1">
      <alignment horizontal="center" vertical="center" wrapText="1"/>
    </xf>
    <xf numFmtId="9" fontId="6" fillId="4" borderId="5" xfId="24" applyNumberFormat="1" applyFont="1" applyFill="1" applyBorder="1" applyAlignment="1">
      <alignment horizontal="center" vertical="center" wrapText="1"/>
    </xf>
    <xf numFmtId="9" fontId="15" fillId="10" borderId="5" xfId="2" applyNumberFormat="1" applyFont="1" applyFill="1" applyBorder="1" applyAlignment="1">
      <alignment horizontal="center" vertical="center" wrapText="1"/>
    </xf>
    <xf numFmtId="49" fontId="8" fillId="4" borderId="5" xfId="2" applyNumberFormat="1" applyFont="1" applyFill="1" applyBorder="1" applyAlignment="1" applyProtection="1">
      <alignment horizontal="center" vertical="center" wrapText="1"/>
      <protection locked="0"/>
    </xf>
    <xf numFmtId="166" fontId="8" fillId="4" borderId="5" xfId="2" applyNumberFormat="1" applyFont="1" applyFill="1" applyBorder="1" applyAlignment="1" applyProtection="1">
      <alignment horizontal="center" vertical="center" wrapText="1"/>
      <protection locked="0"/>
    </xf>
    <xf numFmtId="14" fontId="8" fillId="4" borderId="5" xfId="2" applyNumberFormat="1" applyFont="1" applyFill="1" applyBorder="1" applyAlignment="1">
      <alignment horizontal="center" vertical="center" wrapText="1"/>
    </xf>
    <xf numFmtId="9" fontId="9" fillId="4" borderId="5" xfId="2" applyNumberFormat="1" applyFont="1" applyFill="1" applyBorder="1" applyAlignment="1">
      <alignment horizontal="center" vertical="center" wrapText="1"/>
    </xf>
    <xf numFmtId="14" fontId="8" fillId="2" borderId="5" xfId="2" applyNumberFormat="1" applyFont="1" applyFill="1" applyBorder="1" applyAlignment="1">
      <alignment horizontal="center" vertical="center" wrapText="1"/>
    </xf>
    <xf numFmtId="9" fontId="9" fillId="2" borderId="5" xfId="2" applyNumberFormat="1" applyFont="1" applyFill="1" applyBorder="1" applyAlignment="1">
      <alignment horizontal="center" vertical="center" wrapText="1"/>
    </xf>
    <xf numFmtId="9" fontId="8" fillId="2" borderId="5" xfId="2" applyNumberFormat="1" applyFont="1" applyFill="1" applyBorder="1" applyAlignment="1">
      <alignment horizontal="center" vertical="center" wrapText="1"/>
    </xf>
    <xf numFmtId="9" fontId="6" fillId="10" borderId="5" xfId="3" applyFont="1" applyFill="1" applyBorder="1" applyAlignment="1">
      <alignment horizontal="center" vertical="center"/>
    </xf>
    <xf numFmtId="9" fontId="14" fillId="4" borderId="5" xfId="2" applyNumberFormat="1" applyFont="1" applyFill="1" applyBorder="1" applyAlignment="1">
      <alignment horizontal="center" vertical="center" wrapText="1"/>
    </xf>
    <xf numFmtId="9" fontId="14" fillId="4" borderId="5" xfId="1" applyNumberFormat="1" applyFont="1" applyFill="1" applyBorder="1" applyAlignment="1" applyProtection="1">
      <alignment horizontal="center" vertical="center" wrapText="1"/>
      <protection locked="0"/>
    </xf>
    <xf numFmtId="9" fontId="14" fillId="2" borderId="5" xfId="2" applyNumberFormat="1" applyFont="1" applyFill="1" applyBorder="1" applyAlignment="1">
      <alignment horizontal="center" vertical="center" wrapText="1"/>
    </xf>
    <xf numFmtId="9" fontId="14" fillId="2" borderId="5" xfId="1" applyNumberFormat="1" applyFont="1" applyFill="1" applyBorder="1" applyAlignment="1" applyProtection="1">
      <alignment horizontal="center" vertical="center" wrapText="1"/>
      <protection locked="0"/>
    </xf>
    <xf numFmtId="0" fontId="36" fillId="2" borderId="5" xfId="0" applyFont="1" applyFill="1" applyBorder="1" applyAlignment="1">
      <alignment horizontal="center" vertical="center" wrapText="1"/>
    </xf>
    <xf numFmtId="0" fontId="29" fillId="4" borderId="5" xfId="24" applyFont="1" applyFill="1" applyBorder="1" applyAlignment="1">
      <alignment horizontal="center" vertical="center" wrapText="1"/>
    </xf>
    <xf numFmtId="0" fontId="28" fillId="4" borderId="5" xfId="24" applyFont="1" applyFill="1" applyBorder="1" applyAlignment="1">
      <alignment horizontal="center" vertical="center" wrapText="1"/>
    </xf>
    <xf numFmtId="0" fontId="47" fillId="4" borderId="5" xfId="24" applyFont="1" applyFill="1" applyBorder="1" applyAlignment="1">
      <alignment horizontal="center" vertical="center" wrapText="1"/>
    </xf>
    <xf numFmtId="0" fontId="47" fillId="2" borderId="5" xfId="24" applyFont="1" applyFill="1" applyBorder="1" applyAlignment="1">
      <alignment horizontal="center" vertical="center" wrapText="1"/>
    </xf>
    <xf numFmtId="0" fontId="15" fillId="2" borderId="5" xfId="2"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9" fontId="6" fillId="2" borderId="5" xfId="4" applyFont="1" applyFill="1" applyBorder="1" applyAlignment="1" applyProtection="1">
      <alignment horizontal="center" vertical="center" wrapText="1"/>
      <protection locked="0"/>
    </xf>
    <xf numFmtId="166" fontId="6" fillId="2" borderId="5" xfId="1" applyNumberFormat="1" applyFont="1" applyFill="1" applyBorder="1" applyAlignment="1" applyProtection="1">
      <alignment horizontal="center" vertical="center" wrapText="1"/>
      <protection locked="0"/>
    </xf>
    <xf numFmtId="9" fontId="15" fillId="2" borderId="5" xfId="4" applyFont="1" applyFill="1" applyBorder="1" applyAlignment="1" applyProtection="1">
      <alignment horizontal="center" vertical="center" wrapText="1"/>
      <protection locked="0"/>
    </xf>
    <xf numFmtId="0" fontId="45" fillId="2" borderId="5" xfId="24" applyFont="1" applyFill="1" applyBorder="1" applyAlignment="1">
      <alignment horizontal="center" vertical="center" wrapText="1"/>
    </xf>
    <xf numFmtId="0" fontId="15" fillId="4" borderId="5" xfId="2" applyFont="1" applyFill="1" applyBorder="1" applyAlignment="1" applyProtection="1">
      <alignment horizontal="center" vertical="center" wrapText="1"/>
      <protection locked="0"/>
    </xf>
    <xf numFmtId="0" fontId="6" fillId="4" borderId="5" xfId="1" applyFont="1" applyFill="1" applyBorder="1" applyAlignment="1" applyProtection="1">
      <alignment horizontal="center" vertical="center" wrapText="1"/>
      <protection locked="0"/>
    </xf>
    <xf numFmtId="9" fontId="6" fillId="4" borderId="5" xfId="4" applyFont="1" applyFill="1" applyBorder="1" applyAlignment="1" applyProtection="1">
      <alignment horizontal="center" vertical="center" wrapText="1"/>
      <protection locked="0"/>
    </xf>
    <xf numFmtId="166" fontId="6" fillId="4" borderId="5" xfId="1" applyNumberFormat="1" applyFont="1" applyFill="1" applyBorder="1" applyAlignment="1" applyProtection="1">
      <alignment horizontal="center" vertical="center" wrapText="1"/>
      <protection locked="0"/>
    </xf>
    <xf numFmtId="9" fontId="15" fillId="4" borderId="5" xfId="4" applyFont="1" applyFill="1" applyBorder="1" applyAlignment="1" applyProtection="1">
      <alignment horizontal="center" vertical="center" wrapText="1"/>
      <protection locked="0"/>
    </xf>
    <xf numFmtId="0" fontId="6" fillId="4" borderId="5" xfId="6" applyFont="1" applyFill="1" applyBorder="1" applyAlignment="1" applyProtection="1">
      <alignment horizontal="center" vertical="center" wrapText="1"/>
      <protection locked="0"/>
    </xf>
    <xf numFmtId="42" fontId="6" fillId="2" borderId="5" xfId="15" applyFont="1" applyFill="1" applyBorder="1" applyAlignment="1">
      <alignment horizontal="center" vertical="center"/>
    </xf>
    <xf numFmtId="0" fontId="30" fillId="3" borderId="5" xfId="2" applyFont="1" applyFill="1" applyBorder="1" applyAlignment="1">
      <alignment horizontal="center" vertical="center" wrapText="1"/>
    </xf>
    <xf numFmtId="0" fontId="48" fillId="3" borderId="5" xfId="2" applyFont="1" applyFill="1" applyBorder="1" applyAlignment="1">
      <alignment horizontal="center" vertical="center" wrapText="1"/>
    </xf>
    <xf numFmtId="173" fontId="36" fillId="4" borderId="5" xfId="18" applyNumberFormat="1" applyFont="1" applyFill="1" applyBorder="1" applyAlignment="1" applyProtection="1">
      <alignment horizontal="center" vertical="center" wrapText="1"/>
      <protection locked="0"/>
    </xf>
    <xf numFmtId="42" fontId="6" fillId="4" borderId="5" xfId="15" applyFont="1" applyFill="1" applyBorder="1" applyAlignment="1">
      <alignment horizontal="center" vertical="center"/>
    </xf>
    <xf numFmtId="0" fontId="28" fillId="4" borderId="5" xfId="1" applyFont="1" applyFill="1" applyBorder="1" applyAlignment="1" applyProtection="1">
      <alignment horizontal="center" vertical="center" wrapText="1"/>
      <protection locked="0"/>
    </xf>
    <xf numFmtId="164" fontId="28" fillId="4" borderId="5" xfId="5" applyFont="1" applyFill="1" applyBorder="1" applyAlignment="1" applyProtection="1">
      <alignment horizontal="center" vertical="center" wrapText="1"/>
      <protection locked="0"/>
    </xf>
    <xf numFmtId="49" fontId="15" fillId="2" borderId="5" xfId="2" applyNumberFormat="1" applyFont="1" applyFill="1" applyBorder="1" applyAlignment="1" applyProtection="1">
      <alignment horizontal="center" vertical="center" wrapText="1"/>
      <protection locked="0"/>
    </xf>
    <xf numFmtId="9" fontId="15" fillId="23" borderId="5" xfId="4" applyFont="1" applyFill="1" applyBorder="1" applyAlignment="1">
      <alignment horizontal="center" vertical="center"/>
    </xf>
    <xf numFmtId="0" fontId="28" fillId="2" borderId="5" xfId="2" applyFont="1" applyFill="1" applyBorder="1" applyAlignment="1" applyProtection="1">
      <alignment horizontal="center" vertical="center" wrapText="1"/>
      <protection locked="0"/>
    </xf>
    <xf numFmtId="9" fontId="15" fillId="28" borderId="5" xfId="4" applyFont="1" applyFill="1" applyBorder="1" applyAlignment="1">
      <alignment horizontal="center" vertical="center"/>
    </xf>
    <xf numFmtId="0" fontId="6" fillId="2" borderId="5" xfId="0" applyFont="1" applyFill="1" applyBorder="1" applyAlignment="1" applyProtection="1">
      <alignment horizontal="center" vertical="center" wrapText="1"/>
      <protection locked="0"/>
    </xf>
    <xf numFmtId="44" fontId="6" fillId="2" borderId="5" xfId="14" applyFont="1" applyFill="1" applyBorder="1" applyAlignment="1">
      <alignment horizontal="center" vertical="center"/>
    </xf>
    <xf numFmtId="9" fontId="31" fillId="2" borderId="5" xfId="8" applyFont="1" applyFill="1" applyBorder="1" applyAlignment="1" applyProtection="1">
      <alignment horizontal="center" vertical="center" wrapText="1"/>
      <protection locked="0"/>
    </xf>
    <xf numFmtId="0" fontId="31" fillId="2" borderId="5" xfId="7" applyFont="1" applyFill="1" applyBorder="1" applyAlignment="1" applyProtection="1">
      <alignment horizontal="center" vertical="center" wrapText="1"/>
      <protection locked="0"/>
    </xf>
    <xf numFmtId="0" fontId="13" fillId="2" borderId="5" xfId="7" applyFont="1" applyFill="1" applyBorder="1" applyAlignment="1" applyProtection="1">
      <alignment horizontal="center" vertical="center" wrapText="1"/>
      <protection locked="0"/>
    </xf>
    <xf numFmtId="0" fontId="31" fillId="2" borderId="5" xfId="9" applyFont="1" applyFill="1" applyBorder="1" applyAlignment="1" applyProtection="1">
      <alignment horizontal="center" vertical="center" wrapText="1"/>
      <protection locked="0"/>
    </xf>
    <xf numFmtId="9" fontId="13" fillId="2" borderId="5" xfId="8" applyFont="1" applyFill="1" applyBorder="1" applyAlignment="1" applyProtection="1">
      <alignment horizontal="center" vertical="center" wrapText="1"/>
      <protection locked="0"/>
    </xf>
    <xf numFmtId="166" fontId="31" fillId="2" borderId="5" xfId="9" applyNumberFormat="1" applyFont="1" applyFill="1" applyBorder="1" applyAlignment="1" applyProtection="1">
      <alignment horizontal="center" vertical="center" wrapText="1"/>
      <protection locked="0"/>
    </xf>
    <xf numFmtId="9" fontId="15" fillId="13" borderId="5" xfId="8" applyFont="1" applyFill="1" applyBorder="1" applyAlignment="1" applyProtection="1">
      <alignment horizontal="center" vertical="center"/>
    </xf>
    <xf numFmtId="0" fontId="30" fillId="2" borderId="5" xfId="7" applyFont="1" applyFill="1" applyBorder="1" applyAlignment="1">
      <alignment horizontal="center" vertical="center" wrapText="1"/>
    </xf>
    <xf numFmtId="0" fontId="32" fillId="2" borderId="5" xfId="7" applyFont="1" applyFill="1" applyBorder="1" applyAlignment="1">
      <alignment horizontal="center" vertical="center"/>
    </xf>
    <xf numFmtId="0" fontId="30" fillId="2" borderId="5" xfId="7" applyFont="1" applyFill="1" applyBorder="1" applyAlignment="1">
      <alignment horizontal="center" vertical="center"/>
    </xf>
    <xf numFmtId="1" fontId="32" fillId="2" borderId="5" xfId="8" applyNumberFormat="1" applyFont="1" applyFill="1" applyBorder="1" applyAlignment="1" applyProtection="1">
      <alignment horizontal="center" vertical="center"/>
    </xf>
    <xf numFmtId="9" fontId="31" fillId="4" borderId="5" xfId="8" applyFont="1" applyFill="1" applyBorder="1" applyAlignment="1" applyProtection="1">
      <alignment horizontal="center" vertical="center" wrapText="1"/>
      <protection locked="0"/>
    </xf>
    <xf numFmtId="0" fontId="31" fillId="4" borderId="5" xfId="7" applyFont="1" applyFill="1" applyBorder="1" applyAlignment="1" applyProtection="1">
      <alignment horizontal="center" vertical="center" wrapText="1"/>
      <protection locked="0"/>
    </xf>
    <xf numFmtId="0" fontId="13" fillId="4" borderId="5" xfId="7" applyFont="1" applyFill="1" applyBorder="1" applyAlignment="1" applyProtection="1">
      <alignment horizontal="center" vertical="center" wrapText="1"/>
      <protection locked="0"/>
    </xf>
    <xf numFmtId="0" fontId="31" fillId="4" borderId="5" xfId="9" applyFont="1" applyFill="1" applyBorder="1" applyAlignment="1" applyProtection="1">
      <alignment horizontal="center" vertical="center" wrapText="1"/>
      <protection locked="0"/>
    </xf>
    <xf numFmtId="9" fontId="13" fillId="4" borderId="5" xfId="8" applyFont="1" applyFill="1" applyBorder="1" applyAlignment="1" applyProtection="1">
      <alignment horizontal="center" vertical="center" wrapText="1"/>
      <protection locked="0"/>
    </xf>
    <xf numFmtId="166" fontId="31" fillId="4" borderId="5" xfId="9" applyNumberFormat="1" applyFont="1" applyFill="1" applyBorder="1" applyAlignment="1" applyProtection="1">
      <alignment horizontal="center" vertical="center" wrapText="1"/>
      <protection locked="0"/>
    </xf>
    <xf numFmtId="0" fontId="30" fillId="4" borderId="5" xfId="7" applyFont="1" applyFill="1" applyBorder="1" applyAlignment="1">
      <alignment horizontal="center" vertical="center" wrapText="1"/>
    </xf>
    <xf numFmtId="0" fontId="52" fillId="4" borderId="5" xfId="25" applyFont="1" applyFill="1" applyBorder="1" applyAlignment="1" applyProtection="1">
      <alignment horizontal="center" vertical="center" wrapText="1"/>
    </xf>
    <xf numFmtId="0" fontId="30" fillId="4" borderId="5" xfId="7" applyFont="1" applyFill="1" applyBorder="1" applyAlignment="1">
      <alignment horizontal="center" vertical="center"/>
    </xf>
    <xf numFmtId="1" fontId="32" fillId="4" borderId="5" xfId="8" applyNumberFormat="1" applyFont="1" applyFill="1" applyBorder="1" applyAlignment="1" applyProtection="1">
      <alignment horizontal="center" vertical="center"/>
    </xf>
    <xf numFmtId="0" fontId="6" fillId="4" borderId="5" xfId="7" applyFont="1" applyFill="1" applyBorder="1" applyAlignment="1">
      <alignment horizontal="center" vertical="center" wrapText="1"/>
    </xf>
    <xf numFmtId="0" fontId="36" fillId="4" borderId="5" xfId="25" applyFont="1" applyFill="1" applyBorder="1" applyAlignment="1">
      <alignment horizontal="center" vertical="center" wrapText="1"/>
    </xf>
    <xf numFmtId="0" fontId="32" fillId="4" borderId="5" xfId="7" applyFont="1" applyFill="1" applyBorder="1" applyAlignment="1">
      <alignment horizontal="center" vertical="center"/>
    </xf>
    <xf numFmtId="0" fontId="32" fillId="2" borderId="5" xfId="7" applyFont="1" applyFill="1" applyBorder="1" applyAlignment="1">
      <alignment horizontal="center" vertical="center" wrapText="1"/>
    </xf>
    <xf numFmtId="0" fontId="32" fillId="4" borderId="5" xfId="7" applyFont="1" applyFill="1" applyBorder="1" applyAlignment="1">
      <alignment horizontal="center" vertical="center" wrapText="1"/>
    </xf>
    <xf numFmtId="0" fontId="36" fillId="4" borderId="5" xfId="7" applyFont="1" applyFill="1" applyBorder="1" applyAlignment="1">
      <alignment horizontal="center" vertical="center" wrapText="1"/>
    </xf>
    <xf numFmtId="49" fontId="31" fillId="2" borderId="5" xfId="7" applyNumberFormat="1" applyFont="1" applyFill="1" applyBorder="1" applyAlignment="1" applyProtection="1">
      <alignment horizontal="center" vertical="center" wrapText="1"/>
      <protection locked="0"/>
    </xf>
    <xf numFmtId="0" fontId="6" fillId="2" borderId="5" xfId="7" applyFont="1" applyFill="1" applyBorder="1" applyAlignment="1">
      <alignment horizontal="center" vertical="center" wrapText="1"/>
    </xf>
    <xf numFmtId="0" fontId="54" fillId="2" borderId="5" xfId="25" applyFont="1" applyFill="1" applyBorder="1" applyAlignment="1">
      <alignment horizontal="center" vertical="center"/>
    </xf>
    <xf numFmtId="0" fontId="28" fillId="4" borderId="5" xfId="7" applyFont="1" applyFill="1" applyBorder="1" applyAlignment="1">
      <alignment horizontal="center" vertical="center" wrapText="1"/>
    </xf>
    <xf numFmtId="0" fontId="42" fillId="2" borderId="5" xfId="7" applyFont="1" applyFill="1" applyBorder="1" applyAlignment="1">
      <alignment horizontal="center" vertical="center" wrapText="1"/>
    </xf>
    <xf numFmtId="0" fontId="31" fillId="4" borderId="5" xfId="7" applyFont="1" applyFill="1" applyBorder="1" applyAlignment="1">
      <alignment horizontal="center" vertical="center" wrapText="1"/>
    </xf>
    <xf numFmtId="49" fontId="13" fillId="4" borderId="5" xfId="7" applyNumberFormat="1" applyFont="1" applyFill="1" applyBorder="1" applyAlignment="1" applyProtection="1">
      <alignment horizontal="center" vertical="center" wrapText="1"/>
      <protection locked="0"/>
    </xf>
    <xf numFmtId="49" fontId="31" fillId="4" borderId="5" xfId="7" applyNumberFormat="1" applyFont="1" applyFill="1" applyBorder="1" applyAlignment="1" applyProtection="1">
      <alignment horizontal="center" vertical="center" wrapText="1"/>
      <protection locked="0"/>
    </xf>
    <xf numFmtId="9" fontId="16" fillId="13" borderId="5" xfId="8" applyFont="1" applyFill="1" applyBorder="1" applyAlignment="1" applyProtection="1">
      <alignment horizontal="center" vertical="center"/>
    </xf>
    <xf numFmtId="9" fontId="15" fillId="25" borderId="5" xfId="8" applyFont="1" applyFill="1" applyBorder="1" applyAlignment="1" applyProtection="1">
      <alignment horizontal="center" vertical="center"/>
    </xf>
    <xf numFmtId="172" fontId="30" fillId="4" borderId="5" xfId="17" applyNumberFormat="1" applyFont="1" applyFill="1" applyBorder="1" applyAlignment="1" applyProtection="1">
      <alignment horizontal="center" vertical="center"/>
    </xf>
    <xf numFmtId="172" fontId="36" fillId="4" borderId="5" xfId="17" applyNumberFormat="1" applyFont="1" applyFill="1" applyBorder="1" applyAlignment="1" applyProtection="1">
      <alignment horizontal="center" vertical="center"/>
    </xf>
    <xf numFmtId="0" fontId="28" fillId="4" borderId="5" xfId="7" quotePrefix="1" applyFont="1" applyFill="1" applyBorder="1" applyAlignment="1">
      <alignment horizontal="center" vertical="center" wrapText="1"/>
    </xf>
    <xf numFmtId="0" fontId="6" fillId="4" borderId="5" xfId="7" quotePrefix="1" applyFont="1" applyFill="1" applyBorder="1" applyAlignment="1">
      <alignment horizontal="center" vertical="center" wrapText="1"/>
    </xf>
    <xf numFmtId="0" fontId="30" fillId="22" borderId="5" xfId="7" applyFont="1" applyFill="1" applyBorder="1" applyAlignment="1">
      <alignment horizontal="center" vertical="center"/>
    </xf>
    <xf numFmtId="172" fontId="30" fillId="4" borderId="5" xfId="17" applyNumberFormat="1" applyFont="1" applyFill="1" applyBorder="1" applyAlignment="1" applyProtection="1">
      <alignment horizontal="center" vertical="center" wrapText="1"/>
    </xf>
    <xf numFmtId="172" fontId="36" fillId="4" borderId="5" xfId="17" applyNumberFormat="1" applyFont="1" applyFill="1" applyBorder="1" applyAlignment="1" applyProtection="1">
      <alignment horizontal="center" vertical="center" wrapText="1"/>
    </xf>
    <xf numFmtId="9" fontId="30" fillId="4" borderId="5" xfId="8" applyFont="1" applyFill="1" applyBorder="1" applyAlignment="1" applyProtection="1">
      <alignment horizontal="center" vertical="center" wrapText="1"/>
    </xf>
    <xf numFmtId="1" fontId="32" fillId="4" borderId="5" xfId="8" applyNumberFormat="1" applyFont="1" applyFill="1" applyBorder="1" applyAlignment="1" applyProtection="1">
      <alignment horizontal="center" vertical="center" wrapText="1"/>
    </xf>
    <xf numFmtId="9" fontId="6" fillId="4" borderId="5" xfId="0" applyNumberFormat="1" applyFont="1" applyFill="1" applyBorder="1" applyAlignment="1">
      <alignment horizontal="center" vertical="center" wrapText="1"/>
    </xf>
    <xf numFmtId="172" fontId="49" fillId="4" borderId="5" xfId="17" applyNumberFormat="1" applyFont="1" applyFill="1" applyBorder="1" applyAlignment="1" applyProtection="1">
      <alignment horizontal="center" vertical="center" wrapText="1"/>
    </xf>
    <xf numFmtId="172" fontId="50" fillId="4" borderId="5" xfId="17" applyNumberFormat="1" applyFont="1" applyFill="1" applyBorder="1" applyAlignment="1" applyProtection="1">
      <alignment horizontal="center" vertical="center" wrapText="1"/>
    </xf>
    <xf numFmtId="172" fontId="42" fillId="4" borderId="5" xfId="17" applyNumberFormat="1" applyFont="1" applyFill="1" applyBorder="1" applyAlignment="1" applyProtection="1">
      <alignment horizontal="center" vertical="center" wrapText="1"/>
    </xf>
    <xf numFmtId="172" fontId="32" fillId="4" borderId="5" xfId="17" applyNumberFormat="1" applyFont="1" applyFill="1" applyBorder="1" applyAlignment="1" applyProtection="1">
      <alignment horizontal="center" vertical="center" wrapText="1"/>
    </xf>
    <xf numFmtId="9" fontId="32" fillId="4" borderId="5" xfId="8" applyFont="1" applyFill="1" applyBorder="1" applyAlignment="1" applyProtection="1">
      <alignment horizontal="center" vertical="center" wrapText="1"/>
    </xf>
    <xf numFmtId="0" fontId="51" fillId="4" borderId="5" xfId="0" applyFont="1" applyFill="1" applyBorder="1" applyAlignment="1">
      <alignment horizontal="center" vertical="center" wrapText="1"/>
    </xf>
    <xf numFmtId="0" fontId="31" fillId="2" borderId="5" xfId="7" applyFont="1" applyFill="1" applyBorder="1" applyAlignment="1">
      <alignment horizontal="center" vertical="center" wrapText="1"/>
    </xf>
    <xf numFmtId="49" fontId="13" fillId="2" borderId="5" xfId="7" applyNumberFormat="1" applyFont="1" applyFill="1" applyBorder="1" applyAlignment="1" applyProtection="1">
      <alignment horizontal="center" vertical="center" wrapText="1"/>
      <protection locked="0"/>
    </xf>
    <xf numFmtId="172" fontId="30" fillId="2" borderId="5" xfId="17" applyNumberFormat="1" applyFont="1" applyFill="1" applyBorder="1" applyAlignment="1" applyProtection="1">
      <alignment horizontal="center" vertical="center"/>
    </xf>
    <xf numFmtId="172" fontId="36" fillId="2" borderId="5" xfId="17" applyNumberFormat="1" applyFont="1" applyFill="1" applyBorder="1" applyAlignment="1" applyProtection="1">
      <alignment horizontal="center" vertical="center"/>
    </xf>
    <xf numFmtId="0" fontId="36" fillId="2" borderId="5" xfId="7" applyFont="1" applyFill="1" applyBorder="1" applyAlignment="1">
      <alignment horizontal="center" vertical="center" wrapText="1"/>
    </xf>
    <xf numFmtId="0" fontId="30" fillId="6" borderId="5" xfId="7" applyFont="1" applyFill="1" applyBorder="1" applyAlignment="1">
      <alignment horizontal="center" vertical="center"/>
    </xf>
    <xf numFmtId="172" fontId="30" fillId="2" borderId="5" xfId="17" applyNumberFormat="1" applyFont="1" applyFill="1" applyBorder="1" applyAlignment="1" applyProtection="1">
      <alignment horizontal="center" vertical="center" wrapText="1"/>
    </xf>
    <xf numFmtId="172" fontId="36" fillId="2" borderId="5" xfId="17" applyNumberFormat="1" applyFont="1" applyFill="1" applyBorder="1" applyAlignment="1" applyProtection="1">
      <alignment horizontal="center" vertical="center" wrapText="1"/>
    </xf>
    <xf numFmtId="9" fontId="30" fillId="2" borderId="5" xfId="8" applyFont="1" applyFill="1" applyBorder="1" applyAlignment="1" applyProtection="1">
      <alignment horizontal="center" vertical="center" wrapText="1"/>
    </xf>
    <xf numFmtId="1" fontId="32" fillId="2" borderId="5" xfId="8" applyNumberFormat="1" applyFont="1" applyFill="1" applyBorder="1" applyAlignment="1" applyProtection="1">
      <alignment horizontal="center" vertical="center" wrapText="1"/>
    </xf>
    <xf numFmtId="172" fontId="49" fillId="2" borderId="5" xfId="17" applyNumberFormat="1" applyFont="1" applyFill="1" applyBorder="1" applyAlignment="1" applyProtection="1">
      <alignment horizontal="center" vertical="center" wrapText="1"/>
    </xf>
    <xf numFmtId="172" fontId="50" fillId="2" borderId="5" xfId="17" applyNumberFormat="1" applyFont="1" applyFill="1" applyBorder="1" applyAlignment="1" applyProtection="1">
      <alignment horizontal="center" vertical="center" wrapText="1"/>
    </xf>
    <xf numFmtId="172" fontId="55" fillId="2" borderId="5" xfId="17" applyNumberFormat="1" applyFont="1" applyFill="1" applyBorder="1" applyAlignment="1" applyProtection="1">
      <alignment horizontal="center" vertical="center" wrapText="1"/>
    </xf>
    <xf numFmtId="9" fontId="32" fillId="2" borderId="5" xfId="8" applyFont="1" applyFill="1" applyBorder="1" applyAlignment="1" applyProtection="1">
      <alignment horizontal="center" vertical="center" wrapText="1"/>
    </xf>
    <xf numFmtId="0" fontId="51" fillId="2" borderId="5" xfId="0" applyFont="1" applyFill="1" applyBorder="1" applyAlignment="1">
      <alignment horizontal="center" vertical="center" wrapText="1"/>
    </xf>
    <xf numFmtId="0" fontId="36" fillId="4" borderId="5" xfId="7" applyFont="1" applyFill="1" applyBorder="1" applyAlignment="1">
      <alignment horizontal="center" vertical="center"/>
    </xf>
    <xf numFmtId="172" fontId="30" fillId="2" borderId="5" xfId="8" applyNumberFormat="1" applyFont="1" applyFill="1" applyBorder="1" applyAlignment="1" applyProtection="1">
      <alignment horizontal="center" vertical="center"/>
    </xf>
    <xf numFmtId="0" fontId="48" fillId="2" borderId="5" xfId="7" applyFont="1" applyFill="1" applyBorder="1" applyAlignment="1">
      <alignment horizontal="center" vertical="center" wrapText="1"/>
    </xf>
    <xf numFmtId="0" fontId="38" fillId="2" borderId="5" xfId="7" applyFont="1" applyFill="1" applyBorder="1" applyAlignment="1">
      <alignment horizontal="center" vertical="center" wrapText="1"/>
    </xf>
    <xf numFmtId="0" fontId="28" fillId="2" borderId="5" xfId="2" quotePrefix="1" applyFont="1" applyFill="1" applyBorder="1" applyAlignment="1">
      <alignment horizontal="center" vertical="center" wrapText="1"/>
    </xf>
    <xf numFmtId="9" fontId="31" fillId="4" borderId="5" xfId="3" applyFont="1" applyFill="1" applyBorder="1" applyAlignment="1" applyProtection="1">
      <alignment horizontal="center" vertical="center" wrapText="1"/>
      <protection locked="0"/>
    </xf>
    <xf numFmtId="0" fontId="31" fillId="4" borderId="5" xfId="6" applyFont="1" applyFill="1" applyBorder="1" applyAlignment="1" applyProtection="1">
      <alignment horizontal="center" vertical="center" wrapText="1"/>
      <protection locked="0"/>
    </xf>
    <xf numFmtId="166" fontId="31" fillId="4" borderId="5" xfId="6" applyNumberFormat="1" applyFont="1" applyFill="1" applyBorder="1" applyAlignment="1" applyProtection="1">
      <alignment horizontal="center" vertical="center" wrapText="1"/>
      <protection locked="0"/>
    </xf>
    <xf numFmtId="9" fontId="13" fillId="4" borderId="5" xfId="3" applyFont="1" applyFill="1" applyBorder="1" applyAlignment="1" applyProtection="1">
      <alignment horizontal="center" vertical="center" wrapText="1"/>
      <protection locked="0"/>
    </xf>
    <xf numFmtId="9" fontId="15" fillId="11" borderId="5" xfId="3" applyFont="1" applyFill="1" applyBorder="1" applyAlignment="1">
      <alignment horizontal="center" vertical="center" wrapText="1"/>
    </xf>
    <xf numFmtId="0" fontId="48" fillId="4" borderId="5" xfId="0" applyFont="1" applyFill="1" applyBorder="1" applyAlignment="1">
      <alignment horizontal="center" vertical="center" wrapText="1"/>
    </xf>
    <xf numFmtId="0" fontId="30" fillId="4" borderId="5" xfId="0" applyFont="1" applyFill="1" applyBorder="1" applyAlignment="1">
      <alignment horizontal="center" vertical="center"/>
    </xf>
    <xf numFmtId="165" fontId="30" fillId="4" borderId="5" xfId="16" applyNumberFormat="1" applyFont="1" applyFill="1" applyBorder="1" applyAlignment="1">
      <alignment horizontal="center" vertical="center"/>
    </xf>
    <xf numFmtId="173" fontId="30" fillId="4" borderId="5" xfId="0" applyNumberFormat="1" applyFont="1" applyFill="1" applyBorder="1" applyAlignment="1">
      <alignment horizontal="center" vertical="center"/>
    </xf>
    <xf numFmtId="0" fontId="30" fillId="4" borderId="5" xfId="0" applyFont="1" applyFill="1" applyBorder="1" applyAlignment="1" applyProtection="1">
      <alignment horizontal="center" vertical="center" wrapText="1"/>
      <protection locked="0"/>
    </xf>
    <xf numFmtId="0" fontId="30" fillId="4" borderId="5" xfId="6" applyFont="1" applyFill="1" applyBorder="1" applyAlignment="1" applyProtection="1">
      <alignment horizontal="center" vertical="center" wrapText="1"/>
      <protection locked="0"/>
    </xf>
    <xf numFmtId="173" fontId="30" fillId="4" borderId="5" xfId="6" applyNumberFormat="1" applyFont="1" applyFill="1" applyBorder="1" applyAlignment="1" applyProtection="1">
      <alignment horizontal="center" vertical="center" wrapText="1"/>
      <protection locked="0"/>
    </xf>
    <xf numFmtId="165" fontId="30" fillId="4" borderId="5" xfId="16" applyNumberFormat="1" applyFont="1" applyFill="1" applyBorder="1" applyAlignment="1">
      <alignment horizontal="center" vertical="center" wrapText="1"/>
    </xf>
    <xf numFmtId="9" fontId="31" fillId="2" borderId="5" xfId="3" applyFont="1" applyFill="1" applyBorder="1" applyAlignment="1" applyProtection="1">
      <alignment horizontal="center" vertical="center" wrapText="1"/>
      <protection locked="0"/>
    </xf>
    <xf numFmtId="0" fontId="31" fillId="2" borderId="5" xfId="6" applyFont="1" applyFill="1" applyBorder="1" applyAlignment="1" applyProtection="1">
      <alignment horizontal="center" vertical="center" wrapText="1"/>
      <protection locked="0"/>
    </xf>
    <xf numFmtId="166" fontId="31" fillId="2" borderId="5" xfId="6" applyNumberFormat="1" applyFont="1" applyFill="1" applyBorder="1" applyAlignment="1" applyProtection="1">
      <alignment horizontal="center" vertical="center" wrapText="1"/>
      <protection locked="0"/>
    </xf>
    <xf numFmtId="9" fontId="13" fillId="2" borderId="5" xfId="3" applyFont="1" applyFill="1" applyBorder="1" applyAlignment="1" applyProtection="1">
      <alignment horizontal="center" vertical="center" wrapText="1"/>
      <protection locked="0"/>
    </xf>
    <xf numFmtId="0" fontId="48" fillId="2" borderId="5" xfId="0" applyFont="1" applyFill="1" applyBorder="1" applyAlignment="1">
      <alignment horizontal="center" vertical="center" wrapText="1"/>
    </xf>
    <xf numFmtId="173" fontId="30" fillId="2" borderId="5" xfId="0" applyNumberFormat="1" applyFont="1" applyFill="1" applyBorder="1" applyAlignment="1">
      <alignment horizontal="center" vertical="center"/>
    </xf>
    <xf numFmtId="165" fontId="30" fillId="2" borderId="5" xfId="16" applyNumberFormat="1" applyFont="1" applyFill="1" applyBorder="1" applyAlignment="1">
      <alignment horizontal="center" vertical="center"/>
    </xf>
    <xf numFmtId="9" fontId="16" fillId="11" borderId="5" xfId="3" applyFont="1" applyFill="1" applyBorder="1" applyAlignment="1">
      <alignment horizontal="center" vertical="center"/>
    </xf>
    <xf numFmtId="9" fontId="15" fillId="24" borderId="5" xfId="3" applyFont="1" applyFill="1" applyBorder="1" applyAlignment="1">
      <alignment horizontal="center" vertical="center"/>
    </xf>
    <xf numFmtId="0" fontId="16" fillId="20" borderId="5" xfId="0" applyFont="1" applyFill="1" applyBorder="1" applyAlignment="1">
      <alignment horizontal="center" vertical="center"/>
    </xf>
    <xf numFmtId="0" fontId="30" fillId="20" borderId="5" xfId="0" applyFont="1" applyFill="1" applyBorder="1" applyAlignment="1">
      <alignment horizontal="center" vertical="center"/>
    </xf>
    <xf numFmtId="0" fontId="57" fillId="4" borderId="5" xfId="0" applyFont="1" applyFill="1" applyBorder="1" applyAlignment="1">
      <alignment horizontal="center" vertical="center" wrapText="1"/>
    </xf>
    <xf numFmtId="0" fontId="57" fillId="4" borderId="5" xfId="0" applyFont="1" applyFill="1" applyBorder="1" applyAlignment="1">
      <alignment horizontal="center" vertical="center"/>
    </xf>
    <xf numFmtId="0" fontId="57" fillId="2" borderId="5" xfId="0" applyFont="1" applyFill="1" applyBorder="1" applyAlignment="1">
      <alignment horizontal="center" vertical="center" wrapText="1"/>
    </xf>
    <xf numFmtId="42" fontId="30" fillId="2" borderId="5" xfId="15" applyFont="1" applyFill="1" applyBorder="1" applyAlignment="1">
      <alignment horizontal="center" vertical="center"/>
    </xf>
    <xf numFmtId="0" fontId="57" fillId="2" borderId="5" xfId="0" applyFont="1" applyFill="1" applyBorder="1" applyAlignment="1">
      <alignment horizontal="center" vertical="center"/>
    </xf>
    <xf numFmtId="0" fontId="16" fillId="3" borderId="5" xfId="0" applyFont="1" applyFill="1" applyBorder="1" applyAlignment="1">
      <alignment horizontal="center" vertical="center"/>
    </xf>
    <xf numFmtId="9" fontId="15" fillId="11" borderId="5" xfId="3" applyFont="1" applyFill="1" applyBorder="1" applyAlignment="1">
      <alignment horizontal="center" vertical="center"/>
    </xf>
    <xf numFmtId="0" fontId="48" fillId="2" borderId="5" xfId="0" applyFont="1" applyFill="1" applyBorder="1" applyAlignment="1">
      <alignment horizontal="center" vertical="center"/>
    </xf>
    <xf numFmtId="9" fontId="31" fillId="4" borderId="5" xfId="0" applyNumberFormat="1" applyFont="1" applyFill="1" applyBorder="1" applyAlignment="1">
      <alignment horizontal="center" vertical="center" wrapText="1"/>
    </xf>
    <xf numFmtId="0" fontId="31"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49" fontId="31" fillId="4" borderId="5" xfId="0" applyNumberFormat="1" applyFont="1" applyFill="1" applyBorder="1" applyAlignment="1">
      <alignment horizontal="center" vertical="center" wrapText="1"/>
    </xf>
    <xf numFmtId="166" fontId="31" fillId="4" borderId="5" xfId="0" applyNumberFormat="1" applyFont="1" applyFill="1" applyBorder="1" applyAlignment="1">
      <alignment horizontal="center" vertical="center" wrapText="1"/>
    </xf>
    <xf numFmtId="9" fontId="13" fillId="4" borderId="5" xfId="0" applyNumberFormat="1" applyFont="1" applyFill="1" applyBorder="1" applyAlignment="1">
      <alignment horizontal="center" vertical="center" wrapText="1"/>
    </xf>
    <xf numFmtId="167" fontId="15" fillId="11" borderId="5" xfId="0" applyNumberFormat="1" applyFont="1" applyFill="1" applyBorder="1" applyAlignment="1">
      <alignment horizontal="center" vertical="center"/>
    </xf>
    <xf numFmtId="164" fontId="30" fillId="4" borderId="5" xfId="0" applyNumberFormat="1" applyFont="1" applyFill="1" applyBorder="1" applyAlignment="1">
      <alignment horizontal="center" vertical="center"/>
    </xf>
    <xf numFmtId="0" fontId="32" fillId="20" borderId="5" xfId="0" applyFont="1" applyFill="1" applyBorder="1" applyAlignment="1">
      <alignment horizontal="center" vertical="center" wrapText="1"/>
    </xf>
    <xf numFmtId="0" fontId="30" fillId="20" borderId="5" xfId="0" applyFont="1" applyFill="1" applyBorder="1" applyAlignment="1" applyProtection="1">
      <alignment horizontal="center" vertical="center" wrapText="1"/>
      <protection locked="0"/>
    </xf>
    <xf numFmtId="1" fontId="30" fillId="4" borderId="5" xfId="0" applyNumberFormat="1" applyFont="1" applyFill="1" applyBorder="1" applyAlignment="1">
      <alignment horizontal="center" vertical="center" wrapText="1"/>
    </xf>
    <xf numFmtId="0" fontId="32" fillId="4" borderId="5" xfId="0" applyFont="1" applyFill="1" applyBorder="1" applyAlignment="1">
      <alignment horizontal="center" vertical="center"/>
    </xf>
    <xf numFmtId="1" fontId="30" fillId="4" borderId="5" xfId="0" applyNumberFormat="1" applyFont="1" applyFill="1" applyBorder="1" applyAlignment="1">
      <alignment horizontal="center" vertical="center"/>
    </xf>
    <xf numFmtId="9" fontId="9" fillId="31" borderId="5" xfId="3" applyFont="1" applyFill="1" applyBorder="1" applyAlignment="1">
      <alignment horizontal="center" vertical="center"/>
    </xf>
    <xf numFmtId="9" fontId="9" fillId="31" borderId="5" xfId="3" applyFont="1" applyFill="1" applyBorder="1" applyAlignment="1">
      <alignment horizontal="center" vertical="center" wrapText="1"/>
    </xf>
    <xf numFmtId="9" fontId="15" fillId="31" borderId="5" xfId="3" applyFont="1" applyFill="1" applyBorder="1" applyAlignment="1">
      <alignment horizontal="center" vertical="center"/>
    </xf>
    <xf numFmtId="9" fontId="15" fillId="31" borderId="5" xfId="3" applyFont="1" applyFill="1" applyBorder="1" applyAlignment="1">
      <alignment horizontal="center" vertical="center" wrapText="1"/>
    </xf>
    <xf numFmtId="9" fontId="16" fillId="16" borderId="5" xfId="0" applyNumberFormat="1" applyFont="1" applyFill="1" applyBorder="1" applyAlignment="1">
      <alignment horizontal="center" vertical="center"/>
    </xf>
    <xf numFmtId="9" fontId="16" fillId="31" borderId="5" xfId="2" applyNumberFormat="1" applyFont="1" applyFill="1" applyBorder="1" applyAlignment="1" applyProtection="1">
      <alignment horizontal="center" vertical="center" wrapText="1"/>
      <protection locked="0"/>
    </xf>
    <xf numFmtId="9" fontId="15" fillId="32" borderId="5" xfId="3" applyFont="1" applyFill="1" applyBorder="1" applyAlignment="1" applyProtection="1">
      <alignment horizontal="center" vertical="center"/>
    </xf>
    <xf numFmtId="9" fontId="20" fillId="31" borderId="5" xfId="3" applyFont="1" applyFill="1" applyBorder="1" applyAlignment="1">
      <alignment horizontal="center" vertical="center"/>
    </xf>
    <xf numFmtId="9" fontId="20" fillId="31" borderId="5" xfId="0" applyNumberFormat="1" applyFont="1" applyFill="1" applyBorder="1" applyAlignment="1">
      <alignment horizontal="center" vertical="center"/>
    </xf>
    <xf numFmtId="9" fontId="17" fillId="31" borderId="5" xfId="3" applyFont="1" applyFill="1" applyBorder="1" applyAlignment="1">
      <alignment horizontal="center" vertical="center"/>
    </xf>
    <xf numFmtId="9" fontId="16" fillId="31" borderId="5" xfId="3" applyFont="1" applyFill="1" applyBorder="1" applyAlignment="1">
      <alignment horizontal="center" vertical="center"/>
    </xf>
    <xf numFmtId="9" fontId="21" fillId="31" borderId="5" xfId="0" applyNumberFormat="1" applyFont="1" applyFill="1" applyBorder="1" applyAlignment="1">
      <alignment horizontal="center" vertical="center"/>
    </xf>
    <xf numFmtId="9" fontId="16" fillId="31" borderId="5" xfId="3" applyFont="1" applyFill="1" applyBorder="1" applyAlignment="1">
      <alignment horizontal="center" vertical="center" wrapText="1"/>
    </xf>
    <xf numFmtId="9" fontId="15" fillId="31" borderId="5" xfId="4" applyFont="1" applyFill="1" applyBorder="1" applyAlignment="1">
      <alignment horizontal="center" vertical="center"/>
    </xf>
    <xf numFmtId="9" fontId="16" fillId="33" borderId="5" xfId="8" applyFont="1" applyFill="1" applyBorder="1" applyAlignment="1" applyProtection="1">
      <alignment horizontal="center" vertical="center"/>
    </xf>
    <xf numFmtId="9" fontId="21" fillId="31" borderId="5" xfId="3" applyFont="1" applyFill="1" applyBorder="1" applyAlignment="1">
      <alignment horizontal="center" vertical="center"/>
    </xf>
    <xf numFmtId="9" fontId="15" fillId="34" borderId="5" xfId="4" applyFont="1" applyFill="1" applyBorder="1" applyAlignment="1">
      <alignment horizontal="center" vertical="center"/>
    </xf>
    <xf numFmtId="9" fontId="15" fillId="36" borderId="5" xfId="8" applyFont="1" applyFill="1" applyBorder="1" applyAlignment="1" applyProtection="1">
      <alignment horizontal="center" vertical="center"/>
    </xf>
    <xf numFmtId="9" fontId="26" fillId="34" borderId="5" xfId="3" applyFont="1" applyFill="1" applyBorder="1" applyAlignment="1">
      <alignment horizontal="center" vertical="center"/>
    </xf>
    <xf numFmtId="0" fontId="27" fillId="0" borderId="0" xfId="0" applyFont="1" applyAlignment="1">
      <alignment horizontal="center" vertical="center"/>
    </xf>
    <xf numFmtId="0" fontId="6" fillId="20" borderId="5" xfId="0" applyFont="1" applyFill="1" applyBorder="1" applyAlignment="1">
      <alignment horizontal="center" vertical="center" wrapText="1"/>
    </xf>
    <xf numFmtId="0" fontId="6" fillId="3" borderId="5" xfId="0" applyFont="1" applyFill="1" applyBorder="1" applyAlignment="1">
      <alignment horizontal="center" vertical="center"/>
    </xf>
    <xf numFmtId="9" fontId="45" fillId="2" borderId="5" xfId="24" applyNumberFormat="1" applyFont="1" applyFill="1" applyBorder="1" applyAlignment="1">
      <alignment horizontal="center" vertical="center" wrapText="1"/>
    </xf>
    <xf numFmtId="0" fontId="45" fillId="2" borderId="5" xfId="23" applyFont="1" applyFill="1" applyBorder="1" applyAlignment="1">
      <alignment horizontal="center" vertical="center" wrapText="1"/>
    </xf>
    <xf numFmtId="0" fontId="45" fillId="4" borderId="5" xfId="23" applyFont="1" applyFill="1" applyBorder="1" applyAlignment="1">
      <alignment horizontal="center" vertical="center" wrapText="1"/>
    </xf>
    <xf numFmtId="0" fontId="55" fillId="21" borderId="5" xfId="2" applyFont="1" applyFill="1" applyBorder="1" applyAlignment="1">
      <alignment horizontal="center" vertical="center" wrapText="1"/>
    </xf>
    <xf numFmtId="9" fontId="28" fillId="2" borderId="5" xfId="3" applyFont="1" applyFill="1" applyBorder="1" applyAlignment="1">
      <alignment horizontal="center" vertical="center" wrapText="1"/>
    </xf>
    <xf numFmtId="0" fontId="6" fillId="2" borderId="5" xfId="23" applyFont="1" applyFill="1" applyBorder="1" applyAlignment="1">
      <alignment horizontal="center" vertical="center" wrapText="1"/>
    </xf>
    <xf numFmtId="0" fontId="6" fillId="4" borderId="5" xfId="23" applyFont="1" applyFill="1" applyBorder="1" applyAlignment="1">
      <alignment horizontal="center" vertical="center" wrapText="1"/>
    </xf>
    <xf numFmtId="0" fontId="6" fillId="4" borderId="5" xfId="12" applyFont="1" applyFill="1" applyBorder="1" applyAlignment="1">
      <alignment horizontal="center" vertical="center" wrapText="1"/>
    </xf>
    <xf numFmtId="0" fontId="58" fillId="4" borderId="5" xfId="0" applyFont="1" applyFill="1" applyBorder="1" applyAlignment="1">
      <alignment horizontal="center" vertical="center" wrapText="1"/>
    </xf>
    <xf numFmtId="0" fontId="58" fillId="2" borderId="5" xfId="0" applyFont="1" applyFill="1" applyBorder="1" applyAlignment="1">
      <alignment horizontal="center" vertical="center" wrapText="1"/>
    </xf>
    <xf numFmtId="9" fontId="25" fillId="10" borderId="5" xfId="3" applyFont="1" applyFill="1" applyBorder="1" applyAlignment="1">
      <alignment horizontal="center" vertical="center"/>
    </xf>
    <xf numFmtId="9" fontId="25" fillId="11" borderId="5" xfId="3" applyFont="1" applyFill="1" applyBorder="1" applyAlignment="1">
      <alignment horizontal="center" vertical="center"/>
    </xf>
    <xf numFmtId="0" fontId="25" fillId="2" borderId="5" xfId="0" applyFont="1" applyFill="1" applyBorder="1" applyAlignment="1">
      <alignment horizontal="center" vertical="center"/>
    </xf>
    <xf numFmtId="9" fontId="25" fillId="10" borderId="5" xfId="8" applyFont="1" applyFill="1" applyBorder="1" applyAlignment="1" applyProtection="1">
      <alignment horizontal="center" vertical="center" wrapText="1"/>
      <protection locked="0"/>
    </xf>
    <xf numFmtId="9" fontId="25" fillId="11" borderId="5" xfId="4" applyFont="1" applyFill="1" applyBorder="1" applyAlignment="1">
      <alignment horizontal="center" vertical="center"/>
    </xf>
    <xf numFmtId="9" fontId="25" fillId="2" borderId="5" xfId="3"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9" fontId="60" fillId="2" borderId="5" xfId="3" applyFont="1" applyFill="1" applyBorder="1" applyAlignment="1" applyProtection="1">
      <alignment horizontal="center" vertical="center" wrapText="1"/>
      <protection locked="0"/>
    </xf>
    <xf numFmtId="0" fontId="60" fillId="2" borderId="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60" fillId="2" borderId="5" xfId="9" applyFont="1" applyFill="1" applyBorder="1" applyAlignment="1" applyProtection="1">
      <alignment horizontal="center" vertical="center" wrapText="1"/>
      <protection locked="0"/>
    </xf>
    <xf numFmtId="166" fontId="60" fillId="2" borderId="5" xfId="9" applyNumberFormat="1" applyFont="1" applyFill="1" applyBorder="1" applyAlignment="1" applyProtection="1">
      <alignment horizontal="center" vertical="center" wrapText="1"/>
      <protection locked="0"/>
    </xf>
    <xf numFmtId="0" fontId="60" fillId="2" borderId="5" xfId="0" applyFont="1" applyFill="1" applyBorder="1" applyAlignment="1">
      <alignment horizontal="center" vertical="center" wrapText="1"/>
    </xf>
    <xf numFmtId="0" fontId="60" fillId="2" borderId="5" xfId="0" applyFont="1" applyFill="1" applyBorder="1" applyAlignment="1">
      <alignment horizontal="center" vertical="center"/>
    </xf>
    <xf numFmtId="42" fontId="60" fillId="2" borderId="5" xfId="15" applyFont="1" applyFill="1" applyBorder="1" applyAlignment="1">
      <alignment horizontal="center" vertical="center"/>
    </xf>
    <xf numFmtId="42" fontId="60" fillId="2" borderId="5" xfId="0" applyNumberFormat="1" applyFont="1" applyFill="1" applyBorder="1" applyAlignment="1">
      <alignment horizontal="center" vertical="center"/>
    </xf>
    <xf numFmtId="42" fontId="60" fillId="2" borderId="5" xfId="15" applyFont="1" applyFill="1" applyBorder="1" applyAlignment="1">
      <alignment horizontal="center" vertical="center" wrapText="1"/>
    </xf>
    <xf numFmtId="42" fontId="60" fillId="2" borderId="5" xfId="0" applyNumberFormat="1" applyFont="1" applyFill="1" applyBorder="1" applyAlignment="1">
      <alignment horizontal="center" vertical="center" wrapText="1"/>
    </xf>
    <xf numFmtId="0" fontId="25" fillId="3" borderId="5" xfId="0" applyFont="1" applyFill="1" applyBorder="1" applyAlignment="1" applyProtection="1">
      <alignment horizontal="center" vertical="center" wrapText="1"/>
      <protection locked="0"/>
    </xf>
    <xf numFmtId="9" fontId="60" fillId="2" borderId="5" xfId="0" applyNumberFormat="1" applyFont="1" applyFill="1" applyBorder="1" applyAlignment="1" applyProtection="1">
      <alignment horizontal="center" vertical="center" wrapText="1"/>
      <protection locked="0"/>
    </xf>
    <xf numFmtId="9" fontId="60" fillId="3" borderId="5" xfId="3" applyFont="1" applyFill="1" applyBorder="1" applyAlignment="1" applyProtection="1">
      <alignment horizontal="center" vertical="center" wrapText="1"/>
      <protection locked="0"/>
    </xf>
    <xf numFmtId="0" fontId="60" fillId="3" borderId="5" xfId="0" applyFont="1" applyFill="1" applyBorder="1" applyAlignment="1">
      <alignment horizontal="center" vertical="center" wrapText="1"/>
    </xf>
    <xf numFmtId="0" fontId="60" fillId="3" borderId="5" xfId="0" applyFont="1" applyFill="1" applyBorder="1" applyAlignment="1">
      <alignment horizontal="center" vertical="center"/>
    </xf>
    <xf numFmtId="9" fontId="60" fillId="3" borderId="5" xfId="3" applyFont="1" applyFill="1" applyBorder="1" applyAlignment="1">
      <alignment horizontal="center" vertical="center" wrapText="1"/>
    </xf>
    <xf numFmtId="49" fontId="25" fillId="2" borderId="5" xfId="0" applyNumberFormat="1" applyFont="1" applyFill="1" applyBorder="1" applyAlignment="1" applyProtection="1">
      <alignment horizontal="center" vertical="center" wrapText="1"/>
      <protection locked="0"/>
    </xf>
    <xf numFmtId="42" fontId="60" fillId="3" borderId="5" xfId="15" applyFont="1" applyFill="1" applyBorder="1" applyAlignment="1">
      <alignment horizontal="center" vertical="center"/>
    </xf>
    <xf numFmtId="42" fontId="60" fillId="3" borderId="5" xfId="0" applyNumberFormat="1" applyFont="1" applyFill="1" applyBorder="1" applyAlignment="1">
      <alignment horizontal="center" vertical="center"/>
    </xf>
    <xf numFmtId="42" fontId="60" fillId="3" borderId="5" xfId="15" applyFont="1" applyFill="1" applyBorder="1" applyAlignment="1">
      <alignment horizontal="center" vertical="center" wrapText="1"/>
    </xf>
    <xf numFmtId="170" fontId="60" fillId="2" borderId="5" xfId="14" applyNumberFormat="1" applyFont="1" applyFill="1" applyBorder="1" applyAlignment="1">
      <alignment horizontal="center" vertical="center"/>
    </xf>
    <xf numFmtId="6" fontId="60" fillId="2" borderId="5" xfId="0" applyNumberFormat="1" applyFont="1" applyFill="1" applyBorder="1" applyAlignment="1">
      <alignment horizontal="center" vertical="center"/>
    </xf>
    <xf numFmtId="9" fontId="60" fillId="2" borderId="5" xfId="3" applyFont="1" applyFill="1" applyBorder="1" applyAlignment="1">
      <alignment horizontal="center" vertical="center" wrapText="1"/>
    </xf>
    <xf numFmtId="0" fontId="25" fillId="2" borderId="5" xfId="0" applyFont="1" applyFill="1" applyBorder="1" applyAlignment="1">
      <alignment horizontal="center" vertical="center" wrapText="1"/>
    </xf>
    <xf numFmtId="9" fontId="60" fillId="2" borderId="5" xfId="3" applyFont="1" applyFill="1" applyBorder="1" applyAlignment="1">
      <alignment horizontal="center" vertical="center"/>
    </xf>
    <xf numFmtId="0" fontId="61" fillId="2" borderId="5" xfId="24" applyFont="1" applyFill="1" applyBorder="1" applyAlignment="1">
      <alignment horizontal="center" vertical="center" wrapText="1"/>
    </xf>
    <xf numFmtId="0" fontId="60" fillId="2" borderId="5" xfId="23" applyFont="1" applyFill="1" applyBorder="1" applyAlignment="1">
      <alignment horizontal="center" vertical="center" wrapText="1"/>
    </xf>
    <xf numFmtId="0" fontId="60" fillId="2" borderId="5" xfId="1" applyFont="1" applyFill="1" applyBorder="1" applyAlignment="1" applyProtection="1">
      <alignment horizontal="center" vertical="center" wrapText="1"/>
      <protection locked="0"/>
    </xf>
    <xf numFmtId="44" fontId="60" fillId="2" borderId="5" xfId="14" applyFont="1" applyFill="1" applyBorder="1" applyAlignment="1">
      <alignment horizontal="center" vertical="center"/>
    </xf>
    <xf numFmtId="44" fontId="60" fillId="2" borderId="5" xfId="14" applyFont="1" applyFill="1" applyBorder="1" applyAlignment="1">
      <alignment horizontal="center" vertical="center" wrapText="1"/>
    </xf>
    <xf numFmtId="49" fontId="60" fillId="2" borderId="5" xfId="0" applyNumberFormat="1" applyFont="1" applyFill="1" applyBorder="1" applyAlignment="1" applyProtection="1">
      <alignment horizontal="center" vertical="center" wrapText="1"/>
      <protection locked="0"/>
    </xf>
    <xf numFmtId="42" fontId="60" fillId="2" borderId="5" xfId="15" applyFont="1" applyFill="1" applyBorder="1" applyAlignment="1" applyProtection="1">
      <alignment horizontal="center" vertical="center" wrapText="1"/>
      <protection locked="0"/>
    </xf>
    <xf numFmtId="9" fontId="60" fillId="2" borderId="5" xfId="8" applyFont="1" applyFill="1" applyBorder="1" applyAlignment="1" applyProtection="1">
      <alignment horizontal="center" vertical="center" wrapText="1"/>
      <protection locked="0"/>
    </xf>
    <xf numFmtId="0" fontId="25" fillId="5" borderId="5" xfId="9" applyFont="1" applyFill="1" applyBorder="1" applyAlignment="1" applyProtection="1">
      <alignment horizontal="center" vertical="center" wrapText="1"/>
      <protection locked="0"/>
    </xf>
    <xf numFmtId="0" fontId="60" fillId="2" borderId="5" xfId="10" applyFont="1" applyFill="1" applyBorder="1" applyAlignment="1" applyProtection="1">
      <alignment horizontal="center" vertical="center" wrapText="1"/>
      <protection locked="0"/>
    </xf>
    <xf numFmtId="166" fontId="60" fillId="2" borderId="5" xfId="10" applyNumberFormat="1" applyFont="1" applyFill="1" applyBorder="1" applyAlignment="1" applyProtection="1">
      <alignment horizontal="center" vertical="center" wrapText="1"/>
      <protection locked="0"/>
    </xf>
    <xf numFmtId="0" fontId="60" fillId="2" borderId="5" xfId="9" applyFont="1" applyFill="1" applyBorder="1" applyAlignment="1">
      <alignment horizontal="center" vertical="center"/>
    </xf>
    <xf numFmtId="9" fontId="60" fillId="7" borderId="5" xfId="8" applyFont="1" applyFill="1" applyBorder="1" applyAlignment="1" applyProtection="1">
      <alignment horizontal="center" vertical="center" wrapText="1"/>
      <protection locked="0"/>
    </xf>
    <xf numFmtId="0" fontId="60" fillId="8" borderId="5" xfId="9" applyFont="1" applyFill="1" applyBorder="1" applyAlignment="1">
      <alignment horizontal="center" vertical="center"/>
    </xf>
    <xf numFmtId="0" fontId="60" fillId="6" borderId="5" xfId="9" applyFont="1" applyFill="1" applyBorder="1" applyAlignment="1">
      <alignment horizontal="center" vertical="center"/>
    </xf>
    <xf numFmtId="164" fontId="60" fillId="5" borderId="5" xfId="5" applyFont="1" applyFill="1" applyBorder="1" applyAlignment="1" applyProtection="1">
      <alignment horizontal="center" vertical="center"/>
    </xf>
    <xf numFmtId="164" fontId="60" fillId="2" borderId="5" xfId="5" applyFont="1" applyFill="1" applyBorder="1" applyAlignment="1" applyProtection="1">
      <alignment horizontal="center" vertical="center"/>
    </xf>
    <xf numFmtId="0" fontId="60" fillId="2" borderId="5" xfId="9" applyFont="1" applyFill="1" applyBorder="1" applyAlignment="1">
      <alignment horizontal="center" vertical="center" wrapText="1"/>
    </xf>
    <xf numFmtId="9" fontId="60" fillId="2" borderId="5" xfId="0" applyNumberFormat="1" applyFont="1" applyFill="1" applyBorder="1" applyAlignment="1">
      <alignment horizontal="center" vertical="center"/>
    </xf>
    <xf numFmtId="9" fontId="60" fillId="2" borderId="5" xfId="11" applyFont="1" applyFill="1" applyBorder="1" applyAlignment="1" applyProtection="1">
      <alignment horizontal="center" vertical="center" wrapText="1"/>
      <protection locked="0"/>
    </xf>
    <xf numFmtId="0" fontId="61" fillId="2" borderId="5" xfId="23" applyFont="1" applyFill="1" applyBorder="1" applyAlignment="1" applyProtection="1">
      <alignment horizontal="center" vertical="center"/>
      <protection locked="0"/>
    </xf>
    <xf numFmtId="0" fontId="60" fillId="2" borderId="5" xfId="0" quotePrefix="1" applyFont="1" applyFill="1" applyBorder="1" applyAlignment="1">
      <alignment horizontal="center" vertical="center" wrapText="1"/>
    </xf>
    <xf numFmtId="0" fontId="60" fillId="2" borderId="5" xfId="0" applyFont="1" applyFill="1" applyBorder="1" applyAlignment="1">
      <alignment horizontal="center" vertical="center" wrapText="1" shrinkToFit="1"/>
    </xf>
    <xf numFmtId="9" fontId="60" fillId="2" borderId="5" xfId="4" applyFont="1" applyFill="1" applyBorder="1" applyAlignment="1" applyProtection="1">
      <alignment horizontal="center" vertical="center" wrapText="1"/>
      <protection locked="0"/>
    </xf>
    <xf numFmtId="0" fontId="25" fillId="3" borderId="5" xfId="1" applyFont="1" applyFill="1" applyBorder="1" applyAlignment="1" applyProtection="1">
      <alignment horizontal="center" vertical="center" wrapText="1"/>
      <protection locked="0"/>
    </xf>
    <xf numFmtId="9" fontId="60" fillId="3" borderId="5" xfId="4" applyFont="1" applyFill="1" applyBorder="1" applyAlignment="1" applyProtection="1">
      <alignment horizontal="center" vertical="center" wrapText="1"/>
      <protection locked="0"/>
    </xf>
    <xf numFmtId="9" fontId="25" fillId="3" borderId="5" xfId="4" applyFont="1" applyFill="1" applyBorder="1" applyAlignment="1" applyProtection="1">
      <alignment horizontal="center" vertical="center" wrapText="1"/>
      <protection locked="0"/>
    </xf>
    <xf numFmtId="0" fontId="60" fillId="3" borderId="5" xfId="1" applyFont="1" applyFill="1" applyBorder="1" applyAlignment="1">
      <alignment horizontal="center" vertical="center" wrapText="1"/>
    </xf>
    <xf numFmtId="0" fontId="60" fillId="3" borderId="5" xfId="1" applyFont="1" applyFill="1" applyBorder="1" applyAlignment="1">
      <alignment horizontal="center" vertical="center"/>
    </xf>
    <xf numFmtId="0" fontId="60" fillId="2" borderId="5" xfId="1" applyFont="1" applyFill="1" applyBorder="1" applyAlignment="1">
      <alignment horizontal="center" vertical="center" wrapText="1"/>
    </xf>
    <xf numFmtId="173" fontId="60" fillId="2" borderId="5" xfId="1" applyNumberFormat="1" applyFont="1" applyFill="1" applyBorder="1" applyAlignment="1" applyProtection="1">
      <alignment horizontal="center" vertical="center" wrapText="1"/>
      <protection locked="0"/>
    </xf>
    <xf numFmtId="164" fontId="60" fillId="3" borderId="5" xfId="5" applyFont="1" applyFill="1" applyBorder="1" applyAlignment="1">
      <alignment horizontal="center" vertical="center"/>
    </xf>
    <xf numFmtId="164" fontId="60" fillId="2" borderId="5" xfId="5" applyFont="1" applyFill="1" applyBorder="1" applyAlignment="1">
      <alignment horizontal="center" vertical="center" wrapText="1"/>
    </xf>
    <xf numFmtId="0" fontId="61" fillId="3" borderId="5" xfId="12" applyFont="1" applyFill="1" applyBorder="1" applyAlignment="1">
      <alignment horizontal="center" vertical="center" wrapText="1"/>
    </xf>
    <xf numFmtId="166" fontId="60" fillId="3" borderId="5" xfId="9" applyNumberFormat="1" applyFont="1" applyFill="1" applyBorder="1" applyAlignment="1" applyProtection="1">
      <alignment horizontal="center" vertical="center" wrapText="1"/>
      <protection locked="0"/>
    </xf>
    <xf numFmtId="14" fontId="60" fillId="2" borderId="5" xfId="1" applyNumberFormat="1" applyFont="1" applyFill="1" applyBorder="1" applyAlignment="1">
      <alignment horizontal="center" vertical="center" wrapText="1"/>
    </xf>
    <xf numFmtId="9" fontId="60" fillId="10" borderId="5" xfId="3" applyFont="1" applyFill="1" applyBorder="1" applyAlignment="1">
      <alignment horizontal="center" vertical="center"/>
    </xf>
    <xf numFmtId="9" fontId="25" fillId="14" borderId="5" xfId="3" applyFont="1" applyFill="1" applyBorder="1" applyAlignment="1">
      <alignment horizontal="center" vertical="center"/>
    </xf>
    <xf numFmtId="9" fontId="60" fillId="4" borderId="5" xfId="3" applyFont="1" applyFill="1" applyBorder="1" applyAlignment="1" applyProtection="1">
      <alignment horizontal="center" vertical="center" wrapText="1"/>
      <protection locked="0"/>
    </xf>
    <xf numFmtId="0" fontId="60" fillId="4" borderId="5"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wrapText="1"/>
      <protection locked="0"/>
    </xf>
    <xf numFmtId="0" fontId="60" fillId="4" borderId="5" xfId="9" applyFont="1" applyFill="1" applyBorder="1" applyAlignment="1" applyProtection="1">
      <alignment horizontal="center" vertical="center" wrapText="1"/>
      <protection locked="0"/>
    </xf>
    <xf numFmtId="166" fontId="60" fillId="4" borderId="5" xfId="9" applyNumberFormat="1" applyFont="1" applyFill="1" applyBorder="1" applyAlignment="1" applyProtection="1">
      <alignment horizontal="center" vertical="center" wrapText="1"/>
      <protection locked="0"/>
    </xf>
    <xf numFmtId="9" fontId="25" fillId="4" borderId="5" xfId="3" applyFont="1" applyFill="1" applyBorder="1" applyAlignment="1" applyProtection="1">
      <alignment horizontal="center" vertical="center" wrapText="1"/>
      <protection locked="0"/>
    </xf>
    <xf numFmtId="0" fontId="60" fillId="4" borderId="5" xfId="0" applyFont="1" applyFill="1" applyBorder="1" applyAlignment="1">
      <alignment horizontal="center" vertical="center" wrapText="1"/>
    </xf>
    <xf numFmtId="0" fontId="25" fillId="4" borderId="5" xfId="0" applyFont="1" applyFill="1" applyBorder="1" applyAlignment="1">
      <alignment horizontal="center" vertical="center"/>
    </xf>
    <xf numFmtId="0" fontId="60" fillId="4" borderId="5" xfId="0" applyFont="1" applyFill="1" applyBorder="1" applyAlignment="1">
      <alignment horizontal="center" vertical="center"/>
    </xf>
    <xf numFmtId="0" fontId="25" fillId="20" borderId="5" xfId="0" applyFont="1" applyFill="1" applyBorder="1" applyAlignment="1" applyProtection="1">
      <alignment horizontal="center" vertical="center" wrapText="1"/>
      <protection locked="0"/>
    </xf>
    <xf numFmtId="9" fontId="60" fillId="4" borderId="5" xfId="0" applyNumberFormat="1" applyFont="1" applyFill="1" applyBorder="1" applyAlignment="1" applyProtection="1">
      <alignment horizontal="center" vertical="center" wrapText="1"/>
      <protection locked="0"/>
    </xf>
    <xf numFmtId="9" fontId="60" fillId="20" borderId="5" xfId="3" applyFont="1" applyFill="1" applyBorder="1" applyAlignment="1" applyProtection="1">
      <alignment horizontal="center" vertical="center" wrapText="1"/>
      <protection locked="0"/>
    </xf>
    <xf numFmtId="0" fontId="60" fillId="20" borderId="5" xfId="0" applyFont="1" applyFill="1" applyBorder="1" applyAlignment="1">
      <alignment horizontal="center" vertical="center" wrapText="1"/>
    </xf>
    <xf numFmtId="0" fontId="60" fillId="20" borderId="5" xfId="0" applyFont="1" applyFill="1" applyBorder="1" applyAlignment="1">
      <alignment horizontal="center" vertical="center"/>
    </xf>
    <xf numFmtId="9" fontId="60" fillId="20" borderId="5" xfId="3" applyFont="1" applyFill="1" applyBorder="1" applyAlignment="1">
      <alignment horizontal="center" vertical="center" wrapText="1"/>
    </xf>
    <xf numFmtId="9" fontId="60" fillId="4" borderId="5" xfId="3" applyFont="1" applyFill="1" applyBorder="1" applyAlignment="1">
      <alignment horizontal="center" vertical="center" wrapText="1"/>
    </xf>
    <xf numFmtId="0" fontId="25" fillId="4" borderId="5" xfId="0" applyFont="1" applyFill="1" applyBorder="1" applyAlignment="1">
      <alignment horizontal="center" vertical="center" wrapText="1"/>
    </xf>
    <xf numFmtId="9" fontId="60" fillId="4" borderId="5" xfId="3" applyFont="1" applyFill="1" applyBorder="1" applyAlignment="1">
      <alignment horizontal="center" vertical="center"/>
    </xf>
    <xf numFmtId="0" fontId="61" fillId="4" borderId="5" xfId="24" applyFont="1" applyFill="1" applyBorder="1" applyAlignment="1">
      <alignment horizontal="center" vertical="center" wrapText="1"/>
    </xf>
    <xf numFmtId="0" fontId="60" fillId="4" borderId="5" xfId="23" applyFont="1" applyFill="1" applyBorder="1" applyAlignment="1">
      <alignment horizontal="center" vertical="center" wrapText="1"/>
    </xf>
    <xf numFmtId="49" fontId="60" fillId="4" borderId="5" xfId="0" applyNumberFormat="1" applyFont="1" applyFill="1" applyBorder="1" applyAlignment="1" applyProtection="1">
      <alignment horizontal="center" vertical="center" wrapText="1"/>
      <protection locked="0"/>
    </xf>
    <xf numFmtId="42" fontId="60" fillId="4" borderId="5" xfId="15" applyFont="1" applyFill="1" applyBorder="1" applyAlignment="1">
      <alignment horizontal="center" vertical="center"/>
    </xf>
    <xf numFmtId="42" fontId="60" fillId="4" borderId="5" xfId="15" applyFont="1" applyFill="1" applyBorder="1" applyAlignment="1" applyProtection="1">
      <alignment horizontal="center" vertical="center" wrapText="1"/>
      <protection locked="0"/>
    </xf>
    <xf numFmtId="0" fontId="60" fillId="4" borderId="5" xfId="1" applyFont="1" applyFill="1" applyBorder="1" applyAlignment="1" applyProtection="1">
      <alignment horizontal="center" vertical="center" wrapText="1"/>
      <protection locked="0"/>
    </xf>
    <xf numFmtId="173" fontId="60" fillId="4" borderId="5" xfId="18" applyNumberFormat="1" applyFont="1" applyFill="1" applyBorder="1" applyAlignment="1" applyProtection="1">
      <alignment horizontal="center" vertical="center" wrapText="1"/>
      <protection locked="0"/>
    </xf>
    <xf numFmtId="9" fontId="60" fillId="4" borderId="5" xfId="0" applyNumberFormat="1" applyFont="1" applyFill="1" applyBorder="1" applyAlignment="1">
      <alignment horizontal="center" vertical="center" wrapText="1"/>
    </xf>
    <xf numFmtId="0" fontId="61" fillId="4" borderId="5" xfId="23" applyFont="1" applyFill="1" applyBorder="1" applyAlignment="1">
      <alignment horizontal="center" vertical="center" wrapText="1"/>
    </xf>
    <xf numFmtId="42" fontId="60" fillId="4" borderId="5" xfId="15" applyFont="1" applyFill="1" applyBorder="1" applyAlignment="1">
      <alignment horizontal="center" vertical="center" wrapText="1"/>
    </xf>
    <xf numFmtId="44" fontId="60" fillId="4" borderId="5" xfId="14" applyFont="1" applyFill="1" applyBorder="1" applyAlignment="1">
      <alignment horizontal="center" vertical="center"/>
    </xf>
    <xf numFmtId="9" fontId="60" fillId="4" borderId="5" xfId="8" applyFont="1" applyFill="1" applyBorder="1" applyAlignment="1" applyProtection="1">
      <alignment horizontal="center" vertical="center" wrapText="1"/>
      <protection locked="0"/>
    </xf>
    <xf numFmtId="0" fontId="25" fillId="22" borderId="5" xfId="9" applyFont="1" applyFill="1" applyBorder="1" applyAlignment="1" applyProtection="1">
      <alignment horizontal="center" vertical="center" wrapText="1"/>
      <protection locked="0"/>
    </xf>
    <xf numFmtId="0" fontId="60" fillId="4" borderId="5" xfId="10" applyFont="1" applyFill="1" applyBorder="1" applyAlignment="1" applyProtection="1">
      <alignment horizontal="center" vertical="center" wrapText="1"/>
      <protection locked="0"/>
    </xf>
    <xf numFmtId="166" fontId="60" fillId="4" borderId="5" xfId="10" applyNumberFormat="1" applyFont="1" applyFill="1" applyBorder="1" applyAlignment="1" applyProtection="1">
      <alignment horizontal="center" vertical="center" wrapText="1"/>
      <protection locked="0"/>
    </xf>
    <xf numFmtId="0" fontId="60" fillId="37" borderId="5" xfId="9" applyFont="1" applyFill="1" applyBorder="1" applyAlignment="1">
      <alignment horizontal="center" vertical="center"/>
    </xf>
    <xf numFmtId="9" fontId="60" fillId="38" borderId="5" xfId="8" applyFont="1" applyFill="1" applyBorder="1" applyAlignment="1" applyProtection="1">
      <alignment horizontal="center" vertical="center" wrapText="1"/>
      <protection locked="0"/>
    </xf>
    <xf numFmtId="0" fontId="60" fillId="21" borderId="5" xfId="9" applyFont="1" applyFill="1" applyBorder="1" applyAlignment="1">
      <alignment horizontal="center" vertical="center"/>
    </xf>
    <xf numFmtId="0" fontId="60" fillId="4" borderId="5" xfId="9" applyFont="1" applyFill="1" applyBorder="1" applyAlignment="1">
      <alignment horizontal="center" vertical="center"/>
    </xf>
    <xf numFmtId="0" fontId="60" fillId="21" borderId="5" xfId="9" applyFont="1" applyFill="1" applyBorder="1" applyAlignment="1">
      <alignment horizontal="center" vertical="center" wrapText="1"/>
    </xf>
    <xf numFmtId="0" fontId="60" fillId="4" borderId="5" xfId="9" applyFont="1" applyFill="1" applyBorder="1" applyAlignment="1">
      <alignment horizontal="center" vertical="center" wrapText="1"/>
    </xf>
    <xf numFmtId="9" fontId="60" fillId="4" borderId="5" xfId="0" applyNumberFormat="1" applyFont="1" applyFill="1" applyBorder="1" applyAlignment="1">
      <alignment horizontal="center" vertical="center"/>
    </xf>
    <xf numFmtId="0" fontId="60" fillId="4" borderId="5" xfId="0" quotePrefix="1" applyFont="1" applyFill="1" applyBorder="1" applyAlignment="1">
      <alignment horizontal="center" vertical="center" wrapText="1"/>
    </xf>
    <xf numFmtId="9" fontId="60" fillId="4" borderId="5" xfId="4" applyFont="1" applyFill="1" applyBorder="1" applyAlignment="1" applyProtection="1">
      <alignment horizontal="center" vertical="center" wrapText="1"/>
      <protection locked="0"/>
    </xf>
    <xf numFmtId="0" fontId="25" fillId="20" borderId="5" xfId="1" applyFont="1" applyFill="1" applyBorder="1" applyAlignment="1" applyProtection="1">
      <alignment horizontal="center" vertical="center" wrapText="1"/>
      <protection locked="0"/>
    </xf>
    <xf numFmtId="9" fontId="60" fillId="20" borderId="5" xfId="4" applyFont="1" applyFill="1" applyBorder="1" applyAlignment="1" applyProtection="1">
      <alignment horizontal="center" vertical="center" wrapText="1"/>
      <protection locked="0"/>
    </xf>
    <xf numFmtId="9" fontId="25" fillId="20" borderId="5" xfId="4" applyFont="1" applyFill="1" applyBorder="1" applyAlignment="1" applyProtection="1">
      <alignment horizontal="center" vertical="center" wrapText="1"/>
      <protection locked="0"/>
    </xf>
    <xf numFmtId="0" fontId="60" fillId="20" borderId="5" xfId="1" applyFont="1" applyFill="1" applyBorder="1" applyAlignment="1">
      <alignment horizontal="center" vertical="center" wrapText="1"/>
    </xf>
    <xf numFmtId="0" fontId="60" fillId="20" borderId="5" xfId="1" applyFont="1" applyFill="1" applyBorder="1" applyAlignment="1">
      <alignment horizontal="center" vertical="center"/>
    </xf>
    <xf numFmtId="0" fontId="60" fillId="20" borderId="5" xfId="1" applyFont="1" applyFill="1" applyBorder="1" applyAlignment="1" applyProtection="1">
      <alignment horizontal="center" vertical="center" wrapText="1"/>
      <protection locked="0"/>
    </xf>
    <xf numFmtId="173" fontId="60" fillId="20" borderId="5" xfId="1" applyNumberFormat="1" applyFont="1" applyFill="1" applyBorder="1" applyAlignment="1" applyProtection="1">
      <alignment horizontal="center" vertical="center" wrapText="1"/>
      <protection locked="0"/>
    </xf>
    <xf numFmtId="0" fontId="60" fillId="4" borderId="5" xfId="1" applyFont="1" applyFill="1" applyBorder="1" applyAlignment="1">
      <alignment horizontal="center" vertical="center" wrapText="1"/>
    </xf>
    <xf numFmtId="173" fontId="60" fillId="4" borderId="5" xfId="1" applyNumberFormat="1" applyFont="1" applyFill="1" applyBorder="1" applyAlignment="1" applyProtection="1">
      <alignment horizontal="center" vertical="center" wrapText="1"/>
      <protection locked="0"/>
    </xf>
    <xf numFmtId="164" fontId="60" fillId="20" borderId="5" xfId="5" applyFont="1" applyFill="1" applyBorder="1" applyAlignment="1">
      <alignment horizontal="center" vertical="center"/>
    </xf>
    <xf numFmtId="164" fontId="60" fillId="4" borderId="5" xfId="5" applyFont="1" applyFill="1" applyBorder="1" applyAlignment="1">
      <alignment horizontal="center" vertical="center" wrapText="1"/>
    </xf>
    <xf numFmtId="164" fontId="60" fillId="4" borderId="5" xfId="5" applyFont="1" applyFill="1" applyBorder="1" applyAlignment="1">
      <alignment horizontal="center" vertical="center"/>
    </xf>
    <xf numFmtId="9" fontId="9" fillId="23" borderId="5" xfId="3" applyFont="1" applyFill="1" applyBorder="1" applyAlignment="1">
      <alignment horizontal="center" vertical="center"/>
    </xf>
    <xf numFmtId="9" fontId="9" fillId="40" borderId="5" xfId="3" applyFont="1" applyFill="1" applyBorder="1" applyAlignment="1">
      <alignment horizontal="center" vertical="center"/>
    </xf>
    <xf numFmtId="0" fontId="9" fillId="16" borderId="5" xfId="0" applyFont="1" applyFill="1" applyBorder="1" applyAlignment="1" applyProtection="1">
      <alignment horizontal="center" vertical="center" wrapText="1"/>
      <protection locked="0"/>
    </xf>
    <xf numFmtId="0" fontId="9" fillId="16" borderId="5" xfId="2" applyFont="1" applyFill="1" applyBorder="1" applyAlignment="1" applyProtection="1">
      <alignment horizontal="center" vertical="center" wrapText="1"/>
      <protection locked="0"/>
    </xf>
    <xf numFmtId="9" fontId="25" fillId="31" borderId="5" xfId="3" applyFont="1" applyFill="1" applyBorder="1" applyAlignment="1">
      <alignment horizontal="center" vertical="center"/>
    </xf>
    <xf numFmtId="9" fontId="25" fillId="31" borderId="5" xfId="3" applyFont="1" applyFill="1" applyBorder="1" applyAlignment="1">
      <alignment horizontal="center" vertical="center" wrapText="1"/>
    </xf>
    <xf numFmtId="9" fontId="25" fillId="31" borderId="5" xfId="4" applyFont="1" applyFill="1" applyBorder="1" applyAlignment="1">
      <alignment horizontal="center" vertical="center"/>
    </xf>
    <xf numFmtId="9" fontId="25" fillId="31" borderId="5" xfId="0" applyNumberFormat="1" applyFont="1" applyFill="1" applyBorder="1" applyAlignment="1">
      <alignment horizontal="center" vertical="center"/>
    </xf>
    <xf numFmtId="9" fontId="25" fillId="31" borderId="5" xfId="0" applyNumberFormat="1" applyFont="1" applyFill="1" applyBorder="1" applyAlignment="1">
      <alignment horizontal="center" vertical="center" wrapText="1"/>
    </xf>
    <xf numFmtId="9" fontId="25" fillId="16" borderId="5" xfId="3" applyFont="1" applyFill="1" applyBorder="1" applyAlignment="1">
      <alignment horizontal="center" vertical="center"/>
    </xf>
    <xf numFmtId="9" fontId="60" fillId="16" borderId="5" xfId="3" applyFont="1" applyFill="1" applyBorder="1" applyAlignment="1">
      <alignment horizontal="center" vertical="center"/>
    </xf>
    <xf numFmtId="9" fontId="9" fillId="42" borderId="5" xfId="3"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7" xfId="0" applyFont="1" applyFill="1" applyBorder="1" applyAlignment="1">
      <alignment horizontal="center" vertical="center"/>
    </xf>
    <xf numFmtId="0" fontId="6" fillId="2" borderId="5" xfId="1" applyFont="1" applyFill="1" applyBorder="1" applyAlignment="1" applyProtection="1">
      <alignment horizontal="center" vertical="center" wrapText="1"/>
      <protection locked="0"/>
    </xf>
    <xf numFmtId="0" fontId="6" fillId="4" borderId="5" xfId="1"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9" fillId="4" borderId="6" xfId="0" applyFont="1" applyFill="1" applyBorder="1" applyAlignment="1" applyProtection="1">
      <alignment horizontal="center" vertical="center" wrapText="1"/>
      <protection locked="0"/>
    </xf>
    <xf numFmtId="0" fontId="39"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28" fillId="2" borderId="5" xfId="1" applyFont="1" applyFill="1" applyBorder="1" applyAlignment="1" applyProtection="1">
      <alignment horizontal="center" vertical="center" wrapText="1"/>
      <protection locked="0"/>
    </xf>
    <xf numFmtId="0" fontId="6" fillId="4" borderId="5" xfId="2" applyFont="1" applyFill="1" applyBorder="1" applyAlignment="1">
      <alignment horizontal="center" vertical="center"/>
    </xf>
    <xf numFmtId="0" fontId="6" fillId="2" borderId="5"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2" borderId="5" xfId="2" applyFont="1" applyFill="1" applyBorder="1" applyAlignment="1">
      <alignment horizontal="center" vertical="center"/>
    </xf>
    <xf numFmtId="165" fontId="30" fillId="2" borderId="6" xfId="16" applyNumberFormat="1" applyFont="1" applyFill="1" applyBorder="1" applyAlignment="1">
      <alignment horizontal="center" vertical="center"/>
    </xf>
    <xf numFmtId="165" fontId="30" fillId="2" borderId="7" xfId="16" applyNumberFormat="1" applyFont="1" applyFill="1" applyBorder="1" applyAlignment="1">
      <alignment horizontal="center" vertical="center"/>
    </xf>
    <xf numFmtId="165" fontId="30" fillId="2" borderId="8" xfId="16" applyNumberFormat="1" applyFont="1" applyFill="1" applyBorder="1" applyAlignment="1">
      <alignment horizontal="center" vertical="center"/>
    </xf>
    <xf numFmtId="9" fontId="6" fillId="2" borderId="5" xfId="4" applyFont="1" applyFill="1" applyBorder="1" applyAlignment="1">
      <alignment horizontal="center" vertical="center" wrapText="1"/>
    </xf>
    <xf numFmtId="9" fontId="6" fillId="2" borderId="5" xfId="4" applyFont="1" applyFill="1" applyBorder="1" applyAlignment="1">
      <alignment horizontal="center" vertical="center"/>
    </xf>
    <xf numFmtId="9" fontId="6" fillId="4" borderId="5" xfId="4" applyFont="1" applyFill="1" applyBorder="1" applyAlignment="1">
      <alignment horizontal="center" vertical="center"/>
    </xf>
    <xf numFmtId="0" fontId="30" fillId="2" borderId="6" xfId="0" applyFont="1" applyFill="1" applyBorder="1" applyAlignment="1">
      <alignment horizontal="center" vertical="center" wrapText="1"/>
    </xf>
    <xf numFmtId="0" fontId="30" fillId="2" borderId="8" xfId="0" applyFont="1" applyFill="1" applyBorder="1" applyAlignment="1">
      <alignment horizontal="center" vertical="center" wrapText="1"/>
    </xf>
    <xf numFmtId="165" fontId="30" fillId="4" borderId="6" xfId="16" applyNumberFormat="1" applyFont="1" applyFill="1" applyBorder="1" applyAlignment="1">
      <alignment horizontal="center" vertical="center" wrapText="1"/>
    </xf>
    <xf numFmtId="165" fontId="30" fillId="4" borderId="8" xfId="16" applyNumberFormat="1" applyFont="1" applyFill="1" applyBorder="1" applyAlignment="1">
      <alignment horizontal="center" vertical="center" wrapText="1"/>
    </xf>
    <xf numFmtId="165" fontId="30" fillId="4" borderId="6" xfId="16" applyNumberFormat="1" applyFont="1" applyFill="1" applyBorder="1" applyAlignment="1">
      <alignment horizontal="center" vertical="center"/>
    </xf>
    <xf numFmtId="165" fontId="30" fillId="4" borderId="7" xfId="16" applyNumberFormat="1" applyFont="1" applyFill="1" applyBorder="1" applyAlignment="1">
      <alignment horizontal="center" vertical="center"/>
    </xf>
    <xf numFmtId="165" fontId="30" fillId="4" borderId="8" xfId="16" applyNumberFormat="1" applyFont="1" applyFill="1" applyBorder="1" applyAlignment="1">
      <alignment horizontal="center" vertical="center"/>
    </xf>
    <xf numFmtId="0" fontId="30"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8" xfId="0" applyFont="1" applyFill="1" applyBorder="1" applyAlignment="1">
      <alignment horizontal="center" vertical="center" wrapText="1"/>
    </xf>
    <xf numFmtId="165" fontId="30" fillId="4" borderId="7" xfId="16" applyNumberFormat="1" applyFont="1" applyFill="1" applyBorder="1" applyAlignment="1">
      <alignment horizontal="center" vertical="center" wrapText="1"/>
    </xf>
    <xf numFmtId="0" fontId="6" fillId="2" borderId="6" xfId="2" applyFont="1" applyFill="1" applyBorder="1" applyAlignment="1" applyProtection="1">
      <alignment horizontal="center" vertical="center" wrapText="1"/>
      <protection locked="0"/>
    </xf>
    <xf numFmtId="0" fontId="6" fillId="2" borderId="7" xfId="2" applyFont="1" applyFill="1" applyBorder="1" applyAlignment="1" applyProtection="1">
      <alignment horizontal="center" vertical="center" wrapText="1"/>
      <protection locked="0"/>
    </xf>
    <xf numFmtId="0" fontId="6" fillId="2" borderId="8" xfId="2" applyFont="1" applyFill="1" applyBorder="1" applyAlignment="1" applyProtection="1">
      <alignment horizontal="center" vertical="center" wrapText="1"/>
      <protection locked="0"/>
    </xf>
    <xf numFmtId="0" fontId="6" fillId="4" borderId="6" xfId="2" applyFont="1" applyFill="1" applyBorder="1" applyAlignment="1" applyProtection="1">
      <alignment horizontal="center" vertical="center" wrapText="1"/>
      <protection locked="0"/>
    </xf>
    <xf numFmtId="0" fontId="6" fillId="4" borderId="8" xfId="2" applyFont="1" applyFill="1" applyBorder="1" applyAlignment="1" applyProtection="1">
      <alignment horizontal="center" vertical="center" wrapText="1"/>
      <protection locked="0"/>
    </xf>
    <xf numFmtId="0" fontId="6" fillId="4" borderId="7" xfId="2" applyFont="1" applyFill="1" applyBorder="1" applyAlignment="1" applyProtection="1">
      <alignment horizontal="center" vertical="center" wrapText="1"/>
      <protection locked="0"/>
    </xf>
    <xf numFmtId="0" fontId="6" fillId="4" borderId="5" xfId="0" applyFont="1" applyFill="1" applyBorder="1" applyAlignment="1">
      <alignment horizontal="center" vertical="center" wrapText="1"/>
    </xf>
    <xf numFmtId="9" fontId="15" fillId="31" borderId="5" xfId="4" applyFont="1" applyFill="1" applyBorder="1" applyAlignment="1">
      <alignment horizontal="center" vertical="center"/>
    </xf>
    <xf numFmtId="9" fontId="15" fillId="34" borderId="5" xfId="4" applyFont="1" applyFill="1" applyBorder="1" applyAlignment="1">
      <alignment horizontal="center" vertical="center"/>
    </xf>
    <xf numFmtId="0" fontId="28" fillId="4" borderId="5" xfId="0" applyFont="1" applyFill="1" applyBorder="1" applyAlignment="1">
      <alignment horizontal="center" vertical="center"/>
    </xf>
    <xf numFmtId="164" fontId="28" fillId="4" borderId="5" xfId="5" applyFont="1" applyFill="1" applyBorder="1" applyAlignment="1">
      <alignment horizontal="center" vertical="center"/>
    </xf>
    <xf numFmtId="42" fontId="6" fillId="4" borderId="5" xfId="15" applyFont="1" applyFill="1" applyBorder="1" applyAlignment="1">
      <alignment horizontal="center" vertical="center"/>
    </xf>
    <xf numFmtId="0" fontId="28" fillId="4" borderId="5" xfId="0" applyFont="1" applyFill="1" applyBorder="1" applyAlignment="1" applyProtection="1">
      <alignment horizontal="center" vertical="center" wrapText="1"/>
      <protection locked="0"/>
    </xf>
    <xf numFmtId="164" fontId="6" fillId="4" borderId="5" xfId="5" applyFont="1" applyFill="1" applyBorder="1" applyAlignment="1" applyProtection="1">
      <alignment horizontal="center" vertical="center" wrapText="1"/>
      <protection locked="0"/>
    </xf>
    <xf numFmtId="164" fontId="6" fillId="2" borderId="5" xfId="5" applyFont="1" applyFill="1" applyBorder="1" applyAlignment="1" applyProtection="1">
      <alignment horizontal="center" vertical="center" wrapText="1"/>
      <protection locked="0"/>
    </xf>
    <xf numFmtId="0" fontId="36" fillId="2" borderId="5" xfId="0" applyFont="1" applyFill="1" applyBorder="1" applyAlignment="1">
      <alignment horizontal="center" vertical="center" wrapText="1"/>
    </xf>
    <xf numFmtId="0" fontId="28" fillId="2" borderId="5" xfId="0" applyFont="1" applyFill="1" applyBorder="1" applyAlignment="1">
      <alignment horizontal="center" vertical="center"/>
    </xf>
    <xf numFmtId="164" fontId="28" fillId="2" borderId="5" xfId="5" applyFont="1" applyFill="1" applyBorder="1" applyAlignment="1">
      <alignment horizontal="center" vertical="center"/>
    </xf>
    <xf numFmtId="164" fontId="6" fillId="2" borderId="5" xfId="0" applyNumberFormat="1" applyFont="1" applyFill="1" applyBorder="1" applyAlignment="1">
      <alignment horizontal="center" vertical="center"/>
    </xf>
    <xf numFmtId="0" fontId="6" fillId="2" borderId="5" xfId="0" applyFont="1" applyFill="1" applyBorder="1" applyAlignment="1">
      <alignment horizontal="center" vertical="center"/>
    </xf>
    <xf numFmtId="42" fontId="6" fillId="2" borderId="5" xfId="15" applyFont="1" applyFill="1" applyBorder="1" applyAlignment="1">
      <alignment horizontal="center" vertical="center"/>
    </xf>
    <xf numFmtId="0" fontId="28" fillId="2" borderId="5" xfId="0" applyFont="1" applyFill="1" applyBorder="1" applyAlignment="1" applyProtection="1">
      <alignment horizontal="center" vertical="center" wrapText="1"/>
      <protection locked="0"/>
    </xf>
    <xf numFmtId="0" fontId="28" fillId="2" borderId="5" xfId="0" applyFont="1" applyFill="1" applyBorder="1" applyAlignment="1">
      <alignment horizontal="center" vertical="center" wrapText="1"/>
    </xf>
    <xf numFmtId="164" fontId="28" fillId="2" borderId="5" xfId="5" applyFont="1" applyFill="1" applyBorder="1" applyAlignment="1" applyProtection="1">
      <alignment horizontal="center" vertical="center" wrapText="1"/>
      <protection locked="0"/>
    </xf>
    <xf numFmtId="0" fontId="6" fillId="4" borderId="5" xfId="0" applyFont="1" applyFill="1" applyBorder="1" applyAlignment="1">
      <alignment horizontal="center" vertical="center"/>
    </xf>
    <xf numFmtId="164" fontId="6" fillId="4" borderId="5" xfId="5" applyFont="1" applyFill="1" applyBorder="1" applyAlignment="1">
      <alignment horizontal="center" vertical="center"/>
    </xf>
    <xf numFmtId="0" fontId="6" fillId="4" borderId="5" xfId="0" applyFont="1" applyFill="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164" fontId="6" fillId="4" borderId="5" xfId="0" applyNumberFormat="1" applyFont="1" applyFill="1" applyBorder="1" applyAlignment="1">
      <alignment horizontal="center" vertical="center"/>
    </xf>
    <xf numFmtId="164" fontId="6" fillId="2" borderId="5" xfId="5" applyFont="1" applyFill="1" applyBorder="1" applyAlignment="1">
      <alignment horizontal="center" vertical="center"/>
    </xf>
    <xf numFmtId="0" fontId="6" fillId="2" borderId="5" xfId="0" applyFont="1" applyFill="1" applyBorder="1" applyAlignment="1" applyProtection="1">
      <alignment horizontal="center" vertical="center" wrapText="1"/>
      <protection locked="0"/>
    </xf>
    <xf numFmtId="0" fontId="28" fillId="4" borderId="5" xfId="0" applyFont="1" applyFill="1" applyBorder="1" applyAlignment="1">
      <alignment horizontal="center" vertical="center" wrapText="1"/>
    </xf>
    <xf numFmtId="164" fontId="28" fillId="4" borderId="5" xfId="5" applyFont="1" applyFill="1" applyBorder="1" applyAlignment="1" applyProtection="1">
      <alignment horizontal="center" vertical="center" wrapText="1"/>
      <protection locked="0"/>
    </xf>
    <xf numFmtId="0" fontId="28" fillId="4" borderId="5" xfId="1" applyFont="1" applyFill="1" applyBorder="1" applyAlignment="1" applyProtection="1">
      <alignment horizontal="center" vertical="center" wrapText="1"/>
      <protection locked="0"/>
    </xf>
    <xf numFmtId="164" fontId="28" fillId="2" borderId="5" xfId="5" applyFont="1" applyFill="1" applyBorder="1" applyAlignment="1">
      <alignment horizontal="center" vertical="center" wrapText="1"/>
    </xf>
    <xf numFmtId="42" fontId="6" fillId="4" borderId="5" xfId="15" applyFont="1" applyFill="1" applyBorder="1" applyAlignment="1" applyProtection="1">
      <alignment horizontal="center" vertical="center" wrapText="1"/>
      <protection locked="0"/>
    </xf>
    <xf numFmtId="164" fontId="6" fillId="4" borderId="5" xfId="2" applyNumberFormat="1" applyFont="1" applyFill="1" applyBorder="1" applyAlignment="1">
      <alignment horizontal="center" vertical="center"/>
    </xf>
    <xf numFmtId="164" fontId="6" fillId="4" borderId="5" xfId="0" applyNumberFormat="1" applyFont="1" applyFill="1" applyBorder="1" applyAlignment="1">
      <alignment horizontal="center" vertical="center" wrapText="1"/>
    </xf>
    <xf numFmtId="0" fontId="6" fillId="4" borderId="5" xfId="2" applyFont="1" applyFill="1" applyBorder="1" applyAlignment="1" applyProtection="1">
      <alignment horizontal="center" vertical="center" wrapText="1"/>
      <protection locked="0"/>
    </xf>
    <xf numFmtId="0" fontId="6" fillId="2" borderId="5" xfId="2" applyFont="1" applyFill="1" applyBorder="1" applyAlignment="1" applyProtection="1">
      <alignment horizontal="center" vertical="center" wrapText="1"/>
      <protection locked="0"/>
    </xf>
    <xf numFmtId="9" fontId="6" fillId="4" borderId="5" xfId="4" applyFont="1" applyFill="1" applyBorder="1" applyAlignment="1" applyProtection="1">
      <alignment horizontal="center" vertical="center" wrapText="1"/>
      <protection locked="0"/>
    </xf>
    <xf numFmtId="49" fontId="15" fillId="4" borderId="5" xfId="2" applyNumberFormat="1" applyFont="1" applyFill="1" applyBorder="1" applyAlignment="1" applyProtection="1">
      <alignment horizontal="center" vertical="center" wrapText="1"/>
      <protection locked="0"/>
    </xf>
    <xf numFmtId="9" fontId="15" fillId="10" borderId="5" xfId="4" applyFont="1" applyFill="1" applyBorder="1" applyAlignment="1">
      <alignment horizontal="center" vertical="center"/>
    </xf>
    <xf numFmtId="9" fontId="15" fillId="23" borderId="5" xfId="4" applyFont="1" applyFill="1" applyBorder="1" applyAlignment="1">
      <alignment horizontal="center" vertical="center"/>
    </xf>
    <xf numFmtId="0" fontId="28" fillId="4" borderId="5" xfId="2" applyFont="1" applyFill="1" applyBorder="1" applyAlignment="1" applyProtection="1">
      <alignment horizontal="center" vertical="center" wrapText="1"/>
      <protection locked="0"/>
    </xf>
    <xf numFmtId="9" fontId="15" fillId="26" borderId="5" xfId="4" applyFont="1" applyFill="1" applyBorder="1" applyAlignment="1">
      <alignment horizontal="center" vertical="center"/>
    </xf>
    <xf numFmtId="9" fontId="15" fillId="28" borderId="5" xfId="4" applyFont="1" applyFill="1" applyBorder="1" applyAlignment="1">
      <alignment horizontal="center" vertical="center"/>
    </xf>
    <xf numFmtId="9" fontId="6" fillId="2" borderId="5" xfId="4" applyFont="1" applyFill="1" applyBorder="1" applyAlignment="1" applyProtection="1">
      <alignment horizontal="center" vertical="center" wrapText="1"/>
      <protection locked="0"/>
    </xf>
    <xf numFmtId="49" fontId="15" fillId="2" borderId="5" xfId="2" applyNumberFormat="1" applyFont="1" applyFill="1" applyBorder="1" applyAlignment="1" applyProtection="1">
      <alignment horizontal="center" vertical="center" wrapText="1"/>
      <protection locked="0"/>
    </xf>
    <xf numFmtId="0" fontId="28" fillId="2" borderId="5" xfId="2" applyFont="1" applyFill="1" applyBorder="1" applyAlignment="1" applyProtection="1">
      <alignment horizontal="center" vertical="center" wrapText="1"/>
      <protection locked="0"/>
    </xf>
    <xf numFmtId="9" fontId="17" fillId="10" borderId="5" xfId="4" applyFont="1" applyFill="1" applyBorder="1" applyAlignment="1">
      <alignment horizontal="center" vertical="center"/>
    </xf>
    <xf numFmtId="0" fontId="28" fillId="2" borderId="5" xfId="2" applyFont="1" applyFill="1" applyBorder="1" applyAlignment="1">
      <alignment horizontal="center" vertical="center"/>
    </xf>
    <xf numFmtId="0" fontId="28" fillId="2" borderId="5" xfId="2" applyFont="1" applyFill="1" applyBorder="1" applyAlignment="1">
      <alignment horizontal="center" vertical="center" wrapText="1"/>
    </xf>
    <xf numFmtId="0" fontId="28" fillId="4" borderId="5" xfId="2" applyFont="1" applyFill="1" applyBorder="1" applyAlignment="1">
      <alignment horizontal="center" vertical="center"/>
    </xf>
    <xf numFmtId="173" fontId="6" fillId="2" borderId="5" xfId="1" applyNumberFormat="1" applyFont="1" applyFill="1" applyBorder="1" applyAlignment="1" applyProtection="1">
      <alignment horizontal="center" vertical="center" wrapText="1"/>
      <protection locked="0"/>
    </xf>
    <xf numFmtId="0" fontId="30" fillId="4" borderId="5" xfId="0" applyFont="1" applyFill="1" applyBorder="1" applyAlignment="1">
      <alignment horizontal="center" vertical="center" wrapText="1"/>
    </xf>
    <xf numFmtId="0" fontId="15" fillId="2" borderId="5" xfId="2" applyFont="1" applyFill="1" applyBorder="1" applyAlignment="1">
      <alignment horizontal="center" vertical="center"/>
    </xf>
    <xf numFmtId="0" fontId="15" fillId="4" borderId="5" xfId="2" applyFont="1" applyFill="1" applyBorder="1" applyAlignment="1">
      <alignment horizontal="center" vertical="center"/>
    </xf>
    <xf numFmtId="0" fontId="13" fillId="2" borderId="5" xfId="7" applyFont="1" applyFill="1" applyBorder="1" applyAlignment="1" applyProtection="1">
      <alignment horizontal="center" vertical="center" wrapText="1"/>
      <protection locked="0"/>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30" fillId="4" borderId="5" xfId="0" applyFont="1" applyFill="1" applyBorder="1" applyAlignment="1">
      <alignment horizontal="center" vertical="center"/>
    </xf>
    <xf numFmtId="42" fontId="30" fillId="4" borderId="5"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4" borderId="5" xfId="0" applyFont="1" applyFill="1" applyBorder="1" applyAlignment="1">
      <alignment horizontal="center" vertical="center"/>
    </xf>
    <xf numFmtId="0" fontId="30" fillId="2" borderId="5" xfId="0" applyFont="1" applyFill="1" applyBorder="1" applyAlignment="1">
      <alignment horizontal="center" vertical="center"/>
    </xf>
    <xf numFmtId="0" fontId="15" fillId="4" borderId="5" xfId="0" applyFont="1" applyFill="1" applyBorder="1" applyAlignment="1">
      <alignment horizontal="center" vertical="center"/>
    </xf>
    <xf numFmtId="0" fontId="15" fillId="2" borderId="5" xfId="0" applyFont="1" applyFill="1" applyBorder="1" applyAlignment="1">
      <alignment horizontal="center" vertical="center"/>
    </xf>
    <xf numFmtId="42" fontId="36" fillId="2" borderId="5" xfId="15" applyFont="1" applyFill="1" applyBorder="1" applyAlignment="1">
      <alignment horizontal="center" vertical="center"/>
    </xf>
    <xf numFmtId="0" fontId="7" fillId="0"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1" xfId="0" applyFont="1" applyFill="1" applyBorder="1" applyAlignment="1">
      <alignment horizontal="center" vertical="center"/>
    </xf>
    <xf numFmtId="9" fontId="32" fillId="2" borderId="5" xfId="8" applyFont="1" applyFill="1" applyBorder="1" applyAlignment="1" applyProtection="1">
      <alignment horizontal="center" vertical="center" wrapText="1"/>
    </xf>
    <xf numFmtId="165" fontId="30" fillId="4" borderId="5" xfId="16" applyNumberFormat="1" applyFont="1" applyFill="1" applyBorder="1" applyAlignment="1">
      <alignment horizontal="center" vertical="center"/>
    </xf>
    <xf numFmtId="165" fontId="30" fillId="2" borderId="5" xfId="16" applyNumberFormat="1" applyFont="1" applyFill="1" applyBorder="1" applyAlignment="1">
      <alignment horizontal="center" vertical="center"/>
    </xf>
    <xf numFmtId="9" fontId="20" fillId="23" borderId="5" xfId="4" applyFont="1" applyFill="1" applyBorder="1" applyAlignment="1">
      <alignment horizontal="center" vertical="center"/>
    </xf>
    <xf numFmtId="0" fontId="9" fillId="2" borderId="5" xfId="2" applyFont="1" applyFill="1" applyBorder="1" applyAlignment="1">
      <alignment horizontal="center" vertical="center"/>
    </xf>
    <xf numFmtId="164" fontId="8" fillId="2" borderId="5" xfId="5" applyFont="1" applyFill="1" applyBorder="1" applyAlignment="1">
      <alignment horizontal="center" vertical="center"/>
    </xf>
    <xf numFmtId="0" fontId="9" fillId="2" borderId="5" xfId="2" applyFont="1" applyFill="1" applyBorder="1" applyAlignment="1" applyProtection="1">
      <alignment horizontal="center" vertical="center" wrapText="1"/>
      <protection locked="0"/>
    </xf>
    <xf numFmtId="9" fontId="8" fillId="2" borderId="5" xfId="4" applyFont="1" applyFill="1" applyBorder="1" applyAlignment="1" applyProtection="1">
      <alignment horizontal="center" vertical="center" wrapText="1"/>
      <protection locked="0"/>
    </xf>
    <xf numFmtId="49" fontId="9" fillId="2" borderId="5" xfId="2" applyNumberFormat="1" applyFont="1" applyFill="1" applyBorder="1" applyAlignment="1" applyProtection="1">
      <alignment horizontal="center" vertical="center" wrapText="1"/>
      <protection locked="0"/>
    </xf>
    <xf numFmtId="0" fontId="8" fillId="2" borderId="5" xfId="2" applyFont="1" applyFill="1" applyBorder="1" applyAlignment="1" applyProtection="1">
      <alignment horizontal="center" vertical="center" wrapText="1"/>
      <protection locked="0"/>
    </xf>
    <xf numFmtId="0" fontId="8" fillId="2" borderId="5" xfId="2" applyFont="1" applyFill="1" applyBorder="1" applyAlignment="1">
      <alignment horizontal="center" vertical="center" wrapText="1"/>
    </xf>
    <xf numFmtId="0" fontId="7" fillId="19" borderId="1" xfId="2" applyFont="1" applyFill="1" applyBorder="1" applyAlignment="1">
      <alignment horizontal="center" vertical="center" wrapText="1"/>
    </xf>
    <xf numFmtId="0" fontId="7" fillId="19" borderId="1" xfId="2" applyFont="1" applyFill="1" applyBorder="1" applyAlignment="1">
      <alignment horizontal="center" vertical="center"/>
    </xf>
    <xf numFmtId="0" fontId="9" fillId="4" borderId="5" xfId="2" applyFont="1" applyFill="1" applyBorder="1" applyAlignment="1" applyProtection="1">
      <alignment horizontal="center" vertical="center" wrapText="1"/>
      <protection locked="0"/>
    </xf>
    <xf numFmtId="9" fontId="8" fillId="4" borderId="5" xfId="4" applyFont="1" applyFill="1" applyBorder="1" applyAlignment="1" applyProtection="1">
      <alignment horizontal="center" vertical="center" wrapText="1"/>
      <protection locked="0"/>
    </xf>
    <xf numFmtId="49" fontId="9" fillId="4" borderId="5" xfId="2" applyNumberFormat="1" applyFont="1" applyFill="1" applyBorder="1" applyAlignment="1" applyProtection="1">
      <alignment horizontal="center" vertical="center" wrapText="1"/>
      <protection locked="0"/>
    </xf>
    <xf numFmtId="0" fontId="8" fillId="4" borderId="5" xfId="2" applyFont="1" applyFill="1" applyBorder="1" applyAlignment="1" applyProtection="1">
      <alignment horizontal="center" vertical="center" wrapText="1"/>
      <protection locked="0"/>
    </xf>
    <xf numFmtId="0" fontId="8" fillId="4" borderId="5" xfId="2" applyFont="1" applyFill="1" applyBorder="1" applyAlignment="1">
      <alignment horizontal="center" vertical="center" wrapText="1"/>
    </xf>
    <xf numFmtId="9" fontId="9" fillId="10" borderId="5" xfId="4" applyFont="1" applyFill="1" applyBorder="1" applyAlignment="1">
      <alignment horizontal="center" vertical="center"/>
    </xf>
    <xf numFmtId="164" fontId="8" fillId="2" borderId="5" xfId="5" applyFont="1" applyFill="1" applyBorder="1" applyAlignment="1">
      <alignment horizontal="center" vertical="center" wrapText="1"/>
    </xf>
    <xf numFmtId="9" fontId="9" fillId="31" borderId="5" xfId="4" applyFont="1" applyFill="1" applyBorder="1" applyAlignment="1">
      <alignment horizontal="center" vertical="center"/>
    </xf>
    <xf numFmtId="9" fontId="9" fillId="34" borderId="5" xfId="4" applyFont="1" applyFill="1" applyBorder="1" applyAlignment="1">
      <alignment horizontal="center" vertical="center"/>
    </xf>
    <xf numFmtId="0" fontId="8" fillId="2" borderId="5" xfId="2" applyFont="1" applyFill="1" applyBorder="1" applyAlignment="1">
      <alignment horizontal="center" vertical="center"/>
    </xf>
    <xf numFmtId="0" fontId="8" fillId="2" borderId="5" xfId="0" applyFont="1" applyFill="1" applyBorder="1" applyAlignment="1">
      <alignment horizontal="center" vertical="center" wrapText="1"/>
    </xf>
    <xf numFmtId="0" fontId="8" fillId="4" borderId="5" xfId="2" applyFont="1" applyFill="1" applyBorder="1" applyAlignment="1">
      <alignment horizontal="center" vertical="center"/>
    </xf>
    <xf numFmtId="164" fontId="8" fillId="4" borderId="5" xfId="5" applyFont="1" applyFill="1" applyBorder="1" applyAlignment="1">
      <alignment horizontal="center" vertical="center"/>
    </xf>
    <xf numFmtId="9" fontId="9" fillId="26" borderId="5" xfId="4" applyFont="1" applyFill="1" applyBorder="1" applyAlignment="1">
      <alignment horizontal="center" vertical="center"/>
    </xf>
    <xf numFmtId="9" fontId="9" fillId="28" borderId="5" xfId="4" applyFont="1" applyFill="1" applyBorder="1" applyAlignment="1">
      <alignment horizontal="center" vertical="center"/>
    </xf>
    <xf numFmtId="0" fontId="9" fillId="4" borderId="5" xfId="2" applyFont="1" applyFill="1" applyBorder="1" applyAlignment="1">
      <alignment horizontal="center" vertical="center"/>
    </xf>
    <xf numFmtId="164" fontId="8" fillId="4" borderId="5" xfId="5" applyFont="1" applyFill="1" applyBorder="1" applyAlignment="1">
      <alignment horizontal="center" vertical="center" wrapText="1"/>
    </xf>
    <xf numFmtId="164" fontId="8" fillId="9" borderId="0" xfId="5" applyFont="1" applyFill="1" applyBorder="1" applyAlignment="1">
      <alignment horizontal="center" vertical="center" wrapText="1"/>
    </xf>
    <xf numFmtId="0" fontId="8" fillId="4" borderId="5" xfId="0" applyFont="1" applyFill="1" applyBorder="1" applyAlignment="1">
      <alignment horizontal="center" vertical="center" wrapText="1"/>
    </xf>
    <xf numFmtId="164" fontId="6" fillId="4" borderId="5" xfId="5" applyFont="1" applyFill="1" applyBorder="1" applyAlignment="1">
      <alignment horizontal="center" vertical="center" wrapText="1"/>
    </xf>
    <xf numFmtId="164" fontId="6" fillId="2" borderId="5" xfId="5" applyFont="1" applyFill="1" applyBorder="1" applyAlignment="1">
      <alignment horizontal="center" vertical="center" wrapText="1"/>
    </xf>
    <xf numFmtId="164" fontId="6" fillId="2" borderId="5" xfId="2" applyNumberFormat="1" applyFont="1" applyFill="1" applyBorder="1" applyAlignment="1">
      <alignment horizontal="center" vertical="center"/>
    </xf>
    <xf numFmtId="164" fontId="30" fillId="20" borderId="5" xfId="0" applyNumberFormat="1" applyFont="1" applyFill="1" applyBorder="1" applyAlignment="1">
      <alignment horizontal="center" vertical="center"/>
    </xf>
    <xf numFmtId="0" fontId="13" fillId="4" borderId="5" xfId="0" applyFont="1" applyFill="1" applyBorder="1" applyAlignment="1" applyProtection="1">
      <alignment horizontal="center" vertical="center" wrapText="1"/>
      <protection locked="0"/>
    </xf>
    <xf numFmtId="9" fontId="31" fillId="4" borderId="5" xfId="0" applyNumberFormat="1" applyFont="1" applyFill="1" applyBorder="1" applyAlignment="1" applyProtection="1">
      <alignment horizontal="center" vertical="center" wrapText="1"/>
      <protection locked="0"/>
    </xf>
    <xf numFmtId="49" fontId="13" fillId="4" borderId="5" xfId="0" applyNumberFormat="1" applyFont="1" applyFill="1" applyBorder="1" applyAlignment="1" applyProtection="1">
      <alignment horizontal="center" vertical="center" wrapText="1"/>
      <protection locked="0"/>
    </xf>
    <xf numFmtId="9" fontId="16" fillId="11" borderId="5" xfId="0" applyNumberFormat="1" applyFont="1" applyFill="1" applyBorder="1" applyAlignment="1">
      <alignment horizontal="center" vertical="center"/>
    </xf>
    <xf numFmtId="9" fontId="15" fillId="24" borderId="5" xfId="0" applyNumberFormat="1" applyFont="1" applyFill="1" applyBorder="1" applyAlignment="1">
      <alignment horizontal="center" vertical="center"/>
    </xf>
    <xf numFmtId="0" fontId="19" fillId="20" borderId="5" xfId="0" applyFont="1" applyFill="1" applyBorder="1" applyAlignment="1">
      <alignment horizontal="center" vertical="center"/>
    </xf>
    <xf numFmtId="0" fontId="13" fillId="2" borderId="5" xfId="0" applyFont="1" applyFill="1" applyBorder="1" applyAlignment="1" applyProtection="1">
      <alignment horizontal="center" vertical="center" wrapText="1"/>
      <protection locked="0"/>
    </xf>
    <xf numFmtId="9" fontId="31" fillId="2" borderId="5" xfId="0" applyNumberFormat="1" applyFont="1" applyFill="1" applyBorder="1" applyAlignment="1" applyProtection="1">
      <alignment horizontal="center" vertical="center" wrapText="1"/>
      <protection locked="0"/>
    </xf>
    <xf numFmtId="49" fontId="13" fillId="2" borderId="5" xfId="0" applyNumberFormat="1" applyFont="1" applyFill="1" applyBorder="1" applyAlignment="1" applyProtection="1">
      <alignment horizontal="center" vertical="center" wrapText="1"/>
      <protection locked="0"/>
    </xf>
    <xf numFmtId="0" fontId="30" fillId="2" borderId="5" xfId="0" applyFont="1" applyFill="1" applyBorder="1" applyAlignment="1">
      <alignment horizontal="center" vertical="center" wrapText="1"/>
    </xf>
    <xf numFmtId="0" fontId="18" fillId="3" borderId="5" xfId="0" applyFont="1" applyFill="1" applyBorder="1" applyAlignment="1">
      <alignment horizontal="center" vertical="center"/>
    </xf>
    <xf numFmtId="0" fontId="34" fillId="3" borderId="5" xfId="0" applyFont="1" applyFill="1" applyBorder="1" applyAlignment="1">
      <alignment horizontal="center" vertical="center"/>
    </xf>
    <xf numFmtId="176" fontId="30" fillId="2" borderId="5" xfId="0" applyNumberFormat="1" applyFont="1" applyFill="1" applyBorder="1" applyAlignment="1">
      <alignment horizontal="center" vertical="center" wrapText="1"/>
    </xf>
    <xf numFmtId="0" fontId="30" fillId="3" borderId="5" xfId="0" applyFont="1" applyFill="1" applyBorder="1" applyAlignment="1">
      <alignment horizontal="center" vertical="center" wrapText="1"/>
    </xf>
    <xf numFmtId="0" fontId="32" fillId="3" borderId="5" xfId="0" applyFont="1" applyFill="1" applyBorder="1" applyAlignment="1">
      <alignment horizontal="center" vertical="center"/>
    </xf>
    <xf numFmtId="164" fontId="30" fillId="3" borderId="5" xfId="0" applyNumberFormat="1" applyFont="1" applyFill="1" applyBorder="1" applyAlignment="1">
      <alignment horizontal="center" vertical="center"/>
    </xf>
    <xf numFmtId="44" fontId="30" fillId="4" borderId="5" xfId="0" applyNumberFormat="1" applyFont="1" applyFill="1" applyBorder="1" applyAlignment="1">
      <alignment horizontal="center" vertical="center"/>
    </xf>
    <xf numFmtId="164" fontId="30" fillId="4" borderId="5" xfId="0" applyNumberFormat="1" applyFont="1" applyFill="1" applyBorder="1" applyAlignment="1">
      <alignment horizontal="center" vertical="center"/>
    </xf>
    <xf numFmtId="165" fontId="30" fillId="20" borderId="5" xfId="0" applyNumberFormat="1" applyFont="1" applyFill="1" applyBorder="1" applyAlignment="1">
      <alignment horizontal="center" vertical="center"/>
    </xf>
    <xf numFmtId="9" fontId="16" fillId="16" borderId="5" xfId="0" applyNumberFormat="1" applyFont="1" applyFill="1" applyBorder="1" applyAlignment="1">
      <alignment horizontal="center" vertical="center"/>
    </xf>
    <xf numFmtId="9" fontId="15" fillId="35" borderId="5" xfId="0" applyNumberFormat="1" applyFont="1" applyFill="1" applyBorder="1" applyAlignment="1">
      <alignment horizontal="center" vertical="center"/>
    </xf>
    <xf numFmtId="165" fontId="30" fillId="4" borderId="5" xfId="0" applyNumberFormat="1" applyFont="1" applyFill="1" applyBorder="1" applyAlignment="1">
      <alignment horizontal="center" vertical="center"/>
    </xf>
    <xf numFmtId="9" fontId="16" fillId="14" borderId="5" xfId="0" applyNumberFormat="1" applyFont="1" applyFill="1" applyBorder="1" applyAlignment="1">
      <alignment horizontal="center" vertical="center"/>
    </xf>
    <xf numFmtId="9" fontId="15" fillId="29" borderId="5" xfId="0" applyNumberFormat="1" applyFont="1" applyFill="1" applyBorder="1" applyAlignment="1">
      <alignment horizontal="center" vertical="center"/>
    </xf>
    <xf numFmtId="0" fontId="33" fillId="20" borderId="5" xfId="0" applyFont="1" applyFill="1" applyBorder="1" applyAlignment="1">
      <alignment horizontal="center" vertical="center"/>
    </xf>
    <xf numFmtId="174" fontId="30" fillId="4" borderId="5" xfId="0" applyNumberFormat="1" applyFont="1" applyFill="1" applyBorder="1" applyAlignment="1">
      <alignment horizontal="center" vertical="center"/>
    </xf>
    <xf numFmtId="0" fontId="30" fillId="20" borderId="5" xfId="0" applyFont="1" applyFill="1" applyBorder="1" applyAlignment="1">
      <alignment horizontal="center" vertical="center" wrapText="1"/>
    </xf>
    <xf numFmtId="0" fontId="32" fillId="20" borderId="5" xfId="0" applyFont="1" applyFill="1" applyBorder="1" applyAlignment="1">
      <alignment horizontal="center" vertical="center"/>
    </xf>
    <xf numFmtId="175" fontId="30" fillId="4" borderId="5" xfId="0" applyNumberFormat="1" applyFont="1" applyFill="1" applyBorder="1" applyAlignment="1">
      <alignment horizontal="center" vertical="center"/>
    </xf>
    <xf numFmtId="0" fontId="32" fillId="4" borderId="5" xfId="0" applyFont="1" applyFill="1" applyBorder="1" applyAlignment="1">
      <alignment horizontal="center" vertical="center"/>
    </xf>
    <xf numFmtId="165" fontId="30" fillId="2" borderId="5" xfId="0" applyNumberFormat="1" applyFont="1" applyFill="1" applyBorder="1" applyAlignment="1">
      <alignment horizontal="center" vertical="center"/>
    </xf>
    <xf numFmtId="0" fontId="19" fillId="3" borderId="5" xfId="0" applyFont="1" applyFill="1" applyBorder="1" applyAlignment="1">
      <alignment horizontal="center" vertical="center"/>
    </xf>
    <xf numFmtId="0" fontId="32" fillId="2" borderId="5" xfId="0" applyFont="1" applyFill="1" applyBorder="1" applyAlignment="1">
      <alignment horizontal="center" vertical="center"/>
    </xf>
    <xf numFmtId="165" fontId="30" fillId="3" borderId="5" xfId="0" applyNumberFormat="1" applyFont="1" applyFill="1" applyBorder="1" applyAlignment="1">
      <alignment horizontal="center" vertical="center"/>
    </xf>
    <xf numFmtId="0" fontId="30" fillId="3" borderId="5" xfId="0" applyFont="1" applyFill="1" applyBorder="1" applyAlignment="1">
      <alignment horizontal="center" vertical="center"/>
    </xf>
    <xf numFmtId="164" fontId="30" fillId="2" borderId="5" xfId="0" applyNumberFormat="1" applyFont="1" applyFill="1" applyBorder="1" applyAlignment="1">
      <alignment horizontal="center" vertical="center"/>
    </xf>
    <xf numFmtId="0" fontId="32" fillId="2" borderId="5"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9" fillId="2" borderId="5" xfId="2" applyFont="1" applyFill="1" applyBorder="1" applyAlignment="1">
      <alignment horizontal="center" vertical="center" wrapText="1"/>
    </xf>
    <xf numFmtId="9" fontId="37" fillId="2" borderId="5" xfId="4" applyFont="1" applyFill="1" applyBorder="1" applyAlignment="1" applyProtection="1">
      <alignment horizontal="center" vertical="center" wrapText="1"/>
      <protection locked="0"/>
    </xf>
    <xf numFmtId="49" fontId="14" fillId="2" borderId="5" xfId="2" applyNumberFormat="1" applyFont="1" applyFill="1" applyBorder="1" applyAlignment="1" applyProtection="1">
      <alignment horizontal="center" vertical="center" wrapText="1"/>
      <protection locked="0"/>
    </xf>
    <xf numFmtId="0" fontId="36" fillId="2" borderId="5" xfId="2" applyFont="1" applyFill="1" applyBorder="1" applyAlignment="1">
      <alignment horizontal="center" vertical="center"/>
    </xf>
    <xf numFmtId="164" fontId="36" fillId="2" borderId="5" xfId="5" applyFont="1" applyFill="1" applyBorder="1" applyAlignment="1">
      <alignment horizontal="center" vertical="center"/>
    </xf>
    <xf numFmtId="0" fontId="36" fillId="2" borderId="5" xfId="2" applyFont="1" applyFill="1" applyBorder="1" applyAlignment="1">
      <alignment horizontal="center" vertical="center" wrapText="1"/>
    </xf>
    <xf numFmtId="9" fontId="17" fillId="26" borderId="5" xfId="4" applyFont="1" applyFill="1" applyBorder="1" applyAlignment="1">
      <alignment horizontal="center" vertical="center"/>
    </xf>
    <xf numFmtId="0" fontId="38" fillId="2" borderId="5" xfId="2" applyFont="1" applyFill="1" applyBorder="1" applyAlignment="1">
      <alignment horizontal="center" vertical="center" wrapText="1"/>
    </xf>
    <xf numFmtId="42" fontId="36" fillId="2" borderId="5" xfId="2" applyNumberFormat="1" applyFont="1" applyFill="1" applyBorder="1" applyAlignment="1">
      <alignment horizontal="center" vertical="center" wrapText="1"/>
    </xf>
    <xf numFmtId="42" fontId="36" fillId="2" borderId="5" xfId="2" applyNumberFormat="1" applyFont="1" applyFill="1" applyBorder="1" applyAlignment="1">
      <alignment horizontal="center" vertical="center"/>
    </xf>
    <xf numFmtId="0" fontId="9" fillId="4" borderId="5" xfId="2" applyFont="1" applyFill="1" applyBorder="1" applyAlignment="1">
      <alignment horizontal="center" vertical="center" wrapText="1"/>
    </xf>
    <xf numFmtId="9" fontId="37" fillId="4" borderId="5" xfId="4" applyFont="1" applyFill="1" applyBorder="1" applyAlignment="1" applyProtection="1">
      <alignment horizontal="center" vertical="center" wrapText="1"/>
      <protection locked="0"/>
    </xf>
    <xf numFmtId="49" fontId="14" fillId="4" borderId="5" xfId="2" applyNumberFormat="1" applyFont="1" applyFill="1" applyBorder="1" applyAlignment="1" applyProtection="1">
      <alignment horizontal="center" vertical="center" wrapText="1"/>
      <protection locked="0"/>
    </xf>
    <xf numFmtId="0" fontId="36" fillId="4" borderId="5" xfId="2" applyFont="1" applyFill="1" applyBorder="1" applyAlignment="1">
      <alignment horizontal="center" vertical="center"/>
    </xf>
    <xf numFmtId="9" fontId="17" fillId="31" borderId="5" xfId="4" applyFont="1" applyFill="1" applyBorder="1" applyAlignment="1">
      <alignment horizontal="center" vertical="center"/>
    </xf>
    <xf numFmtId="164" fontId="36" fillId="4" borderId="5" xfId="5" applyFont="1" applyFill="1" applyBorder="1" applyAlignment="1">
      <alignment horizontal="center" vertical="center"/>
    </xf>
    <xf numFmtId="0" fontId="36" fillId="4" borderId="5" xfId="2" applyFont="1" applyFill="1" applyBorder="1" applyAlignment="1">
      <alignment horizontal="center" vertical="center" wrapText="1"/>
    </xf>
    <xf numFmtId="42" fontId="36" fillId="4" borderId="5" xfId="2" applyNumberFormat="1" applyFont="1" applyFill="1" applyBorder="1" applyAlignment="1">
      <alignment horizontal="center" vertical="center"/>
    </xf>
    <xf numFmtId="42" fontId="36" fillId="4" borderId="5" xfId="2" applyNumberFormat="1" applyFont="1" applyFill="1" applyBorder="1" applyAlignment="1">
      <alignment horizontal="center" vertical="center" wrapText="1"/>
    </xf>
    <xf numFmtId="0" fontId="38" fillId="4" borderId="5" xfId="2" applyFont="1" applyFill="1" applyBorder="1" applyAlignment="1">
      <alignment horizontal="center" vertical="center" wrapText="1"/>
    </xf>
    <xf numFmtId="164" fontId="36" fillId="2" borderId="5" xfId="2" applyNumberFormat="1" applyFont="1" applyFill="1" applyBorder="1" applyAlignment="1">
      <alignment horizontal="center" vertical="center"/>
    </xf>
    <xf numFmtId="0" fontId="13" fillId="2" borderId="5" xfId="2" applyFont="1" applyFill="1" applyBorder="1" applyAlignment="1" applyProtection="1">
      <alignment horizontal="center" vertical="center" wrapText="1"/>
      <protection locked="0"/>
    </xf>
    <xf numFmtId="9" fontId="31" fillId="2" borderId="5" xfId="2" applyNumberFormat="1" applyFont="1" applyFill="1" applyBorder="1" applyAlignment="1" applyProtection="1">
      <alignment horizontal="center" vertical="center" wrapText="1"/>
      <protection locked="0"/>
    </xf>
    <xf numFmtId="178" fontId="30" fillId="2" borderId="5" xfId="2" applyNumberFormat="1" applyFont="1" applyFill="1" applyBorder="1" applyAlignment="1">
      <alignment horizontal="center" vertical="center"/>
    </xf>
    <xf numFmtId="179" fontId="30" fillId="2" borderId="5" xfId="2" applyNumberFormat="1" applyFont="1" applyFill="1" applyBorder="1" applyAlignment="1">
      <alignment horizontal="center" vertical="center"/>
    </xf>
    <xf numFmtId="0" fontId="30" fillId="2" borderId="5" xfId="2" applyFont="1" applyFill="1" applyBorder="1" applyAlignment="1">
      <alignment horizontal="center" vertical="center"/>
    </xf>
    <xf numFmtId="0" fontId="30" fillId="2" borderId="5" xfId="2" applyFont="1" applyFill="1" applyBorder="1" applyAlignment="1" applyProtection="1">
      <alignment horizontal="center" vertical="center" wrapText="1"/>
      <protection locked="0"/>
    </xf>
    <xf numFmtId="0" fontId="32" fillId="2" borderId="5" xfId="2" applyFont="1" applyFill="1" applyBorder="1" applyAlignment="1" applyProtection="1">
      <alignment horizontal="center" vertical="center" wrapText="1"/>
      <protection locked="0"/>
    </xf>
    <xf numFmtId="0" fontId="22" fillId="2" borderId="5" xfId="2" applyFont="1" applyFill="1" applyBorder="1" applyAlignment="1">
      <alignment horizontal="center" vertical="center"/>
    </xf>
    <xf numFmtId="177" fontId="30" fillId="2" borderId="5" xfId="2" applyNumberFormat="1" applyFont="1" applyFill="1" applyBorder="1" applyAlignment="1">
      <alignment horizontal="center" vertical="center"/>
    </xf>
    <xf numFmtId="49" fontId="13" fillId="2" borderId="5" xfId="2" applyNumberFormat="1" applyFont="1" applyFill="1" applyBorder="1" applyAlignment="1" applyProtection="1">
      <alignment horizontal="center" vertical="center" wrapText="1"/>
      <protection locked="0"/>
    </xf>
    <xf numFmtId="0" fontId="31" fillId="2" borderId="5" xfId="2" applyFont="1" applyFill="1" applyBorder="1" applyAlignment="1" applyProtection="1">
      <alignment horizontal="center" vertical="center" wrapText="1"/>
      <protection locked="0"/>
    </xf>
    <xf numFmtId="0" fontId="30" fillId="2" borderId="5" xfId="2" applyFont="1" applyFill="1" applyBorder="1" applyAlignment="1">
      <alignment horizontal="center" vertical="center" wrapText="1"/>
    </xf>
    <xf numFmtId="42" fontId="30" fillId="2" borderId="5" xfId="15" applyFont="1" applyFill="1" applyBorder="1" applyAlignment="1" applyProtection="1">
      <alignment horizontal="center" vertical="center" wrapText="1"/>
      <protection locked="0"/>
    </xf>
    <xf numFmtId="0" fontId="41" fillId="2" borderId="5" xfId="2" applyFont="1" applyFill="1" applyBorder="1" applyAlignment="1">
      <alignment horizontal="center" vertical="center"/>
    </xf>
    <xf numFmtId="179" fontId="30" fillId="2" borderId="5" xfId="2" applyNumberFormat="1" applyFont="1" applyFill="1" applyBorder="1" applyAlignment="1" applyProtection="1">
      <alignment horizontal="center" vertical="center" wrapText="1"/>
      <protection locked="0"/>
    </xf>
    <xf numFmtId="0" fontId="22" fillId="4" borderId="5" xfId="2" applyFont="1" applyFill="1" applyBorder="1" applyAlignment="1">
      <alignment horizontal="center" vertical="center"/>
    </xf>
    <xf numFmtId="0" fontId="30" fillId="4" borderId="5" xfId="2" applyFont="1" applyFill="1" applyBorder="1" applyAlignment="1">
      <alignment horizontal="center" vertical="center"/>
    </xf>
    <xf numFmtId="9" fontId="31" fillId="4" borderId="5" xfId="2" applyNumberFormat="1" applyFont="1" applyFill="1" applyBorder="1" applyAlignment="1" applyProtection="1">
      <alignment horizontal="center" vertical="center" wrapText="1"/>
      <protection locked="0"/>
    </xf>
    <xf numFmtId="49" fontId="13" fillId="4" borderId="5" xfId="2" applyNumberFormat="1" applyFont="1" applyFill="1" applyBorder="1" applyAlignment="1" applyProtection="1">
      <alignment horizontal="center" vertical="center" wrapText="1"/>
      <protection locked="0"/>
    </xf>
    <xf numFmtId="0" fontId="31" fillId="4" borderId="5" xfId="2" applyFont="1" applyFill="1" applyBorder="1" applyAlignment="1" applyProtection="1">
      <alignment horizontal="center" vertical="center" wrapText="1"/>
      <protection locked="0"/>
    </xf>
    <xf numFmtId="0" fontId="30" fillId="4" borderId="5" xfId="2" applyFont="1" applyFill="1" applyBorder="1" applyAlignment="1">
      <alignment horizontal="center" vertical="center" wrapText="1"/>
    </xf>
    <xf numFmtId="0" fontId="13" fillId="4" borderId="5" xfId="2" applyFont="1" applyFill="1" applyBorder="1" applyAlignment="1" applyProtection="1">
      <alignment horizontal="center" vertical="center" wrapText="1"/>
      <protection locked="0"/>
    </xf>
    <xf numFmtId="0" fontId="41" fillId="4" borderId="5" xfId="2" applyFont="1" applyFill="1" applyBorder="1" applyAlignment="1">
      <alignment horizontal="center" vertical="center"/>
    </xf>
    <xf numFmtId="42" fontId="30" fillId="4" borderId="5" xfId="15" applyFont="1" applyFill="1" applyBorder="1" applyAlignment="1">
      <alignment horizontal="center" vertical="center"/>
    </xf>
    <xf numFmtId="179" fontId="30" fillId="4" borderId="5" xfId="2" applyNumberFormat="1" applyFont="1" applyFill="1" applyBorder="1" applyAlignment="1">
      <alignment horizontal="center" vertical="center"/>
    </xf>
    <xf numFmtId="0" fontId="30" fillId="4" borderId="5" xfId="2" applyFont="1" applyFill="1" applyBorder="1" applyAlignment="1" applyProtection="1">
      <alignment horizontal="center" vertical="center" wrapText="1"/>
      <protection locked="0"/>
    </xf>
    <xf numFmtId="179" fontId="30" fillId="4" borderId="5" xfId="2" applyNumberFormat="1" applyFont="1" applyFill="1" applyBorder="1" applyAlignment="1" applyProtection="1">
      <alignment horizontal="center" vertical="center" wrapText="1"/>
      <protection locked="0"/>
    </xf>
    <xf numFmtId="177" fontId="30" fillId="4" borderId="5" xfId="2" applyNumberFormat="1" applyFont="1" applyFill="1" applyBorder="1" applyAlignment="1">
      <alignment horizontal="center" vertical="center"/>
    </xf>
    <xf numFmtId="1" fontId="6" fillId="2" borderId="5" xfId="0" applyNumberFormat="1" applyFont="1" applyFill="1" applyBorder="1" applyAlignment="1">
      <alignment horizontal="center" vertical="center" wrapText="1"/>
    </xf>
    <xf numFmtId="169" fontId="6" fillId="2" borderId="5" xfId="16" applyFont="1" applyFill="1" applyBorder="1" applyAlignment="1">
      <alignment horizontal="center" vertical="center" wrapText="1"/>
    </xf>
    <xf numFmtId="1" fontId="28" fillId="2" borderId="5" xfId="2" applyNumberFormat="1" applyFont="1" applyFill="1" applyBorder="1" applyAlignment="1" applyProtection="1">
      <alignment horizontal="center" vertical="center" wrapText="1"/>
      <protection locked="0"/>
    </xf>
    <xf numFmtId="1" fontId="6" fillId="4" borderId="5" xfId="0" applyNumberFormat="1" applyFont="1" applyFill="1" applyBorder="1" applyAlignment="1">
      <alignment horizontal="center" vertical="center" wrapText="1"/>
    </xf>
    <xf numFmtId="1" fontId="28" fillId="4" borderId="5" xfId="2" applyNumberFormat="1" applyFont="1" applyFill="1" applyBorder="1" applyAlignment="1" applyProtection="1">
      <alignment horizontal="center" vertical="center" wrapText="1"/>
      <protection locked="0"/>
    </xf>
    <xf numFmtId="164" fontId="6" fillId="2" borderId="5" xfId="0" applyNumberFormat="1" applyFont="1" applyFill="1" applyBorder="1" applyAlignment="1">
      <alignment horizontal="center" vertical="center" wrapText="1"/>
    </xf>
    <xf numFmtId="0" fontId="8" fillId="2" borderId="5" xfId="1" applyFont="1" applyFill="1" applyBorder="1" applyAlignment="1" applyProtection="1">
      <alignment horizontal="center" vertical="center" wrapText="1"/>
      <protection locked="0"/>
    </xf>
    <xf numFmtId="0" fontId="14" fillId="4" borderId="5" xfId="2" applyFont="1" applyFill="1" applyBorder="1" applyAlignment="1">
      <alignment horizontal="center" vertical="center" wrapText="1"/>
    </xf>
    <xf numFmtId="0" fontId="37" fillId="4" borderId="5" xfId="1" applyFont="1" applyFill="1" applyBorder="1" applyAlignment="1" applyProtection="1">
      <alignment horizontal="center" vertical="center" wrapText="1"/>
      <protection locked="0"/>
    </xf>
    <xf numFmtId="0" fontId="36" fillId="20" borderId="5" xfId="2" applyFont="1" applyFill="1" applyBorder="1" applyAlignment="1">
      <alignment horizontal="center" vertical="center" wrapText="1"/>
    </xf>
    <xf numFmtId="0" fontId="36" fillId="20" borderId="5" xfId="2" applyFont="1" applyFill="1" applyBorder="1" applyAlignment="1">
      <alignment horizontal="center" vertical="center"/>
    </xf>
    <xf numFmtId="164" fontId="36" fillId="20" borderId="5" xfId="5" applyFont="1" applyFill="1" applyBorder="1" applyAlignment="1">
      <alignment horizontal="center" vertical="center"/>
    </xf>
    <xf numFmtId="0" fontId="36" fillId="20" borderId="5" xfId="2" applyFont="1" applyFill="1" applyBorder="1" applyAlignment="1" applyProtection="1">
      <alignment horizontal="center" vertical="center" wrapText="1"/>
      <protection locked="0"/>
    </xf>
    <xf numFmtId="0" fontId="38" fillId="20" borderId="5" xfId="2" applyFont="1" applyFill="1" applyBorder="1" applyAlignment="1" applyProtection="1">
      <alignment horizontal="center" vertical="center" wrapText="1"/>
      <protection locked="0"/>
    </xf>
    <xf numFmtId="42" fontId="36" fillId="20" borderId="5" xfId="2" applyNumberFormat="1" applyFont="1" applyFill="1" applyBorder="1" applyAlignment="1">
      <alignment horizontal="center" vertical="center"/>
    </xf>
    <xf numFmtId="0" fontId="17" fillId="20" borderId="5" xfId="2" applyFont="1" applyFill="1" applyBorder="1" applyAlignment="1">
      <alignment horizontal="center" vertical="center"/>
    </xf>
    <xf numFmtId="0" fontId="36" fillId="4" borderId="5" xfId="2" applyFont="1" applyFill="1" applyBorder="1" applyAlignment="1" applyProtection="1">
      <alignment horizontal="center" vertical="center" wrapText="1"/>
      <protection locked="0"/>
    </xf>
    <xf numFmtId="0" fontId="14" fillId="2" borderId="5" xfId="2" applyFont="1" applyFill="1" applyBorder="1" applyAlignment="1">
      <alignment horizontal="center" vertical="center" wrapText="1"/>
    </xf>
    <xf numFmtId="0" fontId="37" fillId="2" borderId="5" xfId="1" applyFont="1" applyFill="1" applyBorder="1" applyAlignment="1" applyProtection="1">
      <alignment horizontal="center" vertical="center" wrapText="1"/>
      <protection locked="0"/>
    </xf>
    <xf numFmtId="0" fontId="36" fillId="3" borderId="5" xfId="2" applyFont="1" applyFill="1" applyBorder="1" applyAlignment="1">
      <alignment horizontal="center" vertical="center" wrapText="1"/>
    </xf>
    <xf numFmtId="0" fontId="42" fillId="21" borderId="5" xfId="2" applyFont="1" applyFill="1" applyBorder="1" applyAlignment="1">
      <alignment horizontal="center" vertical="center" wrapText="1"/>
    </xf>
    <xf numFmtId="0" fontId="36" fillId="3" borderId="5" xfId="2" applyFont="1" applyFill="1" applyBorder="1" applyAlignment="1">
      <alignment horizontal="center" vertical="center"/>
    </xf>
    <xf numFmtId="164" fontId="36" fillId="3" borderId="5" xfId="5" applyFont="1" applyFill="1" applyBorder="1" applyAlignment="1">
      <alignment horizontal="center" vertical="center"/>
    </xf>
    <xf numFmtId="0" fontId="36" fillId="3" borderId="5" xfId="2" applyFont="1" applyFill="1" applyBorder="1" applyAlignment="1" applyProtection="1">
      <alignment horizontal="center" vertical="center" wrapText="1"/>
      <protection locked="0"/>
    </xf>
    <xf numFmtId="0" fontId="38" fillId="3" borderId="5" xfId="2" applyFont="1" applyFill="1" applyBorder="1" applyAlignment="1" applyProtection="1">
      <alignment horizontal="center" vertical="center" wrapText="1"/>
      <protection locked="0"/>
    </xf>
    <xf numFmtId="0" fontId="36" fillId="3" borderId="5" xfId="1" applyFont="1" applyFill="1" applyBorder="1" applyAlignment="1" applyProtection="1">
      <alignment horizontal="center" vertical="center" wrapText="1"/>
      <protection locked="0"/>
    </xf>
    <xf numFmtId="42" fontId="36" fillId="3" borderId="5" xfId="2" applyNumberFormat="1" applyFont="1" applyFill="1" applyBorder="1" applyAlignment="1">
      <alignment horizontal="center" vertical="center"/>
    </xf>
    <xf numFmtId="0" fontId="17" fillId="3" borderId="5" xfId="2" applyFont="1" applyFill="1" applyBorder="1" applyAlignment="1">
      <alignment horizontal="center" vertical="center"/>
    </xf>
    <xf numFmtId="0" fontId="36" fillId="2" borderId="5" xfId="1" applyFont="1" applyFill="1" applyBorder="1" applyAlignment="1" applyProtection="1">
      <alignment horizontal="center" vertical="center" wrapText="1"/>
      <protection locked="0"/>
    </xf>
    <xf numFmtId="0" fontId="36" fillId="20" borderId="5" xfId="1" applyFont="1" applyFill="1" applyBorder="1" applyAlignment="1" applyProtection="1">
      <alignment horizontal="center" vertical="center" wrapText="1"/>
      <protection locked="0"/>
    </xf>
    <xf numFmtId="169" fontId="6" fillId="4" borderId="5" xfId="16" applyFont="1" applyFill="1" applyBorder="1" applyAlignment="1">
      <alignment horizontal="center" vertical="center"/>
    </xf>
    <xf numFmtId="181" fontId="6" fillId="4" borderId="5" xfId="16" applyNumberFormat="1" applyFont="1" applyFill="1" applyBorder="1" applyAlignment="1">
      <alignment horizontal="center" vertical="center"/>
    </xf>
    <xf numFmtId="6" fontId="6" fillId="2" borderId="5" xfId="0" applyNumberFormat="1" applyFont="1" applyFill="1" applyBorder="1" applyAlignment="1">
      <alignment horizontal="center" vertical="center"/>
    </xf>
    <xf numFmtId="181" fontId="6" fillId="4" borderId="5" xfId="13" applyNumberFormat="1" applyFont="1" applyFill="1" applyBorder="1" applyAlignment="1">
      <alignment horizontal="center" vertical="center"/>
    </xf>
    <xf numFmtId="165" fontId="6" fillId="4" borderId="5" xfId="19" applyFont="1" applyFill="1" applyBorder="1" applyAlignment="1">
      <alignment horizontal="center" vertical="center"/>
    </xf>
    <xf numFmtId="181" fontId="6" fillId="2" borderId="5" xfId="0" applyNumberFormat="1" applyFont="1" applyFill="1" applyBorder="1" applyAlignment="1">
      <alignment horizontal="center" vertical="center"/>
    </xf>
    <xf numFmtId="170" fontId="36" fillId="4" borderId="5" xfId="19" applyNumberFormat="1" applyFont="1" applyFill="1" applyBorder="1" applyAlignment="1">
      <alignment horizontal="center" vertical="center"/>
    </xf>
    <xf numFmtId="6" fontId="6" fillId="4" borderId="5" xfId="2" applyNumberFormat="1" applyFont="1" applyFill="1" applyBorder="1" applyAlignment="1">
      <alignment horizontal="center" vertical="center"/>
    </xf>
    <xf numFmtId="165" fontId="6" fillId="2" borderId="5" xfId="19" applyFont="1" applyFill="1" applyBorder="1" applyAlignment="1">
      <alignment horizontal="center" vertical="center"/>
    </xf>
    <xf numFmtId="6" fontId="6" fillId="4" borderId="5" xfId="0" applyNumberFormat="1" applyFont="1" applyFill="1" applyBorder="1" applyAlignment="1">
      <alignment horizontal="center" vertical="center"/>
    </xf>
    <xf numFmtId="6" fontId="6" fillId="4" borderId="5" xfId="0" applyNumberFormat="1" applyFont="1" applyFill="1" applyBorder="1" applyAlignment="1">
      <alignment horizontal="center" vertical="center" wrapText="1"/>
    </xf>
    <xf numFmtId="181" fontId="6" fillId="4" borderId="5" xfId="0" applyNumberFormat="1" applyFont="1" applyFill="1" applyBorder="1" applyAlignment="1">
      <alignment horizontal="center" vertical="center"/>
    </xf>
    <xf numFmtId="170" fontId="6" fillId="2" borderId="5" xfId="19" applyNumberFormat="1" applyFont="1" applyFill="1" applyBorder="1" applyAlignment="1">
      <alignment horizontal="center" vertical="center"/>
    </xf>
    <xf numFmtId="164" fontId="44" fillId="2" borderId="5" xfId="5" applyFont="1" applyFill="1" applyBorder="1" applyAlignment="1">
      <alignment horizontal="center" vertical="center"/>
    </xf>
    <xf numFmtId="6" fontId="6" fillId="2" borderId="5" xfId="0" applyNumberFormat="1" applyFont="1" applyFill="1" applyBorder="1" applyAlignment="1">
      <alignment horizontal="center" vertical="center" wrapText="1"/>
    </xf>
    <xf numFmtId="0" fontId="36" fillId="2" borderId="5" xfId="2" applyFont="1" applyFill="1" applyBorder="1" applyAlignment="1" applyProtection="1">
      <alignment horizontal="center" vertical="center" wrapText="1"/>
      <protection locked="0"/>
    </xf>
    <xf numFmtId="0" fontId="38" fillId="2" borderId="5" xfId="2" applyFont="1" applyFill="1" applyBorder="1" applyAlignment="1" applyProtection="1">
      <alignment horizontal="center" vertical="center" wrapText="1"/>
      <protection locked="0"/>
    </xf>
    <xf numFmtId="0" fontId="38" fillId="4" borderId="5" xfId="2" applyFont="1" applyFill="1" applyBorder="1" applyAlignment="1" applyProtection="1">
      <alignment horizontal="center" vertical="center" wrapText="1"/>
      <protection locked="0"/>
    </xf>
    <xf numFmtId="180" fontId="6" fillId="2" borderId="5" xfId="4" applyNumberFormat="1" applyFont="1" applyFill="1" applyBorder="1" applyAlignment="1">
      <alignment horizontal="center" vertical="center"/>
    </xf>
    <xf numFmtId="180" fontId="6" fillId="4" borderId="5" xfId="4" applyNumberFormat="1" applyFont="1" applyFill="1" applyBorder="1" applyAlignment="1">
      <alignment horizontal="center" vertical="center"/>
    </xf>
    <xf numFmtId="176" fontId="6" fillId="2" borderId="5" xfId="16" applyNumberFormat="1" applyFont="1" applyFill="1" applyBorder="1" applyAlignment="1">
      <alignment horizontal="center" vertical="center"/>
    </xf>
    <xf numFmtId="176" fontId="6" fillId="4" borderId="5" xfId="16" applyNumberFormat="1" applyFont="1" applyFill="1" applyBorder="1" applyAlignment="1">
      <alignment horizontal="center" vertical="center" wrapText="1"/>
    </xf>
    <xf numFmtId="9" fontId="6" fillId="4" borderId="5" xfId="4" applyFont="1" applyFill="1" applyBorder="1" applyAlignment="1">
      <alignment horizontal="center" vertical="center" wrapText="1"/>
    </xf>
    <xf numFmtId="181" fontId="6" fillId="4" borderId="5" xfId="4" applyNumberFormat="1" applyFont="1" applyFill="1" applyBorder="1" applyAlignment="1">
      <alignment horizontal="center" vertical="center"/>
    </xf>
    <xf numFmtId="181" fontId="6" fillId="2" borderId="5" xfId="4" applyNumberFormat="1" applyFont="1" applyFill="1" applyBorder="1" applyAlignment="1">
      <alignment horizontal="center" vertical="center"/>
    </xf>
    <xf numFmtId="176" fontId="6" fillId="2" borderId="5" xfId="16" applyNumberFormat="1" applyFont="1" applyFill="1" applyBorder="1" applyAlignment="1">
      <alignment horizontal="center" vertical="center" wrapText="1"/>
    </xf>
    <xf numFmtId="176" fontId="6" fillId="4" borderId="5" xfId="19" applyNumberFormat="1" applyFont="1" applyFill="1" applyBorder="1" applyAlignment="1">
      <alignment horizontal="center" vertical="center"/>
    </xf>
    <xf numFmtId="41" fontId="6" fillId="4" borderId="5" xfId="21" applyFont="1" applyFill="1" applyBorder="1" applyAlignment="1">
      <alignment horizontal="center" vertical="center"/>
    </xf>
    <xf numFmtId="0" fontId="14" fillId="4" borderId="5" xfId="2" applyFont="1" applyFill="1" applyBorder="1" applyAlignment="1" applyProtection="1">
      <alignment horizontal="center" vertical="center" wrapText="1"/>
      <protection locked="0"/>
    </xf>
    <xf numFmtId="176" fontId="6" fillId="2" borderId="5" xfId="19" applyNumberFormat="1" applyFont="1" applyFill="1" applyBorder="1" applyAlignment="1">
      <alignment horizontal="center" vertical="center"/>
    </xf>
    <xf numFmtId="0" fontId="14" fillId="2" borderId="5" xfId="2" applyFont="1" applyFill="1" applyBorder="1" applyAlignment="1" applyProtection="1">
      <alignment horizontal="center" vertical="center" wrapText="1"/>
      <protection locked="0"/>
    </xf>
    <xf numFmtId="42" fontId="6" fillId="2" borderId="5" xfId="15" applyFont="1" applyFill="1" applyBorder="1" applyAlignment="1">
      <alignment horizontal="center" vertical="center" wrapText="1"/>
    </xf>
    <xf numFmtId="42" fontId="6" fillId="4" borderId="5" xfId="15" applyFont="1" applyFill="1" applyBorder="1" applyAlignment="1">
      <alignment horizontal="center" vertical="center" wrapText="1"/>
    </xf>
    <xf numFmtId="169" fontId="6" fillId="2" borderId="5" xfId="16" applyFont="1" applyFill="1" applyBorder="1" applyAlignment="1">
      <alignment horizontal="center" vertical="center"/>
    </xf>
    <xf numFmtId="169" fontId="36" fillId="2" borderId="5" xfId="16" applyFont="1" applyFill="1" applyBorder="1" applyAlignment="1">
      <alignment horizontal="center" vertical="center"/>
    </xf>
    <xf numFmtId="169" fontId="6" fillId="4" borderId="5" xfId="16" applyFont="1" applyFill="1" applyBorder="1" applyAlignment="1">
      <alignment horizontal="center" vertical="center" wrapText="1"/>
    </xf>
    <xf numFmtId="169" fontId="36" fillId="4" borderId="5" xfId="16" applyFont="1" applyFill="1" applyBorder="1" applyAlignment="1">
      <alignment horizontal="center" vertical="center"/>
    </xf>
    <xf numFmtId="1" fontId="28" fillId="4" borderId="5" xfId="19" applyNumberFormat="1" applyFont="1" applyFill="1" applyBorder="1" applyAlignment="1">
      <alignment horizontal="center" vertical="center" wrapText="1"/>
    </xf>
    <xf numFmtId="1" fontId="6" fillId="4" borderId="5" xfId="19" applyNumberFormat="1" applyFont="1" applyFill="1" applyBorder="1" applyAlignment="1">
      <alignment horizontal="center" vertical="center" wrapText="1"/>
    </xf>
    <xf numFmtId="164" fontId="36" fillId="2" borderId="5" xfId="5" applyFont="1" applyFill="1" applyBorder="1" applyAlignment="1">
      <alignment horizontal="center" vertical="center" wrapText="1"/>
    </xf>
    <xf numFmtId="9" fontId="31" fillId="2" borderId="5" xfId="8" applyFont="1" applyFill="1" applyBorder="1" applyAlignment="1" applyProtection="1">
      <alignment horizontal="center" vertical="center" wrapText="1"/>
      <protection locked="0"/>
    </xf>
    <xf numFmtId="49" fontId="13" fillId="2" borderId="5" xfId="7" applyNumberFormat="1" applyFont="1" applyFill="1" applyBorder="1" applyAlignment="1" applyProtection="1">
      <alignment horizontal="center" vertical="center" wrapText="1"/>
      <protection locked="0"/>
    </xf>
    <xf numFmtId="0" fontId="30" fillId="2" borderId="5" xfId="7" applyFont="1" applyFill="1" applyBorder="1" applyAlignment="1">
      <alignment horizontal="center" vertical="center"/>
    </xf>
    <xf numFmtId="9" fontId="30" fillId="2" borderId="5" xfId="8" applyFont="1" applyFill="1" applyBorder="1" applyAlignment="1" applyProtection="1">
      <alignment horizontal="center" vertical="center" wrapText="1"/>
    </xf>
    <xf numFmtId="9" fontId="30" fillId="6" borderId="5" xfId="8" applyFont="1" applyFill="1" applyBorder="1" applyAlignment="1" applyProtection="1">
      <alignment horizontal="center" vertical="center"/>
    </xf>
    <xf numFmtId="172" fontId="30" fillId="2" borderId="5" xfId="17" applyNumberFormat="1" applyFont="1" applyFill="1" applyBorder="1" applyAlignment="1" applyProtection="1">
      <alignment horizontal="center" vertical="center" wrapText="1"/>
    </xf>
    <xf numFmtId="172" fontId="36" fillId="2" borderId="5" xfId="17" applyNumberFormat="1" applyFont="1" applyFill="1" applyBorder="1" applyAlignment="1" applyProtection="1">
      <alignment horizontal="center" vertical="center"/>
    </xf>
    <xf numFmtId="172" fontId="30" fillId="2" borderId="5" xfId="8" applyNumberFormat="1" applyFont="1" applyFill="1" applyBorder="1" applyAlignment="1" applyProtection="1">
      <alignment horizontal="center" vertical="center"/>
    </xf>
    <xf numFmtId="9" fontId="16" fillId="6" borderId="5" xfId="8" applyFont="1" applyFill="1" applyBorder="1" applyAlignment="1" applyProtection="1">
      <alignment horizontal="center" vertical="center"/>
    </xf>
    <xf numFmtId="172" fontId="30" fillId="2" borderId="5" xfId="17" applyNumberFormat="1" applyFont="1" applyFill="1" applyBorder="1" applyAlignment="1" applyProtection="1">
      <alignment horizontal="center" vertical="center"/>
    </xf>
    <xf numFmtId="172" fontId="30" fillId="4" borderId="5" xfId="17" applyNumberFormat="1" applyFont="1" applyFill="1" applyBorder="1" applyAlignment="1" applyProtection="1">
      <alignment horizontal="center" vertical="center"/>
    </xf>
    <xf numFmtId="172" fontId="36" fillId="4" borderId="5" xfId="17" applyNumberFormat="1" applyFont="1" applyFill="1" applyBorder="1" applyAlignment="1" applyProtection="1">
      <alignment horizontal="center" vertical="center"/>
    </xf>
    <xf numFmtId="0" fontId="13" fillId="4" borderId="5" xfId="7" applyFont="1" applyFill="1" applyBorder="1" applyAlignment="1" applyProtection="1">
      <alignment horizontal="center" vertical="center" wrapText="1"/>
      <protection locked="0"/>
    </xf>
    <xf numFmtId="9" fontId="31" fillId="4" borderId="5" xfId="8" applyFont="1" applyFill="1" applyBorder="1" applyAlignment="1" applyProtection="1">
      <alignment horizontal="center" vertical="center" wrapText="1"/>
      <protection locked="0"/>
    </xf>
    <xf numFmtId="49" fontId="13" fillId="4" borderId="5" xfId="7" applyNumberFormat="1" applyFont="1" applyFill="1" applyBorder="1" applyAlignment="1" applyProtection="1">
      <alignment horizontal="center" vertical="center" wrapText="1"/>
      <protection locked="0"/>
    </xf>
    <xf numFmtId="0" fontId="30" fillId="4" borderId="5" xfId="7" applyFont="1" applyFill="1" applyBorder="1" applyAlignment="1">
      <alignment horizontal="center" vertical="center" wrapText="1"/>
    </xf>
    <xf numFmtId="172" fontId="42" fillId="2" borderId="5" xfId="17" applyNumberFormat="1" applyFont="1" applyFill="1" applyBorder="1" applyAlignment="1" applyProtection="1">
      <alignment horizontal="center" vertical="center" wrapText="1"/>
    </xf>
    <xf numFmtId="172" fontId="32" fillId="2" borderId="5" xfId="8" applyNumberFormat="1" applyFont="1" applyFill="1" applyBorder="1" applyAlignment="1" applyProtection="1">
      <alignment horizontal="center" vertical="center" wrapText="1"/>
    </xf>
    <xf numFmtId="0" fontId="51" fillId="2" borderId="5" xfId="0" applyFont="1" applyFill="1" applyBorder="1" applyAlignment="1">
      <alignment horizontal="center" vertical="center" wrapText="1"/>
    </xf>
    <xf numFmtId="172" fontId="49" fillId="2" borderId="5" xfId="17" applyNumberFormat="1" applyFont="1" applyFill="1" applyBorder="1" applyAlignment="1" applyProtection="1">
      <alignment horizontal="center" vertical="center" wrapText="1"/>
    </xf>
    <xf numFmtId="172" fontId="32" fillId="2" borderId="5" xfId="17" applyNumberFormat="1" applyFont="1" applyFill="1" applyBorder="1" applyAlignment="1" applyProtection="1">
      <alignment horizontal="center" vertical="center" wrapText="1"/>
    </xf>
    <xf numFmtId="172" fontId="50" fillId="2" borderId="5" xfId="17" applyNumberFormat="1" applyFont="1" applyFill="1" applyBorder="1" applyAlignment="1" applyProtection="1">
      <alignment horizontal="center" vertical="center" wrapText="1"/>
    </xf>
    <xf numFmtId="1" fontId="32" fillId="2" borderId="5" xfId="8" applyNumberFormat="1" applyFont="1" applyFill="1" applyBorder="1" applyAlignment="1" applyProtection="1">
      <alignment horizontal="center" vertical="center" wrapText="1"/>
    </xf>
    <xf numFmtId="0" fontId="30" fillId="2" borderId="5" xfId="7" applyFont="1" applyFill="1" applyBorder="1" applyAlignment="1">
      <alignment horizontal="center" vertical="center" wrapText="1"/>
    </xf>
    <xf numFmtId="172" fontId="30" fillId="2" borderId="5" xfId="8" applyNumberFormat="1" applyFont="1" applyFill="1" applyBorder="1" applyAlignment="1" applyProtection="1">
      <alignment horizontal="center" vertical="center" wrapText="1"/>
    </xf>
    <xf numFmtId="172" fontId="36" fillId="2" borderId="5" xfId="17" applyNumberFormat="1" applyFont="1" applyFill="1" applyBorder="1" applyAlignment="1" applyProtection="1">
      <alignment horizontal="center" vertical="center" wrapText="1"/>
    </xf>
    <xf numFmtId="0" fontId="51" fillId="4" borderId="5" xfId="0" applyFont="1" applyFill="1" applyBorder="1" applyAlignment="1">
      <alignment horizontal="center" vertical="center" wrapText="1"/>
    </xf>
    <xf numFmtId="9" fontId="16" fillId="22" borderId="5" xfId="8" applyFont="1" applyFill="1" applyBorder="1" applyAlignment="1" applyProtection="1">
      <alignment horizontal="center" vertical="center"/>
    </xf>
    <xf numFmtId="172" fontId="49" fillId="4" borderId="5" xfId="17" applyNumberFormat="1" applyFont="1" applyFill="1" applyBorder="1" applyAlignment="1" applyProtection="1">
      <alignment horizontal="center" vertical="center" wrapText="1"/>
    </xf>
    <xf numFmtId="172" fontId="32" fillId="4" borderId="5" xfId="17" applyNumberFormat="1" applyFont="1" applyFill="1" applyBorder="1" applyAlignment="1" applyProtection="1">
      <alignment horizontal="center" vertical="center" wrapText="1"/>
    </xf>
    <xf numFmtId="172" fontId="50" fillId="4" borderId="5" xfId="17" applyNumberFormat="1" applyFont="1" applyFill="1" applyBorder="1" applyAlignment="1" applyProtection="1">
      <alignment horizontal="center" vertical="center" wrapText="1"/>
    </xf>
    <xf numFmtId="1" fontId="32" fillId="4" borderId="5" xfId="8" applyNumberFormat="1" applyFont="1" applyFill="1" applyBorder="1" applyAlignment="1" applyProtection="1">
      <alignment horizontal="center" vertical="center" wrapText="1"/>
    </xf>
    <xf numFmtId="9" fontId="30" fillId="4" borderId="5" xfId="8" applyFont="1" applyFill="1" applyBorder="1" applyAlignment="1" applyProtection="1">
      <alignment horizontal="center" vertical="center" wrapText="1"/>
    </xf>
    <xf numFmtId="172" fontId="30" fillId="4" borderId="5" xfId="17" applyNumberFormat="1" applyFont="1" applyFill="1" applyBorder="1" applyAlignment="1" applyProtection="1">
      <alignment horizontal="center" vertical="center" wrapText="1"/>
    </xf>
    <xf numFmtId="172" fontId="36" fillId="4" borderId="5" xfId="17" applyNumberFormat="1" applyFont="1" applyFill="1" applyBorder="1" applyAlignment="1" applyProtection="1">
      <alignment horizontal="center" vertical="center" wrapText="1"/>
    </xf>
    <xf numFmtId="9" fontId="16" fillId="13" borderId="5" xfId="8" applyFont="1" applyFill="1" applyBorder="1" applyAlignment="1" applyProtection="1">
      <alignment horizontal="center" vertical="center"/>
    </xf>
    <xf numFmtId="9" fontId="15" fillId="25" borderId="5" xfId="8" applyFont="1" applyFill="1" applyBorder="1" applyAlignment="1" applyProtection="1">
      <alignment horizontal="center" vertical="center"/>
    </xf>
    <xf numFmtId="172" fontId="42" fillId="4" borderId="5" xfId="17" applyNumberFormat="1" applyFont="1" applyFill="1" applyBorder="1" applyAlignment="1" applyProtection="1">
      <alignment horizontal="center" vertical="center" wrapText="1"/>
    </xf>
    <xf numFmtId="9" fontId="32" fillId="4" borderId="5" xfId="8" applyFont="1" applyFill="1" applyBorder="1" applyAlignment="1" applyProtection="1">
      <alignment horizontal="center" vertical="center" wrapText="1"/>
    </xf>
    <xf numFmtId="9" fontId="30" fillId="22" borderId="5" xfId="8" applyFont="1" applyFill="1" applyBorder="1" applyAlignment="1" applyProtection="1">
      <alignment horizontal="center" vertical="center"/>
    </xf>
    <xf numFmtId="0" fontId="30" fillId="4" borderId="5" xfId="7" applyFont="1" applyFill="1" applyBorder="1" applyAlignment="1">
      <alignment horizontal="center" vertical="center"/>
    </xf>
    <xf numFmtId="9" fontId="15" fillId="30" borderId="5" xfId="8" applyFont="1" applyFill="1" applyBorder="1" applyAlignment="1" applyProtection="1">
      <alignment horizontal="center" vertical="center"/>
    </xf>
    <xf numFmtId="9" fontId="16" fillId="27" borderId="5" xfId="8" applyFont="1" applyFill="1" applyBorder="1" applyAlignment="1" applyProtection="1">
      <alignment horizontal="center" vertical="center"/>
    </xf>
    <xf numFmtId="9" fontId="16" fillId="33" borderId="5" xfId="8" applyFont="1" applyFill="1" applyBorder="1" applyAlignment="1" applyProtection="1">
      <alignment horizontal="center" vertical="center"/>
    </xf>
    <xf numFmtId="9" fontId="15" fillId="36" borderId="5" xfId="8" applyFont="1" applyFill="1" applyBorder="1" applyAlignment="1" applyProtection="1">
      <alignment horizontal="center" vertical="center"/>
    </xf>
    <xf numFmtId="0" fontId="6" fillId="4" borderId="5" xfId="7" applyFont="1" applyFill="1" applyBorder="1" applyAlignment="1">
      <alignment horizontal="center" vertical="center" wrapText="1"/>
    </xf>
    <xf numFmtId="0" fontId="6" fillId="4" borderId="5" xfId="7" applyFont="1" applyFill="1" applyBorder="1" applyAlignment="1">
      <alignment horizontal="center" vertical="center"/>
    </xf>
    <xf numFmtId="0" fontId="6" fillId="2" borderId="5" xfId="7" applyFont="1" applyFill="1" applyBorder="1" applyAlignment="1">
      <alignment horizontal="center" vertical="center" wrapText="1"/>
    </xf>
    <xf numFmtId="0" fontId="13" fillId="4" borderId="6" xfId="7" applyFont="1" applyFill="1" applyBorder="1" applyAlignment="1" applyProtection="1">
      <alignment horizontal="center" vertical="center" wrapText="1"/>
      <protection locked="0"/>
    </xf>
    <xf numFmtId="0" fontId="13" fillId="4" borderId="8" xfId="7" applyFont="1" applyFill="1" applyBorder="1" applyAlignment="1" applyProtection="1">
      <alignment horizontal="center" vertical="center" wrapText="1"/>
      <protection locked="0"/>
    </xf>
    <xf numFmtId="49" fontId="13" fillId="4" borderId="6" xfId="7" applyNumberFormat="1" applyFont="1" applyFill="1" applyBorder="1" applyAlignment="1" applyProtection="1">
      <alignment horizontal="center" vertical="center" wrapText="1"/>
      <protection locked="0"/>
    </xf>
    <xf numFmtId="49" fontId="13" fillId="4" borderId="8" xfId="7" applyNumberFormat="1" applyFont="1" applyFill="1" applyBorder="1" applyAlignment="1" applyProtection="1">
      <alignment horizontal="center" vertical="center" wrapText="1"/>
      <protection locked="0"/>
    </xf>
    <xf numFmtId="0" fontId="30" fillId="4" borderId="6" xfId="7" applyFont="1" applyFill="1" applyBorder="1" applyAlignment="1">
      <alignment horizontal="center" vertical="center" wrapText="1"/>
    </xf>
    <xf numFmtId="0" fontId="30" fillId="4" borderId="8" xfId="7" applyFont="1" applyFill="1" applyBorder="1" applyAlignment="1">
      <alignment horizontal="center" vertical="center" wrapText="1"/>
    </xf>
    <xf numFmtId="9" fontId="15" fillId="10" borderId="6" xfId="4" applyFont="1" applyFill="1" applyBorder="1" applyAlignment="1">
      <alignment horizontal="center" vertical="center"/>
    </xf>
    <xf numFmtId="9" fontId="15" fillId="10" borderId="8" xfId="4" applyFont="1" applyFill="1" applyBorder="1" applyAlignment="1">
      <alignment horizontal="center" vertical="center"/>
    </xf>
    <xf numFmtId="9" fontId="15" fillId="23" borderId="6" xfId="4" applyFont="1" applyFill="1" applyBorder="1" applyAlignment="1">
      <alignment horizontal="center" vertical="center"/>
    </xf>
    <xf numFmtId="9" fontId="15" fillId="23" borderId="8" xfId="4" applyFont="1" applyFill="1" applyBorder="1" applyAlignment="1">
      <alignment horizontal="center" vertical="center"/>
    </xf>
    <xf numFmtId="9" fontId="16" fillId="22" borderId="6" xfId="8" applyFont="1" applyFill="1" applyBorder="1" applyAlignment="1" applyProtection="1">
      <alignment horizontal="center" vertical="center"/>
    </xf>
    <xf numFmtId="9" fontId="16" fillId="22" borderId="8" xfId="8" applyFont="1" applyFill="1" applyBorder="1" applyAlignment="1" applyProtection="1">
      <alignment horizontal="center" vertical="center"/>
    </xf>
    <xf numFmtId="172" fontId="30" fillId="4" borderId="6" xfId="17" applyNumberFormat="1" applyFont="1" applyFill="1" applyBorder="1" applyAlignment="1" applyProtection="1">
      <alignment horizontal="center" vertical="center" wrapText="1"/>
    </xf>
    <xf numFmtId="172" fontId="30" fillId="4" borderId="8" xfId="17" applyNumberFormat="1" applyFont="1" applyFill="1" applyBorder="1" applyAlignment="1" applyProtection="1">
      <alignment horizontal="center" vertical="center" wrapText="1"/>
    </xf>
    <xf numFmtId="9" fontId="30" fillId="4" borderId="6" xfId="8" applyFont="1" applyFill="1" applyBorder="1" applyAlignment="1" applyProtection="1">
      <alignment horizontal="center" vertical="center" wrapText="1"/>
    </xf>
    <xf numFmtId="9" fontId="30" fillId="4" borderId="8" xfId="8" applyFont="1" applyFill="1" applyBorder="1" applyAlignment="1" applyProtection="1">
      <alignment horizontal="center" vertical="center" wrapText="1"/>
    </xf>
    <xf numFmtId="1" fontId="32" fillId="4" borderId="6" xfId="8" applyNumberFormat="1" applyFont="1" applyFill="1" applyBorder="1" applyAlignment="1" applyProtection="1">
      <alignment horizontal="center" vertical="center" wrapText="1"/>
    </xf>
    <xf numFmtId="1" fontId="32" fillId="4" borderId="8" xfId="8" applyNumberFormat="1" applyFont="1" applyFill="1" applyBorder="1" applyAlignment="1" applyProtection="1">
      <alignment horizontal="center" vertical="center" wrapText="1"/>
    </xf>
    <xf numFmtId="9" fontId="30" fillId="22" borderId="6" xfId="8" applyFont="1" applyFill="1" applyBorder="1" applyAlignment="1" applyProtection="1">
      <alignment horizontal="center" vertical="center"/>
    </xf>
    <xf numFmtId="9" fontId="30" fillId="22" borderId="8" xfId="8" applyFont="1" applyFill="1" applyBorder="1" applyAlignment="1" applyProtection="1">
      <alignment horizontal="center" vertical="center"/>
    </xf>
    <xf numFmtId="0" fontId="30" fillId="4" borderId="6" xfId="7" applyFont="1" applyFill="1" applyBorder="1" applyAlignment="1">
      <alignment horizontal="center" vertical="center"/>
    </xf>
    <xf numFmtId="0" fontId="30" fillId="4" borderId="8" xfId="7" applyFont="1" applyFill="1" applyBorder="1" applyAlignment="1">
      <alignment horizontal="center" vertical="center"/>
    </xf>
    <xf numFmtId="0" fontId="6" fillId="4" borderId="6" xfId="7" applyFont="1" applyFill="1" applyBorder="1" applyAlignment="1">
      <alignment horizontal="center" vertical="center" wrapText="1"/>
    </xf>
    <xf numFmtId="0" fontId="6" fillId="4" borderId="8" xfId="7" applyFont="1" applyFill="1" applyBorder="1" applyAlignment="1">
      <alignment horizontal="center" vertical="center" wrapText="1"/>
    </xf>
    <xf numFmtId="9" fontId="15" fillId="26" borderId="6" xfId="4" applyFont="1" applyFill="1" applyBorder="1" applyAlignment="1">
      <alignment horizontal="center" vertical="center"/>
    </xf>
    <xf numFmtId="9" fontId="15" fillId="26" borderId="8" xfId="4" applyFont="1" applyFill="1" applyBorder="1" applyAlignment="1">
      <alignment horizontal="center" vertical="center"/>
    </xf>
    <xf numFmtId="9" fontId="15" fillId="28" borderId="6" xfId="4" applyFont="1" applyFill="1" applyBorder="1" applyAlignment="1">
      <alignment horizontal="center" vertical="center"/>
    </xf>
    <xf numFmtId="9" fontId="15" fillId="28" borderId="8" xfId="4" applyFont="1" applyFill="1" applyBorder="1" applyAlignment="1">
      <alignment horizontal="center" vertical="center"/>
    </xf>
    <xf numFmtId="172" fontId="30" fillId="4" borderId="6" xfId="17" applyNumberFormat="1" applyFont="1" applyFill="1" applyBorder="1" applyAlignment="1" applyProtection="1">
      <alignment horizontal="center" vertical="center"/>
    </xf>
    <xf numFmtId="172" fontId="30" fillId="4" borderId="8" xfId="17" applyNumberFormat="1" applyFont="1" applyFill="1" applyBorder="1" applyAlignment="1" applyProtection="1">
      <alignment horizontal="center" vertical="center"/>
    </xf>
    <xf numFmtId="172" fontId="36" fillId="4" borderId="6" xfId="17" applyNumberFormat="1" applyFont="1" applyFill="1" applyBorder="1" applyAlignment="1" applyProtection="1">
      <alignment horizontal="center" vertical="center"/>
    </xf>
    <xf numFmtId="172" fontId="36" fillId="4" borderId="8" xfId="17" applyNumberFormat="1" applyFont="1" applyFill="1" applyBorder="1" applyAlignment="1" applyProtection="1">
      <alignment horizontal="center" vertical="center"/>
    </xf>
    <xf numFmtId="9" fontId="32" fillId="4" borderId="6" xfId="8" applyFont="1" applyFill="1" applyBorder="1" applyAlignment="1" applyProtection="1">
      <alignment horizontal="center" vertical="center" wrapText="1"/>
    </xf>
    <xf numFmtId="9" fontId="32" fillId="4" borderId="8" xfId="8" applyFont="1" applyFill="1" applyBorder="1" applyAlignment="1" applyProtection="1">
      <alignment horizontal="center" vertical="center" wrapText="1"/>
    </xf>
    <xf numFmtId="0" fontId="51" fillId="4" borderId="6" xfId="0" applyFont="1" applyFill="1" applyBorder="1" applyAlignment="1">
      <alignment horizontal="center" vertical="center" wrapText="1"/>
    </xf>
    <xf numFmtId="0" fontId="51" fillId="4" borderId="8" xfId="0" applyFont="1" applyFill="1" applyBorder="1" applyAlignment="1">
      <alignment horizontal="center" vertical="center" wrapText="1"/>
    </xf>
    <xf numFmtId="172" fontId="49" fillId="4" borderId="6" xfId="17" applyNumberFormat="1" applyFont="1" applyFill="1" applyBorder="1" applyAlignment="1" applyProtection="1">
      <alignment horizontal="center" vertical="center" wrapText="1"/>
    </xf>
    <xf numFmtId="172" fontId="49" fillId="4" borderId="8" xfId="17" applyNumberFormat="1" applyFont="1" applyFill="1" applyBorder="1" applyAlignment="1" applyProtection="1">
      <alignment horizontal="center" vertical="center" wrapText="1"/>
    </xf>
    <xf numFmtId="172" fontId="32" fillId="4" borderId="6" xfId="17" applyNumberFormat="1" applyFont="1" applyFill="1" applyBorder="1" applyAlignment="1" applyProtection="1">
      <alignment horizontal="center" vertical="center" wrapText="1"/>
    </xf>
    <xf numFmtId="172" fontId="32" fillId="4" borderId="8" xfId="17" applyNumberFormat="1" applyFont="1" applyFill="1" applyBorder="1" applyAlignment="1" applyProtection="1">
      <alignment horizontal="center" vertical="center" wrapText="1"/>
    </xf>
    <xf numFmtId="172" fontId="50" fillId="4" borderId="6" xfId="17" applyNumberFormat="1" applyFont="1" applyFill="1" applyBorder="1" applyAlignment="1" applyProtection="1">
      <alignment horizontal="center" vertical="center" wrapText="1"/>
    </xf>
    <xf numFmtId="172" fontId="50" fillId="4" borderId="8" xfId="17" applyNumberFormat="1" applyFont="1" applyFill="1" applyBorder="1" applyAlignment="1" applyProtection="1">
      <alignment horizontal="center" vertical="center" wrapText="1"/>
    </xf>
    <xf numFmtId="172" fontId="42" fillId="4" borderId="6" xfId="17" applyNumberFormat="1" applyFont="1" applyFill="1" applyBorder="1" applyAlignment="1" applyProtection="1">
      <alignment horizontal="center" vertical="center" wrapText="1"/>
    </xf>
    <xf numFmtId="172" fontId="42" fillId="4" borderId="8" xfId="17" applyNumberFormat="1" applyFont="1" applyFill="1" applyBorder="1" applyAlignment="1" applyProtection="1">
      <alignment horizontal="center" vertical="center" wrapText="1"/>
    </xf>
    <xf numFmtId="9" fontId="15" fillId="31" borderId="6" xfId="4" applyFont="1" applyFill="1" applyBorder="1" applyAlignment="1">
      <alignment horizontal="center" vertical="center"/>
    </xf>
    <xf numFmtId="9" fontId="15" fillId="31" borderId="8" xfId="4" applyFont="1" applyFill="1" applyBorder="1" applyAlignment="1">
      <alignment horizontal="center" vertical="center"/>
    </xf>
    <xf numFmtId="9" fontId="15" fillId="34" borderId="6" xfId="4" applyFont="1" applyFill="1" applyBorder="1" applyAlignment="1">
      <alignment horizontal="center" vertical="center"/>
    </xf>
    <xf numFmtId="9" fontId="15" fillId="34" borderId="8" xfId="4" applyFont="1" applyFill="1" applyBorder="1" applyAlignment="1">
      <alignment horizontal="center" vertical="center"/>
    </xf>
    <xf numFmtId="172" fontId="36" fillId="4" borderId="6" xfId="17" applyNumberFormat="1" applyFont="1" applyFill="1" applyBorder="1" applyAlignment="1" applyProtection="1">
      <alignment horizontal="center" vertical="center" wrapText="1"/>
    </xf>
    <xf numFmtId="172" fontId="36" fillId="4" borderId="8" xfId="17" applyNumberFormat="1" applyFont="1" applyFill="1" applyBorder="1" applyAlignment="1" applyProtection="1">
      <alignment horizontal="center" vertical="center" wrapText="1"/>
    </xf>
    <xf numFmtId="172" fontId="55" fillId="2" borderId="5" xfId="17" applyNumberFormat="1" applyFont="1" applyFill="1" applyBorder="1" applyAlignment="1" applyProtection="1">
      <alignment horizontal="center" vertical="center" wrapText="1"/>
    </xf>
    <xf numFmtId="172" fontId="56" fillId="2" borderId="5" xfId="17" applyNumberFormat="1" applyFont="1" applyFill="1" applyBorder="1" applyAlignment="1" applyProtection="1">
      <alignment horizontal="center" vertical="center" wrapText="1"/>
    </xf>
    <xf numFmtId="172" fontId="55" fillId="2" borderId="5" xfId="8" applyNumberFormat="1" applyFont="1" applyFill="1" applyBorder="1" applyAlignment="1" applyProtection="1">
      <alignment horizontal="center" vertical="center" wrapText="1"/>
    </xf>
    <xf numFmtId="172" fontId="56" fillId="2" borderId="5" xfId="8" applyNumberFormat="1" applyFont="1" applyFill="1" applyBorder="1" applyAlignment="1" applyProtection="1">
      <alignment horizontal="center" vertical="center" wrapText="1"/>
    </xf>
    <xf numFmtId="175" fontId="6" fillId="2" borderId="5" xfId="5" applyNumberFormat="1" applyFont="1" applyFill="1" applyBorder="1" applyAlignment="1">
      <alignment horizontal="center" vertical="center"/>
    </xf>
    <xf numFmtId="175" fontId="6" fillId="4" borderId="5" xfId="5" applyNumberFormat="1" applyFont="1" applyFill="1" applyBorder="1" applyAlignment="1">
      <alignment horizontal="center" vertical="center"/>
    </xf>
    <xf numFmtId="9" fontId="31" fillId="4" borderId="5" xfId="3" applyFont="1" applyFill="1" applyBorder="1" applyAlignment="1" applyProtection="1">
      <alignment horizontal="center" vertical="center" wrapText="1"/>
      <protection locked="0"/>
    </xf>
    <xf numFmtId="9" fontId="16" fillId="11" borderId="5" xfId="3" applyFont="1" applyFill="1" applyBorder="1" applyAlignment="1">
      <alignment horizontal="center" vertical="center"/>
    </xf>
    <xf numFmtId="9" fontId="15" fillId="24" borderId="5" xfId="3" applyFont="1" applyFill="1" applyBorder="1" applyAlignment="1">
      <alignment horizontal="center" vertical="center"/>
    </xf>
    <xf numFmtId="0" fontId="16" fillId="20" borderId="5" xfId="0" applyFont="1" applyFill="1" applyBorder="1" applyAlignment="1">
      <alignment horizontal="center" vertical="center"/>
    </xf>
    <xf numFmtId="165" fontId="30" fillId="4" borderId="5" xfId="16" applyNumberFormat="1" applyFont="1" applyFill="1" applyBorder="1" applyAlignment="1">
      <alignment horizontal="center" vertical="center" wrapText="1"/>
    </xf>
    <xf numFmtId="9" fontId="31" fillId="2" borderId="5" xfId="3" applyFont="1" applyFill="1" applyBorder="1" applyAlignment="1" applyProtection="1">
      <alignment horizontal="center" vertical="center" wrapText="1"/>
      <protection locked="0"/>
    </xf>
    <xf numFmtId="173" fontId="30" fillId="4" borderId="5" xfId="0" applyNumberFormat="1" applyFont="1" applyFill="1" applyBorder="1" applyAlignment="1">
      <alignment horizontal="center" vertical="center"/>
    </xf>
    <xf numFmtId="9" fontId="21" fillId="31" borderId="5" xfId="3" applyFont="1" applyFill="1" applyBorder="1" applyAlignment="1">
      <alignment horizontal="center" vertical="center"/>
    </xf>
    <xf numFmtId="9" fontId="26" fillId="34" borderId="5" xfId="3" applyFont="1" applyFill="1" applyBorder="1" applyAlignment="1">
      <alignment horizontal="center" vertical="center"/>
    </xf>
    <xf numFmtId="0" fontId="21" fillId="4" borderId="5" xfId="0" applyFont="1" applyFill="1" applyBorder="1" applyAlignment="1">
      <alignment horizontal="center" vertical="center"/>
    </xf>
    <xf numFmtId="0" fontId="57" fillId="4" borderId="5" xfId="0" applyFont="1" applyFill="1" applyBorder="1" applyAlignment="1">
      <alignment horizontal="center" vertical="center" wrapText="1"/>
    </xf>
    <xf numFmtId="0" fontId="30" fillId="20" borderId="5" xfId="0" applyFont="1" applyFill="1" applyBorder="1" applyAlignment="1">
      <alignment horizontal="center" vertical="center"/>
    </xf>
    <xf numFmtId="9" fontId="16" fillId="14" borderId="5" xfId="3" applyFont="1" applyFill="1" applyBorder="1" applyAlignment="1">
      <alignment horizontal="center" vertical="center"/>
    </xf>
    <xf numFmtId="9" fontId="15" fillId="29" borderId="5" xfId="3" applyFont="1" applyFill="1" applyBorder="1" applyAlignment="1">
      <alignment horizontal="center" vertical="center"/>
    </xf>
    <xf numFmtId="42" fontId="30" fillId="2" borderId="5" xfId="15" applyFont="1" applyFill="1" applyBorder="1" applyAlignment="1">
      <alignment horizontal="center" vertical="center"/>
    </xf>
    <xf numFmtId="165" fontId="30" fillId="2" borderId="5" xfId="16" applyNumberFormat="1" applyFont="1" applyFill="1" applyBorder="1" applyAlignment="1">
      <alignment horizontal="center" vertical="center" wrapText="1"/>
    </xf>
    <xf numFmtId="173" fontId="30" fillId="2" borderId="5" xfId="0" applyNumberFormat="1" applyFont="1" applyFill="1" applyBorder="1" applyAlignment="1">
      <alignment horizontal="center" vertical="center"/>
    </xf>
    <xf numFmtId="9" fontId="21" fillId="31" borderId="5" xfId="4" applyFont="1" applyFill="1" applyBorder="1" applyAlignment="1">
      <alignment horizontal="center" vertical="center"/>
    </xf>
    <xf numFmtId="9" fontId="26" fillId="34" borderId="5" xfId="4" applyFont="1" applyFill="1" applyBorder="1" applyAlignment="1">
      <alignment horizontal="center" vertical="center"/>
    </xf>
    <xf numFmtId="0" fontId="21" fillId="2" borderId="5" xfId="0" applyFont="1" applyFill="1" applyBorder="1" applyAlignment="1">
      <alignment horizontal="center" vertical="center"/>
    </xf>
    <xf numFmtId="0" fontId="57" fillId="2" borderId="5" xfId="0" applyFont="1" applyFill="1" applyBorder="1" applyAlignment="1">
      <alignment horizontal="center" vertical="center" wrapText="1"/>
    </xf>
    <xf numFmtId="42" fontId="30" fillId="2" borderId="5" xfId="15" applyFont="1" applyFill="1" applyBorder="1" applyAlignment="1">
      <alignment horizontal="center" vertical="center" wrapText="1"/>
    </xf>
    <xf numFmtId="0" fontId="31" fillId="4" borderId="5" xfId="0" applyFont="1" applyFill="1" applyBorder="1" applyAlignment="1" applyProtection="1">
      <alignment horizontal="center" vertical="center" wrapText="1"/>
      <protection locked="0"/>
    </xf>
    <xf numFmtId="0" fontId="16" fillId="3" borderId="5" xfId="0" applyFont="1" applyFill="1" applyBorder="1" applyAlignment="1">
      <alignment horizontal="center" vertical="center"/>
    </xf>
    <xf numFmtId="0" fontId="31" fillId="2" borderId="5" xfId="0" applyFont="1" applyFill="1" applyBorder="1" applyAlignment="1" applyProtection="1">
      <alignment horizontal="center" vertical="center" wrapText="1"/>
      <protection locked="0"/>
    </xf>
    <xf numFmtId="183" fontId="30" fillId="4" borderId="5" xfId="0" applyNumberFormat="1" applyFont="1" applyFill="1" applyBorder="1" applyAlignment="1" applyProtection="1">
      <alignment horizontal="center" vertical="center" wrapText="1"/>
      <protection locked="0"/>
    </xf>
    <xf numFmtId="0" fontId="30" fillId="4" borderId="5" xfId="0" applyFont="1" applyFill="1" applyBorder="1" applyAlignment="1" applyProtection="1">
      <alignment horizontal="center" vertical="center" wrapText="1"/>
      <protection locked="0"/>
    </xf>
    <xf numFmtId="1" fontId="32" fillId="4" borderId="5" xfId="0" applyNumberFormat="1" applyFont="1" applyFill="1" applyBorder="1" applyAlignment="1" applyProtection="1">
      <alignment horizontal="center" vertical="center" wrapText="1"/>
      <protection locked="0"/>
    </xf>
    <xf numFmtId="164" fontId="30" fillId="4" borderId="5" xfId="0" applyNumberFormat="1" applyFont="1" applyFill="1" applyBorder="1" applyAlignment="1">
      <alignment horizontal="center" vertical="center" wrapText="1"/>
    </xf>
    <xf numFmtId="182" fontId="30" fillId="4" borderId="5" xfId="0" applyNumberFormat="1" applyFont="1" applyFill="1" applyBorder="1" applyAlignment="1" applyProtection="1">
      <alignment horizontal="center" vertical="center" wrapText="1"/>
      <protection locked="0"/>
    </xf>
    <xf numFmtId="49" fontId="13" fillId="4" borderId="5" xfId="0" applyNumberFormat="1" applyFont="1" applyFill="1" applyBorder="1" applyAlignment="1">
      <alignment horizontal="center" vertical="center" wrapText="1"/>
    </xf>
    <xf numFmtId="9" fontId="16" fillId="20" borderId="5" xfId="0" applyNumberFormat="1" applyFont="1" applyFill="1" applyBorder="1" applyAlignment="1">
      <alignment horizontal="center" vertical="center"/>
    </xf>
    <xf numFmtId="183" fontId="30" fillId="20" borderId="5" xfId="0" applyNumberFormat="1" applyFont="1" applyFill="1" applyBorder="1" applyAlignment="1" applyProtection="1">
      <alignment horizontal="center" vertical="center" wrapText="1"/>
      <protection locked="0"/>
    </xf>
    <xf numFmtId="0" fontId="30" fillId="20" borderId="5" xfId="0" applyFont="1" applyFill="1" applyBorder="1" applyAlignment="1" applyProtection="1">
      <alignment horizontal="center" vertical="center" wrapText="1"/>
      <protection locked="0"/>
    </xf>
    <xf numFmtId="1" fontId="32" fillId="20" borderId="5" xfId="0" applyNumberFormat="1" applyFont="1" applyFill="1" applyBorder="1" applyAlignment="1" applyProtection="1">
      <alignment horizontal="center" vertical="center" wrapText="1"/>
      <protection locked="0"/>
    </xf>
    <xf numFmtId="164" fontId="30" fillId="20" borderId="5" xfId="0" applyNumberFormat="1" applyFont="1" applyFill="1" applyBorder="1" applyAlignment="1">
      <alignment horizontal="center" vertical="center" wrapText="1"/>
    </xf>
    <xf numFmtId="182" fontId="30" fillId="20" borderId="5" xfId="0" applyNumberFormat="1" applyFont="1" applyFill="1" applyBorder="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44" fontId="6" fillId="2" borderId="5" xfId="14" applyFont="1" applyFill="1" applyBorder="1" applyAlignment="1">
      <alignment horizontal="center" vertical="center"/>
    </xf>
    <xf numFmtId="0" fontId="15" fillId="4" borderId="5" xfId="2" applyFont="1" applyFill="1" applyBorder="1" applyAlignment="1" applyProtection="1">
      <alignment horizontal="center" vertical="center" wrapText="1"/>
      <protection locked="0"/>
    </xf>
    <xf numFmtId="164" fontId="39" fillId="4" borderId="5" xfId="5" applyFont="1" applyFill="1" applyBorder="1" applyAlignment="1">
      <alignment horizontal="center" vertical="center"/>
    </xf>
    <xf numFmtId="0" fontId="39" fillId="4" borderId="5" xfId="0" applyFont="1" applyFill="1" applyBorder="1" applyAlignment="1" applyProtection="1">
      <alignment horizontal="center" vertical="center" wrapText="1"/>
      <protection locked="0"/>
    </xf>
    <xf numFmtId="0" fontId="39" fillId="4" borderId="5" xfId="0" applyFont="1" applyFill="1" applyBorder="1" applyAlignment="1">
      <alignment horizontal="center" vertical="center" wrapText="1"/>
    </xf>
    <xf numFmtId="164" fontId="39" fillId="4" borderId="5" xfId="5" applyFont="1" applyFill="1" applyBorder="1" applyAlignment="1">
      <alignment horizontal="center" vertical="center" wrapText="1"/>
    </xf>
    <xf numFmtId="44" fontId="6" fillId="4" borderId="5" xfId="14" applyFont="1" applyFill="1" applyBorder="1" applyAlignment="1">
      <alignment horizontal="center" vertical="center"/>
    </xf>
    <xf numFmtId="44" fontId="6" fillId="4" borderId="5" xfId="14" applyFont="1" applyFill="1" applyBorder="1" applyAlignment="1">
      <alignment horizontal="center" vertical="center" wrapText="1"/>
    </xf>
    <xf numFmtId="44" fontId="6" fillId="2" borderId="5" xfId="14"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44" fontId="30" fillId="2" borderId="5" xfId="0" applyNumberFormat="1" applyFont="1" applyFill="1" applyBorder="1" applyAlignment="1">
      <alignment horizontal="center" vertical="center"/>
    </xf>
    <xf numFmtId="0" fontId="57" fillId="4" borderId="5" xfId="0" applyFont="1" applyFill="1" applyBorder="1" applyAlignment="1">
      <alignment horizontal="center" vertical="center"/>
    </xf>
    <xf numFmtId="0" fontId="53" fillId="4" borderId="5" xfId="0" applyFont="1" applyFill="1" applyBorder="1" applyAlignment="1">
      <alignment horizontal="center" vertical="center" wrapText="1"/>
    </xf>
    <xf numFmtId="9" fontId="8" fillId="4" borderId="6" xfId="4" applyFont="1" applyFill="1" applyBorder="1" applyAlignment="1" applyProtection="1">
      <alignment horizontal="center" vertical="center" wrapText="1"/>
      <protection locked="0"/>
    </xf>
    <xf numFmtId="9" fontId="8" fillId="4" borderId="7" xfId="4" applyFont="1" applyFill="1" applyBorder="1" applyAlignment="1" applyProtection="1">
      <alignment horizontal="center" vertical="center" wrapText="1"/>
      <protection locked="0"/>
    </xf>
    <xf numFmtId="9" fontId="8" fillId="4" borderId="8" xfId="4" applyFont="1" applyFill="1" applyBorder="1" applyAlignment="1" applyProtection="1">
      <alignment horizontal="center" vertical="center" wrapText="1"/>
      <protection locked="0"/>
    </xf>
    <xf numFmtId="9" fontId="8" fillId="2" borderId="6" xfId="4" applyFont="1" applyFill="1" applyBorder="1" applyAlignment="1" applyProtection="1">
      <alignment horizontal="center" vertical="center" wrapText="1"/>
      <protection locked="0"/>
    </xf>
    <xf numFmtId="9" fontId="8" fillId="2" borderId="7" xfId="4" applyFont="1" applyFill="1" applyBorder="1" applyAlignment="1" applyProtection="1">
      <alignment horizontal="center" vertical="center" wrapText="1"/>
      <protection locked="0"/>
    </xf>
    <xf numFmtId="9" fontId="8" fillId="2" borderId="8" xfId="4" applyFont="1" applyFill="1" applyBorder="1" applyAlignment="1" applyProtection="1">
      <alignment horizontal="center" vertical="center" wrapText="1"/>
      <protection locked="0"/>
    </xf>
    <xf numFmtId="9" fontId="6" fillId="4" borderId="6" xfId="4" applyFont="1" applyFill="1" applyBorder="1" applyAlignment="1" applyProtection="1">
      <alignment horizontal="center" vertical="center" wrapText="1"/>
      <protection locked="0"/>
    </xf>
    <xf numFmtId="9" fontId="6" fillId="4" borderId="7" xfId="4" applyFont="1" applyFill="1" applyBorder="1" applyAlignment="1" applyProtection="1">
      <alignment horizontal="center" vertical="center" wrapText="1"/>
      <protection locked="0"/>
    </xf>
    <xf numFmtId="9" fontId="6" fillId="4" borderId="8" xfId="4" applyFont="1" applyFill="1" applyBorder="1" applyAlignment="1" applyProtection="1">
      <alignment horizontal="center" vertical="center" wrapText="1"/>
      <protection locked="0"/>
    </xf>
    <xf numFmtId="9" fontId="31" fillId="2" borderId="6" xfId="8" applyFont="1" applyFill="1" applyBorder="1" applyAlignment="1" applyProtection="1">
      <alignment horizontal="center" vertical="center" wrapText="1"/>
      <protection locked="0"/>
    </xf>
    <xf numFmtId="9" fontId="31" fillId="2" borderId="7" xfId="8" applyFont="1" applyFill="1" applyBorder="1" applyAlignment="1" applyProtection="1">
      <alignment horizontal="center" vertical="center" wrapText="1"/>
      <protection locked="0"/>
    </xf>
    <xf numFmtId="9" fontId="31" fillId="2" borderId="8" xfId="8" applyFont="1" applyFill="1" applyBorder="1" applyAlignment="1" applyProtection="1">
      <alignment horizontal="center" vertical="center" wrapText="1"/>
      <protection locked="0"/>
    </xf>
    <xf numFmtId="9" fontId="31" fillId="4" borderId="6" xfId="8" applyFont="1" applyFill="1" applyBorder="1" applyAlignment="1" applyProtection="1">
      <alignment horizontal="center" vertical="center" wrapText="1"/>
      <protection locked="0"/>
    </xf>
    <xf numFmtId="9" fontId="31" fillId="4" borderId="7" xfId="8" applyFont="1" applyFill="1" applyBorder="1" applyAlignment="1" applyProtection="1">
      <alignment horizontal="center" vertical="center" wrapText="1"/>
      <protection locked="0"/>
    </xf>
    <xf numFmtId="9" fontId="31" fillId="4" borderId="8" xfId="8" applyFont="1" applyFill="1" applyBorder="1" applyAlignment="1" applyProtection="1">
      <alignment horizontal="center" vertical="center" wrapText="1"/>
      <protection locked="0"/>
    </xf>
    <xf numFmtId="0" fontId="57" fillId="2" borderId="5" xfId="0" applyFont="1" applyFill="1" applyBorder="1" applyAlignment="1">
      <alignment horizontal="center" vertical="center"/>
    </xf>
    <xf numFmtId="0" fontId="60" fillId="4" borderId="5" xfId="0" applyFont="1" applyFill="1" applyBorder="1" applyAlignment="1">
      <alignment horizontal="center" vertical="center" wrapText="1"/>
    </xf>
    <xf numFmtId="0" fontId="60" fillId="4" borderId="5" xfId="0" applyFont="1" applyFill="1" applyBorder="1" applyAlignment="1">
      <alignment horizontal="center" vertical="center"/>
    </xf>
    <xf numFmtId="42" fontId="60" fillId="4" borderId="5" xfId="15" applyFont="1" applyFill="1" applyBorder="1" applyAlignment="1">
      <alignment horizontal="center" vertical="center"/>
    </xf>
    <xf numFmtId="0" fontId="60" fillId="4" borderId="5" xfId="0" applyFont="1" applyFill="1" applyBorder="1" applyAlignment="1" applyProtection="1">
      <alignment horizontal="center" vertical="center" wrapText="1"/>
      <protection locked="0"/>
    </xf>
    <xf numFmtId="0" fontId="60" fillId="4" borderId="5" xfId="1" applyFont="1" applyFill="1" applyBorder="1" applyAlignment="1" applyProtection="1">
      <alignment horizontal="center" vertical="center" wrapText="1"/>
      <protection locked="0"/>
    </xf>
    <xf numFmtId="42" fontId="60" fillId="4" borderId="5" xfId="15" applyFont="1" applyFill="1" applyBorder="1" applyAlignment="1" applyProtection="1">
      <alignment horizontal="center" vertical="center" wrapText="1"/>
      <protection locked="0"/>
    </xf>
    <xf numFmtId="9" fontId="25" fillId="31" borderId="5" xfId="3" applyFont="1" applyFill="1" applyBorder="1" applyAlignment="1">
      <alignment horizontal="center" vertical="center"/>
    </xf>
    <xf numFmtId="9" fontId="9" fillId="41" borderId="5" xfId="3" applyFont="1" applyFill="1" applyBorder="1" applyAlignment="1">
      <alignment horizontal="center" vertical="center"/>
    </xf>
    <xf numFmtId="9" fontId="25" fillId="26" borderId="5" xfId="3" applyFont="1" applyFill="1" applyBorder="1" applyAlignment="1">
      <alignment horizontal="center" vertical="center"/>
    </xf>
    <xf numFmtId="9" fontId="9" fillId="39" borderId="5" xfId="3" applyFont="1" applyFill="1" applyBorder="1" applyAlignment="1">
      <alignment horizontal="center" vertical="center"/>
    </xf>
    <xf numFmtId="0" fontId="25" fillId="4" borderId="5" xfId="0" applyFont="1" applyFill="1" applyBorder="1" applyAlignment="1" applyProtection="1">
      <alignment horizontal="center" vertical="center" wrapText="1"/>
      <protection locked="0"/>
    </xf>
    <xf numFmtId="9" fontId="60" fillId="4" borderId="5" xfId="3" applyFont="1" applyFill="1" applyBorder="1" applyAlignment="1" applyProtection="1">
      <alignment horizontal="center" vertical="center" wrapText="1"/>
      <protection locked="0"/>
    </xf>
    <xf numFmtId="49" fontId="60" fillId="4" borderId="5" xfId="0" applyNumberFormat="1" applyFont="1" applyFill="1" applyBorder="1" applyAlignment="1" applyProtection="1">
      <alignment horizontal="center" vertical="center" wrapText="1"/>
      <protection locked="0"/>
    </xf>
    <xf numFmtId="9" fontId="60" fillId="10" borderId="5" xfId="3" applyFont="1" applyFill="1" applyBorder="1" applyAlignment="1">
      <alignment horizontal="center" vertical="center"/>
    </xf>
    <xf numFmtId="9" fontId="9" fillId="23" borderId="5" xfId="3" applyFont="1" applyFill="1" applyBorder="1" applyAlignment="1">
      <alignment horizontal="center" vertical="center"/>
    </xf>
    <xf numFmtId="164" fontId="60" fillId="3" borderId="5" xfId="5" applyFont="1" applyFill="1" applyBorder="1" applyAlignment="1">
      <alignment horizontal="center" vertical="center"/>
    </xf>
    <xf numFmtId="0" fontId="60" fillId="2" borderId="5" xfId="0" applyFont="1" applyFill="1" applyBorder="1" applyAlignment="1">
      <alignment horizontal="center" vertical="center" wrapText="1"/>
    </xf>
    <xf numFmtId="0" fontId="60" fillId="2" borderId="5" xfId="1" applyFont="1" applyFill="1" applyBorder="1" applyAlignment="1">
      <alignment horizontal="center" vertical="center" wrapText="1"/>
    </xf>
    <xf numFmtId="164" fontId="60" fillId="20" borderId="5" xfId="5" applyFont="1" applyFill="1" applyBorder="1" applyAlignment="1">
      <alignment horizontal="center" vertical="center"/>
    </xf>
    <xf numFmtId="164" fontId="60" fillId="2" borderId="5" xfId="5" applyFont="1" applyFill="1" applyBorder="1" applyAlignment="1">
      <alignment horizontal="center" vertical="center"/>
    </xf>
    <xf numFmtId="164" fontId="60" fillId="4" borderId="5" xfId="5" applyFont="1" applyFill="1" applyBorder="1" applyAlignment="1">
      <alignment horizontal="center" vertical="center" wrapText="1"/>
    </xf>
    <xf numFmtId="164" fontId="60" fillId="3" borderId="5" xfId="5" applyFont="1" applyFill="1" applyBorder="1" applyAlignment="1">
      <alignment horizontal="center" vertical="center" wrapText="1"/>
    </xf>
    <xf numFmtId="0" fontId="60" fillId="4" borderId="5" xfId="1" applyFont="1" applyFill="1" applyBorder="1" applyAlignment="1">
      <alignment horizontal="center" vertical="center" wrapText="1"/>
    </xf>
    <xf numFmtId="42" fontId="60" fillId="4" borderId="5" xfId="0" applyNumberFormat="1" applyFont="1" applyFill="1" applyBorder="1" applyAlignment="1">
      <alignment horizontal="center" vertical="center" wrapText="1"/>
    </xf>
    <xf numFmtId="42" fontId="60" fillId="2" borderId="5" xfId="15" applyFont="1" applyFill="1" applyBorder="1" applyAlignment="1">
      <alignment horizontal="center" vertical="center"/>
    </xf>
    <xf numFmtId="171" fontId="60" fillId="4" borderId="5" xfId="0" applyNumberFormat="1" applyFont="1" applyFill="1" applyBorder="1" applyAlignment="1">
      <alignment horizontal="center" vertical="center"/>
    </xf>
    <xf numFmtId="0" fontId="60" fillId="2" borderId="5" xfId="0" applyFont="1" applyFill="1" applyBorder="1" applyAlignment="1">
      <alignment horizontal="center" vertical="center"/>
    </xf>
    <xf numFmtId="171" fontId="60" fillId="2" borderId="5" xfId="0" applyNumberFormat="1" applyFont="1" applyFill="1" applyBorder="1" applyAlignment="1">
      <alignment horizontal="center" vertical="center"/>
    </xf>
    <xf numFmtId="172" fontId="60" fillId="2" borderId="5" xfId="0" applyNumberFormat="1" applyFont="1" applyFill="1" applyBorder="1" applyAlignment="1">
      <alignment horizontal="center" vertical="center"/>
    </xf>
    <xf numFmtId="164" fontId="60" fillId="4" borderId="5" xfId="0" applyNumberFormat="1" applyFont="1" applyFill="1" applyBorder="1" applyAlignment="1">
      <alignment horizontal="center" vertical="center"/>
    </xf>
    <xf numFmtId="164" fontId="60" fillId="2" borderId="5" xfId="0" applyNumberFormat="1" applyFont="1" applyFill="1" applyBorder="1" applyAlignment="1">
      <alignment horizontal="center" vertical="center"/>
    </xf>
    <xf numFmtId="172" fontId="60" fillId="4" borderId="5" xfId="0" applyNumberFormat="1" applyFont="1" applyFill="1" applyBorder="1" applyAlignment="1">
      <alignment horizontal="center" vertical="center"/>
    </xf>
    <xf numFmtId="0" fontId="7" fillId="19" borderId="5" xfId="2" applyFont="1" applyFill="1" applyBorder="1" applyAlignment="1">
      <alignment horizontal="center" vertical="center" wrapText="1"/>
    </xf>
    <xf numFmtId="0" fontId="7" fillId="19" borderId="5" xfId="2" applyFont="1" applyFill="1" applyBorder="1" applyAlignment="1">
      <alignment horizontal="center" vertical="center"/>
    </xf>
    <xf numFmtId="9" fontId="60" fillId="2" borderId="5" xfId="3" applyFont="1" applyFill="1" applyBorder="1" applyAlignment="1" applyProtection="1">
      <alignment horizontal="center" vertical="center" wrapText="1"/>
      <protection locked="0"/>
    </xf>
    <xf numFmtId="49" fontId="25" fillId="2" borderId="5" xfId="0" applyNumberFormat="1" applyFont="1" applyFill="1" applyBorder="1" applyAlignment="1" applyProtection="1">
      <alignment horizontal="center" vertical="center" wrapText="1"/>
      <protection locked="0"/>
    </xf>
    <xf numFmtId="9" fontId="25" fillId="10" borderId="5" xfId="3" applyFont="1" applyFill="1" applyBorder="1" applyAlignment="1">
      <alignment horizontal="center" vertical="center"/>
    </xf>
    <xf numFmtId="0" fontId="25" fillId="2" borderId="5" xfId="0" applyFont="1" applyFill="1" applyBorder="1" applyAlignment="1">
      <alignment horizontal="center" vertical="center"/>
    </xf>
    <xf numFmtId="0" fontId="7" fillId="18" borderId="5" xfId="0" applyFont="1" applyFill="1" applyBorder="1" applyAlignment="1">
      <alignment horizontal="center" vertical="center" wrapText="1"/>
    </xf>
    <xf numFmtId="0" fontId="7" fillId="18" borderId="5" xfId="0" applyFont="1" applyFill="1" applyBorder="1" applyAlignment="1">
      <alignment horizontal="center" vertical="center"/>
    </xf>
    <xf numFmtId="0" fontId="25" fillId="2" borderId="5" xfId="0" applyFont="1" applyFill="1" applyBorder="1" applyAlignment="1" applyProtection="1">
      <alignment horizontal="center" vertical="center" wrapText="1"/>
      <protection locked="0"/>
    </xf>
    <xf numFmtId="42" fontId="60" fillId="2" borderId="5" xfId="0" applyNumberFormat="1" applyFont="1" applyFill="1" applyBorder="1" applyAlignment="1">
      <alignment horizontal="center" vertical="center"/>
    </xf>
    <xf numFmtId="49" fontId="25" fillId="4" borderId="5" xfId="0" applyNumberFormat="1" applyFont="1" applyFill="1" applyBorder="1" applyAlignment="1" applyProtection="1">
      <alignment horizontal="center" vertical="center" wrapText="1"/>
      <protection locked="0"/>
    </xf>
    <xf numFmtId="42" fontId="60" fillId="2" borderId="5" xfId="15" applyFont="1" applyFill="1" applyBorder="1" applyAlignment="1">
      <alignment horizontal="center" vertical="center" wrapText="1"/>
    </xf>
    <xf numFmtId="42" fontId="60" fillId="2" borderId="5" xfId="0" applyNumberFormat="1" applyFont="1" applyFill="1" applyBorder="1" applyAlignment="1">
      <alignment horizontal="center" vertical="center" wrapText="1"/>
    </xf>
    <xf numFmtId="42" fontId="60" fillId="4" borderId="5" xfId="15" applyFont="1" applyFill="1" applyBorder="1" applyAlignment="1">
      <alignment horizontal="center" vertical="center" wrapText="1"/>
    </xf>
    <xf numFmtId="42" fontId="60" fillId="4" borderId="5" xfId="0" applyNumberFormat="1" applyFont="1" applyFill="1" applyBorder="1" applyAlignment="1">
      <alignment horizontal="center" vertical="center"/>
    </xf>
    <xf numFmtId="0" fontId="25" fillId="4" borderId="5" xfId="0" applyFont="1" applyFill="1" applyBorder="1" applyAlignment="1">
      <alignment horizontal="center" vertical="center"/>
    </xf>
    <xf numFmtId="169" fontId="60" fillId="4" borderId="5" xfId="16" applyFont="1" applyFill="1" applyBorder="1" applyAlignment="1">
      <alignment horizontal="center" vertical="center"/>
    </xf>
    <xf numFmtId="0" fontId="60" fillId="2" borderId="5" xfId="0" applyFont="1" applyFill="1" applyBorder="1" applyAlignment="1" applyProtection="1">
      <alignment horizontal="center" vertical="center" wrapText="1"/>
      <protection locked="0"/>
    </xf>
    <xf numFmtId="8" fontId="60" fillId="4" borderId="5" xfId="0" applyNumberFormat="1" applyFont="1" applyFill="1" applyBorder="1" applyAlignment="1">
      <alignment horizontal="center" vertical="center" wrapText="1"/>
    </xf>
    <xf numFmtId="42" fontId="60" fillId="2" borderId="5" xfId="15" applyFont="1" applyFill="1" applyBorder="1" applyAlignment="1" applyProtection="1">
      <alignment horizontal="center" vertical="center" wrapText="1"/>
      <protection locked="0"/>
    </xf>
    <xf numFmtId="169" fontId="60" fillId="2" borderId="5" xfId="16" applyFont="1" applyFill="1" applyBorder="1" applyAlignment="1">
      <alignment horizontal="center" vertical="center"/>
    </xf>
    <xf numFmtId="0" fontId="60" fillId="2" borderId="5" xfId="1" applyFont="1" applyFill="1" applyBorder="1" applyAlignment="1" applyProtection="1">
      <alignment horizontal="center" vertical="center" wrapText="1"/>
      <protection locked="0"/>
    </xf>
    <xf numFmtId="6" fontId="60" fillId="2" borderId="5" xfId="0" applyNumberFormat="1" applyFont="1" applyFill="1" applyBorder="1" applyAlignment="1">
      <alignment horizontal="center" vertical="center" wrapText="1"/>
    </xf>
    <xf numFmtId="8" fontId="60" fillId="2" borderId="5" xfId="0" applyNumberFormat="1" applyFont="1" applyFill="1" applyBorder="1" applyAlignment="1">
      <alignment horizontal="center" vertical="center" wrapText="1"/>
    </xf>
    <xf numFmtId="169" fontId="60" fillId="2" borderId="5" xfId="16" applyFont="1" applyFill="1" applyBorder="1" applyAlignment="1">
      <alignment horizontal="center" vertical="center" wrapText="1"/>
    </xf>
    <xf numFmtId="42" fontId="60" fillId="20" borderId="5" xfId="15" applyFont="1" applyFill="1" applyBorder="1" applyAlignment="1">
      <alignment horizontal="center" vertical="center" wrapText="1"/>
    </xf>
    <xf numFmtId="9" fontId="25" fillId="14" borderId="5" xfId="3" applyFont="1" applyFill="1" applyBorder="1" applyAlignment="1">
      <alignment horizontal="center" vertical="center"/>
    </xf>
    <xf numFmtId="9" fontId="9" fillId="40" borderId="5" xfId="3" applyFont="1" applyFill="1" applyBorder="1" applyAlignment="1">
      <alignment horizontal="center" vertical="center"/>
    </xf>
    <xf numFmtId="170" fontId="60" fillId="4" borderId="5" xfId="14" applyNumberFormat="1" applyFont="1" applyFill="1" applyBorder="1" applyAlignment="1">
      <alignment horizontal="center" vertical="center"/>
    </xf>
    <xf numFmtId="6" fontId="60" fillId="4" borderId="5" xfId="0" applyNumberFormat="1" applyFont="1" applyFill="1" applyBorder="1" applyAlignment="1">
      <alignment horizontal="center" vertical="center" wrapText="1"/>
    </xf>
    <xf numFmtId="9" fontId="25" fillId="16" borderId="5" xfId="3" applyFont="1" applyFill="1" applyBorder="1" applyAlignment="1">
      <alignment horizontal="center" vertical="center"/>
    </xf>
    <xf numFmtId="9" fontId="9" fillId="42" borderId="5" xfId="3" applyFont="1" applyFill="1" applyBorder="1" applyAlignment="1">
      <alignment horizontal="center" vertical="center"/>
    </xf>
    <xf numFmtId="0" fontId="60" fillId="20" borderId="5" xfId="0" applyFont="1" applyFill="1" applyBorder="1" applyAlignment="1">
      <alignment horizontal="center" vertical="center" wrapText="1"/>
    </xf>
    <xf numFmtId="168" fontId="60" fillId="20" borderId="5" xfId="13" applyNumberFormat="1" applyFont="1" applyFill="1" applyBorder="1" applyAlignment="1">
      <alignment horizontal="center" vertical="center" wrapText="1"/>
    </xf>
    <xf numFmtId="44" fontId="60" fillId="2" borderId="5" xfId="14" applyFont="1" applyFill="1" applyBorder="1" applyAlignment="1">
      <alignment horizontal="center" vertical="center" wrapText="1"/>
    </xf>
    <xf numFmtId="44" fontId="60" fillId="2" borderId="5" xfId="14" applyFont="1" applyFill="1" applyBorder="1" applyAlignment="1">
      <alignment horizontal="center" vertical="center"/>
    </xf>
    <xf numFmtId="0" fontId="25" fillId="20" borderId="5" xfId="0" applyFont="1" applyFill="1" applyBorder="1" applyAlignment="1" applyProtection="1">
      <alignment horizontal="center" vertical="center" wrapText="1"/>
      <protection locked="0"/>
    </xf>
    <xf numFmtId="0" fontId="60" fillId="4" borderId="5" xfId="9" applyFont="1" applyFill="1" applyBorder="1" applyAlignment="1" applyProtection="1">
      <alignment horizontal="center" vertical="center" wrapText="1"/>
      <protection locked="0"/>
    </xf>
    <xf numFmtId="168" fontId="60" fillId="20" borderId="5" xfId="13" applyNumberFormat="1" applyFont="1" applyFill="1" applyBorder="1" applyAlignment="1">
      <alignment horizontal="center" vertical="center"/>
    </xf>
    <xf numFmtId="44" fontId="60" fillId="4" borderId="5" xfId="14" applyFont="1" applyFill="1" applyBorder="1" applyAlignment="1">
      <alignment horizontal="center" vertical="center" wrapText="1"/>
    </xf>
    <xf numFmtId="44" fontId="60" fillId="4" borderId="5" xfId="14" applyFont="1" applyFill="1" applyBorder="1" applyAlignment="1">
      <alignment horizontal="center" vertical="center"/>
    </xf>
    <xf numFmtId="42" fontId="60" fillId="20" borderId="5" xfId="0" applyNumberFormat="1" applyFont="1" applyFill="1" applyBorder="1" applyAlignment="1">
      <alignment horizontal="center" vertical="center"/>
    </xf>
    <xf numFmtId="0" fontId="60" fillId="20" borderId="5" xfId="0" applyFont="1" applyFill="1" applyBorder="1" applyAlignment="1">
      <alignment horizontal="center" vertical="center"/>
    </xf>
    <xf numFmtId="42" fontId="60" fillId="20" borderId="5" xfId="15" applyFont="1" applyFill="1" applyBorder="1" applyAlignment="1">
      <alignment horizontal="center" vertical="center"/>
    </xf>
    <xf numFmtId="0" fontId="25" fillId="5" borderId="5" xfId="9" applyFont="1" applyFill="1" applyBorder="1" applyAlignment="1" applyProtection="1">
      <alignment horizontal="center" vertical="center" wrapText="1"/>
      <protection locked="0"/>
    </xf>
    <xf numFmtId="9" fontId="60" fillId="2" borderId="5" xfId="8" applyFont="1" applyFill="1" applyBorder="1" applyAlignment="1" applyProtection="1">
      <alignment horizontal="center" vertical="center" wrapText="1"/>
      <protection locked="0"/>
    </xf>
    <xf numFmtId="49" fontId="25" fillId="2" borderId="5" xfId="9" applyNumberFormat="1" applyFont="1" applyFill="1" applyBorder="1" applyAlignment="1" applyProtection="1">
      <alignment horizontal="center" vertical="center" wrapText="1"/>
      <protection locked="0"/>
    </xf>
    <xf numFmtId="0" fontId="60" fillId="2" borderId="5" xfId="9" applyFont="1" applyFill="1" applyBorder="1" applyAlignment="1">
      <alignment horizontal="center" vertical="center" wrapText="1"/>
    </xf>
    <xf numFmtId="0" fontId="25" fillId="2" borderId="5" xfId="9" applyFont="1" applyFill="1" applyBorder="1" applyAlignment="1">
      <alignment horizontal="center" vertical="center"/>
    </xf>
    <xf numFmtId="172" fontId="60" fillId="2" borderId="5" xfId="17" applyNumberFormat="1" applyFont="1" applyFill="1" applyBorder="1" applyAlignment="1" applyProtection="1">
      <alignment horizontal="center" vertical="center"/>
    </xf>
    <xf numFmtId="42" fontId="60" fillId="20" borderId="5" xfId="0" applyNumberFormat="1" applyFont="1" applyFill="1" applyBorder="1" applyAlignment="1">
      <alignment horizontal="center" vertical="center" wrapText="1"/>
    </xf>
    <xf numFmtId="171" fontId="60" fillId="22" borderId="5" xfId="17" applyFont="1" applyFill="1" applyBorder="1" applyAlignment="1" applyProtection="1">
      <alignment horizontal="center" vertical="center"/>
    </xf>
    <xf numFmtId="171" fontId="60" fillId="4" borderId="5" xfId="17" applyFont="1" applyFill="1" applyBorder="1" applyAlignment="1" applyProtection="1">
      <alignment horizontal="center" vertical="center"/>
    </xf>
    <xf numFmtId="171" fontId="60" fillId="4" borderId="5" xfId="9" applyNumberFormat="1" applyFont="1" applyFill="1" applyBorder="1" applyAlignment="1">
      <alignment horizontal="center" vertical="center"/>
    </xf>
    <xf numFmtId="0" fontId="25" fillId="22" borderId="5" xfId="9" applyFont="1" applyFill="1" applyBorder="1" applyAlignment="1" applyProtection="1">
      <alignment horizontal="center" vertical="center" wrapText="1"/>
      <protection locked="0"/>
    </xf>
    <xf numFmtId="9" fontId="60" fillId="4" borderId="5" xfId="8" applyFont="1" applyFill="1" applyBorder="1" applyAlignment="1" applyProtection="1">
      <alignment horizontal="center" vertical="center" wrapText="1"/>
      <protection locked="0"/>
    </xf>
    <xf numFmtId="49" fontId="25" fillId="4" borderId="5" xfId="9" applyNumberFormat="1" applyFont="1" applyFill="1" applyBorder="1" applyAlignment="1" applyProtection="1">
      <alignment horizontal="center" vertical="center" wrapText="1"/>
      <protection locked="0"/>
    </xf>
    <xf numFmtId="0" fontId="60" fillId="37" borderId="5" xfId="9" applyFont="1" applyFill="1" applyBorder="1" applyAlignment="1">
      <alignment horizontal="center" vertical="center" wrapText="1"/>
    </xf>
    <xf numFmtId="172" fontId="60" fillId="5" borderId="5" xfId="17" applyNumberFormat="1" applyFont="1" applyFill="1" applyBorder="1" applyAlignment="1" applyProtection="1">
      <alignment horizontal="center" vertical="center" wrapText="1"/>
    </xf>
    <xf numFmtId="172" fontId="60" fillId="2" borderId="5" xfId="9" applyNumberFormat="1" applyFont="1" applyFill="1" applyBorder="1" applyAlignment="1">
      <alignment horizontal="center" vertical="center" wrapText="1"/>
    </xf>
    <xf numFmtId="0" fontId="60" fillId="8" borderId="5" xfId="9" applyFont="1" applyFill="1" applyBorder="1" applyAlignment="1">
      <alignment horizontal="center" vertical="center" wrapText="1"/>
    </xf>
    <xf numFmtId="0" fontId="60" fillId="2" borderId="5" xfId="9" applyFont="1" applyFill="1" applyBorder="1" applyAlignment="1">
      <alignment horizontal="center" vertical="center"/>
    </xf>
    <xf numFmtId="172" fontId="60" fillId="2" borderId="5" xfId="9" applyNumberFormat="1" applyFont="1" applyFill="1" applyBorder="1" applyAlignment="1">
      <alignment horizontal="center" vertical="center"/>
    </xf>
    <xf numFmtId="0" fontId="60" fillId="7" borderId="5" xfId="9" applyFont="1" applyFill="1" applyBorder="1" applyAlignment="1">
      <alignment horizontal="center" vertical="center" wrapText="1"/>
    </xf>
    <xf numFmtId="0" fontId="60" fillId="6" borderId="5" xfId="9" applyFont="1" applyFill="1" applyBorder="1" applyAlignment="1">
      <alignment horizontal="center" vertical="center" wrapText="1"/>
    </xf>
    <xf numFmtId="171" fontId="60" fillId="4" borderId="5" xfId="9" applyNumberFormat="1" applyFont="1" applyFill="1" applyBorder="1" applyAlignment="1">
      <alignment horizontal="center" vertical="center" wrapText="1"/>
    </xf>
    <xf numFmtId="0" fontId="60" fillId="4" borderId="5" xfId="9" applyFont="1" applyFill="1" applyBorder="1" applyAlignment="1">
      <alignment horizontal="center" vertical="center" wrapText="1"/>
    </xf>
    <xf numFmtId="0" fontId="60" fillId="21" borderId="5" xfId="9" applyFont="1" applyFill="1" applyBorder="1" applyAlignment="1">
      <alignment horizontal="center" vertical="center" wrapText="1"/>
    </xf>
    <xf numFmtId="171" fontId="60" fillId="22" borderId="5" xfId="17" applyFont="1" applyFill="1" applyBorder="1" applyAlignment="1" applyProtection="1">
      <alignment horizontal="center" vertical="center" wrapText="1"/>
    </xf>
    <xf numFmtId="0" fontId="25" fillId="4" borderId="5" xfId="9" applyFont="1" applyFill="1" applyBorder="1" applyAlignment="1">
      <alignment horizontal="center" vertical="center"/>
    </xf>
    <xf numFmtId="0" fontId="60" fillId="4" borderId="5" xfId="9" applyFont="1" applyFill="1" applyBorder="1" applyAlignment="1">
      <alignment horizontal="center" vertical="center"/>
    </xf>
    <xf numFmtId="9" fontId="25" fillId="10" borderId="5" xfId="8" applyFont="1" applyFill="1" applyBorder="1" applyAlignment="1" applyProtection="1">
      <alignment horizontal="center" vertical="center"/>
    </xf>
    <xf numFmtId="9" fontId="9" fillId="23" borderId="5" xfId="8" applyFont="1" applyFill="1" applyBorder="1" applyAlignment="1" applyProtection="1">
      <alignment horizontal="center" vertical="center"/>
    </xf>
    <xf numFmtId="171" fontId="60" fillId="2" borderId="5" xfId="9" applyNumberFormat="1" applyFont="1" applyFill="1" applyBorder="1" applyAlignment="1">
      <alignment horizontal="center" vertical="center" wrapText="1"/>
    </xf>
    <xf numFmtId="164" fontId="60" fillId="5" borderId="5" xfId="5" applyFont="1" applyFill="1" applyBorder="1" applyAlignment="1" applyProtection="1">
      <alignment horizontal="center" vertical="center" wrapText="1"/>
    </xf>
    <xf numFmtId="164" fontId="60" fillId="2" borderId="5" xfId="5" applyFont="1" applyFill="1" applyBorder="1" applyAlignment="1" applyProtection="1">
      <alignment horizontal="center" vertical="center" wrapText="1"/>
    </xf>
    <xf numFmtId="171" fontId="60" fillId="2" borderId="5" xfId="17" applyFont="1" applyFill="1" applyBorder="1" applyAlignment="1" applyProtection="1">
      <alignment horizontal="center" vertical="center"/>
    </xf>
    <xf numFmtId="171" fontId="60" fillId="2" borderId="5" xfId="9" applyNumberFormat="1" applyFont="1" applyFill="1" applyBorder="1" applyAlignment="1">
      <alignment horizontal="center" vertical="center"/>
    </xf>
    <xf numFmtId="171" fontId="60" fillId="5" borderId="5" xfId="17" applyFont="1" applyFill="1" applyBorder="1" applyAlignment="1" applyProtection="1">
      <alignment horizontal="center" vertical="center"/>
    </xf>
    <xf numFmtId="171" fontId="60" fillId="4" borderId="5" xfId="17" applyFont="1" applyFill="1" applyBorder="1" applyAlignment="1" applyProtection="1">
      <alignment horizontal="center" vertical="center" wrapText="1"/>
    </xf>
    <xf numFmtId="171" fontId="60" fillId="5" borderId="5" xfId="17" applyFont="1" applyFill="1" applyBorder="1" applyAlignment="1" applyProtection="1">
      <alignment horizontal="center" vertical="center" wrapText="1"/>
    </xf>
    <xf numFmtId="164" fontId="60" fillId="2" borderId="5" xfId="5" applyFont="1" applyFill="1" applyBorder="1" applyAlignment="1" applyProtection="1">
      <alignment horizontal="center" vertical="center"/>
    </xf>
    <xf numFmtId="164" fontId="60" fillId="5" borderId="5" xfId="5" applyFont="1" applyFill="1" applyBorder="1" applyAlignment="1" applyProtection="1">
      <alignment horizontal="center" vertical="center"/>
    </xf>
    <xf numFmtId="9" fontId="60" fillId="2" borderId="5" xfId="11" applyFont="1" applyFill="1" applyBorder="1" applyAlignment="1" applyProtection="1">
      <alignment horizontal="center" vertical="center" wrapText="1"/>
      <protection locked="0"/>
    </xf>
    <xf numFmtId="42" fontId="25" fillId="4" borderId="5" xfId="15" applyFont="1" applyFill="1" applyBorder="1" applyAlignment="1">
      <alignment horizontal="center" vertical="center"/>
    </xf>
    <xf numFmtId="42" fontId="25" fillId="2" borderId="5" xfId="15" applyFont="1" applyFill="1" applyBorder="1" applyAlignment="1">
      <alignment horizontal="center" vertical="center"/>
    </xf>
    <xf numFmtId="0" fontId="25" fillId="4" borderId="5"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25" fillId="26" borderId="5" xfId="4" applyFont="1" applyFill="1" applyBorder="1" applyAlignment="1">
      <alignment horizontal="center" vertical="center"/>
    </xf>
    <xf numFmtId="9" fontId="9" fillId="39" borderId="5" xfId="4" applyFont="1" applyFill="1" applyBorder="1" applyAlignment="1">
      <alignment horizontal="center" vertical="center"/>
    </xf>
    <xf numFmtId="0" fontId="60" fillId="3" borderId="5" xfId="1" applyFont="1" applyFill="1" applyBorder="1" applyAlignment="1" applyProtection="1">
      <alignment horizontal="center" vertical="center" wrapText="1"/>
      <protection locked="0"/>
    </xf>
    <xf numFmtId="0" fontId="60" fillId="3" borderId="5" xfId="1" applyFont="1" applyFill="1" applyBorder="1" applyAlignment="1">
      <alignment horizontal="center" vertical="center" wrapText="1"/>
    </xf>
    <xf numFmtId="173" fontId="60" fillId="3" borderId="5" xfId="1" applyNumberFormat="1" applyFont="1" applyFill="1" applyBorder="1" applyAlignment="1" applyProtection="1">
      <alignment horizontal="center" vertical="center" wrapText="1"/>
      <protection locked="0"/>
    </xf>
    <xf numFmtId="0" fontId="25" fillId="3" borderId="5" xfId="1" applyFont="1" applyFill="1" applyBorder="1" applyAlignment="1" applyProtection="1">
      <alignment horizontal="center" vertical="center" wrapText="1"/>
      <protection locked="0"/>
    </xf>
    <xf numFmtId="9" fontId="60" fillId="2" borderId="5" xfId="4" applyFont="1" applyFill="1" applyBorder="1" applyAlignment="1" applyProtection="1">
      <alignment horizontal="center" vertical="center" wrapText="1"/>
      <protection locked="0"/>
    </xf>
    <xf numFmtId="49" fontId="25" fillId="2" borderId="5" xfId="1" applyNumberFormat="1" applyFont="1" applyFill="1" applyBorder="1" applyAlignment="1" applyProtection="1">
      <alignment horizontal="center" vertical="center" wrapText="1"/>
      <protection locked="0"/>
    </xf>
    <xf numFmtId="9" fontId="60" fillId="4" borderId="5" xfId="4" applyFont="1" applyFill="1" applyBorder="1" applyAlignment="1" applyProtection="1">
      <alignment horizontal="center" vertical="center" wrapText="1"/>
      <protection locked="0"/>
    </xf>
    <xf numFmtId="173" fontId="60" fillId="2" borderId="5" xfId="1" applyNumberFormat="1" applyFont="1" applyFill="1" applyBorder="1" applyAlignment="1" applyProtection="1">
      <alignment horizontal="center" vertical="center" wrapText="1"/>
      <protection locked="0"/>
    </xf>
    <xf numFmtId="9" fontId="25" fillId="10" borderId="5" xfId="4" applyFont="1" applyFill="1" applyBorder="1" applyAlignment="1">
      <alignment horizontal="center" vertical="center"/>
    </xf>
    <xf numFmtId="9" fontId="9" fillId="23" borderId="5" xfId="4" applyFont="1" applyFill="1" applyBorder="1" applyAlignment="1">
      <alignment horizontal="center" vertical="center"/>
    </xf>
    <xf numFmtId="0" fontId="25" fillId="2" borderId="5" xfId="1" applyFont="1" applyFill="1" applyBorder="1" applyAlignment="1">
      <alignment horizontal="center" vertical="center"/>
    </xf>
    <xf numFmtId="173" fontId="60" fillId="4" borderId="5" xfId="1" applyNumberFormat="1" applyFont="1" applyFill="1" applyBorder="1" applyAlignment="1" applyProtection="1">
      <alignment horizontal="center" vertical="center" wrapText="1"/>
      <protection locked="0"/>
    </xf>
    <xf numFmtId="0" fontId="25" fillId="4" borderId="5" xfId="1" applyFont="1" applyFill="1" applyBorder="1" applyAlignment="1">
      <alignment horizontal="center" vertical="center"/>
    </xf>
    <xf numFmtId="0" fontId="60" fillId="20" borderId="5" xfId="1" applyFont="1" applyFill="1" applyBorder="1" applyAlignment="1">
      <alignment horizontal="center" vertical="center" wrapText="1"/>
    </xf>
    <xf numFmtId="0" fontId="25" fillId="20" borderId="5" xfId="1" applyFont="1" applyFill="1" applyBorder="1" applyAlignment="1" applyProtection="1">
      <alignment horizontal="center" vertical="center" wrapText="1"/>
      <protection locked="0"/>
    </xf>
    <xf numFmtId="49" fontId="25" fillId="4" borderId="5" xfId="1" applyNumberFormat="1" applyFont="1" applyFill="1" applyBorder="1" applyAlignment="1" applyProtection="1">
      <alignment horizontal="center" vertical="center" wrapText="1"/>
      <protection locked="0"/>
    </xf>
    <xf numFmtId="164" fontId="60" fillId="20" borderId="5" xfId="5" applyFont="1" applyFill="1" applyBorder="1" applyAlignment="1">
      <alignment horizontal="center" vertical="center" wrapText="1"/>
    </xf>
    <xf numFmtId="49" fontId="60" fillId="2" borderId="5" xfId="1" applyNumberFormat="1" applyFont="1" applyFill="1" applyBorder="1" applyAlignment="1" applyProtection="1">
      <alignment horizontal="center" vertical="center" wrapText="1"/>
      <protection locked="0"/>
    </xf>
    <xf numFmtId="9" fontId="25" fillId="31" borderId="5" xfId="4" applyFont="1" applyFill="1" applyBorder="1" applyAlignment="1">
      <alignment horizontal="center" vertical="center"/>
    </xf>
    <xf numFmtId="9" fontId="9" fillId="41" borderId="5" xfId="4" applyFont="1" applyFill="1" applyBorder="1" applyAlignment="1">
      <alignment horizontal="center" vertical="center"/>
    </xf>
    <xf numFmtId="164" fontId="60" fillId="2" borderId="5" xfId="5" applyFont="1" applyFill="1" applyBorder="1" applyAlignment="1">
      <alignment horizontal="center" vertical="center" wrapText="1"/>
    </xf>
    <xf numFmtId="49" fontId="60" fillId="4" borderId="5" xfId="1" applyNumberFormat="1" applyFont="1" applyFill="1" applyBorder="1" applyAlignment="1" applyProtection="1">
      <alignment horizontal="center" vertical="center" wrapText="1"/>
      <protection locked="0"/>
    </xf>
    <xf numFmtId="9" fontId="25" fillId="2" borderId="5" xfId="4" applyFont="1" applyFill="1" applyBorder="1" applyAlignment="1">
      <alignment horizontal="center" vertical="center"/>
    </xf>
    <xf numFmtId="172" fontId="60" fillId="4" borderId="5" xfId="9" applyNumberFormat="1" applyFont="1" applyFill="1" applyBorder="1" applyAlignment="1">
      <alignment horizontal="center" vertical="center" wrapText="1"/>
    </xf>
    <xf numFmtId="164" fontId="60" fillId="4" borderId="5" xfId="5" applyFont="1" applyFill="1" applyBorder="1" applyAlignment="1">
      <alignment horizontal="center" vertical="center"/>
    </xf>
    <xf numFmtId="0" fontId="7" fillId="17" borderId="12" xfId="0" applyFont="1" applyFill="1" applyBorder="1" applyAlignment="1">
      <alignment horizontal="center" vertical="center"/>
    </xf>
    <xf numFmtId="0" fontId="7" fillId="17" borderId="13" xfId="0" applyFont="1" applyFill="1" applyBorder="1" applyAlignment="1">
      <alignment horizontal="center" vertical="center"/>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9" fillId="0" borderId="0" xfId="0" applyFont="1" applyAlignment="1">
      <alignment vertical="center"/>
    </xf>
    <xf numFmtId="0" fontId="7" fillId="43" borderId="1" xfId="0" applyFont="1" applyFill="1" applyBorder="1" applyAlignment="1" applyProtection="1">
      <alignment horizontal="center" vertical="center" wrapText="1"/>
      <protection locked="0"/>
    </xf>
    <xf numFmtId="0" fontId="64" fillId="43" borderId="15" xfId="0" applyFont="1" applyFill="1" applyBorder="1" applyAlignment="1" applyProtection="1">
      <alignment horizontal="center" vertical="center" wrapText="1"/>
      <protection locked="0"/>
    </xf>
    <xf numFmtId="0" fontId="7" fillId="18" borderId="1" xfId="0" applyFont="1" applyFill="1" applyBorder="1" applyAlignment="1" applyProtection="1">
      <alignment horizontal="center" vertical="center"/>
      <protection locked="0"/>
    </xf>
    <xf numFmtId="0" fontId="63" fillId="11" borderId="11" xfId="1" applyFont="1" applyFill="1" applyBorder="1" applyAlignment="1" applyProtection="1">
      <alignment horizontal="center" vertical="center" wrapText="1"/>
      <protection locked="0"/>
    </xf>
    <xf numFmtId="0" fontId="63" fillId="11" borderId="1" xfId="0" applyFont="1" applyFill="1" applyBorder="1" applyAlignment="1" applyProtection="1">
      <alignment horizontal="center" vertical="center" wrapText="1"/>
      <protection locked="0"/>
    </xf>
    <xf numFmtId="0" fontId="63" fillId="11" borderId="11" xfId="0" applyFont="1" applyFill="1" applyBorder="1" applyAlignment="1" applyProtection="1">
      <alignment horizontal="center" vertical="center" wrapText="1"/>
      <protection locked="0"/>
    </xf>
    <xf numFmtId="49" fontId="63" fillId="11" borderId="11" xfId="0" applyNumberFormat="1" applyFont="1" applyFill="1" applyBorder="1" applyAlignment="1" applyProtection="1">
      <alignment horizontal="center" vertical="center" wrapText="1"/>
      <protection locked="0"/>
    </xf>
    <xf numFmtId="166" fontId="63" fillId="11" borderId="11" xfId="1" applyNumberFormat="1" applyFont="1" applyFill="1" applyBorder="1" applyAlignment="1" applyProtection="1">
      <alignment horizontal="center" vertical="center" wrapText="1"/>
      <protection locked="0"/>
    </xf>
    <xf numFmtId="0" fontId="65" fillId="17" borderId="2" xfId="0" applyFont="1" applyFill="1" applyBorder="1" applyAlignment="1">
      <alignment horizontal="center" vertical="center"/>
    </xf>
    <xf numFmtId="0" fontId="65" fillId="17" borderId="3" xfId="0" applyFont="1" applyFill="1" applyBorder="1" applyAlignment="1">
      <alignment horizontal="center" vertical="center"/>
    </xf>
    <xf numFmtId="0" fontId="65" fillId="17" borderId="4" xfId="0" applyFont="1" applyFill="1" applyBorder="1" applyAlignment="1">
      <alignment horizontal="center" vertical="center"/>
    </xf>
    <xf numFmtId="0" fontId="7" fillId="45" borderId="1" xfId="2" applyFont="1" applyFill="1" applyBorder="1" applyAlignment="1">
      <alignment horizontal="center" vertical="center" wrapText="1"/>
    </xf>
    <xf numFmtId="0" fontId="7" fillId="45" borderId="1" xfId="2" applyFont="1" applyFill="1" applyBorder="1" applyAlignment="1">
      <alignment horizontal="center" vertical="center"/>
    </xf>
    <xf numFmtId="0" fontId="9" fillId="46" borderId="11" xfId="0" applyFont="1" applyFill="1" applyBorder="1" applyAlignment="1" applyProtection="1">
      <alignment horizontal="center" vertical="center" wrapText="1"/>
      <protection locked="0"/>
    </xf>
    <xf numFmtId="0" fontId="9" fillId="46" borderId="11" xfId="2" applyFont="1" applyFill="1" applyBorder="1" applyAlignment="1" applyProtection="1">
      <alignment horizontal="center" vertical="center" wrapText="1"/>
      <protection locked="0"/>
    </xf>
    <xf numFmtId="0" fontId="65" fillId="44" borderId="2" xfId="0" applyFont="1" applyFill="1" applyBorder="1" applyAlignment="1">
      <alignment horizontal="center" vertical="center"/>
    </xf>
    <xf numFmtId="0" fontId="65" fillId="44" borderId="3" xfId="0" applyFont="1" applyFill="1" applyBorder="1" applyAlignment="1">
      <alignment horizontal="center" vertical="center"/>
    </xf>
    <xf numFmtId="0" fontId="65" fillId="44" borderId="4" xfId="0" applyFont="1" applyFill="1" applyBorder="1" applyAlignment="1">
      <alignment horizontal="center" vertical="center"/>
    </xf>
    <xf numFmtId="9" fontId="20" fillId="46" borderId="5" xfId="2" applyNumberFormat="1" applyFont="1" applyFill="1" applyBorder="1" applyAlignment="1">
      <alignment horizontal="center" vertical="center"/>
    </xf>
    <xf numFmtId="9" fontId="15" fillId="47" borderId="5" xfId="4" applyFont="1" applyFill="1" applyBorder="1" applyAlignment="1">
      <alignment horizontal="center" vertical="center" wrapText="1"/>
    </xf>
    <xf numFmtId="9" fontId="16" fillId="46" borderId="5" xfId="0" applyNumberFormat="1" applyFont="1" applyFill="1" applyBorder="1" applyAlignment="1">
      <alignment horizontal="center" vertical="center"/>
    </xf>
    <xf numFmtId="9" fontId="15" fillId="47" borderId="5" xfId="4" applyFont="1" applyFill="1" applyBorder="1" applyAlignment="1">
      <alignment horizontal="center" vertical="center"/>
    </xf>
    <xf numFmtId="9" fontId="15" fillId="47" borderId="5" xfId="2" applyNumberFormat="1" applyFont="1" applyFill="1" applyBorder="1" applyAlignment="1">
      <alignment horizontal="center" vertical="center"/>
    </xf>
    <xf numFmtId="9" fontId="15" fillId="48" borderId="5" xfId="2" applyNumberFormat="1" applyFont="1" applyFill="1" applyBorder="1" applyAlignment="1">
      <alignment horizontal="center" vertical="center"/>
    </xf>
    <xf numFmtId="9" fontId="17" fillId="46" borderId="5" xfId="4" applyFont="1" applyFill="1" applyBorder="1" applyAlignment="1" applyProtection="1">
      <alignment horizontal="center" vertical="center" wrapText="1"/>
      <protection locked="0"/>
    </xf>
    <xf numFmtId="9" fontId="17" fillId="46" borderId="5" xfId="4" applyFont="1" applyFill="1" applyBorder="1" applyAlignment="1">
      <alignment horizontal="center" vertical="center"/>
    </xf>
    <xf numFmtId="9" fontId="15" fillId="47" borderId="5" xfId="1" applyNumberFormat="1" applyFont="1" applyFill="1" applyBorder="1" applyAlignment="1" applyProtection="1">
      <alignment horizontal="center" vertical="center" wrapText="1"/>
      <protection locked="0"/>
    </xf>
    <xf numFmtId="9" fontId="15" fillId="47" borderId="5" xfId="2" applyNumberFormat="1" applyFont="1" applyFill="1" applyBorder="1" applyAlignment="1">
      <alignment horizontal="center" vertical="center" wrapText="1"/>
    </xf>
    <xf numFmtId="9" fontId="16" fillId="49" borderId="5" xfId="8" applyFont="1" applyFill="1" applyBorder="1" applyAlignment="1" applyProtection="1">
      <alignment horizontal="center" vertical="center" wrapText="1"/>
      <protection locked="0"/>
    </xf>
    <xf numFmtId="9" fontId="16" fillId="46" borderId="5" xfId="3" applyFont="1" applyFill="1" applyBorder="1" applyAlignment="1">
      <alignment horizontal="center" vertical="center" wrapText="1"/>
    </xf>
    <xf numFmtId="9" fontId="16" fillId="46" borderId="5" xfId="3" applyFont="1" applyFill="1" applyBorder="1" applyAlignment="1">
      <alignment horizontal="center" vertical="center"/>
    </xf>
    <xf numFmtId="167" fontId="16" fillId="46" borderId="5" xfId="0" applyNumberFormat="1" applyFont="1" applyFill="1" applyBorder="1" applyAlignment="1">
      <alignment horizontal="center" vertical="center"/>
    </xf>
    <xf numFmtId="0" fontId="65" fillId="15" borderId="2" xfId="0" applyFont="1" applyFill="1" applyBorder="1" applyAlignment="1">
      <alignment horizontal="center" vertical="center"/>
    </xf>
    <xf numFmtId="0" fontId="65" fillId="15" borderId="3" xfId="0" applyFont="1" applyFill="1" applyBorder="1" applyAlignment="1">
      <alignment horizontal="center" vertical="center"/>
    </xf>
    <xf numFmtId="0" fontId="65" fillId="15" borderId="4" xfId="0" applyFont="1" applyFill="1" applyBorder="1" applyAlignment="1">
      <alignment horizontal="center" vertical="center"/>
    </xf>
    <xf numFmtId="0" fontId="66" fillId="0" borderId="0" xfId="0" applyFont="1" applyBorder="1" applyAlignment="1">
      <alignment horizontal="center" vertical="center" wrapText="1"/>
    </xf>
    <xf numFmtId="0" fontId="7" fillId="18" borderId="5" xfId="0" applyFont="1" applyFill="1" applyBorder="1" applyAlignment="1" applyProtection="1">
      <alignment horizontal="center" vertical="center"/>
      <protection locked="0"/>
    </xf>
    <xf numFmtId="0" fontId="7" fillId="43" borderId="5" xfId="0" applyFont="1" applyFill="1" applyBorder="1" applyAlignment="1" applyProtection="1">
      <alignment horizontal="center" vertical="center" wrapText="1"/>
      <protection locked="0"/>
    </xf>
    <xf numFmtId="0" fontId="64" fillId="43" borderId="6" xfId="0" applyFont="1" applyFill="1" applyBorder="1" applyAlignment="1" applyProtection="1">
      <alignment horizontal="center" vertical="center" wrapText="1"/>
      <protection locked="0"/>
    </xf>
    <xf numFmtId="0" fontId="67" fillId="11" borderId="5" xfId="0" applyFont="1" applyFill="1" applyBorder="1" applyAlignment="1" applyProtection="1">
      <alignment horizontal="center" vertical="center" wrapText="1"/>
      <protection locked="0"/>
    </xf>
    <xf numFmtId="49" fontId="9" fillId="11" borderId="5" xfId="0" applyNumberFormat="1" applyFont="1" applyFill="1" applyBorder="1" applyAlignment="1" applyProtection="1">
      <alignment horizontal="center" vertical="center" wrapText="1"/>
      <protection locked="0"/>
    </xf>
    <xf numFmtId="0" fontId="9" fillId="11" borderId="5" xfId="1" applyFont="1" applyFill="1" applyBorder="1" applyAlignment="1" applyProtection="1">
      <alignment horizontal="center" vertical="center" wrapText="1"/>
      <protection locked="0"/>
    </xf>
    <xf numFmtId="166" fontId="9" fillId="11" borderId="5" xfId="1" applyNumberFormat="1" applyFont="1" applyFill="1" applyBorder="1" applyAlignment="1" applyProtection="1">
      <alignment horizontal="center" vertical="center" wrapText="1"/>
      <protection locked="0"/>
    </xf>
    <xf numFmtId="0" fontId="25" fillId="4" borderId="6"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8" xfId="0" applyFont="1" applyFill="1" applyBorder="1" applyAlignment="1" applyProtection="1">
      <alignment horizontal="center" vertical="center" wrapText="1"/>
      <protection locked="0"/>
    </xf>
    <xf numFmtId="0" fontId="25" fillId="3" borderId="6" xfId="1" applyFont="1" applyFill="1" applyBorder="1" applyAlignment="1" applyProtection="1">
      <alignment horizontal="center" vertical="center" wrapText="1"/>
      <protection locked="0"/>
    </xf>
    <xf numFmtId="0" fontId="25" fillId="3" borderId="7" xfId="1" applyFont="1" applyFill="1" applyBorder="1" applyAlignment="1" applyProtection="1">
      <alignment horizontal="center" vertical="center" wrapText="1"/>
      <protection locked="0"/>
    </xf>
    <xf numFmtId="0" fontId="25" fillId="3" borderId="8" xfId="1" applyFont="1" applyFill="1" applyBorder="1" applyAlignment="1" applyProtection="1">
      <alignment horizontal="center" vertical="center" wrapText="1"/>
      <protection locked="0"/>
    </xf>
    <xf numFmtId="0" fontId="25" fillId="5" borderId="6" xfId="9" applyFont="1" applyFill="1" applyBorder="1" applyAlignment="1" applyProtection="1">
      <alignment horizontal="center" vertical="center" wrapText="1"/>
      <protection locked="0"/>
    </xf>
    <xf numFmtId="0" fontId="25" fillId="5" borderId="7" xfId="9" applyFont="1" applyFill="1" applyBorder="1" applyAlignment="1" applyProtection="1">
      <alignment horizontal="center" vertical="center" wrapText="1"/>
      <protection locked="0"/>
    </xf>
    <xf numFmtId="0" fontId="25" fillId="5" borderId="8" xfId="9" applyFont="1" applyFill="1" applyBorder="1" applyAlignment="1" applyProtection="1">
      <alignment horizontal="center" vertical="center" wrapText="1"/>
      <protection locked="0"/>
    </xf>
    <xf numFmtId="0" fontId="68" fillId="2" borderId="6" xfId="0"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0" fontId="68" fillId="2" borderId="8" xfId="0" applyFont="1" applyFill="1" applyBorder="1" applyAlignment="1" applyProtection="1">
      <alignment horizontal="center" vertical="center" wrapText="1"/>
      <protection locked="0"/>
    </xf>
    <xf numFmtId="0" fontId="25" fillId="20" borderId="6" xfId="0" applyFont="1" applyFill="1" applyBorder="1" applyAlignment="1" applyProtection="1">
      <alignment horizontal="center" vertical="center" wrapText="1"/>
      <protection locked="0"/>
    </xf>
    <xf numFmtId="0" fontId="25" fillId="20" borderId="7" xfId="0" applyFont="1" applyFill="1" applyBorder="1" applyAlignment="1" applyProtection="1">
      <alignment horizontal="center" vertical="center" wrapText="1"/>
      <protection locked="0"/>
    </xf>
    <xf numFmtId="0" fontId="25" fillId="20" borderId="8"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center" vertical="center" wrapText="1"/>
      <protection locked="0"/>
    </xf>
    <xf numFmtId="0" fontId="7" fillId="44" borderId="13" xfId="0" applyFont="1" applyFill="1" applyBorder="1" applyAlignment="1">
      <alignment horizontal="center" vertical="center"/>
    </xf>
    <xf numFmtId="0" fontId="7" fillId="45" borderId="5" xfId="2" applyFont="1" applyFill="1" applyBorder="1" applyAlignment="1">
      <alignment horizontal="center" vertical="center" wrapText="1"/>
    </xf>
    <xf numFmtId="0" fontId="7" fillId="45" borderId="5" xfId="2" applyFont="1" applyFill="1" applyBorder="1" applyAlignment="1">
      <alignment horizontal="center" vertical="center"/>
    </xf>
    <xf numFmtId="0" fontId="59" fillId="50" borderId="5" xfId="0" applyFont="1" applyFill="1" applyBorder="1" applyAlignment="1">
      <alignment horizontal="center" vertical="center" wrapText="1"/>
    </xf>
    <xf numFmtId="0" fontId="9" fillId="51" borderId="5" xfId="0" applyFont="1" applyFill="1" applyBorder="1" applyAlignment="1" applyProtection="1">
      <alignment horizontal="center" vertical="center" wrapText="1"/>
      <protection locked="0"/>
    </xf>
    <xf numFmtId="0" fontId="9" fillId="51" borderId="5" xfId="2" applyFont="1" applyFill="1" applyBorder="1" applyAlignment="1" applyProtection="1">
      <alignment horizontal="center" vertical="center" wrapText="1"/>
      <protection locked="0"/>
    </xf>
    <xf numFmtId="9" fontId="25" fillId="52" borderId="5" xfId="3" applyFont="1" applyFill="1" applyBorder="1" applyAlignment="1">
      <alignment horizontal="center" vertical="center"/>
    </xf>
    <xf numFmtId="9" fontId="25" fillId="52" borderId="5" xfId="3" applyFont="1" applyFill="1" applyBorder="1" applyAlignment="1" applyProtection="1">
      <alignment horizontal="center" vertical="center" wrapText="1"/>
      <protection locked="0"/>
    </xf>
    <xf numFmtId="9" fontId="25" fillId="51" borderId="5" xfId="3" applyFont="1" applyFill="1" applyBorder="1" applyAlignment="1">
      <alignment horizontal="center" vertical="center"/>
    </xf>
    <xf numFmtId="9" fontId="60" fillId="52" borderId="5" xfId="3" applyFont="1" applyFill="1" applyBorder="1" applyAlignment="1">
      <alignment horizontal="center" vertical="center"/>
    </xf>
    <xf numFmtId="9" fontId="25" fillId="52" borderId="5" xfId="8" applyFont="1" applyFill="1" applyBorder="1" applyAlignment="1" applyProtection="1">
      <alignment horizontal="center" vertical="center" wrapText="1"/>
      <protection locked="0"/>
    </xf>
    <xf numFmtId="9" fontId="25" fillId="52" borderId="5" xfId="11" applyFont="1" applyFill="1" applyBorder="1" applyAlignment="1" applyProtection="1">
      <alignment horizontal="center" vertical="center" wrapText="1"/>
      <protection locked="0"/>
    </xf>
    <xf numFmtId="9" fontId="25" fillId="51" borderId="5" xfId="4" applyFont="1" applyFill="1" applyBorder="1" applyAlignment="1">
      <alignment horizontal="center" vertical="center"/>
    </xf>
    <xf numFmtId="0" fontId="8" fillId="0" borderId="0" xfId="0" applyFont="1" applyAlignment="1">
      <alignment vertical="center"/>
    </xf>
    <xf numFmtId="0" fontId="8" fillId="0" borderId="16" xfId="0" applyFont="1" applyBorder="1" applyAlignment="1">
      <alignment vertical="center"/>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20" fillId="2" borderId="5" xfId="2" applyFont="1" applyFill="1" applyBorder="1" applyAlignment="1" applyProtection="1">
      <alignment horizontal="center" vertical="center" wrapText="1"/>
      <protection locked="0"/>
    </xf>
    <xf numFmtId="0" fontId="63" fillId="2" borderId="5" xfId="0" applyFont="1" applyFill="1" applyBorder="1" applyAlignment="1">
      <alignment horizontal="center" vertical="center" textRotation="255"/>
    </xf>
    <xf numFmtId="0" fontId="63" fillId="2" borderId="5" xfId="0" applyFont="1" applyFill="1" applyBorder="1" applyAlignment="1">
      <alignment horizontal="center" vertical="center"/>
    </xf>
    <xf numFmtId="0" fontId="63" fillId="2" borderId="6" xfId="0" applyFont="1" applyFill="1" applyBorder="1" applyAlignment="1">
      <alignment horizontal="center" vertical="center"/>
    </xf>
    <xf numFmtId="0" fontId="63" fillId="2" borderId="7" xfId="0" applyFont="1" applyFill="1" applyBorder="1" applyAlignment="1">
      <alignment horizontal="center" vertical="center"/>
    </xf>
    <xf numFmtId="0" fontId="63" fillId="2" borderId="8" xfId="0" applyFont="1" applyFill="1" applyBorder="1" applyAlignment="1">
      <alignment horizontal="center" vertical="center"/>
    </xf>
    <xf numFmtId="0" fontId="63" fillId="2" borderId="10" xfId="0" applyFont="1" applyFill="1" applyBorder="1" applyAlignment="1">
      <alignment horizontal="center" vertical="center"/>
    </xf>
    <xf numFmtId="0" fontId="63" fillId="2" borderId="9" xfId="0" applyFont="1" applyFill="1" applyBorder="1" applyAlignment="1">
      <alignment horizontal="center" vertical="center"/>
    </xf>
  </cellXfs>
  <cellStyles count="26">
    <cellStyle name="Hipervínculo" xfId="23" builtinId="8"/>
    <cellStyle name="Hipervínculo 2" xfId="25" xr:uid="{00000000-0005-0000-0000-000001000000}"/>
    <cellStyle name="Hipervínculo 3" xfId="24" xr:uid="{00000000-0005-0000-0000-000002000000}"/>
    <cellStyle name="Hyperlink" xfId="12" xr:uid="{00000000-0005-0000-0000-000003000000}"/>
    <cellStyle name="Millares" xfId="13" builtinId="3"/>
    <cellStyle name="Millares [0]" xfId="21" builtinId="6"/>
    <cellStyle name="Millares [0] 2" xfId="20" xr:uid="{00000000-0005-0000-0000-000006000000}"/>
    <cellStyle name="Moneda" xfId="14" builtinId="4"/>
    <cellStyle name="Moneda [0]" xfId="15" builtinId="7"/>
    <cellStyle name="Moneda [0] 2" xfId="5" xr:uid="{00000000-0005-0000-0000-000009000000}"/>
    <cellStyle name="Moneda 2" xfId="16" xr:uid="{00000000-0005-0000-0000-00000A000000}"/>
    <cellStyle name="Moneda 2 2" xfId="17" xr:uid="{00000000-0005-0000-0000-00000B000000}"/>
    <cellStyle name="Moneda 3" xfId="19" xr:uid="{00000000-0005-0000-0000-00000C000000}"/>
    <cellStyle name="Normal" xfId="0" builtinId="0"/>
    <cellStyle name="Normal 2" xfId="2" xr:uid="{00000000-0005-0000-0000-00000E000000}"/>
    <cellStyle name="Normal 2 2" xfId="22" xr:uid="{00000000-0005-0000-0000-00000F000000}"/>
    <cellStyle name="Normal 3" xfId="7" xr:uid="{00000000-0005-0000-0000-000010000000}"/>
    <cellStyle name="Normal 3 2" xfId="1" xr:uid="{00000000-0005-0000-0000-000011000000}"/>
    <cellStyle name="Normal 3 2 2" xfId="6" xr:uid="{00000000-0005-0000-0000-000012000000}"/>
    <cellStyle name="Normal 3 2 3" xfId="9" xr:uid="{00000000-0005-0000-0000-000013000000}"/>
    <cellStyle name="Normal 3 2 3 2" xfId="10" xr:uid="{00000000-0005-0000-0000-000014000000}"/>
    <cellStyle name="Normal 3 4 2" xfId="18" xr:uid="{00000000-0005-0000-0000-000015000000}"/>
    <cellStyle name="Porcentaje" xfId="3" builtinId="5"/>
    <cellStyle name="Porcentaje 2" xfId="4" xr:uid="{00000000-0005-0000-0000-000017000000}"/>
    <cellStyle name="Porcentaje 2 2" xfId="11" xr:uid="{00000000-0005-0000-0000-000018000000}"/>
    <cellStyle name="Porcentaje 3" xfId="8" xr:uid="{00000000-0005-0000-0000-000019000000}"/>
  </cellStyles>
  <dxfs count="275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BA004C"/>
      <color rgb="FF8BD3F8"/>
      <color rgb="FF466F2C"/>
      <color rgb="FF061A1F"/>
      <color rgb="FFB9E4DF"/>
      <color rgb="FF236E7F"/>
      <color rgb="FF409DC4"/>
      <color rgb="FF486F99"/>
      <color rgb="FF0070C0"/>
      <color rgb="FFAEC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1000125</xdr:colOff>
      <xdr:row>0</xdr:row>
      <xdr:rowOff>79374</xdr:rowOff>
    </xdr:from>
    <xdr:to>
      <xdr:col>4</xdr:col>
      <xdr:colOff>1365250</xdr:colOff>
      <xdr:row>0</xdr:row>
      <xdr:rowOff>1557745</xdr:rowOff>
    </xdr:to>
    <xdr:pic>
      <xdr:nvPicPr>
        <xdr:cNvPr id="2" name="Imagen 1">
          <a:extLst>
            <a:ext uri="{FF2B5EF4-FFF2-40B4-BE49-F238E27FC236}">
              <a16:creationId xmlns:a16="http://schemas.microsoft.com/office/drawing/2014/main" id="{E3418490-A4E7-472D-8260-42E576FAD4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9125" y="79374"/>
          <a:ext cx="2730500" cy="1478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111124</xdr:colOff>
      <xdr:row>0</xdr:row>
      <xdr:rowOff>95250</xdr:rowOff>
    </xdr:from>
    <xdr:to>
      <xdr:col>3</xdr:col>
      <xdr:colOff>2254249</xdr:colOff>
      <xdr:row>1</xdr:row>
      <xdr:rowOff>614361</xdr:rowOff>
    </xdr:to>
    <xdr:pic>
      <xdr:nvPicPr>
        <xdr:cNvPr id="2" name="Imagen 1">
          <a:extLst>
            <a:ext uri="{FF2B5EF4-FFF2-40B4-BE49-F238E27FC236}">
              <a16:creationId xmlns:a16="http://schemas.microsoft.com/office/drawing/2014/main" id="{299B141B-6738-400B-9755-DA906FAB4D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8624" y="95250"/>
          <a:ext cx="2143125" cy="1265236"/>
        </a:xfrm>
        <a:prstGeom prst="rect">
          <a:avLst/>
        </a:prstGeom>
      </xdr:spPr>
    </xdr:pic>
    <xdr:clientData/>
  </xdr:twoCellAnchor>
</xdr:wsDr>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solucionpro.dane.gov.co/Isolucion40Dane/Documentacion/frmEditarArticulo.aspx?CodArticulo=MTAzMDk=" TargetMode="External"/><Relationship Id="rId13" Type="http://schemas.openxmlformats.org/officeDocument/2006/relationships/hyperlink" Target="file:///\\systema20\Seg_Planes_institucionales\02_DICE\Plan%20de%20Acci&#243;n%202021\PAI_DICE_1\PAI_DICE_1.2\II%20TRIMESTRE" TargetMode="External"/><Relationship Id="rId18" Type="http://schemas.openxmlformats.org/officeDocument/2006/relationships/hyperlink" Target="file:///\\systema20\Seg_Planes_institucionales\02_DICE\Plan%20de%20Acci&#243;n%202021\PAI_DICE_7\PAI_DICE_7.2\II%20TRIMESTRE" TargetMode="External"/><Relationship Id="rId26" Type="http://schemas.openxmlformats.org/officeDocument/2006/relationships/hyperlink" Target="file:///\\systema78\dcd3\Victimas_Rafael" TargetMode="External"/><Relationship Id="rId39" Type="http://schemas.openxmlformats.org/officeDocument/2006/relationships/hyperlink" Target="http://codeversion.dane.gov.co/DIRPEN/Rents%202018-2020" TargetMode="External"/><Relationship Id="rId3" Type="http://schemas.openxmlformats.org/officeDocument/2006/relationships/hyperlink" Target="http://isolucionpro.dane.gov.co/Isolucion40Dane/Homes/HomeSistemas.aspx?CodSistemaGestion=112" TargetMode="External"/><Relationship Id="rId21" Type="http://schemas.openxmlformats.org/officeDocument/2006/relationships/hyperlink" Target="file:///\\systema20\Seg_Planes_institucionales\02_DICE\Plan%20de%20Acci&#243;n%202021\PAI_DICE_8\PAI_DICE_8.2\III%20TRIMESTRE" TargetMode="External"/><Relationship Id="rId34" Type="http://schemas.openxmlformats.org/officeDocument/2006/relationships/hyperlink" Target="https://danegovco.sharepoint.com/:f:/s/DANE_DANE_MIP_0365/EsdjdU3ou2BIlHdbYVlaXKMB9pw6NUG6npxTdd3p7YA1fA?e=gyhmOE" TargetMode="External"/><Relationship Id="rId42" Type="http://schemas.openxmlformats.org/officeDocument/2006/relationships/vmlDrawing" Target="../drawings/vmlDrawing1.vml"/><Relationship Id="rId7" Type="http://schemas.openxmlformats.org/officeDocument/2006/relationships/hyperlink" Target="http://isolucionpro.dane.gov.co/Isolucion40Dane/Documentacion/frmEditarArticulo.aspx?CodArticulo=MTUwNTY=" TargetMode="External"/><Relationship Id="rId12" Type="http://schemas.openxmlformats.org/officeDocument/2006/relationships/hyperlink" Target="file:///\\systema20\Seg_Planes_institucionales\02_DICE\Plan%20de%20Acci&#243;n%202021\PAI_DICE_1\PAI_DICE_1.1\I.%20TRIMESTRE" TargetMode="External"/><Relationship Id="rId17" Type="http://schemas.openxmlformats.org/officeDocument/2006/relationships/hyperlink" Target="file:///\\systema20\Seg_Planes_institucionales\02_DICE\Plan%20de%20Acci&#243;n%202021\PAI_DICE_8\PAI_DICE_8.2\II%20TRIMESTRE" TargetMode="External"/><Relationship Id="rId25" Type="http://schemas.openxmlformats.org/officeDocument/2006/relationships/hyperlink" Target="http://www.juntadeandalucia.es/institutodeestadisticaycartografia/proyecciones/descarga/Manual_Usuario.pdf" TargetMode="External"/><Relationship Id="rId33" Type="http://schemas.openxmlformats.org/officeDocument/2006/relationships/hyperlink" Target="https://danegovco-my.sharepoint.com/personal/jaalmanzas_dane_gov_co/_layouts/15/onedrive.aspx?id=%2Fpersonal%2Fjaalmanzas%5Fdane%5Fgov%5Fco%2FDocuments%2FSEGUIMIENTO%20CM%2F%C3%81rbol%20documental%20CM" TargetMode="External"/><Relationship Id="rId38" Type="http://schemas.openxmlformats.org/officeDocument/2006/relationships/hyperlink" Target="http://codeversion.dane.gov.co/DIRPEN/" TargetMode="External"/><Relationship Id="rId2" Type="http://schemas.openxmlformats.org/officeDocument/2006/relationships/hyperlink" Target="https://twitter.com/DANE_Colombia/status/1399042325192626179/photo/1" TargetMode="External"/><Relationship Id="rId16" Type="http://schemas.openxmlformats.org/officeDocument/2006/relationships/hyperlink" Target="file:///\\systema20\Seg_Planes_institucionales\02_DICE\Plan%20de%20Acci&#243;n%202021\PAI_DICE_6\II%20TRIMESTRE" TargetMode="External"/><Relationship Id="rId20" Type="http://schemas.openxmlformats.org/officeDocument/2006/relationships/hyperlink" Target="file:///\\systema20\Seg_Planes_institucionales\02_DICE\Plan%20de%20Acci&#243;n%202021\PAI_DICE_3\PAI_DICE_3.1\III%20TRIMESTRE" TargetMode="External"/><Relationship Id="rId29" Type="http://schemas.openxmlformats.org/officeDocument/2006/relationships/hyperlink" Target="https://danegovco-my.sharepoint.com/personal/jaalmanzas_dane_gov_co/_layouts/15/onedrive.aspx?id=%2Fpersonal%2Fjaalmanzas%5Fdane%5Fgov%5Fco%2FDocuments%2FSEGUIMIENTO%20CM%2F&#193;rbol%20documental%20CM" TargetMode="External"/><Relationship Id="rId41" Type="http://schemas.openxmlformats.org/officeDocument/2006/relationships/drawing" Target="../drawings/drawing1.xml"/><Relationship Id="rId1" Type="http://schemas.openxmlformats.org/officeDocument/2006/relationships/hyperlink" Target="https://twitter.com/DANE_Colombia/status/1373686353410592775" TargetMode="External"/><Relationship Id="rId6" Type="http://schemas.openxmlformats.org/officeDocument/2006/relationships/hyperlink" Target="http://isolucionpro.dane.gov.co/Isolucion40Dane/Documentacion/frmEditarArticulo.aspx?CodArticulo=MTAzMDk=" TargetMode="External"/><Relationship Id="rId11" Type="http://schemas.openxmlformats.org/officeDocument/2006/relationships/hyperlink" Target="https://www.dane.gov.co/files/investigaciones/notas-estadisticas/abr-2021-nota-estadistica-perspectivas-RELAB-economia-naranja.pdf" TargetMode="External"/><Relationship Id="rId24" Type="http://schemas.openxmlformats.org/officeDocument/2006/relationships/hyperlink" Target="file:///\\systema20\Seg_Planes_institucionales\02_DICE\Plan%20de%20Acci&#243;n%202021\PAI_DICE_4\PAI_DICE_4.1\I%20TRIMESTRE" TargetMode="External"/><Relationship Id="rId32" Type="http://schemas.openxmlformats.org/officeDocument/2006/relationships/hyperlink" Target="https://www.dane.gov.co/files/investigaciones/poblacion/informes-estadisticas-sociodemograficas/2021-09-24-Registro-Estadistico-Pueblo-Wayuu.pdf" TargetMode="External"/><Relationship Id="rId37" Type="http://schemas.openxmlformats.org/officeDocument/2006/relationships/hyperlink" Target="http://codeversion.dane.gov.co/DIRPEN/sistemaClasificaciones" TargetMode="External"/><Relationship Id="rId40" Type="http://schemas.openxmlformats.org/officeDocument/2006/relationships/printerSettings" Target="../printerSettings/printerSettings1.bin"/><Relationship Id="rId5" Type="http://schemas.openxmlformats.org/officeDocument/2006/relationships/hyperlink" Target="http://isolucionpro.dane.gov.co/Isolucion40Dane/Documentacion/frmEditarArticulo.aspx?CodArticulo=MTAzMDk=" TargetMode="External"/><Relationship Id="rId15" Type="http://schemas.openxmlformats.org/officeDocument/2006/relationships/hyperlink" Target="file:///\\systema20\Seg_Planes_institucionales\02_DICE\Plan%20de%20Acci&#243;n%202021\PAI_DICE_4\PAI_DICE_4.2\II%20TRIMESTRE" TargetMode="External"/><Relationship Id="rId23" Type="http://schemas.openxmlformats.org/officeDocument/2006/relationships/hyperlink" Target="file:///\\systema20\Seg_Planes_institucionales\02_DICE\Plan%20de%20Acci&#243;n%202021\PAI_DICE_2\PAI_DICE_2.1" TargetMode="External"/><Relationship Id="rId28" Type="http://schemas.openxmlformats.org/officeDocument/2006/relationships/hyperlink" Target="https://danegovco-my.sharepoint.com/personal/jaalmanzas_dane_gov_co/_layouts/15/onedrive.aspx?id=%2Fpersonal%2Fjaalmanzas%5Fdane%5Fgov%5Fco%2FDocuments%2FSEGUIMIENTO%20CM%2F%C3%81rbol%20documental%20CM" TargetMode="External"/><Relationship Id="rId36" Type="http://schemas.openxmlformats.org/officeDocument/2006/relationships/hyperlink" Target="http://codeversion.dane.gov.co/DIRPEN/revisionesSistemicas" TargetMode="External"/><Relationship Id="rId10" Type="http://schemas.openxmlformats.org/officeDocument/2006/relationships/hyperlink" Target="http://isolucionpro.dane.gov.co/Isolucion40Dane/Documentacion/frmEditarArticulo.aspx?CodArticulo=MTUwNTY=" TargetMode="External"/><Relationship Id="rId19" Type="http://schemas.openxmlformats.org/officeDocument/2006/relationships/hyperlink" Target="file:///\\systema20\Seg_Planes_institucionales\02_DICE\Plan%20de%20Acci&#243;n%202021\PAI_DICE_2\PAI_DICE_2.2\III%20trimestre" TargetMode="External"/><Relationship Id="rId31" Type="http://schemas.openxmlformats.org/officeDocument/2006/relationships/hyperlink" Target="https://www.dane.gov.co/files/investigaciones/poblacion/informes-estadisticas-sociodemograficas/2021-10-01-caracterizacion-migrantes-y-retornados-desde-venezuela-CNPV.2018.pdf" TargetMode="External"/><Relationship Id="rId4" Type="http://schemas.openxmlformats.org/officeDocument/2006/relationships/hyperlink" Target="http://isolucionpro.dane.gov.co/Isolucion40Dane/Documentacion/frmArticuloMenu.aspx?DocumentCreationType=SIO-040-GUI-001" TargetMode="External"/><Relationship Id="rId9" Type="http://schemas.openxmlformats.org/officeDocument/2006/relationships/hyperlink" Target="http://isolucionpro.dane.gov.co/Isolucion40Dane/Documentacion/frmEditarArticulo.aspx?CodArticulo=MTYzMjM=" TargetMode="External"/><Relationship Id="rId14" Type="http://schemas.openxmlformats.org/officeDocument/2006/relationships/hyperlink" Target="file:///\\systema20\Seg_Planes_institucionales\02_DICE\Plan%20de%20Acci&#243;n%202021\PAI_DICE_3\PAI_DICE_3.1\II%20TRIMESTRE" TargetMode="External"/><Relationship Id="rId22" Type="http://schemas.openxmlformats.org/officeDocument/2006/relationships/hyperlink" Target="file:///\\systema20\Seg_Planes_institucionales\02_DICE\Plan%20de%20Acci&#243;n%202021\PAI_DICE_5\PAI_DICE_5.1\III%20TRIMESTRE" TargetMode="External"/><Relationship Id="rId27" Type="http://schemas.openxmlformats.org/officeDocument/2006/relationships/hyperlink" Target="https://danegovco-my.sharepoint.com/personal/jaalmanzas_dane_gov_co/_layouts/15/onedrive.aspx?id=%2Fpersonal%2Fjaalmanzas%5Fdane%5Fgov%5Fco%2FDocuments%2FSEGUIMIENTO%20CM%2F&#193;rbol%20documental%20CM" TargetMode="External"/><Relationship Id="rId30" Type="http://schemas.openxmlformats.org/officeDocument/2006/relationships/hyperlink" Target="file:///\\systema78\dcd3\Victimas_Rafael" TargetMode="External"/><Relationship Id="rId35" Type="http://schemas.openxmlformats.org/officeDocument/2006/relationships/hyperlink" Target="http://codeversion.dane.gov.co/DIRPEN/sen-visor-federado" TargetMode="External"/><Relationship Id="rId4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file:///\\systema20\Seg_Planes_institucionales\02_DICE\Plan%20Operativo%202021\PO_DICE_3\II%20TRIMESTRE" TargetMode="External"/><Relationship Id="rId13" Type="http://schemas.openxmlformats.org/officeDocument/2006/relationships/hyperlink" Target="https://danegovco-my.sharepoint.com/:f:/r/personal/vlrobayom_dane_gov_co/Documents/Plan%20de%20acci%C3%B3n%20GIT%20Tem%C3%A1tica%20Ambiental/PO_DIMPE_14.2?csf=1&amp;web=1&amp;e=bRN2BE" TargetMode="External"/><Relationship Id="rId18" Type="http://schemas.openxmlformats.org/officeDocument/2006/relationships/hyperlink" Target="https://tasks.office.com/dane.gov.co/es-ES/Home/Planner/" TargetMode="External"/><Relationship Id="rId3" Type="http://schemas.openxmlformats.org/officeDocument/2006/relationships/hyperlink" Target="file:///\\systema20\Seg_Planes_institucionales\02_DICE\Plan%20Operativo%202021\PO_DICE_2\PO_DICE_2.1" TargetMode="External"/><Relationship Id="rId21" Type="http://schemas.openxmlformats.org/officeDocument/2006/relationships/vmlDrawing" Target="../drawings/vmlDrawing2.vml"/><Relationship Id="rId7" Type="http://schemas.openxmlformats.org/officeDocument/2006/relationships/hyperlink" Target="file:///\\systema20\Seg_Planes_institucionales\02_DICE\Plan%20Operativo%202021\PO_DICE_2\PO_DICE_2.2\II%20TRIMESTRE" TargetMode="External"/><Relationship Id="rId12" Type="http://schemas.openxmlformats.org/officeDocument/2006/relationships/hyperlink" Target="https://danegovco-my.sharepoint.com/:f:/r/personal/vlrobayom_dane_gov_co/Documents/Plan%20de%20acci%C3%B3n%20GIT%20Tem%C3%A1tica%20Ambiental/PO_DIMPE_14.1?csf=1&amp;web=1&amp;e=Zkk4oN" TargetMode="External"/><Relationship Id="rId17" Type="http://schemas.openxmlformats.org/officeDocument/2006/relationships/hyperlink" Target="https://danegovco-my.sharepoint.com/:f:/r/personal/vlrobayom_dane_gov_co/Documents/Plan%20de%20acci%C3%B3n%20GIT%20Tem%C3%A1tica%20Ambiental/PO_DIMPE_14.6?csf=1&amp;web=1&amp;e=v8EHsD" TargetMode="External"/><Relationship Id="rId2" Type="http://schemas.openxmlformats.org/officeDocument/2006/relationships/hyperlink" Target="file:///\\systema20\Seg_Planes_institucionales\02_DICE\Plan%20Operativo%202021\PO_DICE_1\PO_DICE_1.2" TargetMode="External"/><Relationship Id="rId16" Type="http://schemas.openxmlformats.org/officeDocument/2006/relationships/hyperlink" Target="https://danegovco-my.sharepoint.com/:f:/r/personal/vlrobayom_dane_gov_co/Documents/Plan%20de%20acci%C3%B3n%20GIT%20Tem%C3%A1tica%20Ambiental/PO_DIMPE_14.5?csf=1&amp;web=1&amp;e=3g3Nyh" TargetMode="External"/><Relationship Id="rId20" Type="http://schemas.openxmlformats.org/officeDocument/2006/relationships/drawing" Target="../drawings/drawing2.xml"/><Relationship Id="rId1" Type="http://schemas.openxmlformats.org/officeDocument/2006/relationships/hyperlink" Target="file:///\\systema20\Seg_Planes_institucionales\02_DICE\Plan%20Operativo%202021\PO_DICE_1\PO_DICE_1.1" TargetMode="External"/><Relationship Id="rId6" Type="http://schemas.openxmlformats.org/officeDocument/2006/relationships/hyperlink" Target="file:///\\systema20\Seg_Planes_institucionales\02_DICE\Plan%20Operativo%202021\PO_DICE_1\PO_DICE_1.2\II%20TRIMESTRE" TargetMode="External"/><Relationship Id="rId11" Type="http://schemas.openxmlformats.org/officeDocument/2006/relationships/hyperlink" Target="file:///C:\Users\Las%20Molina\AppData\Local\Microsoft\Windows\INetCache\Las%20Molina\systema44\PROY_2021\datos\2021\mensual\02\nacional\dat\total_nal.sas7bdat%0a(172%20MB)%0a-%20GEIH%20-%20Informe%20operativo%20-%20Etapas%202101_2102_20210416.pptx" TargetMode="External"/><Relationship Id="rId5" Type="http://schemas.openxmlformats.org/officeDocument/2006/relationships/hyperlink" Target="file:///\\systema20\Seg_Planes_institucionales\02_DICE\Plan%20Operativo%202021\PO_DICE_3%25250a" TargetMode="External"/><Relationship Id="rId15" Type="http://schemas.openxmlformats.org/officeDocument/2006/relationships/hyperlink" Target="https://danegovco-my.sharepoint.com/:f:/r/personal/vlrobayom_dane_gov_co/Documents/Plan%20de%20acci%C3%B3n%20GIT%20Tem%C3%A1tica%20Ambiental/PO_DIMPE_14.4?csf=1&amp;web=1&amp;e=tjW7gy" TargetMode="External"/><Relationship Id="rId10" Type="http://schemas.openxmlformats.org/officeDocument/2006/relationships/hyperlink" Target="https://www.dane.gov.co/files/investigaciones/boletines/grupos-etnicos/visor-pueblos-indigenas-06-2021.xlsx" TargetMode="External"/><Relationship Id="rId19" Type="http://schemas.openxmlformats.org/officeDocument/2006/relationships/printerSettings" Target="../printerSettings/printerSettings2.bin"/><Relationship Id="rId4" Type="http://schemas.openxmlformats.org/officeDocument/2006/relationships/hyperlink" Target="file:///\\systema20\Seg_Planes_institucionales\02_DICE\Plan%20Operativo%202021\PO_DICE_2\PO_DICE_2.2" TargetMode="External"/><Relationship Id="rId9" Type="http://schemas.openxmlformats.org/officeDocument/2006/relationships/hyperlink" Target="https://www.dane.gov.co/index.php/estadisticas-por-tema/demografia-y-poblacion/movilidad-y-migracion/anuarios-estadisticos-de-movimientos-internacionales" TargetMode="External"/><Relationship Id="rId14" Type="http://schemas.openxmlformats.org/officeDocument/2006/relationships/hyperlink" Target="https://danegovco-my.sharepoint.com/:f:/r/personal/vlrobayom_dane_gov_co/Documents/Plan%20de%20acci%C3%B3n%20GIT%20Tem%C3%A1tica%20Ambiental/PO_DIMPE_14.3?csf=1&amp;web=1&amp;e=HkwgeM" TargetMode="External"/><Relationship Id="rId2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454"/>
  <sheetViews>
    <sheetView showGridLines="0" tabSelected="1" zoomScale="60" zoomScaleNormal="60" workbookViewId="0">
      <selection sqref="A1:K1"/>
    </sheetView>
  </sheetViews>
  <sheetFormatPr baseColWidth="10" defaultColWidth="10.85546875" defaultRowHeight="69" x14ac:dyDescent="0.25"/>
  <cols>
    <col min="1" max="1" width="10.85546875" style="3"/>
    <col min="2" max="2" width="27.5703125" style="364" customWidth="1"/>
    <col min="3" max="3" width="29.5703125" style="3" customWidth="1"/>
    <col min="4" max="4" width="35.42578125" style="3" customWidth="1"/>
    <col min="5" max="5" width="32.140625" style="3" customWidth="1"/>
    <col min="6" max="6" width="66.28515625" style="3" customWidth="1"/>
    <col min="7" max="7" width="28.28515625" style="3" customWidth="1"/>
    <col min="8" max="8" width="27.85546875" style="3" customWidth="1"/>
    <col min="9" max="9" width="32.140625" style="3" customWidth="1"/>
    <col min="10" max="10" width="23.85546875" style="3" customWidth="1"/>
    <col min="11" max="11" width="64.140625" style="1" customWidth="1"/>
    <col min="12" max="12" width="22.42578125" style="3" customWidth="1"/>
    <col min="13" max="13" width="34.42578125" style="3" customWidth="1"/>
    <col min="14" max="14" width="64.140625" style="3" customWidth="1"/>
    <col min="15" max="15" width="31.85546875" style="3" customWidth="1"/>
    <col min="16" max="21" width="22.7109375" style="3" customWidth="1"/>
    <col min="22" max="22" width="31.140625" style="3" customWidth="1"/>
    <col min="23" max="23" width="79.7109375" style="3" customWidth="1"/>
    <col min="24" max="24" width="57.42578125" style="3" customWidth="1"/>
    <col min="25" max="26" width="27" style="1" customWidth="1"/>
    <col min="27" max="27" width="89.42578125" style="3" customWidth="1"/>
    <col min="28" max="29" width="27.28515625" style="3" customWidth="1"/>
    <col min="30" max="31" width="27.28515625" style="1" customWidth="1"/>
    <col min="32" max="32" width="74.140625" style="3" customWidth="1"/>
    <col min="33" max="43" width="38.85546875" style="3" customWidth="1"/>
    <col min="44" max="44" width="32.140625" style="1" customWidth="1"/>
    <col min="45" max="45" width="107.7109375" style="3" customWidth="1"/>
    <col min="46" max="46" width="66.140625" style="3" customWidth="1"/>
    <col min="47" max="48" width="32.140625" style="3" customWidth="1"/>
    <col min="49" max="49" width="91" style="3" customWidth="1"/>
    <col min="50" max="53" width="32.140625" style="3" customWidth="1"/>
    <col min="54" max="54" width="66.7109375" style="3" customWidth="1"/>
    <col min="55" max="55" width="32.140625" style="3" customWidth="1"/>
    <col min="56" max="66" width="44.140625" style="3" customWidth="1"/>
    <col min="67" max="67" width="32.140625" style="1" customWidth="1"/>
    <col min="68" max="68" width="94.140625" style="3" customWidth="1"/>
    <col min="69" max="69" width="54.140625" style="3" customWidth="1"/>
    <col min="70" max="71" width="32.140625" style="1" customWidth="1"/>
    <col min="72" max="72" width="112.140625" style="3" customWidth="1"/>
    <col min="73" max="74" width="32.140625" style="3" customWidth="1"/>
    <col min="75" max="76" width="32.140625" style="1" customWidth="1"/>
    <col min="77" max="77" width="68.140625" style="3" customWidth="1"/>
    <col min="78" max="78" width="52.140625" style="3" customWidth="1"/>
    <col min="79" max="88" width="43.7109375" style="3" customWidth="1"/>
    <col min="89" max="89" width="26.7109375" style="3" customWidth="1"/>
    <col min="90" max="16384" width="10.85546875" style="3"/>
  </cols>
  <sheetData>
    <row r="1" spans="1:89" ht="134.25" customHeight="1" x14ac:dyDescent="0.25">
      <c r="A1" s="1177" t="s">
        <v>5268</v>
      </c>
      <c r="B1" s="1177"/>
      <c r="C1" s="1177"/>
      <c r="D1" s="1177"/>
      <c r="E1" s="1177"/>
      <c r="F1" s="1177"/>
      <c r="G1" s="1177"/>
      <c r="H1" s="1177"/>
      <c r="I1" s="1177"/>
      <c r="J1" s="1177"/>
      <c r="K1" s="1177"/>
      <c r="L1" s="1141"/>
      <c r="M1" s="1141"/>
      <c r="N1" s="1141"/>
      <c r="O1" s="1141"/>
      <c r="P1" s="1141"/>
      <c r="Q1" s="1141"/>
      <c r="R1" s="1141"/>
      <c r="S1" s="1141"/>
      <c r="T1" s="1141"/>
      <c r="U1" s="1141"/>
      <c r="V1" s="1141"/>
      <c r="W1" s="1141"/>
      <c r="X1" s="1141"/>
      <c r="Y1" s="1141"/>
      <c r="Z1" s="1141"/>
      <c r="AA1" s="1141"/>
      <c r="AB1" s="1141"/>
      <c r="AC1" s="1141"/>
      <c r="AD1" s="1141"/>
      <c r="AE1" s="1141"/>
      <c r="AF1" s="1141"/>
      <c r="AG1" s="1141"/>
      <c r="AH1" s="1141"/>
      <c r="AI1" s="1141"/>
      <c r="AJ1" s="1141"/>
      <c r="AK1" s="1141"/>
      <c r="AL1" s="1141"/>
      <c r="AM1" s="1141"/>
      <c r="AN1" s="1141"/>
      <c r="AO1" s="1141"/>
      <c r="AP1" s="1141"/>
      <c r="AQ1" s="1141"/>
      <c r="AR1" s="1141"/>
      <c r="AS1" s="1141"/>
      <c r="AT1" s="1141"/>
      <c r="AU1" s="1141"/>
      <c r="AV1" s="1141"/>
      <c r="AW1" s="1141"/>
      <c r="AX1" s="1141"/>
      <c r="AY1" s="1141"/>
      <c r="AZ1" s="1141"/>
      <c r="BA1" s="1141"/>
      <c r="BB1" s="1141"/>
      <c r="BC1" s="1141"/>
      <c r="BD1" s="1141"/>
      <c r="BE1" s="1141"/>
      <c r="BF1" s="1141"/>
      <c r="BG1" s="1141"/>
      <c r="BH1" s="1141"/>
      <c r="BI1" s="1141"/>
      <c r="BJ1" s="1141"/>
      <c r="BK1" s="1141"/>
      <c r="BL1" s="1141"/>
      <c r="BM1" s="1141"/>
      <c r="BN1" s="1141"/>
      <c r="BO1" s="1141"/>
      <c r="BP1" s="1141"/>
      <c r="BQ1" s="1141"/>
      <c r="BR1" s="1141"/>
      <c r="BS1" s="1141"/>
      <c r="BT1" s="1141"/>
      <c r="BU1" s="1141"/>
      <c r="BV1" s="1141"/>
      <c r="BW1" s="1141"/>
      <c r="BX1" s="1141"/>
      <c r="BY1" s="1141"/>
      <c r="BZ1" s="1141"/>
      <c r="CA1" s="1141"/>
      <c r="CB1" s="1141"/>
      <c r="CC1" s="1141"/>
      <c r="CD1" s="1141"/>
      <c r="CE1" s="1141"/>
      <c r="CF1" s="1141"/>
      <c r="CG1" s="1141"/>
      <c r="CH1" s="1141"/>
      <c r="CI1" s="1141"/>
      <c r="CJ1" s="1141"/>
    </row>
    <row r="2" spans="1:89" ht="57" customHeight="1" x14ac:dyDescent="0.25">
      <c r="C2" s="623"/>
      <c r="D2" s="623"/>
      <c r="E2" s="623"/>
      <c r="F2" s="623"/>
      <c r="G2" s="623"/>
      <c r="H2" s="623"/>
      <c r="I2" s="623"/>
      <c r="J2" s="623"/>
      <c r="K2" s="623"/>
      <c r="L2" s="623"/>
      <c r="M2" s="623"/>
      <c r="N2" s="623"/>
      <c r="O2" s="623"/>
      <c r="P2" s="623"/>
      <c r="Q2" s="623"/>
      <c r="R2" s="623"/>
      <c r="S2" s="623"/>
      <c r="T2" s="623"/>
      <c r="U2" s="623"/>
      <c r="V2" s="1150" t="s">
        <v>5193</v>
      </c>
      <c r="W2" s="1151"/>
      <c r="X2" s="1151"/>
      <c r="Y2" s="1151"/>
      <c r="Z2" s="1151"/>
      <c r="AA2" s="1151"/>
      <c r="AB2" s="1151"/>
      <c r="AC2" s="1151"/>
      <c r="AD2" s="1151"/>
      <c r="AE2" s="1151"/>
      <c r="AF2" s="1151"/>
      <c r="AG2" s="1151"/>
      <c r="AH2" s="1151"/>
      <c r="AI2" s="1151"/>
      <c r="AJ2" s="1151"/>
      <c r="AK2" s="1151"/>
      <c r="AL2" s="1151"/>
      <c r="AM2" s="1151"/>
      <c r="AN2" s="1151"/>
      <c r="AO2" s="1151"/>
      <c r="AP2" s="1151"/>
      <c r="AQ2" s="1152"/>
      <c r="AR2" s="1157" t="s">
        <v>5196</v>
      </c>
      <c r="AS2" s="1158"/>
      <c r="AT2" s="1158"/>
      <c r="AU2" s="1158"/>
      <c r="AV2" s="1158"/>
      <c r="AW2" s="1158"/>
      <c r="AX2" s="1158"/>
      <c r="AY2" s="1158"/>
      <c r="AZ2" s="1158"/>
      <c r="BA2" s="1158"/>
      <c r="BB2" s="1158"/>
      <c r="BC2" s="1158"/>
      <c r="BD2" s="1158"/>
      <c r="BE2" s="1158"/>
      <c r="BF2" s="1158"/>
      <c r="BG2" s="1158"/>
      <c r="BH2" s="1158"/>
      <c r="BI2" s="1158"/>
      <c r="BJ2" s="1158"/>
      <c r="BK2" s="1158"/>
      <c r="BL2" s="1158"/>
      <c r="BM2" s="1158"/>
      <c r="BN2" s="1159"/>
      <c r="BO2" s="1174" t="s">
        <v>5197</v>
      </c>
      <c r="BP2" s="1175"/>
      <c r="BQ2" s="1175"/>
      <c r="BR2" s="1175"/>
      <c r="BS2" s="1175"/>
      <c r="BT2" s="1175"/>
      <c r="BU2" s="1175"/>
      <c r="BV2" s="1175"/>
      <c r="BW2" s="1175"/>
      <c r="BX2" s="1175"/>
      <c r="BY2" s="1175"/>
      <c r="BZ2" s="1175"/>
      <c r="CA2" s="1175"/>
      <c r="CB2" s="1175"/>
      <c r="CC2" s="1175"/>
      <c r="CD2" s="1175"/>
      <c r="CE2" s="1175"/>
      <c r="CF2" s="1175"/>
      <c r="CG2" s="1175"/>
      <c r="CH2" s="1175"/>
      <c r="CI2" s="1175"/>
      <c r="CJ2" s="1176"/>
    </row>
    <row r="3" spans="1:89" s="14" customFormat="1" ht="78" customHeight="1" x14ac:dyDescent="0.25">
      <c r="B3" s="1143" t="s">
        <v>5269</v>
      </c>
      <c r="C3" s="1143" t="s">
        <v>5270</v>
      </c>
      <c r="D3" s="1144" t="s">
        <v>0</v>
      </c>
      <c r="E3" s="1144"/>
      <c r="F3" s="1144"/>
      <c r="G3" s="1144"/>
      <c r="H3" s="1144"/>
      <c r="I3" s="1144"/>
      <c r="J3" s="1144"/>
      <c r="K3" s="1142" t="s">
        <v>1</v>
      </c>
      <c r="L3" s="1142"/>
      <c r="M3" s="1142"/>
      <c r="N3" s="1142"/>
      <c r="O3" s="1142"/>
      <c r="P3" s="1142"/>
      <c r="Q3" s="1142"/>
      <c r="R3" s="1142" t="s">
        <v>2</v>
      </c>
      <c r="S3" s="1142"/>
      <c r="T3" s="1142"/>
      <c r="U3" s="1142"/>
      <c r="V3" s="624" t="s">
        <v>5194</v>
      </c>
      <c r="W3" s="625"/>
      <c r="X3" s="625"/>
      <c r="Y3" s="625"/>
      <c r="Z3" s="625"/>
      <c r="AA3" s="625"/>
      <c r="AB3" s="625"/>
      <c r="AC3" s="625"/>
      <c r="AD3" s="625"/>
      <c r="AE3" s="625"/>
      <c r="AF3" s="625"/>
      <c r="AG3" s="624" t="s">
        <v>5195</v>
      </c>
      <c r="AH3" s="625"/>
      <c r="AI3" s="625"/>
      <c r="AJ3" s="625"/>
      <c r="AK3" s="625"/>
      <c r="AL3" s="625"/>
      <c r="AM3" s="625"/>
      <c r="AN3" s="625"/>
      <c r="AO3" s="625"/>
      <c r="AP3" s="625"/>
      <c r="AQ3" s="625"/>
      <c r="AR3" s="1153" t="s">
        <v>5194</v>
      </c>
      <c r="AS3" s="1154"/>
      <c r="AT3" s="1154"/>
      <c r="AU3" s="1154"/>
      <c r="AV3" s="1154"/>
      <c r="AW3" s="1154"/>
      <c r="AX3" s="1154"/>
      <c r="AY3" s="1154"/>
      <c r="AZ3" s="1154"/>
      <c r="BA3" s="1154"/>
      <c r="BB3" s="1154"/>
      <c r="BC3" s="1154"/>
      <c r="BD3" s="1153" t="s">
        <v>5195</v>
      </c>
      <c r="BE3" s="1154"/>
      <c r="BF3" s="1154"/>
      <c r="BG3" s="1154"/>
      <c r="BH3" s="1154"/>
      <c r="BI3" s="1154"/>
      <c r="BJ3" s="1154"/>
      <c r="BK3" s="1154"/>
      <c r="BL3" s="1154"/>
      <c r="BM3" s="1154"/>
      <c r="BN3" s="1154"/>
      <c r="BO3" s="637" t="s">
        <v>5194</v>
      </c>
      <c r="BP3" s="638"/>
      <c r="BQ3" s="638"/>
      <c r="BR3" s="638"/>
      <c r="BS3" s="638"/>
      <c r="BT3" s="638"/>
      <c r="BU3" s="638"/>
      <c r="BV3" s="638"/>
      <c r="BW3" s="638"/>
      <c r="BX3" s="638"/>
      <c r="BY3" s="638"/>
      <c r="BZ3" s="638"/>
      <c r="CA3" s="637" t="s">
        <v>5195</v>
      </c>
      <c r="CB3" s="638"/>
      <c r="CC3" s="638"/>
      <c r="CD3" s="638"/>
      <c r="CE3" s="638"/>
      <c r="CF3" s="638"/>
      <c r="CG3" s="638"/>
      <c r="CH3" s="638"/>
      <c r="CI3" s="638"/>
      <c r="CJ3" s="638"/>
    </row>
    <row r="4" spans="1:89" s="14" customFormat="1" ht="99.95" customHeight="1" x14ac:dyDescent="0.25">
      <c r="B4" s="1146" t="s">
        <v>5198</v>
      </c>
      <c r="C4" s="1146" t="s">
        <v>3</v>
      </c>
      <c r="D4" s="1147" t="s">
        <v>4</v>
      </c>
      <c r="E4" s="1147" t="s">
        <v>5</v>
      </c>
      <c r="F4" s="1147" t="s">
        <v>6</v>
      </c>
      <c r="G4" s="1147" t="s">
        <v>7</v>
      </c>
      <c r="H4" s="1147" t="s">
        <v>8</v>
      </c>
      <c r="I4" s="1147" t="s">
        <v>9</v>
      </c>
      <c r="J4" s="1147" t="s">
        <v>10</v>
      </c>
      <c r="K4" s="1148" t="s">
        <v>11</v>
      </c>
      <c r="L4" s="1147" t="s">
        <v>12</v>
      </c>
      <c r="M4" s="1147" t="s">
        <v>13</v>
      </c>
      <c r="N4" s="1145" t="s">
        <v>14</v>
      </c>
      <c r="O4" s="1145" t="s">
        <v>15</v>
      </c>
      <c r="P4" s="1149" t="s">
        <v>16</v>
      </c>
      <c r="Q4" s="1149" t="s">
        <v>17</v>
      </c>
      <c r="R4" s="1145" t="s">
        <v>18</v>
      </c>
      <c r="S4" s="1145" t="s">
        <v>19</v>
      </c>
      <c r="T4" s="1145" t="s">
        <v>20</v>
      </c>
      <c r="U4" s="1145" t="s">
        <v>21</v>
      </c>
      <c r="V4" s="15" t="s">
        <v>2799</v>
      </c>
      <c r="W4" s="15" t="s">
        <v>2800</v>
      </c>
      <c r="X4" s="15" t="s">
        <v>2801</v>
      </c>
      <c r="Y4" s="15" t="s">
        <v>2802</v>
      </c>
      <c r="Z4" s="15" t="s">
        <v>2803</v>
      </c>
      <c r="AA4" s="15" t="s">
        <v>2804</v>
      </c>
      <c r="AB4" s="15" t="s">
        <v>2806</v>
      </c>
      <c r="AC4" s="15" t="s">
        <v>2805</v>
      </c>
      <c r="AD4" s="15" t="s">
        <v>2807</v>
      </c>
      <c r="AE4" s="15" t="s">
        <v>2808</v>
      </c>
      <c r="AF4" s="15" t="s">
        <v>2809</v>
      </c>
      <c r="AG4" s="15" t="s">
        <v>2449</v>
      </c>
      <c r="AH4" s="15" t="s">
        <v>2450</v>
      </c>
      <c r="AI4" s="15" t="s">
        <v>2451</v>
      </c>
      <c r="AJ4" s="15" t="s">
        <v>2452</v>
      </c>
      <c r="AK4" s="15" t="s">
        <v>2453</v>
      </c>
      <c r="AL4" s="15" t="s">
        <v>2454</v>
      </c>
      <c r="AM4" s="15" t="s">
        <v>2455</v>
      </c>
      <c r="AN4" s="15" t="s">
        <v>2456</v>
      </c>
      <c r="AO4" s="15" t="s">
        <v>2457</v>
      </c>
      <c r="AP4" s="15" t="s">
        <v>2458</v>
      </c>
      <c r="AQ4" s="15" t="s">
        <v>2459</v>
      </c>
      <c r="AR4" s="1155" t="s">
        <v>3779</v>
      </c>
      <c r="AS4" s="1155" t="s">
        <v>3780</v>
      </c>
      <c r="AT4" s="1155" t="s">
        <v>2801</v>
      </c>
      <c r="AU4" s="1155" t="s">
        <v>2802</v>
      </c>
      <c r="AV4" s="1155" t="s">
        <v>2803</v>
      </c>
      <c r="AW4" s="1155" t="s">
        <v>3781</v>
      </c>
      <c r="AX4" s="1155" t="s">
        <v>3777</v>
      </c>
      <c r="AY4" s="1155" t="s">
        <v>2805</v>
      </c>
      <c r="AZ4" s="1155" t="s">
        <v>2807</v>
      </c>
      <c r="BA4" s="1155" t="s">
        <v>2808</v>
      </c>
      <c r="BB4" s="1155" t="s">
        <v>2809</v>
      </c>
      <c r="BC4" s="1156" t="s">
        <v>23</v>
      </c>
      <c r="BD4" s="1156" t="s">
        <v>2449</v>
      </c>
      <c r="BE4" s="1156" t="s">
        <v>2553</v>
      </c>
      <c r="BF4" s="1156" t="s">
        <v>2636</v>
      </c>
      <c r="BG4" s="1156" t="s">
        <v>2452</v>
      </c>
      <c r="BH4" s="1156" t="s">
        <v>2554</v>
      </c>
      <c r="BI4" s="1156" t="s">
        <v>2637</v>
      </c>
      <c r="BJ4" s="1156" t="s">
        <v>2455</v>
      </c>
      <c r="BK4" s="1156" t="s">
        <v>2456</v>
      </c>
      <c r="BL4" s="1156" t="s">
        <v>2457</v>
      </c>
      <c r="BM4" s="1156" t="s">
        <v>2458</v>
      </c>
      <c r="BN4" s="1156" t="s">
        <v>2555</v>
      </c>
      <c r="BO4" s="16" t="s">
        <v>3782</v>
      </c>
      <c r="BP4" s="16" t="s">
        <v>3783</v>
      </c>
      <c r="BQ4" s="16" t="s">
        <v>2801</v>
      </c>
      <c r="BR4" s="16" t="s">
        <v>2802</v>
      </c>
      <c r="BS4" s="16" t="s">
        <v>2803</v>
      </c>
      <c r="BT4" s="16" t="s">
        <v>3784</v>
      </c>
      <c r="BU4" s="16" t="s">
        <v>3777</v>
      </c>
      <c r="BV4" s="16" t="s">
        <v>2805</v>
      </c>
      <c r="BW4" s="16" t="s">
        <v>2807</v>
      </c>
      <c r="BX4" s="16" t="s">
        <v>2808</v>
      </c>
      <c r="BY4" s="17" t="s">
        <v>22</v>
      </c>
      <c r="BZ4" s="17" t="s">
        <v>23</v>
      </c>
      <c r="CA4" s="17" t="s">
        <v>2449</v>
      </c>
      <c r="CB4" s="17" t="s">
        <v>2553</v>
      </c>
      <c r="CC4" s="17" t="s">
        <v>2768</v>
      </c>
      <c r="CD4" s="17" t="s">
        <v>2452</v>
      </c>
      <c r="CE4" s="17" t="s">
        <v>2554</v>
      </c>
      <c r="CF4" s="17" t="s">
        <v>2769</v>
      </c>
      <c r="CG4" s="17" t="s">
        <v>2455</v>
      </c>
      <c r="CH4" s="17" t="s">
        <v>2457</v>
      </c>
      <c r="CI4" s="17" t="s">
        <v>2458</v>
      </c>
      <c r="CJ4" s="17" t="s">
        <v>2555</v>
      </c>
    </row>
    <row r="5" spans="1:89" s="14" customFormat="1" ht="171.95" customHeight="1" x14ac:dyDescent="0.25">
      <c r="B5" s="1221" t="s">
        <v>5199</v>
      </c>
      <c r="C5" s="1220" t="s">
        <v>24</v>
      </c>
      <c r="D5" s="33" t="s">
        <v>25</v>
      </c>
      <c r="E5" s="33" t="s">
        <v>26</v>
      </c>
      <c r="F5" s="633" t="s">
        <v>27</v>
      </c>
      <c r="G5" s="33" t="s">
        <v>28</v>
      </c>
      <c r="H5" s="33" t="s">
        <v>28</v>
      </c>
      <c r="I5" s="33" t="s">
        <v>29</v>
      </c>
      <c r="J5" s="33" t="s">
        <v>30</v>
      </c>
      <c r="K5" s="634" t="s">
        <v>31</v>
      </c>
      <c r="L5" s="635" t="s">
        <v>32</v>
      </c>
      <c r="M5" s="34" t="s">
        <v>33</v>
      </c>
      <c r="N5" s="35" t="s">
        <v>34</v>
      </c>
      <c r="O5" s="33">
        <v>0.8</v>
      </c>
      <c r="P5" s="36">
        <v>44197</v>
      </c>
      <c r="Q5" s="36">
        <v>44280</v>
      </c>
      <c r="R5" s="37">
        <v>1</v>
      </c>
      <c r="S5" s="37">
        <v>1</v>
      </c>
      <c r="T5" s="37">
        <v>1</v>
      </c>
      <c r="U5" s="37">
        <v>1</v>
      </c>
      <c r="V5" s="26">
        <v>0.4</v>
      </c>
      <c r="W5" s="38" t="s">
        <v>35</v>
      </c>
      <c r="X5" s="38" t="s">
        <v>2770</v>
      </c>
      <c r="Y5" s="4" t="str">
        <f t="shared" ref="Y5:Y12" si="0">IF(R5&lt;1%,"Sin iniciar",IF(R5=100%,"Terminado","En gestión"))</f>
        <v>Terminado</v>
      </c>
      <c r="Z5" s="4" t="str">
        <f t="shared" ref="Z5:Z42" si="1">IF(V5&lt;1%,"Sin iniciar",IF(V5=100%,"Terminado","En gestión"))</f>
        <v>En gestión</v>
      </c>
      <c r="AA5" s="636" t="s">
        <v>35</v>
      </c>
      <c r="AB5" s="644">
        <f>SUMPRODUCT(O5:O6,V5:V6)</f>
        <v>0.32000000000000006</v>
      </c>
      <c r="AC5" s="629">
        <f>SUMPRODUCT(O5:O6,R5:R6)</f>
        <v>0.8</v>
      </c>
      <c r="AD5" s="630" t="str">
        <f>IF(AC5&lt;1%,"Sin iniciar",IF(AC5=100%,"Terminado","En gestión"))</f>
        <v>En gestión</v>
      </c>
      <c r="AE5" s="630" t="str">
        <f>IF(AB5&lt;1%,"Sin iniciar",IF(AB5=100%,"Terminado","En gestión"))</f>
        <v>En gestión</v>
      </c>
      <c r="AF5" s="39" t="s">
        <v>52</v>
      </c>
      <c r="AG5" s="631">
        <v>115000000</v>
      </c>
      <c r="AH5" s="631">
        <v>142965927.69999999</v>
      </c>
      <c r="AI5" s="631">
        <v>35741481.924999997</v>
      </c>
      <c r="AJ5" s="645">
        <v>51924199.658</v>
      </c>
      <c r="AK5" s="631">
        <v>51924199.658</v>
      </c>
      <c r="AL5" s="631">
        <v>12981049.9145</v>
      </c>
      <c r="AM5" s="636" t="s">
        <v>2643</v>
      </c>
      <c r="AN5" s="648"/>
      <c r="AO5" s="39" t="s">
        <v>2645</v>
      </c>
      <c r="AP5" s="39" t="s">
        <v>2514</v>
      </c>
      <c r="AQ5" s="631">
        <f>+AL5</f>
        <v>12981049.9145</v>
      </c>
      <c r="AR5" s="1160">
        <v>0</v>
      </c>
      <c r="AS5" s="38" t="s">
        <v>53</v>
      </c>
      <c r="AT5" s="38" t="s">
        <v>37</v>
      </c>
      <c r="AU5" s="4" t="str">
        <f t="shared" ref="AU5:AU12" si="2">IF(S5&lt;1%,"Sin iniciar",IF(S5=100%,"Terminado","En gestión"))</f>
        <v>Terminado</v>
      </c>
      <c r="AV5" s="4" t="str">
        <f t="shared" ref="AV5:AV42" si="3">IF(AR5&lt;1%,"Sin iniciar",IF(AR5=100%,"Terminado","En gestión"))</f>
        <v>Sin iniciar</v>
      </c>
      <c r="AW5" s="636" t="s">
        <v>53</v>
      </c>
      <c r="AX5" s="652">
        <f>SUMPRODUCT(O5:O6,AR5:AR6)</f>
        <v>0</v>
      </c>
      <c r="AY5" s="653">
        <f>SUMPRODUCT(S5:S6,O5:O6)</f>
        <v>0.8</v>
      </c>
      <c r="AZ5" s="630" t="str">
        <f>IF(AY5&lt;1%,"Sin iniciar",IF(AY5=100%,"Terminado","En gestión"))</f>
        <v>En gestión</v>
      </c>
      <c r="BA5" s="630" t="str">
        <f>IF(AX5&lt;1%,"Sin iniciar",IF(AX5=100%,"Terminado","En gestión"))</f>
        <v>Sin iniciar</v>
      </c>
      <c r="BB5" s="39"/>
      <c r="BC5" s="636"/>
      <c r="BD5" s="631">
        <v>142965927.69999999</v>
      </c>
      <c r="BE5" s="631">
        <v>142965927.69999999</v>
      </c>
      <c r="BF5" s="631">
        <v>71482963.849999994</v>
      </c>
      <c r="BG5" s="645">
        <v>51924199.658</v>
      </c>
      <c r="BH5" s="631">
        <v>51924199.658</v>
      </c>
      <c r="BI5" s="631">
        <v>25962099.829</v>
      </c>
      <c r="BJ5" s="636" t="s">
        <v>2643</v>
      </c>
      <c r="BK5" s="648"/>
      <c r="BL5" s="636" t="s">
        <v>2645</v>
      </c>
      <c r="BM5" s="636" t="s">
        <v>2514</v>
      </c>
      <c r="BN5" s="645" t="s">
        <v>2644</v>
      </c>
      <c r="BO5" s="345">
        <v>1</v>
      </c>
      <c r="BP5" s="40" t="s">
        <v>2771</v>
      </c>
      <c r="BQ5" s="40" t="s">
        <v>2772</v>
      </c>
      <c r="BR5" s="4" t="str">
        <f>IF(T5&lt;1%,"Sin iniciar",IF(T5=100%,"Terminado","En gestión"))</f>
        <v>Terminado</v>
      </c>
      <c r="BS5" s="4" t="str">
        <f>IF(BO5&lt;1%,"Sin iniciar",IF(BO5=100%,"Terminado","En gestión"))</f>
        <v>Terminado</v>
      </c>
      <c r="BT5" s="649" t="s">
        <v>2773</v>
      </c>
      <c r="BU5" s="646">
        <f>SUMPRODUCT(O5:O6,BO5:BO6)</f>
        <v>1</v>
      </c>
      <c r="BV5" s="647">
        <f>SUMPRODUCT(O5:O6,T5:T6)</f>
        <v>0.96000000000000008</v>
      </c>
      <c r="BW5" s="630" t="str">
        <f>IF(BV5&lt;1%,"Sin iniciar",IF(BV5=100%,"Terminado","En gestión"))</f>
        <v>En gestión</v>
      </c>
      <c r="BX5" s="630" t="str">
        <f>IF(BU5&lt;1%,"Sin iniciar",IF(BU5=100%,"Terminado","En gestión"))</f>
        <v>Terminado</v>
      </c>
      <c r="BY5" s="617" t="s">
        <v>37</v>
      </c>
      <c r="BZ5" s="617"/>
      <c r="CA5" s="631">
        <v>142965927.69999999</v>
      </c>
      <c r="CB5" s="631">
        <v>142965927.69999999</v>
      </c>
      <c r="CC5" s="631">
        <v>107224445.77499999</v>
      </c>
      <c r="CD5" s="645">
        <v>51924199.658</v>
      </c>
      <c r="CE5" s="631">
        <v>51924199.658</v>
      </c>
      <c r="CF5" s="631">
        <v>38943149.743500002</v>
      </c>
      <c r="CG5" s="636" t="s">
        <v>2643</v>
      </c>
      <c r="CH5" s="636" t="s">
        <v>2645</v>
      </c>
      <c r="CI5" s="636" t="s">
        <v>2514</v>
      </c>
      <c r="CJ5" s="645" t="s">
        <v>2644</v>
      </c>
    </row>
    <row r="6" spans="1:89" s="14" customFormat="1" ht="171.95" customHeight="1" x14ac:dyDescent="0.25">
      <c r="B6" s="1221"/>
      <c r="C6" s="1220"/>
      <c r="D6" s="33" t="s">
        <v>25</v>
      </c>
      <c r="E6" s="33" t="s">
        <v>26</v>
      </c>
      <c r="F6" s="633"/>
      <c r="G6" s="33" t="s">
        <v>28</v>
      </c>
      <c r="H6" s="33" t="s">
        <v>28</v>
      </c>
      <c r="I6" s="33" t="s">
        <v>29</v>
      </c>
      <c r="J6" s="33" t="s">
        <v>30</v>
      </c>
      <c r="K6" s="634"/>
      <c r="L6" s="635"/>
      <c r="M6" s="34" t="s">
        <v>36</v>
      </c>
      <c r="N6" s="35" t="s">
        <v>2774</v>
      </c>
      <c r="O6" s="33">
        <v>0.2</v>
      </c>
      <c r="P6" s="36">
        <v>44280</v>
      </c>
      <c r="Q6" s="36">
        <v>44316</v>
      </c>
      <c r="R6" s="37">
        <v>0</v>
      </c>
      <c r="S6" s="37">
        <v>0</v>
      </c>
      <c r="T6" s="37">
        <v>0.8</v>
      </c>
      <c r="U6" s="37">
        <v>1</v>
      </c>
      <c r="V6" s="26">
        <v>0</v>
      </c>
      <c r="W6" s="38" t="s">
        <v>37</v>
      </c>
      <c r="X6" s="38" t="s">
        <v>37</v>
      </c>
      <c r="Y6" s="4" t="str">
        <f t="shared" si="0"/>
        <v>Sin iniciar</v>
      </c>
      <c r="Z6" s="4" t="str">
        <f t="shared" si="1"/>
        <v>Sin iniciar</v>
      </c>
      <c r="AA6" s="636"/>
      <c r="AB6" s="644"/>
      <c r="AC6" s="629"/>
      <c r="AD6" s="630"/>
      <c r="AE6" s="630"/>
      <c r="AF6" s="39" t="s">
        <v>37</v>
      </c>
      <c r="AG6" s="631"/>
      <c r="AH6" s="631"/>
      <c r="AI6" s="631"/>
      <c r="AJ6" s="631"/>
      <c r="AK6" s="631"/>
      <c r="AL6" s="631"/>
      <c r="AM6" s="636"/>
      <c r="AN6" s="648"/>
      <c r="AO6" s="39" t="s">
        <v>2646</v>
      </c>
      <c r="AP6" s="39" t="s">
        <v>2516</v>
      </c>
      <c r="AQ6" s="631"/>
      <c r="AR6" s="1160">
        <v>0</v>
      </c>
      <c r="AS6" s="38" t="s">
        <v>53</v>
      </c>
      <c r="AT6" s="38" t="s">
        <v>37</v>
      </c>
      <c r="AU6" s="4" t="str">
        <f t="shared" si="2"/>
        <v>Sin iniciar</v>
      </c>
      <c r="AV6" s="4" t="str">
        <f t="shared" si="3"/>
        <v>Sin iniciar</v>
      </c>
      <c r="AW6" s="636"/>
      <c r="AX6" s="652"/>
      <c r="AY6" s="653"/>
      <c r="AZ6" s="630"/>
      <c r="BA6" s="630"/>
      <c r="BB6" s="39"/>
      <c r="BC6" s="636"/>
      <c r="BD6" s="631"/>
      <c r="BE6" s="631"/>
      <c r="BF6" s="631"/>
      <c r="BG6" s="631"/>
      <c r="BH6" s="631"/>
      <c r="BI6" s="631"/>
      <c r="BJ6" s="636"/>
      <c r="BK6" s="648"/>
      <c r="BL6" s="636"/>
      <c r="BM6" s="636"/>
      <c r="BN6" s="645"/>
      <c r="BO6" s="346">
        <v>1</v>
      </c>
      <c r="BP6" s="40" t="s">
        <v>2775</v>
      </c>
      <c r="BQ6" s="40" t="s">
        <v>2776</v>
      </c>
      <c r="BR6" s="4" t="str">
        <f>IF(T6&lt;1%,"Sin iniciar",IF(T6=100%,"Terminado","En gestión"))</f>
        <v>En gestión</v>
      </c>
      <c r="BS6" s="4" t="str">
        <f t="shared" ref="BS6:BS12" si="4">IF(BO6&lt;1%,"Sin iniciar",IF(BO6=100%,"Terminado","En gestión"))</f>
        <v>Terminado</v>
      </c>
      <c r="BT6" s="649"/>
      <c r="BU6" s="646"/>
      <c r="BV6" s="647"/>
      <c r="BW6" s="630"/>
      <c r="BX6" s="630"/>
      <c r="BY6" s="617"/>
      <c r="BZ6" s="617"/>
      <c r="CA6" s="631"/>
      <c r="CB6" s="631"/>
      <c r="CC6" s="631"/>
      <c r="CD6" s="631"/>
      <c r="CE6" s="631"/>
      <c r="CF6" s="631"/>
      <c r="CG6" s="636"/>
      <c r="CH6" s="636"/>
      <c r="CI6" s="636"/>
      <c r="CJ6" s="645"/>
    </row>
    <row r="7" spans="1:89" s="14" customFormat="1" ht="171.95" customHeight="1" x14ac:dyDescent="0.25">
      <c r="B7" s="1221"/>
      <c r="C7" s="639" t="s">
        <v>38</v>
      </c>
      <c r="D7" s="41" t="s">
        <v>25</v>
      </c>
      <c r="E7" s="41" t="s">
        <v>26</v>
      </c>
      <c r="F7" s="640" t="s">
        <v>27</v>
      </c>
      <c r="G7" s="41" t="s">
        <v>28</v>
      </c>
      <c r="H7" s="41" t="s">
        <v>28</v>
      </c>
      <c r="I7" s="41" t="s">
        <v>29</v>
      </c>
      <c r="J7" s="41" t="s">
        <v>30</v>
      </c>
      <c r="K7" s="641" t="s">
        <v>39</v>
      </c>
      <c r="L7" s="642" t="s">
        <v>32</v>
      </c>
      <c r="M7" s="42" t="s">
        <v>40</v>
      </c>
      <c r="N7" s="43" t="s">
        <v>2777</v>
      </c>
      <c r="O7" s="41">
        <v>0.8</v>
      </c>
      <c r="P7" s="44">
        <v>44197</v>
      </c>
      <c r="Q7" s="44">
        <v>44316</v>
      </c>
      <c r="R7" s="45">
        <v>0.5</v>
      </c>
      <c r="S7" s="45">
        <v>1</v>
      </c>
      <c r="T7" s="45">
        <v>1</v>
      </c>
      <c r="U7" s="45">
        <v>1</v>
      </c>
      <c r="V7" s="26">
        <v>1</v>
      </c>
      <c r="W7" s="46" t="s">
        <v>41</v>
      </c>
      <c r="X7" s="46" t="s">
        <v>2778</v>
      </c>
      <c r="Y7" s="18" t="str">
        <f t="shared" si="0"/>
        <v>En gestión</v>
      </c>
      <c r="Z7" s="18" t="str">
        <f t="shared" si="1"/>
        <v>Terminado</v>
      </c>
      <c r="AA7" s="643" t="s">
        <v>41</v>
      </c>
      <c r="AB7" s="644">
        <f>SUMPRODUCT(O7:O8,V7:V8)</f>
        <v>0.8</v>
      </c>
      <c r="AC7" s="629">
        <f>SUMPRODUCT(O7:O8,R7:R8)</f>
        <v>0.4</v>
      </c>
      <c r="AD7" s="654" t="str">
        <f>IF(AC7&lt;1%,"Sin iniciar",IF(AC7=100%,"Terminado","En gestión"))</f>
        <v>En gestión</v>
      </c>
      <c r="AE7" s="654" t="str">
        <f>IF(AB7&lt;1%,"Sin iniciar",IF(AB7=100%,"Terminado","En gestión"))</f>
        <v>En gestión</v>
      </c>
      <c r="AF7" s="643" t="s">
        <v>37</v>
      </c>
      <c r="AG7" s="651">
        <v>45000000</v>
      </c>
      <c r="AH7" s="651">
        <v>53183173.700000003</v>
      </c>
      <c r="AI7" s="651">
        <v>13295793.425000001</v>
      </c>
      <c r="AJ7" s="47">
        <v>92436122</v>
      </c>
      <c r="AK7" s="47">
        <v>92436122</v>
      </c>
      <c r="AL7" s="48">
        <v>19498802</v>
      </c>
      <c r="AM7" s="643" t="s">
        <v>2643</v>
      </c>
      <c r="AN7" s="650"/>
      <c r="AO7" s="49" t="s">
        <v>2645</v>
      </c>
      <c r="AP7" s="49" t="s">
        <v>2514</v>
      </c>
      <c r="AQ7" s="651">
        <f>+AL7</f>
        <v>19498802</v>
      </c>
      <c r="AR7" s="1160">
        <v>1</v>
      </c>
      <c r="AS7" s="46" t="s">
        <v>41</v>
      </c>
      <c r="AT7" s="46" t="s">
        <v>2779</v>
      </c>
      <c r="AU7" s="18" t="str">
        <f t="shared" si="2"/>
        <v>Terminado</v>
      </c>
      <c r="AV7" s="18" t="str">
        <f t="shared" si="3"/>
        <v>Terminado</v>
      </c>
      <c r="AW7" s="643" t="s">
        <v>55</v>
      </c>
      <c r="AX7" s="652">
        <f>SUMPRODUCT(O7:O8,AR7:AR8)</f>
        <v>1</v>
      </c>
      <c r="AY7" s="653">
        <f>SUMPRODUCT(S7:S8,O7:O8)</f>
        <v>1</v>
      </c>
      <c r="AZ7" s="654" t="str">
        <f>IF(AY7&lt;1%,"Sin iniciar",IF(AY7=100%,"Terminado","En gestión"))</f>
        <v>Terminado</v>
      </c>
      <c r="BA7" s="654" t="str">
        <f>IF(AX7&lt;1%,"Sin iniciar",IF(AX7=100%,"Terminado","En gestión"))</f>
        <v>Terminado</v>
      </c>
      <c r="BB7" s="49"/>
      <c r="BC7" s="643"/>
      <c r="BD7" s="651">
        <v>53183173.700000003</v>
      </c>
      <c r="BE7" s="651">
        <v>53183173.700000003</v>
      </c>
      <c r="BF7" s="651">
        <v>26591586.850000001</v>
      </c>
      <c r="BG7" s="47">
        <v>92436122</v>
      </c>
      <c r="BH7" s="47">
        <v>92436122</v>
      </c>
      <c r="BI7" s="48">
        <v>46218061</v>
      </c>
      <c r="BJ7" s="643" t="s">
        <v>2643</v>
      </c>
      <c r="BK7" s="650"/>
      <c r="BL7" s="49" t="s">
        <v>2647</v>
      </c>
      <c r="BM7" s="49" t="s">
        <v>2516</v>
      </c>
      <c r="BN7" s="655" t="s">
        <v>2644</v>
      </c>
      <c r="BO7" s="345">
        <v>1</v>
      </c>
      <c r="BP7" s="50" t="s">
        <v>2780</v>
      </c>
      <c r="BQ7" s="50" t="s">
        <v>2780</v>
      </c>
      <c r="BR7" s="18" t="str">
        <f t="shared" ref="BR7:BR12" si="5">IF(T7&lt;1%,"Sin iniciar",IF(T7=100%,"Terminado","En gestión"))</f>
        <v>Terminado</v>
      </c>
      <c r="BS7" s="18" t="str">
        <f t="shared" si="4"/>
        <v>Terminado</v>
      </c>
      <c r="BT7" s="618" t="s">
        <v>2781</v>
      </c>
      <c r="BU7" s="646">
        <f>SUMPRODUCT(O7:O8,BO7:BO8)</f>
        <v>1</v>
      </c>
      <c r="BV7" s="647">
        <f>SUMPRODUCT(O7:O8,T7:T8)</f>
        <v>1</v>
      </c>
      <c r="BW7" s="654" t="str">
        <f>IF(BV7&lt;1%,"Sin iniciar",IF(BV7=100%,"Terminado","En gestión"))</f>
        <v>Terminado</v>
      </c>
      <c r="BX7" s="654" t="str">
        <f>IF(BU7&lt;1%,"Sin iniciar",IF(BU7=100%,"Terminado","En gestión"))</f>
        <v>Terminado</v>
      </c>
      <c r="BY7" s="618" t="s">
        <v>37</v>
      </c>
      <c r="BZ7" s="643"/>
      <c r="CA7" s="651">
        <v>53183173.700000003</v>
      </c>
      <c r="CB7" s="651">
        <v>53183173.700000003</v>
      </c>
      <c r="CC7" s="651">
        <v>39887380.274999999</v>
      </c>
      <c r="CD7" s="47">
        <v>92436122</v>
      </c>
      <c r="CE7" s="47">
        <v>92436122</v>
      </c>
      <c r="CF7" s="48">
        <v>69327092</v>
      </c>
      <c r="CG7" s="643" t="s">
        <v>2643</v>
      </c>
      <c r="CH7" s="49" t="s">
        <v>2647</v>
      </c>
      <c r="CI7" s="49" t="s">
        <v>2516</v>
      </c>
      <c r="CJ7" s="655" t="s">
        <v>2644</v>
      </c>
      <c r="CK7" s="656"/>
    </row>
    <row r="8" spans="1:89" s="14" customFormat="1" ht="171.95" customHeight="1" x14ac:dyDescent="0.25">
      <c r="B8" s="1221"/>
      <c r="C8" s="639"/>
      <c r="D8" s="41" t="s">
        <v>25</v>
      </c>
      <c r="E8" s="41" t="s">
        <v>26</v>
      </c>
      <c r="F8" s="640"/>
      <c r="G8" s="41" t="s">
        <v>28</v>
      </c>
      <c r="H8" s="41" t="s">
        <v>28</v>
      </c>
      <c r="I8" s="41" t="s">
        <v>29</v>
      </c>
      <c r="J8" s="41" t="s">
        <v>30</v>
      </c>
      <c r="K8" s="641"/>
      <c r="L8" s="642"/>
      <c r="M8" s="42" t="s">
        <v>42</v>
      </c>
      <c r="N8" s="43" t="s">
        <v>43</v>
      </c>
      <c r="O8" s="41">
        <v>0.2</v>
      </c>
      <c r="P8" s="44">
        <v>44287</v>
      </c>
      <c r="Q8" s="44">
        <v>44316</v>
      </c>
      <c r="R8" s="45">
        <v>0</v>
      </c>
      <c r="S8" s="45">
        <v>1</v>
      </c>
      <c r="T8" s="45">
        <v>1</v>
      </c>
      <c r="U8" s="45">
        <v>1</v>
      </c>
      <c r="V8" s="26">
        <v>0</v>
      </c>
      <c r="W8" s="46" t="s">
        <v>37</v>
      </c>
      <c r="X8" s="46" t="s">
        <v>37</v>
      </c>
      <c r="Y8" s="18" t="str">
        <f t="shared" si="0"/>
        <v>Sin iniciar</v>
      </c>
      <c r="Z8" s="18" t="str">
        <f t="shared" si="1"/>
        <v>Sin iniciar</v>
      </c>
      <c r="AA8" s="643"/>
      <c r="AB8" s="644"/>
      <c r="AC8" s="629"/>
      <c r="AD8" s="654"/>
      <c r="AE8" s="654"/>
      <c r="AF8" s="643"/>
      <c r="AG8" s="651"/>
      <c r="AH8" s="651"/>
      <c r="AI8" s="651"/>
      <c r="AJ8" s="47">
        <v>77995208</v>
      </c>
      <c r="AK8" s="47">
        <v>77995208</v>
      </c>
      <c r="AL8" s="48">
        <v>23109031</v>
      </c>
      <c r="AM8" s="643"/>
      <c r="AN8" s="650"/>
      <c r="AO8" s="49" t="s">
        <v>2647</v>
      </c>
      <c r="AP8" s="49" t="s">
        <v>2516</v>
      </c>
      <c r="AQ8" s="651"/>
      <c r="AR8" s="1160">
        <v>1</v>
      </c>
      <c r="AS8" s="46" t="s">
        <v>54</v>
      </c>
      <c r="AT8" s="46" t="s">
        <v>2782</v>
      </c>
      <c r="AU8" s="18" t="str">
        <f t="shared" si="2"/>
        <v>Terminado</v>
      </c>
      <c r="AV8" s="18" t="str">
        <f t="shared" si="3"/>
        <v>Terminado</v>
      </c>
      <c r="AW8" s="643"/>
      <c r="AX8" s="652"/>
      <c r="AY8" s="653"/>
      <c r="AZ8" s="654"/>
      <c r="BA8" s="654"/>
      <c r="BB8" s="49"/>
      <c r="BC8" s="643"/>
      <c r="BD8" s="651"/>
      <c r="BE8" s="651"/>
      <c r="BF8" s="651"/>
      <c r="BG8" s="47">
        <v>77995208</v>
      </c>
      <c r="BH8" s="47">
        <v>77995208</v>
      </c>
      <c r="BI8" s="48">
        <v>38997604</v>
      </c>
      <c r="BJ8" s="643"/>
      <c r="BK8" s="650"/>
      <c r="BL8" s="49" t="s">
        <v>2645</v>
      </c>
      <c r="BM8" s="49" t="s">
        <v>2514</v>
      </c>
      <c r="BN8" s="655"/>
      <c r="BO8" s="345">
        <v>1</v>
      </c>
      <c r="BP8" s="50" t="s">
        <v>2780</v>
      </c>
      <c r="BQ8" s="50" t="s">
        <v>2780</v>
      </c>
      <c r="BR8" s="18" t="str">
        <f t="shared" si="5"/>
        <v>Terminado</v>
      </c>
      <c r="BS8" s="18" t="str">
        <f t="shared" si="4"/>
        <v>Terminado</v>
      </c>
      <c r="BT8" s="618"/>
      <c r="BU8" s="646"/>
      <c r="BV8" s="647"/>
      <c r="BW8" s="654"/>
      <c r="BX8" s="654"/>
      <c r="BY8" s="618"/>
      <c r="BZ8" s="643"/>
      <c r="CA8" s="651"/>
      <c r="CB8" s="651"/>
      <c r="CC8" s="651"/>
      <c r="CD8" s="47">
        <v>77995208</v>
      </c>
      <c r="CE8" s="47">
        <v>77995208</v>
      </c>
      <c r="CF8" s="48">
        <v>58496406</v>
      </c>
      <c r="CG8" s="643"/>
      <c r="CH8" s="49" t="s">
        <v>2645</v>
      </c>
      <c r="CI8" s="49" t="s">
        <v>2514</v>
      </c>
      <c r="CJ8" s="655"/>
      <c r="CK8" s="656"/>
    </row>
    <row r="9" spans="1:89" s="14" customFormat="1" ht="171.95" customHeight="1" x14ac:dyDescent="0.25">
      <c r="B9" s="1221"/>
      <c r="C9" s="632" t="s">
        <v>44</v>
      </c>
      <c r="D9" s="33" t="s">
        <v>45</v>
      </c>
      <c r="E9" s="33" t="s">
        <v>26</v>
      </c>
      <c r="F9" s="633" t="s">
        <v>46</v>
      </c>
      <c r="G9" s="33" t="s">
        <v>28</v>
      </c>
      <c r="H9" s="33" t="s">
        <v>28</v>
      </c>
      <c r="I9" s="33" t="s">
        <v>29</v>
      </c>
      <c r="J9" s="33" t="s">
        <v>47</v>
      </c>
      <c r="K9" s="634" t="s">
        <v>2783</v>
      </c>
      <c r="L9" s="51" t="s">
        <v>48</v>
      </c>
      <c r="M9" s="34" t="s">
        <v>49</v>
      </c>
      <c r="N9" s="35" t="s">
        <v>2784</v>
      </c>
      <c r="O9" s="33">
        <v>0.7</v>
      </c>
      <c r="P9" s="36">
        <v>44228</v>
      </c>
      <c r="Q9" s="36">
        <v>44547</v>
      </c>
      <c r="R9" s="37">
        <v>0.3</v>
      </c>
      <c r="S9" s="37">
        <v>0.6</v>
      </c>
      <c r="T9" s="37">
        <v>0.65</v>
      </c>
      <c r="U9" s="37">
        <v>1</v>
      </c>
      <c r="V9" s="26">
        <v>0.3</v>
      </c>
      <c r="W9" s="38" t="s">
        <v>50</v>
      </c>
      <c r="X9" s="38" t="s">
        <v>2785</v>
      </c>
      <c r="Y9" s="4" t="str">
        <f t="shared" si="0"/>
        <v>En gestión</v>
      </c>
      <c r="Z9" s="4" t="str">
        <f t="shared" si="1"/>
        <v>En gestión</v>
      </c>
      <c r="AA9" s="636" t="s">
        <v>50</v>
      </c>
      <c r="AB9" s="644">
        <f>SUMPRODUCT(O9:O10,V9:V10)</f>
        <v>0.21</v>
      </c>
      <c r="AC9" s="629">
        <f>SUMPRODUCT(O9:O10,R9:R10)</f>
        <v>0.21</v>
      </c>
      <c r="AD9" s="630" t="str">
        <f>IF(AC9&lt;1%,"Sin iniciar",IF(AC9=100%,"Terminado","En gestión"))</f>
        <v>En gestión</v>
      </c>
      <c r="AE9" s="630" t="str">
        <f>IF(AB9&lt;1%,"Sin iniciar",IF(AB9=100%,"Terminado","En gestión"))</f>
        <v>En gestión</v>
      </c>
      <c r="AF9" s="636" t="s">
        <v>37</v>
      </c>
      <c r="AG9" s="631">
        <v>53180344.700000003</v>
      </c>
      <c r="AH9" s="631">
        <v>53180344.700000003</v>
      </c>
      <c r="AI9" s="631">
        <v>13295086.175000001</v>
      </c>
      <c r="AJ9" s="631">
        <v>15079632</v>
      </c>
      <c r="AK9" s="631">
        <v>15079632</v>
      </c>
      <c r="AL9" s="631">
        <v>3769908</v>
      </c>
      <c r="AM9" s="636" t="s">
        <v>2643</v>
      </c>
      <c r="AN9" s="648"/>
      <c r="AO9" s="636" t="s">
        <v>2646</v>
      </c>
      <c r="AP9" s="636" t="s">
        <v>2516</v>
      </c>
      <c r="AQ9" s="631">
        <f>+AL9</f>
        <v>3769908</v>
      </c>
      <c r="AR9" s="1160">
        <v>0</v>
      </c>
      <c r="AS9" s="38" t="s">
        <v>2448</v>
      </c>
      <c r="AT9" s="38" t="s">
        <v>37</v>
      </c>
      <c r="AU9" s="4" t="str">
        <f t="shared" si="2"/>
        <v>En gestión</v>
      </c>
      <c r="AV9" s="4" t="str">
        <f t="shared" si="3"/>
        <v>Sin iniciar</v>
      </c>
      <c r="AW9" s="636" t="s">
        <v>1556</v>
      </c>
      <c r="AX9" s="652">
        <f>SUMPRODUCT(O9:O10,AR9:AR10)</f>
        <v>0</v>
      </c>
      <c r="AY9" s="653">
        <f>SUMPRODUCT(S9:S10,O9:O10)</f>
        <v>0.51</v>
      </c>
      <c r="AZ9" s="630" t="str">
        <f>IF(AY9&lt;1%,"Sin iniciar",IF(AY9=100%,"Terminado","En gestión"))</f>
        <v>En gestión</v>
      </c>
      <c r="BA9" s="630" t="str">
        <f>IF(AX9&lt;1%,"Sin iniciar",IF(AX9=100%,"Terminado","En gestión"))</f>
        <v>Sin iniciar</v>
      </c>
      <c r="BB9" s="39"/>
      <c r="BC9" s="39"/>
      <c r="BD9" s="631">
        <v>53180344.700000003</v>
      </c>
      <c r="BE9" s="631">
        <v>53180344.700000003</v>
      </c>
      <c r="BF9" s="631">
        <v>26590172.350000001</v>
      </c>
      <c r="BG9" s="631">
        <v>15079632</v>
      </c>
      <c r="BH9" s="631">
        <v>15079632</v>
      </c>
      <c r="BI9" s="631">
        <v>7539816</v>
      </c>
      <c r="BJ9" s="636" t="s">
        <v>2643</v>
      </c>
      <c r="BK9" s="648"/>
      <c r="BL9" s="636" t="s">
        <v>2646</v>
      </c>
      <c r="BM9" s="636" t="s">
        <v>2516</v>
      </c>
      <c r="BN9" s="645" t="s">
        <v>2644</v>
      </c>
      <c r="BO9" s="345">
        <v>0.65</v>
      </c>
      <c r="BP9" s="40" t="s">
        <v>2786</v>
      </c>
      <c r="BQ9" s="40" t="s">
        <v>2787</v>
      </c>
      <c r="BR9" s="4" t="str">
        <f t="shared" si="5"/>
        <v>En gestión</v>
      </c>
      <c r="BS9" s="4" t="str">
        <f t="shared" si="4"/>
        <v>En gestión</v>
      </c>
      <c r="BT9" s="649" t="s">
        <v>2788</v>
      </c>
      <c r="BU9" s="646">
        <f>SUMPRODUCT(O9:O10,BO9:BO10)</f>
        <v>0.55999999999999994</v>
      </c>
      <c r="BV9" s="647">
        <f>SUMPRODUCT(O9:O10,T9:T10)</f>
        <v>0.55999999999999994</v>
      </c>
      <c r="BW9" s="630" t="str">
        <f>IF(BV9&lt;1%,"Sin iniciar",IF(BV9=100%,"Terminado","En gestión"))</f>
        <v>En gestión</v>
      </c>
      <c r="BX9" s="630" t="str">
        <f>IF(BU9&lt;1%,"Sin iniciar",IF(BU9=100%,"Terminado","En gestión"))</f>
        <v>En gestión</v>
      </c>
      <c r="BY9" s="617" t="s">
        <v>37</v>
      </c>
      <c r="BZ9" s="617"/>
      <c r="CA9" s="631">
        <v>53183173.700000003</v>
      </c>
      <c r="CB9" s="631">
        <v>53183173.700000003</v>
      </c>
      <c r="CC9" s="631">
        <v>39885258.524999999</v>
      </c>
      <c r="CD9" s="631">
        <v>15079632</v>
      </c>
      <c r="CE9" s="631">
        <v>15079632</v>
      </c>
      <c r="CF9" s="631">
        <v>11309724</v>
      </c>
      <c r="CG9" s="636" t="s">
        <v>2643</v>
      </c>
      <c r="CH9" s="649" t="s">
        <v>2646</v>
      </c>
      <c r="CI9" s="636" t="s">
        <v>2516</v>
      </c>
      <c r="CJ9" s="645" t="s">
        <v>2644</v>
      </c>
    </row>
    <row r="10" spans="1:89" s="14" customFormat="1" ht="171.95" customHeight="1" x14ac:dyDescent="0.25">
      <c r="B10" s="1221"/>
      <c r="C10" s="632"/>
      <c r="D10" s="33" t="s">
        <v>25</v>
      </c>
      <c r="E10" s="33" t="s">
        <v>26</v>
      </c>
      <c r="F10" s="633"/>
      <c r="G10" s="33" t="s">
        <v>28</v>
      </c>
      <c r="H10" s="33" t="s">
        <v>28</v>
      </c>
      <c r="I10" s="33" t="s">
        <v>29</v>
      </c>
      <c r="J10" s="33" t="s">
        <v>47</v>
      </c>
      <c r="K10" s="634"/>
      <c r="L10" s="51" t="s">
        <v>48</v>
      </c>
      <c r="M10" s="34" t="s">
        <v>51</v>
      </c>
      <c r="N10" s="35" t="s">
        <v>2789</v>
      </c>
      <c r="O10" s="33">
        <v>0.3</v>
      </c>
      <c r="P10" s="36">
        <v>44392</v>
      </c>
      <c r="Q10" s="36">
        <v>44547</v>
      </c>
      <c r="R10" s="37">
        <v>0</v>
      </c>
      <c r="S10" s="37">
        <v>0.3</v>
      </c>
      <c r="T10" s="37">
        <v>0.35</v>
      </c>
      <c r="U10" s="37">
        <v>1</v>
      </c>
      <c r="V10" s="26">
        <v>0</v>
      </c>
      <c r="W10" s="38" t="s">
        <v>37</v>
      </c>
      <c r="X10" s="38" t="s">
        <v>37</v>
      </c>
      <c r="Y10" s="4" t="str">
        <f t="shared" si="0"/>
        <v>Sin iniciar</v>
      </c>
      <c r="Z10" s="4" t="str">
        <f t="shared" si="1"/>
        <v>Sin iniciar</v>
      </c>
      <c r="AA10" s="636"/>
      <c r="AB10" s="644"/>
      <c r="AC10" s="629"/>
      <c r="AD10" s="630"/>
      <c r="AE10" s="630"/>
      <c r="AF10" s="636"/>
      <c r="AG10" s="631"/>
      <c r="AH10" s="631"/>
      <c r="AI10" s="631"/>
      <c r="AJ10" s="631"/>
      <c r="AK10" s="631"/>
      <c r="AL10" s="631"/>
      <c r="AM10" s="636"/>
      <c r="AN10" s="648"/>
      <c r="AO10" s="636"/>
      <c r="AP10" s="636"/>
      <c r="AQ10" s="631"/>
      <c r="AR10" s="1160">
        <v>0</v>
      </c>
      <c r="AS10" s="38" t="s">
        <v>2448</v>
      </c>
      <c r="AT10" s="38" t="s">
        <v>37</v>
      </c>
      <c r="AU10" s="4" t="str">
        <f t="shared" si="2"/>
        <v>En gestión</v>
      </c>
      <c r="AV10" s="4" t="str">
        <f t="shared" si="3"/>
        <v>Sin iniciar</v>
      </c>
      <c r="AW10" s="636"/>
      <c r="AX10" s="652"/>
      <c r="AY10" s="653"/>
      <c r="AZ10" s="630"/>
      <c r="BA10" s="630"/>
      <c r="BB10" s="39"/>
      <c r="BC10" s="39"/>
      <c r="BD10" s="631"/>
      <c r="BE10" s="631"/>
      <c r="BF10" s="631"/>
      <c r="BG10" s="631"/>
      <c r="BH10" s="631"/>
      <c r="BI10" s="631"/>
      <c r="BJ10" s="636"/>
      <c r="BK10" s="648"/>
      <c r="BL10" s="636"/>
      <c r="BM10" s="636"/>
      <c r="BN10" s="645"/>
      <c r="BO10" s="345">
        <v>0.35</v>
      </c>
      <c r="BP10" s="40" t="s">
        <v>2790</v>
      </c>
      <c r="BQ10" s="40" t="s">
        <v>2791</v>
      </c>
      <c r="BR10" s="4" t="str">
        <f t="shared" si="5"/>
        <v>En gestión</v>
      </c>
      <c r="BS10" s="4" t="str">
        <f t="shared" si="4"/>
        <v>En gestión</v>
      </c>
      <c r="BT10" s="649"/>
      <c r="BU10" s="646"/>
      <c r="BV10" s="647"/>
      <c r="BW10" s="630"/>
      <c r="BX10" s="630"/>
      <c r="BY10" s="617"/>
      <c r="BZ10" s="617"/>
      <c r="CA10" s="631"/>
      <c r="CB10" s="631"/>
      <c r="CC10" s="631"/>
      <c r="CD10" s="631"/>
      <c r="CE10" s="631"/>
      <c r="CF10" s="631"/>
      <c r="CG10" s="636"/>
      <c r="CH10" s="649"/>
      <c r="CI10" s="636"/>
      <c r="CJ10" s="645"/>
    </row>
    <row r="11" spans="1:89" s="14" customFormat="1" ht="171.95" customHeight="1" x14ac:dyDescent="0.25">
      <c r="B11" s="1221"/>
      <c r="C11" s="639" t="s">
        <v>2761</v>
      </c>
      <c r="D11" s="41" t="s">
        <v>1045</v>
      </c>
      <c r="E11" s="41" t="s">
        <v>26</v>
      </c>
      <c r="F11" s="640" t="s">
        <v>2765</v>
      </c>
      <c r="G11" s="41" t="s">
        <v>28</v>
      </c>
      <c r="H11" s="41" t="s">
        <v>28</v>
      </c>
      <c r="I11" s="41" t="s">
        <v>29</v>
      </c>
      <c r="J11" s="41" t="s">
        <v>194</v>
      </c>
      <c r="K11" s="641" t="s">
        <v>2762</v>
      </c>
      <c r="L11" s="52" t="s">
        <v>164</v>
      </c>
      <c r="M11" s="42" t="s">
        <v>2763</v>
      </c>
      <c r="N11" s="43" t="s">
        <v>2764</v>
      </c>
      <c r="O11" s="41">
        <v>0.5</v>
      </c>
      <c r="P11" s="44">
        <v>44291</v>
      </c>
      <c r="Q11" s="44">
        <v>44469</v>
      </c>
      <c r="R11" s="45">
        <v>0</v>
      </c>
      <c r="S11" s="45">
        <v>0.25</v>
      </c>
      <c r="T11" s="45">
        <v>1</v>
      </c>
      <c r="U11" s="45">
        <v>1</v>
      </c>
      <c r="V11" s="26">
        <v>0</v>
      </c>
      <c r="W11" s="46" t="s">
        <v>37</v>
      </c>
      <c r="X11" s="46" t="s">
        <v>37</v>
      </c>
      <c r="Y11" s="18" t="str">
        <f t="shared" si="0"/>
        <v>Sin iniciar</v>
      </c>
      <c r="Z11" s="18" t="str">
        <f t="shared" si="1"/>
        <v>Sin iniciar</v>
      </c>
      <c r="AA11" s="643" t="s">
        <v>37</v>
      </c>
      <c r="AB11" s="644">
        <f>SUMPRODUCT(O11:O12,V11:V12)</f>
        <v>0</v>
      </c>
      <c r="AC11" s="629">
        <f>SUMPRODUCT(O11:O12,R11:R12)</f>
        <v>0</v>
      </c>
      <c r="AD11" s="654" t="str">
        <f>IF(AC11&lt;1%,"Sin iniciar",IF(AC11=100%,"Terminado","En gestión"))</f>
        <v>Sin iniciar</v>
      </c>
      <c r="AE11" s="654" t="str">
        <f>IF(AB11&lt;1%,"Sin iniciar",IF(AB11=100%,"Terminado","En gestión"))</f>
        <v>Sin iniciar</v>
      </c>
      <c r="AF11" s="643" t="s">
        <v>37</v>
      </c>
      <c r="AG11" s="651">
        <v>0</v>
      </c>
      <c r="AH11" s="651">
        <v>0</v>
      </c>
      <c r="AI11" s="651">
        <v>0</v>
      </c>
      <c r="AJ11" s="651">
        <v>0</v>
      </c>
      <c r="AK11" s="651">
        <v>0</v>
      </c>
      <c r="AL11" s="651">
        <v>0</v>
      </c>
      <c r="AM11" s="643" t="s">
        <v>2643</v>
      </c>
      <c r="AN11" s="650"/>
      <c r="AO11" s="643" t="s">
        <v>2646</v>
      </c>
      <c r="AP11" s="643" t="s">
        <v>2516</v>
      </c>
      <c r="AQ11" s="651">
        <f>+AL11</f>
        <v>0</v>
      </c>
      <c r="AR11" s="1160">
        <v>0</v>
      </c>
      <c r="AS11" s="46" t="s">
        <v>2448</v>
      </c>
      <c r="AT11" s="46" t="s">
        <v>37</v>
      </c>
      <c r="AU11" s="18" t="str">
        <f t="shared" si="2"/>
        <v>En gestión</v>
      </c>
      <c r="AV11" s="18" t="str">
        <f t="shared" si="3"/>
        <v>Sin iniciar</v>
      </c>
      <c r="AW11" s="643" t="s">
        <v>2793</v>
      </c>
      <c r="AX11" s="652">
        <f>SUMPRODUCT(O11:O12,AR11:AR12)</f>
        <v>0</v>
      </c>
      <c r="AY11" s="653">
        <f>SUMPRODUCT(S11:S12,O11:O12)</f>
        <v>0.125</v>
      </c>
      <c r="AZ11" s="654" t="str">
        <f>IF(AY11&lt;1%,"Sin iniciar",IF(AY11=100%,"Terminado","En gestión"))</f>
        <v>En gestión</v>
      </c>
      <c r="BA11" s="654" t="str">
        <f>IF(AX11&lt;1%,"Sin iniciar",IF(AX11=100%,"Terminado","En gestión"))</f>
        <v>Sin iniciar</v>
      </c>
      <c r="BB11" s="49"/>
      <c r="BC11" s="49"/>
      <c r="BD11" s="651">
        <v>0</v>
      </c>
      <c r="BE11" s="651">
        <v>0</v>
      </c>
      <c r="BF11" s="651">
        <v>0</v>
      </c>
      <c r="BG11" s="651">
        <v>0</v>
      </c>
      <c r="BH11" s="651">
        <v>0</v>
      </c>
      <c r="BI11" s="651">
        <v>0</v>
      </c>
      <c r="BJ11" s="643" t="s">
        <v>2629</v>
      </c>
      <c r="BK11" s="650" t="s">
        <v>2629</v>
      </c>
      <c r="BL11" s="643" t="s">
        <v>2629</v>
      </c>
      <c r="BM11" s="643" t="s">
        <v>2629</v>
      </c>
      <c r="BN11" s="655" t="s">
        <v>2629</v>
      </c>
      <c r="BO11" s="345">
        <v>0.7</v>
      </c>
      <c r="BP11" s="53" t="s">
        <v>2794</v>
      </c>
      <c r="BQ11" s="53" t="s">
        <v>2795</v>
      </c>
      <c r="BR11" s="18" t="str">
        <f t="shared" si="5"/>
        <v>Terminado</v>
      </c>
      <c r="BS11" s="18" t="str">
        <f t="shared" si="4"/>
        <v>En gestión</v>
      </c>
      <c r="BT11" s="657" t="s">
        <v>2796</v>
      </c>
      <c r="BU11" s="646">
        <f>SUMPRODUCT(O11:O12,BO11:BO12)</f>
        <v>0.5</v>
      </c>
      <c r="BV11" s="647">
        <f>SUMPRODUCT(O11:O12,T11:T12)</f>
        <v>1</v>
      </c>
      <c r="BW11" s="654" t="str">
        <f>IF(BV11&lt;1%,"Sin iniciar",IF(BV11=100%,"Terminado","En gestión"))</f>
        <v>Terminado</v>
      </c>
      <c r="BX11" s="654" t="str">
        <f>IF(BU11&lt;1%,"Sin iniciar",IF(BU11=100%,"Terminado","En gestión"))</f>
        <v>En gestión</v>
      </c>
      <c r="BY11" s="618" t="s">
        <v>37</v>
      </c>
      <c r="BZ11" s="618"/>
      <c r="CA11" s="651">
        <v>16426313.65</v>
      </c>
      <c r="CB11" s="651">
        <v>16426313.65</v>
      </c>
      <c r="CC11" s="651">
        <v>12319735.237500001</v>
      </c>
      <c r="CD11" s="651">
        <v>29317855.372000001</v>
      </c>
      <c r="CE11" s="651">
        <v>29317855.372000001</v>
      </c>
      <c r="CF11" s="54">
        <v>16738392</v>
      </c>
      <c r="CG11" s="49" t="s">
        <v>2643</v>
      </c>
      <c r="CH11" s="53" t="s">
        <v>2646</v>
      </c>
      <c r="CI11" s="49" t="s">
        <v>2516</v>
      </c>
      <c r="CJ11" s="47" t="s">
        <v>2644</v>
      </c>
    </row>
    <row r="12" spans="1:89" s="14" customFormat="1" ht="171.95" customHeight="1" x14ac:dyDescent="0.25">
      <c r="B12" s="1221"/>
      <c r="C12" s="639"/>
      <c r="D12" s="41" t="s">
        <v>1045</v>
      </c>
      <c r="E12" s="41" t="s">
        <v>26</v>
      </c>
      <c r="F12" s="640"/>
      <c r="G12" s="41" t="s">
        <v>28</v>
      </c>
      <c r="H12" s="41" t="s">
        <v>28</v>
      </c>
      <c r="I12" s="41" t="s">
        <v>29</v>
      </c>
      <c r="J12" s="41" t="s">
        <v>194</v>
      </c>
      <c r="K12" s="641"/>
      <c r="L12" s="52" t="s">
        <v>164</v>
      </c>
      <c r="M12" s="42" t="s">
        <v>2766</v>
      </c>
      <c r="N12" s="43" t="s">
        <v>2767</v>
      </c>
      <c r="O12" s="41">
        <v>0.5</v>
      </c>
      <c r="P12" s="44">
        <v>44378</v>
      </c>
      <c r="Q12" s="44">
        <v>44469</v>
      </c>
      <c r="R12" s="45">
        <v>0</v>
      </c>
      <c r="S12" s="45">
        <v>0</v>
      </c>
      <c r="T12" s="45">
        <v>1</v>
      </c>
      <c r="U12" s="45">
        <v>1</v>
      </c>
      <c r="V12" s="26">
        <v>0</v>
      </c>
      <c r="W12" s="46" t="s">
        <v>37</v>
      </c>
      <c r="X12" s="46" t="s">
        <v>37</v>
      </c>
      <c r="Y12" s="18" t="str">
        <f t="shared" si="0"/>
        <v>Sin iniciar</v>
      </c>
      <c r="Z12" s="18" t="str">
        <f t="shared" si="1"/>
        <v>Sin iniciar</v>
      </c>
      <c r="AA12" s="643"/>
      <c r="AB12" s="644"/>
      <c r="AC12" s="629"/>
      <c r="AD12" s="654"/>
      <c r="AE12" s="654"/>
      <c r="AF12" s="643"/>
      <c r="AG12" s="651"/>
      <c r="AH12" s="651"/>
      <c r="AI12" s="651"/>
      <c r="AJ12" s="651"/>
      <c r="AK12" s="651"/>
      <c r="AL12" s="651"/>
      <c r="AM12" s="643"/>
      <c r="AN12" s="650"/>
      <c r="AO12" s="643"/>
      <c r="AP12" s="643"/>
      <c r="AQ12" s="651"/>
      <c r="AR12" s="1160">
        <v>0</v>
      </c>
      <c r="AS12" s="46" t="s">
        <v>37</v>
      </c>
      <c r="AT12" s="46" t="s">
        <v>37</v>
      </c>
      <c r="AU12" s="18" t="str">
        <f t="shared" si="2"/>
        <v>Sin iniciar</v>
      </c>
      <c r="AV12" s="18" t="str">
        <f t="shared" si="3"/>
        <v>Sin iniciar</v>
      </c>
      <c r="AW12" s="643"/>
      <c r="AX12" s="652"/>
      <c r="AY12" s="653"/>
      <c r="AZ12" s="654"/>
      <c r="BA12" s="654"/>
      <c r="BB12" s="49"/>
      <c r="BC12" s="49"/>
      <c r="BD12" s="651"/>
      <c r="BE12" s="651"/>
      <c r="BF12" s="651"/>
      <c r="BG12" s="651"/>
      <c r="BH12" s="651"/>
      <c r="BI12" s="651"/>
      <c r="BJ12" s="643"/>
      <c r="BK12" s="650"/>
      <c r="BL12" s="643"/>
      <c r="BM12" s="643"/>
      <c r="BN12" s="655"/>
      <c r="BO12" s="345">
        <v>0.3</v>
      </c>
      <c r="BP12" s="53" t="s">
        <v>2797</v>
      </c>
      <c r="BQ12" s="53" t="s">
        <v>2798</v>
      </c>
      <c r="BR12" s="18" t="str">
        <f t="shared" si="5"/>
        <v>Terminado</v>
      </c>
      <c r="BS12" s="18" t="str">
        <f t="shared" si="4"/>
        <v>En gestión</v>
      </c>
      <c r="BT12" s="657"/>
      <c r="BU12" s="646"/>
      <c r="BV12" s="647"/>
      <c r="BW12" s="654"/>
      <c r="BX12" s="654"/>
      <c r="BY12" s="618"/>
      <c r="BZ12" s="618"/>
      <c r="CA12" s="651"/>
      <c r="CB12" s="651"/>
      <c r="CC12" s="651"/>
      <c r="CD12" s="651"/>
      <c r="CE12" s="651"/>
      <c r="CF12" s="54">
        <v>5250000</v>
      </c>
      <c r="CG12" s="49" t="s">
        <v>2648</v>
      </c>
      <c r="CH12" s="49" t="s">
        <v>2648</v>
      </c>
      <c r="CI12" s="49" t="s">
        <v>2649</v>
      </c>
      <c r="CJ12" s="49" t="s">
        <v>2650</v>
      </c>
    </row>
    <row r="13" spans="1:89" s="14" customFormat="1" ht="171.95" customHeight="1" x14ac:dyDescent="0.25">
      <c r="B13" s="1221"/>
      <c r="C13" s="630" t="s">
        <v>56</v>
      </c>
      <c r="D13" s="33" t="s">
        <v>57</v>
      </c>
      <c r="E13" s="33" t="s">
        <v>26</v>
      </c>
      <c r="F13" s="633" t="s">
        <v>58</v>
      </c>
      <c r="G13" s="33" t="s">
        <v>28</v>
      </c>
      <c r="H13" s="33" t="s">
        <v>28</v>
      </c>
      <c r="I13" s="33" t="s">
        <v>59</v>
      </c>
      <c r="J13" s="33" t="s">
        <v>47</v>
      </c>
      <c r="K13" s="634" t="s">
        <v>60</v>
      </c>
      <c r="L13" s="51" t="s">
        <v>61</v>
      </c>
      <c r="M13" s="34" t="s">
        <v>62</v>
      </c>
      <c r="N13" s="35" t="s">
        <v>63</v>
      </c>
      <c r="O13" s="33">
        <v>0.5</v>
      </c>
      <c r="P13" s="36">
        <v>44228</v>
      </c>
      <c r="Q13" s="36">
        <v>44377</v>
      </c>
      <c r="R13" s="37">
        <v>0.5</v>
      </c>
      <c r="S13" s="37">
        <v>1</v>
      </c>
      <c r="T13" s="37">
        <v>1</v>
      </c>
      <c r="U13" s="37">
        <v>1</v>
      </c>
      <c r="V13" s="27">
        <v>0.5</v>
      </c>
      <c r="W13" s="13" t="s">
        <v>64</v>
      </c>
      <c r="X13" s="55" t="s">
        <v>2810</v>
      </c>
      <c r="Y13" s="5" t="str">
        <f t="shared" ref="Y13:Y42" si="6">IF(R13&lt;1%,"Sin iniciar",IF(R13=100%,"Terminado","En gestión"))</f>
        <v>En gestión</v>
      </c>
      <c r="Z13" s="5" t="str">
        <f t="shared" si="1"/>
        <v>En gestión</v>
      </c>
      <c r="AA13" s="531" t="s">
        <v>140</v>
      </c>
      <c r="AB13" s="596">
        <f>SUMPRODUCT(O13:O14,V13:V14)</f>
        <v>0.5</v>
      </c>
      <c r="AC13" s="597">
        <f>SUMPRODUCT(O13:O14,R13:R14)</f>
        <v>0.5</v>
      </c>
      <c r="AD13" s="610" t="str">
        <f>IF(AC13&lt;1%,"Sin iniciar",IF(AC13=100%,"Terminado","En gestión"))</f>
        <v>En gestión</v>
      </c>
      <c r="AE13" s="610" t="str">
        <f>IF(AB13&lt;1%,"Sin iniciar",IF(AB13=100%,"Terminado","En gestión"))</f>
        <v>En gestión</v>
      </c>
      <c r="AF13" s="56" t="s">
        <v>37</v>
      </c>
      <c r="AG13" s="583">
        <v>22963808</v>
      </c>
      <c r="AH13" s="583">
        <v>22963808</v>
      </c>
      <c r="AI13" s="583">
        <v>11481904</v>
      </c>
      <c r="AJ13" s="583">
        <v>6750000</v>
      </c>
      <c r="AK13" s="57">
        <v>6798000</v>
      </c>
      <c r="AL13" s="57">
        <v>1699500</v>
      </c>
      <c r="AM13" s="58" t="s">
        <v>2755</v>
      </c>
      <c r="AN13" s="603" t="s">
        <v>2556</v>
      </c>
      <c r="AO13" s="58" t="s">
        <v>2756</v>
      </c>
      <c r="AP13" s="13" t="s">
        <v>2634</v>
      </c>
      <c r="AQ13" s="59">
        <f>+AL13</f>
        <v>1699500</v>
      </c>
      <c r="AR13" s="1161">
        <v>1</v>
      </c>
      <c r="AS13" s="13" t="s">
        <v>146</v>
      </c>
      <c r="AT13" s="55" t="s">
        <v>2812</v>
      </c>
      <c r="AU13" s="5" t="str">
        <f t="shared" ref="AU13:AU42" si="7">IF(S13&lt;1%,"Sin iniciar",IF(S13=100%,"Terminado","En gestión"))</f>
        <v>Terminado</v>
      </c>
      <c r="AV13" s="5" t="str">
        <f t="shared" si="3"/>
        <v>Terminado</v>
      </c>
      <c r="AW13" s="531" t="s">
        <v>154</v>
      </c>
      <c r="AX13" s="599">
        <f>SUMPRODUCT(O13:O14,AR13:AR14)</f>
        <v>1</v>
      </c>
      <c r="AY13" s="600">
        <f>SUMPRODUCT(S13:S14,O13:O14)</f>
        <v>1</v>
      </c>
      <c r="AZ13" s="610" t="str">
        <f>IF(AY13&lt;1%,"Sin iniciar",IF(AY13=100%,"Terminado","En gestión"))</f>
        <v>Terminado</v>
      </c>
      <c r="BA13" s="610" t="str">
        <f>IF(AX13&lt;1%,"Sin iniciar",IF(AX13=100%,"Terminado","En gestión"))</f>
        <v>Terminado</v>
      </c>
      <c r="BB13" s="56"/>
      <c r="BC13" s="56"/>
      <c r="BD13" s="583">
        <v>22963808</v>
      </c>
      <c r="BE13" s="583">
        <v>11481904</v>
      </c>
      <c r="BF13" s="583">
        <v>11481904</v>
      </c>
      <c r="BG13" s="57">
        <v>6798000</v>
      </c>
      <c r="BH13" s="57">
        <v>6798000</v>
      </c>
      <c r="BI13" s="57">
        <v>1699500</v>
      </c>
      <c r="BJ13" s="58" t="s">
        <v>2755</v>
      </c>
      <c r="BK13" s="58" t="s">
        <v>2756</v>
      </c>
      <c r="BL13" s="13" t="s">
        <v>2634</v>
      </c>
      <c r="BM13" s="13" t="s">
        <v>2760</v>
      </c>
      <c r="BN13" s="60"/>
      <c r="BO13" s="347">
        <v>1</v>
      </c>
      <c r="BP13" s="11" t="s">
        <v>2814</v>
      </c>
      <c r="BQ13" s="12" t="s">
        <v>28</v>
      </c>
      <c r="BR13" s="5" t="str">
        <f t="shared" ref="BR13:BR42" si="8">IF(T13&lt;1%,"Sin iniciar",IF(T13=100%,"Terminado","En gestión"))</f>
        <v>Terminado</v>
      </c>
      <c r="BS13" s="5" t="str">
        <f t="shared" ref="BS13:BS42" si="9">IF(BO13&lt;1%,"Sin iniciar",IF(BO13=100%,"Terminado","En gestión"))</f>
        <v>Terminado</v>
      </c>
      <c r="BT13" s="573" t="s">
        <v>2815</v>
      </c>
      <c r="BU13" s="561">
        <f>SUMPRODUCT(O13:O14,BO13:BO14)</f>
        <v>1</v>
      </c>
      <c r="BV13" s="562">
        <f>SUMPRODUCT(O13:O14,T13:T14)</f>
        <v>1</v>
      </c>
      <c r="BW13" s="610" t="str">
        <f>IF(BV13&lt;1%,"Sin iniciar",IF(BV13=100%,"Terminado","En gestión"))</f>
        <v>Terminado</v>
      </c>
      <c r="BX13" s="610" t="str">
        <f>IF(BU13&lt;1%,"Sin iniciar",IF(BU13=100%,"Terminado","En gestión"))</f>
        <v>Terminado</v>
      </c>
      <c r="BY13" s="617" t="s">
        <v>37</v>
      </c>
      <c r="BZ13" s="573"/>
      <c r="CA13" s="57">
        <v>22963808</v>
      </c>
      <c r="CB13" s="57">
        <v>11481904</v>
      </c>
      <c r="CC13" s="57">
        <v>11481904</v>
      </c>
      <c r="CD13" s="57">
        <v>6798000</v>
      </c>
      <c r="CE13" s="57">
        <v>6798000</v>
      </c>
      <c r="CF13" s="61">
        <v>6798000</v>
      </c>
      <c r="CG13" s="58" t="s">
        <v>2755</v>
      </c>
      <c r="CH13" s="58" t="s">
        <v>2756</v>
      </c>
      <c r="CI13" s="13" t="s">
        <v>2634</v>
      </c>
      <c r="CJ13" s="13" t="s">
        <v>2760</v>
      </c>
    </row>
    <row r="14" spans="1:89" ht="171.95" customHeight="1" x14ac:dyDescent="0.25">
      <c r="B14" s="1221"/>
      <c r="C14" s="630"/>
      <c r="D14" s="33" t="s">
        <v>57</v>
      </c>
      <c r="E14" s="33" t="s">
        <v>26</v>
      </c>
      <c r="F14" s="633"/>
      <c r="G14" s="33" t="s">
        <v>28</v>
      </c>
      <c r="H14" s="33" t="s">
        <v>28</v>
      </c>
      <c r="I14" s="33" t="s">
        <v>59</v>
      </c>
      <c r="J14" s="33" t="s">
        <v>47</v>
      </c>
      <c r="K14" s="634"/>
      <c r="L14" s="51" t="s">
        <v>61</v>
      </c>
      <c r="M14" s="34" t="s">
        <v>65</v>
      </c>
      <c r="N14" s="35" t="s">
        <v>66</v>
      </c>
      <c r="O14" s="33">
        <v>0.5</v>
      </c>
      <c r="P14" s="36">
        <v>44228</v>
      </c>
      <c r="Q14" s="36">
        <v>44377</v>
      </c>
      <c r="R14" s="37">
        <v>0.5</v>
      </c>
      <c r="S14" s="37">
        <v>1</v>
      </c>
      <c r="T14" s="37">
        <v>1</v>
      </c>
      <c r="U14" s="37">
        <v>1</v>
      </c>
      <c r="V14" s="27">
        <v>0.5</v>
      </c>
      <c r="W14" s="13" t="s">
        <v>67</v>
      </c>
      <c r="X14" s="55" t="s">
        <v>2812</v>
      </c>
      <c r="Y14" s="5" t="str">
        <f t="shared" si="6"/>
        <v>En gestión</v>
      </c>
      <c r="Z14" s="5" t="str">
        <f t="shared" si="1"/>
        <v>En gestión</v>
      </c>
      <c r="AA14" s="536"/>
      <c r="AB14" s="596"/>
      <c r="AC14" s="597"/>
      <c r="AD14" s="610"/>
      <c r="AE14" s="610"/>
      <c r="AF14" s="56" t="s">
        <v>37</v>
      </c>
      <c r="AG14" s="583"/>
      <c r="AH14" s="583"/>
      <c r="AI14" s="583"/>
      <c r="AJ14" s="583"/>
      <c r="AK14" s="57">
        <v>11490800</v>
      </c>
      <c r="AL14" s="57">
        <v>2872700</v>
      </c>
      <c r="AM14" s="58" t="s">
        <v>2757</v>
      </c>
      <c r="AN14" s="603"/>
      <c r="AO14" s="58" t="s">
        <v>2758</v>
      </c>
      <c r="AP14" s="13" t="s">
        <v>2479</v>
      </c>
      <c r="AQ14" s="59">
        <f>+AL14</f>
        <v>2872700</v>
      </c>
      <c r="AR14" s="1161">
        <v>1</v>
      </c>
      <c r="AS14" s="13" t="s">
        <v>147</v>
      </c>
      <c r="AT14" s="55" t="s">
        <v>2812</v>
      </c>
      <c r="AU14" s="5" t="str">
        <f t="shared" si="7"/>
        <v>Terminado</v>
      </c>
      <c r="AV14" s="5" t="str">
        <f t="shared" si="3"/>
        <v>Terminado</v>
      </c>
      <c r="AW14" s="536"/>
      <c r="AX14" s="599"/>
      <c r="AY14" s="600"/>
      <c r="AZ14" s="610"/>
      <c r="BA14" s="610"/>
      <c r="BB14" s="13"/>
      <c r="BC14" s="56"/>
      <c r="BD14" s="583"/>
      <c r="BE14" s="583"/>
      <c r="BF14" s="583"/>
      <c r="BG14" s="57">
        <v>11490800</v>
      </c>
      <c r="BH14" s="57">
        <v>11490800</v>
      </c>
      <c r="BI14" s="57">
        <v>2872700</v>
      </c>
      <c r="BJ14" s="58" t="s">
        <v>2757</v>
      </c>
      <c r="BK14" s="58" t="s">
        <v>2758</v>
      </c>
      <c r="BL14" s="13" t="s">
        <v>2479</v>
      </c>
      <c r="BM14" s="13" t="s">
        <v>2759</v>
      </c>
      <c r="BN14" s="60"/>
      <c r="BO14" s="347">
        <v>1</v>
      </c>
      <c r="BP14" s="12" t="s">
        <v>2814</v>
      </c>
      <c r="BQ14" s="12" t="s">
        <v>28</v>
      </c>
      <c r="BR14" s="5" t="str">
        <f t="shared" si="8"/>
        <v>Terminado</v>
      </c>
      <c r="BS14" s="5" t="str">
        <f t="shared" si="9"/>
        <v>Terminado</v>
      </c>
      <c r="BT14" s="573"/>
      <c r="BU14" s="561"/>
      <c r="BV14" s="562"/>
      <c r="BW14" s="610"/>
      <c r="BX14" s="610"/>
      <c r="BY14" s="617"/>
      <c r="BZ14" s="573"/>
      <c r="CA14" s="57"/>
      <c r="CB14" s="57"/>
      <c r="CC14" s="57"/>
      <c r="CD14" s="57">
        <v>11490800</v>
      </c>
      <c r="CE14" s="57">
        <v>11490800</v>
      </c>
      <c r="CF14" s="57">
        <v>11490800</v>
      </c>
      <c r="CG14" s="58" t="s">
        <v>2757</v>
      </c>
      <c r="CH14" s="58" t="s">
        <v>2758</v>
      </c>
      <c r="CI14" s="13" t="s">
        <v>2479</v>
      </c>
      <c r="CJ14" s="13" t="s">
        <v>2759</v>
      </c>
    </row>
    <row r="15" spans="1:89" ht="171.95" customHeight="1" x14ac:dyDescent="0.25">
      <c r="B15" s="1221"/>
      <c r="C15" s="654" t="s">
        <v>68</v>
      </c>
      <c r="D15" s="41" t="s">
        <v>57</v>
      </c>
      <c r="E15" s="41" t="s">
        <v>26</v>
      </c>
      <c r="F15" s="640" t="s">
        <v>69</v>
      </c>
      <c r="G15" s="41" t="s">
        <v>28</v>
      </c>
      <c r="H15" s="41" t="s">
        <v>28</v>
      </c>
      <c r="I15" s="41" t="s">
        <v>59</v>
      </c>
      <c r="J15" s="41" t="s">
        <v>30</v>
      </c>
      <c r="K15" s="641" t="s">
        <v>70</v>
      </c>
      <c r="L15" s="52" t="s">
        <v>61</v>
      </c>
      <c r="M15" s="42" t="s">
        <v>71</v>
      </c>
      <c r="N15" s="43" t="s">
        <v>72</v>
      </c>
      <c r="O15" s="41">
        <v>0.1</v>
      </c>
      <c r="P15" s="44">
        <v>44211</v>
      </c>
      <c r="Q15" s="44">
        <v>44286</v>
      </c>
      <c r="R15" s="45">
        <v>0.25</v>
      </c>
      <c r="S15" s="45">
        <v>0.5</v>
      </c>
      <c r="T15" s="45">
        <v>1</v>
      </c>
      <c r="U15" s="45">
        <v>1</v>
      </c>
      <c r="V15" s="27">
        <v>0.1</v>
      </c>
      <c r="W15" s="62" t="s">
        <v>73</v>
      </c>
      <c r="X15" s="63" t="s">
        <v>2816</v>
      </c>
      <c r="Y15" s="19" t="str">
        <f t="shared" si="6"/>
        <v>En gestión</v>
      </c>
      <c r="Z15" s="19" t="str">
        <f t="shared" si="1"/>
        <v>En gestión</v>
      </c>
      <c r="AA15" s="532" t="s">
        <v>141</v>
      </c>
      <c r="AB15" s="596">
        <f>SUMPRODUCT(O15:O21,V15:V21)</f>
        <v>0.17</v>
      </c>
      <c r="AC15" s="597">
        <f>SUMPRODUCT(O15:O21,R15:R21)</f>
        <v>0.10500000000000001</v>
      </c>
      <c r="AD15" s="611" t="str">
        <f>IF(AC15&lt;1%,"Sin iniciar",IF(AC15=100%,"Terminado","En gestión"))</f>
        <v>En gestión</v>
      </c>
      <c r="AE15" s="611" t="str">
        <f>IF(AB15&lt;1%,"Sin iniciar",IF(AB15=100%,"Terminado","En gestión"))</f>
        <v>En gestión</v>
      </c>
      <c r="AF15" s="62" t="s">
        <v>142</v>
      </c>
      <c r="AG15" s="579">
        <v>1627100</v>
      </c>
      <c r="AH15" s="579">
        <v>0</v>
      </c>
      <c r="AI15" s="579">
        <v>813550</v>
      </c>
      <c r="AJ15" s="579">
        <v>2472000</v>
      </c>
      <c r="AK15" s="579">
        <v>6798000</v>
      </c>
      <c r="AL15" s="579">
        <v>1699500</v>
      </c>
      <c r="AM15" s="658" t="s">
        <v>2755</v>
      </c>
      <c r="AN15" s="598" t="s">
        <v>2556</v>
      </c>
      <c r="AO15" s="658" t="s">
        <v>2756</v>
      </c>
      <c r="AP15" s="658" t="s">
        <v>2634</v>
      </c>
      <c r="AQ15" s="579">
        <f>+AL15</f>
        <v>1699500</v>
      </c>
      <c r="AR15" s="1161">
        <v>0.4</v>
      </c>
      <c r="AS15" s="62" t="s">
        <v>148</v>
      </c>
      <c r="AT15" s="63"/>
      <c r="AU15" s="19" t="str">
        <f t="shared" si="7"/>
        <v>En gestión</v>
      </c>
      <c r="AV15" s="19" t="str">
        <f t="shared" si="3"/>
        <v>En gestión</v>
      </c>
      <c r="AW15" s="532" t="s">
        <v>149</v>
      </c>
      <c r="AX15" s="599">
        <f>SUMPRODUCT(O15:O21,AR15:AR21)</f>
        <v>0.30000000000000004</v>
      </c>
      <c r="AY15" s="600">
        <f>SUMPRODUCT(S15:S21,O15:O21)</f>
        <v>0.35500000000000004</v>
      </c>
      <c r="AZ15" s="611" t="str">
        <f>IF(AY15&lt;1%,"Sin iniciar",IF(AY15=100%,"Terminado","En gestión"))</f>
        <v>En gestión</v>
      </c>
      <c r="BA15" s="611" t="str">
        <f>IF(AX15&lt;1%,"Sin iniciar",IF(AX15=100%,"Terminado","En gestión"))</f>
        <v>En gestión</v>
      </c>
      <c r="BB15" s="62" t="s">
        <v>155</v>
      </c>
      <c r="BC15" s="62"/>
      <c r="BD15" s="579">
        <v>1627100</v>
      </c>
      <c r="BE15" s="579">
        <v>0</v>
      </c>
      <c r="BF15" s="579">
        <v>0</v>
      </c>
      <c r="BG15" s="579">
        <v>6798000</v>
      </c>
      <c r="BH15" s="579">
        <v>6798000</v>
      </c>
      <c r="BI15" s="579">
        <v>3399000</v>
      </c>
      <c r="BJ15" s="658" t="s">
        <v>2755</v>
      </c>
      <c r="BK15" s="658" t="s">
        <v>2756</v>
      </c>
      <c r="BL15" s="658" t="s">
        <v>2634</v>
      </c>
      <c r="BM15" s="579" t="s">
        <v>2760</v>
      </c>
      <c r="BN15" s="50"/>
      <c r="BO15" s="348">
        <v>0.6</v>
      </c>
      <c r="BP15" s="24" t="s">
        <v>2818</v>
      </c>
      <c r="BQ15" s="24" t="s">
        <v>2819</v>
      </c>
      <c r="BR15" s="19" t="str">
        <f t="shared" si="8"/>
        <v>Terminado</v>
      </c>
      <c r="BS15" s="19" t="str">
        <f t="shared" si="9"/>
        <v>En gestión</v>
      </c>
      <c r="BT15" s="585" t="s">
        <v>2820</v>
      </c>
      <c r="BU15" s="561">
        <f>SUMPRODUCT(O15:O21,BO15:BO21)</f>
        <v>0.82000000000000006</v>
      </c>
      <c r="BV15" s="562">
        <f>SUMPRODUCT(O15:O21,T15:T21)</f>
        <v>0.71</v>
      </c>
      <c r="BW15" s="611" t="str">
        <f>IF(BV15&lt;1%,"Sin iniciar",IF(BV15=100%,"Terminado","En gestión"))</f>
        <v>En gestión</v>
      </c>
      <c r="BX15" s="611" t="str">
        <f>IF(BU15&lt;1%,"Sin iniciar",IF(BU15=100%,"Terminado","En gestión"))</f>
        <v>En gestión</v>
      </c>
      <c r="BY15" s="24" t="s">
        <v>2859</v>
      </c>
      <c r="BZ15" s="578"/>
      <c r="CA15" s="64">
        <v>1627100</v>
      </c>
      <c r="CB15" s="64">
        <v>6508400</v>
      </c>
      <c r="CC15" s="64">
        <v>4881100</v>
      </c>
      <c r="CD15" s="64">
        <v>6798000</v>
      </c>
      <c r="CE15" s="64">
        <v>6798000</v>
      </c>
      <c r="CF15" s="64">
        <v>5871000</v>
      </c>
      <c r="CG15" s="65" t="s">
        <v>2755</v>
      </c>
      <c r="CH15" s="65" t="s">
        <v>2756</v>
      </c>
      <c r="CI15" s="65" t="s">
        <v>2634</v>
      </c>
      <c r="CJ15" s="64" t="s">
        <v>2760</v>
      </c>
    </row>
    <row r="16" spans="1:89" ht="171.95" customHeight="1" x14ac:dyDescent="0.25">
      <c r="B16" s="1221"/>
      <c r="C16" s="654"/>
      <c r="D16" s="41" t="s">
        <v>57</v>
      </c>
      <c r="E16" s="41" t="s">
        <v>26</v>
      </c>
      <c r="F16" s="640"/>
      <c r="G16" s="41" t="s">
        <v>28</v>
      </c>
      <c r="H16" s="41" t="s">
        <v>28</v>
      </c>
      <c r="I16" s="41" t="s">
        <v>59</v>
      </c>
      <c r="J16" s="41" t="s">
        <v>30</v>
      </c>
      <c r="K16" s="641"/>
      <c r="L16" s="52" t="s">
        <v>61</v>
      </c>
      <c r="M16" s="42" t="s">
        <v>74</v>
      </c>
      <c r="N16" s="43" t="s">
        <v>75</v>
      </c>
      <c r="O16" s="41">
        <v>0.1</v>
      </c>
      <c r="P16" s="44">
        <v>44287</v>
      </c>
      <c r="Q16" s="44">
        <v>44377</v>
      </c>
      <c r="R16" s="45">
        <v>0</v>
      </c>
      <c r="S16" s="45">
        <v>1</v>
      </c>
      <c r="T16" s="45">
        <v>1</v>
      </c>
      <c r="U16" s="45">
        <v>1</v>
      </c>
      <c r="V16" s="27">
        <v>0</v>
      </c>
      <c r="W16" s="62" t="s">
        <v>37</v>
      </c>
      <c r="X16" s="63" t="s">
        <v>37</v>
      </c>
      <c r="Y16" s="19" t="str">
        <f t="shared" si="6"/>
        <v>Sin iniciar</v>
      </c>
      <c r="Z16" s="19" t="str">
        <f t="shared" si="1"/>
        <v>Sin iniciar</v>
      </c>
      <c r="AA16" s="530"/>
      <c r="AB16" s="596"/>
      <c r="AC16" s="597"/>
      <c r="AD16" s="611"/>
      <c r="AE16" s="611"/>
      <c r="AF16" s="66" t="s">
        <v>37</v>
      </c>
      <c r="AG16" s="579"/>
      <c r="AH16" s="579"/>
      <c r="AI16" s="579"/>
      <c r="AJ16" s="579"/>
      <c r="AK16" s="579"/>
      <c r="AL16" s="579"/>
      <c r="AM16" s="658"/>
      <c r="AN16" s="598"/>
      <c r="AO16" s="658" t="s">
        <v>2756</v>
      </c>
      <c r="AP16" s="658" t="s">
        <v>2634</v>
      </c>
      <c r="AQ16" s="579"/>
      <c r="AR16" s="1161">
        <v>1</v>
      </c>
      <c r="AS16" s="62" t="s">
        <v>149</v>
      </c>
      <c r="AT16" s="63" t="s">
        <v>2812</v>
      </c>
      <c r="AU16" s="19" t="str">
        <f t="shared" si="7"/>
        <v>Terminado</v>
      </c>
      <c r="AV16" s="19" t="str">
        <f t="shared" si="3"/>
        <v>Terminado</v>
      </c>
      <c r="AW16" s="530"/>
      <c r="AX16" s="599"/>
      <c r="AY16" s="600"/>
      <c r="AZ16" s="611"/>
      <c r="BA16" s="611"/>
      <c r="BB16" s="66"/>
      <c r="BC16" s="66"/>
      <c r="BD16" s="579"/>
      <c r="BE16" s="579"/>
      <c r="BF16" s="579"/>
      <c r="BG16" s="579"/>
      <c r="BH16" s="579"/>
      <c r="BI16" s="579"/>
      <c r="BJ16" s="658"/>
      <c r="BK16" s="658" t="s">
        <v>2756</v>
      </c>
      <c r="BL16" s="658" t="s">
        <v>2634</v>
      </c>
      <c r="BM16" s="579"/>
      <c r="BN16" s="50"/>
      <c r="BO16" s="347">
        <v>1</v>
      </c>
      <c r="BP16" s="25" t="s">
        <v>2814</v>
      </c>
      <c r="BQ16" s="25" t="s">
        <v>28</v>
      </c>
      <c r="BR16" s="19" t="str">
        <f t="shared" si="8"/>
        <v>Terminado</v>
      </c>
      <c r="BS16" s="19" t="str">
        <f t="shared" si="9"/>
        <v>Terminado</v>
      </c>
      <c r="BT16" s="585"/>
      <c r="BU16" s="561"/>
      <c r="BV16" s="562"/>
      <c r="BW16" s="611"/>
      <c r="BX16" s="611"/>
      <c r="BY16" s="578" t="s">
        <v>37</v>
      </c>
      <c r="BZ16" s="578"/>
      <c r="CA16" s="64"/>
      <c r="CB16" s="64"/>
      <c r="CC16" s="64"/>
      <c r="CD16" s="64"/>
      <c r="CE16" s="64"/>
      <c r="CF16" s="64"/>
      <c r="CG16" s="65"/>
      <c r="CH16" s="65" t="s">
        <v>2756</v>
      </c>
      <c r="CI16" s="65" t="s">
        <v>2634</v>
      </c>
      <c r="CJ16" s="64"/>
    </row>
    <row r="17" spans="2:88" ht="171.95" customHeight="1" x14ac:dyDescent="0.25">
      <c r="B17" s="1221"/>
      <c r="C17" s="654"/>
      <c r="D17" s="41" t="s">
        <v>57</v>
      </c>
      <c r="E17" s="41" t="s">
        <v>26</v>
      </c>
      <c r="F17" s="640"/>
      <c r="G17" s="41" t="s">
        <v>28</v>
      </c>
      <c r="H17" s="41" t="s">
        <v>28</v>
      </c>
      <c r="I17" s="41" t="s">
        <v>59</v>
      </c>
      <c r="J17" s="41" t="s">
        <v>30</v>
      </c>
      <c r="K17" s="641"/>
      <c r="L17" s="52" t="s">
        <v>61</v>
      </c>
      <c r="M17" s="42" t="s">
        <v>76</v>
      </c>
      <c r="N17" s="43" t="s">
        <v>77</v>
      </c>
      <c r="O17" s="41">
        <v>0.12</v>
      </c>
      <c r="P17" s="44">
        <v>44378</v>
      </c>
      <c r="Q17" s="44">
        <v>44469</v>
      </c>
      <c r="R17" s="45">
        <v>0</v>
      </c>
      <c r="S17" s="45">
        <v>0</v>
      </c>
      <c r="T17" s="45">
        <v>1</v>
      </c>
      <c r="U17" s="45">
        <v>1</v>
      </c>
      <c r="V17" s="27">
        <v>0</v>
      </c>
      <c r="W17" s="62" t="s">
        <v>37</v>
      </c>
      <c r="X17" s="63" t="s">
        <v>37</v>
      </c>
      <c r="Y17" s="19" t="str">
        <f t="shared" si="6"/>
        <v>Sin iniciar</v>
      </c>
      <c r="Z17" s="19" t="str">
        <f t="shared" si="1"/>
        <v>Sin iniciar</v>
      </c>
      <c r="AA17" s="530"/>
      <c r="AB17" s="596"/>
      <c r="AC17" s="597"/>
      <c r="AD17" s="611"/>
      <c r="AE17" s="611"/>
      <c r="AF17" s="66" t="s">
        <v>37</v>
      </c>
      <c r="AG17" s="579"/>
      <c r="AH17" s="579"/>
      <c r="AI17" s="579"/>
      <c r="AJ17" s="579"/>
      <c r="AK17" s="579"/>
      <c r="AL17" s="579"/>
      <c r="AM17" s="658"/>
      <c r="AN17" s="598"/>
      <c r="AO17" s="658" t="s">
        <v>2756</v>
      </c>
      <c r="AP17" s="658" t="s">
        <v>2634</v>
      </c>
      <c r="AQ17" s="579"/>
      <c r="AR17" s="1161">
        <v>0</v>
      </c>
      <c r="AS17" s="62" t="s">
        <v>2437</v>
      </c>
      <c r="AT17" s="63"/>
      <c r="AU17" s="19" t="str">
        <f t="shared" si="7"/>
        <v>Sin iniciar</v>
      </c>
      <c r="AV17" s="19" t="str">
        <f t="shared" si="3"/>
        <v>Sin iniciar</v>
      </c>
      <c r="AW17" s="530"/>
      <c r="AX17" s="599"/>
      <c r="AY17" s="600"/>
      <c r="AZ17" s="611"/>
      <c r="BA17" s="611"/>
      <c r="BB17" s="62"/>
      <c r="BC17" s="66"/>
      <c r="BD17" s="579"/>
      <c r="BE17" s="579"/>
      <c r="BF17" s="579"/>
      <c r="BG17" s="579"/>
      <c r="BH17" s="579"/>
      <c r="BI17" s="579"/>
      <c r="BJ17" s="658"/>
      <c r="BK17" s="658" t="s">
        <v>2756</v>
      </c>
      <c r="BL17" s="658" t="s">
        <v>2634</v>
      </c>
      <c r="BM17" s="579"/>
      <c r="BN17" s="50"/>
      <c r="BO17" s="347">
        <v>1</v>
      </c>
      <c r="BP17" s="24" t="s">
        <v>2822</v>
      </c>
      <c r="BQ17" s="24" t="s">
        <v>2823</v>
      </c>
      <c r="BR17" s="19" t="str">
        <f t="shared" si="8"/>
        <v>Terminado</v>
      </c>
      <c r="BS17" s="19" t="str">
        <f t="shared" si="9"/>
        <v>Terminado</v>
      </c>
      <c r="BT17" s="585"/>
      <c r="BU17" s="561"/>
      <c r="BV17" s="562"/>
      <c r="BW17" s="611"/>
      <c r="BX17" s="611"/>
      <c r="BY17" s="578"/>
      <c r="BZ17" s="578"/>
      <c r="CA17" s="64"/>
      <c r="CB17" s="64"/>
      <c r="CC17" s="64"/>
      <c r="CD17" s="64"/>
      <c r="CE17" s="64"/>
      <c r="CF17" s="64"/>
      <c r="CG17" s="65"/>
      <c r="CH17" s="65" t="s">
        <v>2756</v>
      </c>
      <c r="CI17" s="65" t="s">
        <v>2634</v>
      </c>
      <c r="CJ17" s="64"/>
    </row>
    <row r="18" spans="2:88" ht="171.95" customHeight="1" x14ac:dyDescent="0.25">
      <c r="B18" s="1221"/>
      <c r="C18" s="654"/>
      <c r="D18" s="41" t="s">
        <v>57</v>
      </c>
      <c r="E18" s="41" t="s">
        <v>26</v>
      </c>
      <c r="F18" s="640"/>
      <c r="G18" s="41" t="s">
        <v>28</v>
      </c>
      <c r="H18" s="41" t="s">
        <v>28</v>
      </c>
      <c r="I18" s="41" t="s">
        <v>59</v>
      </c>
      <c r="J18" s="41" t="s">
        <v>30</v>
      </c>
      <c r="K18" s="641"/>
      <c r="L18" s="52" t="s">
        <v>61</v>
      </c>
      <c r="M18" s="42" t="s">
        <v>78</v>
      </c>
      <c r="N18" s="43" t="s">
        <v>79</v>
      </c>
      <c r="O18" s="41">
        <v>0.14000000000000001</v>
      </c>
      <c r="P18" s="44">
        <v>44470</v>
      </c>
      <c r="Q18" s="44">
        <v>44561</v>
      </c>
      <c r="R18" s="45">
        <v>0</v>
      </c>
      <c r="S18" s="45">
        <v>0</v>
      </c>
      <c r="T18" s="45">
        <v>0</v>
      </c>
      <c r="U18" s="45">
        <v>1</v>
      </c>
      <c r="V18" s="27">
        <v>0</v>
      </c>
      <c r="W18" s="62" t="s">
        <v>37</v>
      </c>
      <c r="X18" s="63" t="s">
        <v>37</v>
      </c>
      <c r="Y18" s="19" t="str">
        <f t="shared" si="6"/>
        <v>Sin iniciar</v>
      </c>
      <c r="Z18" s="19" t="str">
        <f t="shared" si="1"/>
        <v>Sin iniciar</v>
      </c>
      <c r="AA18" s="530"/>
      <c r="AB18" s="596"/>
      <c r="AC18" s="597"/>
      <c r="AD18" s="611"/>
      <c r="AE18" s="611"/>
      <c r="AF18" s="66" t="s">
        <v>37</v>
      </c>
      <c r="AG18" s="579"/>
      <c r="AH18" s="579"/>
      <c r="AI18" s="579"/>
      <c r="AJ18" s="579"/>
      <c r="AK18" s="579"/>
      <c r="AL18" s="579"/>
      <c r="AM18" s="658"/>
      <c r="AN18" s="598"/>
      <c r="AO18" s="658" t="s">
        <v>2756</v>
      </c>
      <c r="AP18" s="658" t="s">
        <v>2634</v>
      </c>
      <c r="AQ18" s="579"/>
      <c r="AR18" s="1161">
        <v>0</v>
      </c>
      <c r="AS18" s="62" t="s">
        <v>2437</v>
      </c>
      <c r="AT18" s="63"/>
      <c r="AU18" s="19" t="str">
        <f t="shared" si="7"/>
        <v>Sin iniciar</v>
      </c>
      <c r="AV18" s="19" t="str">
        <f t="shared" si="3"/>
        <v>Sin iniciar</v>
      </c>
      <c r="AW18" s="530"/>
      <c r="AX18" s="599"/>
      <c r="AY18" s="600"/>
      <c r="AZ18" s="611"/>
      <c r="BA18" s="611"/>
      <c r="BB18" s="66"/>
      <c r="BC18" s="66"/>
      <c r="BD18" s="579"/>
      <c r="BE18" s="579"/>
      <c r="BF18" s="579"/>
      <c r="BG18" s="579"/>
      <c r="BH18" s="579"/>
      <c r="BI18" s="579"/>
      <c r="BJ18" s="658"/>
      <c r="BK18" s="658" t="s">
        <v>2756</v>
      </c>
      <c r="BL18" s="658" t="s">
        <v>2634</v>
      </c>
      <c r="BM18" s="579"/>
      <c r="BN18" s="50"/>
      <c r="BO18" s="347">
        <v>0</v>
      </c>
      <c r="BP18" s="24" t="s">
        <v>2824</v>
      </c>
      <c r="BQ18" s="25" t="s">
        <v>28</v>
      </c>
      <c r="BR18" s="19" t="str">
        <f t="shared" si="8"/>
        <v>Sin iniciar</v>
      </c>
      <c r="BS18" s="19" t="str">
        <f t="shared" si="9"/>
        <v>Sin iniciar</v>
      </c>
      <c r="BT18" s="585"/>
      <c r="BU18" s="561"/>
      <c r="BV18" s="562"/>
      <c r="BW18" s="611"/>
      <c r="BX18" s="611"/>
      <c r="BY18" s="578"/>
      <c r="BZ18" s="578"/>
      <c r="CA18" s="64"/>
      <c r="CB18" s="64"/>
      <c r="CC18" s="64"/>
      <c r="CD18" s="64"/>
      <c r="CE18" s="64"/>
      <c r="CF18" s="64"/>
      <c r="CG18" s="65"/>
      <c r="CH18" s="65" t="s">
        <v>2756</v>
      </c>
      <c r="CI18" s="65" t="s">
        <v>2634</v>
      </c>
      <c r="CJ18" s="64"/>
    </row>
    <row r="19" spans="2:88" ht="171.95" customHeight="1" x14ac:dyDescent="0.25">
      <c r="B19" s="1221"/>
      <c r="C19" s="654"/>
      <c r="D19" s="41" t="s">
        <v>57</v>
      </c>
      <c r="E19" s="41" t="s">
        <v>26</v>
      </c>
      <c r="F19" s="640"/>
      <c r="G19" s="41" t="s">
        <v>28</v>
      </c>
      <c r="H19" s="41" t="s">
        <v>28</v>
      </c>
      <c r="I19" s="41" t="s">
        <v>59</v>
      </c>
      <c r="J19" s="41" t="s">
        <v>30</v>
      </c>
      <c r="K19" s="641"/>
      <c r="L19" s="52" t="s">
        <v>61</v>
      </c>
      <c r="M19" s="42" t="s">
        <v>80</v>
      </c>
      <c r="N19" s="43" t="s">
        <v>81</v>
      </c>
      <c r="O19" s="41">
        <v>0.16</v>
      </c>
      <c r="P19" s="44">
        <v>44228</v>
      </c>
      <c r="Q19" s="44">
        <v>44347</v>
      </c>
      <c r="R19" s="45">
        <v>0.5</v>
      </c>
      <c r="S19" s="45">
        <v>1</v>
      </c>
      <c r="T19" s="45">
        <v>1</v>
      </c>
      <c r="U19" s="45">
        <v>1</v>
      </c>
      <c r="V19" s="27">
        <v>1</v>
      </c>
      <c r="W19" s="62" t="s">
        <v>82</v>
      </c>
      <c r="X19" s="63" t="s">
        <v>2825</v>
      </c>
      <c r="Y19" s="19" t="str">
        <f t="shared" si="6"/>
        <v>En gestión</v>
      </c>
      <c r="Z19" s="19" t="str">
        <f t="shared" si="1"/>
        <v>Terminado</v>
      </c>
      <c r="AA19" s="530"/>
      <c r="AB19" s="596"/>
      <c r="AC19" s="597"/>
      <c r="AD19" s="611"/>
      <c r="AE19" s="611"/>
      <c r="AF19" s="66" t="s">
        <v>37</v>
      </c>
      <c r="AG19" s="579"/>
      <c r="AH19" s="579"/>
      <c r="AI19" s="579"/>
      <c r="AJ19" s="579"/>
      <c r="AK19" s="579">
        <v>11490800</v>
      </c>
      <c r="AL19" s="579">
        <v>2872700</v>
      </c>
      <c r="AM19" s="592" t="s">
        <v>2757</v>
      </c>
      <c r="AN19" s="598"/>
      <c r="AO19" s="592" t="s">
        <v>2758</v>
      </c>
      <c r="AP19" s="592" t="s">
        <v>2479</v>
      </c>
      <c r="AQ19" s="579">
        <f>+AL19</f>
        <v>2872700</v>
      </c>
      <c r="AR19" s="1161">
        <v>1</v>
      </c>
      <c r="AS19" s="62" t="s">
        <v>2434</v>
      </c>
      <c r="AT19" s="63"/>
      <c r="AU19" s="19" t="str">
        <f t="shared" si="7"/>
        <v>Terminado</v>
      </c>
      <c r="AV19" s="19" t="str">
        <f t="shared" si="3"/>
        <v>Terminado</v>
      </c>
      <c r="AW19" s="530"/>
      <c r="AX19" s="599"/>
      <c r="AY19" s="600"/>
      <c r="AZ19" s="611"/>
      <c r="BA19" s="611"/>
      <c r="BB19" s="66"/>
      <c r="BC19" s="66"/>
      <c r="BD19" s="579"/>
      <c r="BE19" s="579"/>
      <c r="BF19" s="579"/>
      <c r="BG19" s="579">
        <v>11490800</v>
      </c>
      <c r="BH19" s="579">
        <v>11490800</v>
      </c>
      <c r="BI19" s="579">
        <v>5745400</v>
      </c>
      <c r="BJ19" s="592" t="s">
        <v>2757</v>
      </c>
      <c r="BK19" s="592" t="s">
        <v>2758</v>
      </c>
      <c r="BL19" s="592" t="s">
        <v>2479</v>
      </c>
      <c r="BM19" s="579" t="s">
        <v>2759</v>
      </c>
      <c r="BN19" s="50"/>
      <c r="BO19" s="347">
        <v>1</v>
      </c>
      <c r="BP19" s="24" t="s">
        <v>2814</v>
      </c>
      <c r="BQ19" s="25" t="s">
        <v>28</v>
      </c>
      <c r="BR19" s="19" t="str">
        <f t="shared" si="8"/>
        <v>Terminado</v>
      </c>
      <c r="BS19" s="19" t="str">
        <f t="shared" si="9"/>
        <v>Terminado</v>
      </c>
      <c r="BT19" s="585"/>
      <c r="BU19" s="561"/>
      <c r="BV19" s="562"/>
      <c r="BW19" s="611"/>
      <c r="BX19" s="611"/>
      <c r="BY19" s="578"/>
      <c r="BZ19" s="578"/>
      <c r="CA19" s="64"/>
      <c r="CB19" s="64"/>
      <c r="CC19" s="64"/>
      <c r="CD19" s="64">
        <v>11490800</v>
      </c>
      <c r="CE19" s="64">
        <v>11490800</v>
      </c>
      <c r="CF19" s="64">
        <v>9307548</v>
      </c>
      <c r="CG19" s="67" t="s">
        <v>2757</v>
      </c>
      <c r="CH19" s="67" t="s">
        <v>2758</v>
      </c>
      <c r="CI19" s="67" t="s">
        <v>2479</v>
      </c>
      <c r="CJ19" s="64" t="s">
        <v>2759</v>
      </c>
    </row>
    <row r="20" spans="2:88" ht="171.95" customHeight="1" x14ac:dyDescent="0.25">
      <c r="B20" s="1221"/>
      <c r="C20" s="654"/>
      <c r="D20" s="41" t="s">
        <v>57</v>
      </c>
      <c r="E20" s="41" t="s">
        <v>26</v>
      </c>
      <c r="F20" s="640"/>
      <c r="G20" s="41" t="s">
        <v>28</v>
      </c>
      <c r="H20" s="41" t="s">
        <v>28</v>
      </c>
      <c r="I20" s="41" t="s">
        <v>59</v>
      </c>
      <c r="J20" s="41" t="s">
        <v>30</v>
      </c>
      <c r="K20" s="641"/>
      <c r="L20" s="52" t="s">
        <v>61</v>
      </c>
      <c r="M20" s="42" t="s">
        <v>83</v>
      </c>
      <c r="N20" s="43" t="s">
        <v>81</v>
      </c>
      <c r="O20" s="41">
        <v>0.18</v>
      </c>
      <c r="P20" s="44">
        <v>44348</v>
      </c>
      <c r="Q20" s="44">
        <v>44439</v>
      </c>
      <c r="R20" s="45">
        <v>0</v>
      </c>
      <c r="S20" s="45">
        <v>0.25</v>
      </c>
      <c r="T20" s="45">
        <v>1</v>
      </c>
      <c r="U20" s="45">
        <v>1</v>
      </c>
      <c r="V20" s="27">
        <v>0</v>
      </c>
      <c r="W20" s="62" t="s">
        <v>37</v>
      </c>
      <c r="X20" s="63" t="s">
        <v>37</v>
      </c>
      <c r="Y20" s="19" t="str">
        <f t="shared" si="6"/>
        <v>Sin iniciar</v>
      </c>
      <c r="Z20" s="19" t="str">
        <f t="shared" si="1"/>
        <v>Sin iniciar</v>
      </c>
      <c r="AA20" s="530"/>
      <c r="AB20" s="596"/>
      <c r="AC20" s="597"/>
      <c r="AD20" s="611"/>
      <c r="AE20" s="611"/>
      <c r="AF20" s="66" t="s">
        <v>37</v>
      </c>
      <c r="AG20" s="579"/>
      <c r="AH20" s="579"/>
      <c r="AI20" s="579"/>
      <c r="AJ20" s="579"/>
      <c r="AK20" s="579"/>
      <c r="AL20" s="579"/>
      <c r="AM20" s="592"/>
      <c r="AN20" s="598"/>
      <c r="AO20" s="592" t="s">
        <v>2758</v>
      </c>
      <c r="AP20" s="592" t="s">
        <v>2479</v>
      </c>
      <c r="AQ20" s="579"/>
      <c r="AR20" s="1161">
        <v>0</v>
      </c>
      <c r="AS20" s="62" t="s">
        <v>2448</v>
      </c>
      <c r="AT20" s="63"/>
      <c r="AU20" s="19" t="str">
        <f t="shared" si="7"/>
        <v>En gestión</v>
      </c>
      <c r="AV20" s="19" t="str">
        <f t="shared" si="3"/>
        <v>Sin iniciar</v>
      </c>
      <c r="AW20" s="530"/>
      <c r="AX20" s="599"/>
      <c r="AY20" s="600"/>
      <c r="AZ20" s="611"/>
      <c r="BA20" s="611"/>
      <c r="BB20" s="66"/>
      <c r="BC20" s="66"/>
      <c r="BD20" s="579"/>
      <c r="BE20" s="579"/>
      <c r="BF20" s="579"/>
      <c r="BG20" s="579"/>
      <c r="BH20" s="579"/>
      <c r="BI20" s="579"/>
      <c r="BJ20" s="592"/>
      <c r="BK20" s="592" t="s">
        <v>2758</v>
      </c>
      <c r="BL20" s="592" t="s">
        <v>2479</v>
      </c>
      <c r="BM20" s="579"/>
      <c r="BN20" s="50"/>
      <c r="BO20" s="347">
        <v>1</v>
      </c>
      <c r="BP20" s="24" t="s">
        <v>2826</v>
      </c>
      <c r="BQ20" s="24" t="s">
        <v>2827</v>
      </c>
      <c r="BR20" s="19" t="str">
        <f t="shared" si="8"/>
        <v>Terminado</v>
      </c>
      <c r="BS20" s="19" t="str">
        <f t="shared" si="9"/>
        <v>Terminado</v>
      </c>
      <c r="BT20" s="585"/>
      <c r="BU20" s="561"/>
      <c r="BV20" s="562"/>
      <c r="BW20" s="611"/>
      <c r="BX20" s="611"/>
      <c r="BY20" s="578"/>
      <c r="BZ20" s="578"/>
      <c r="CA20" s="64"/>
      <c r="CB20" s="64"/>
      <c r="CC20" s="64"/>
      <c r="CD20" s="64"/>
      <c r="CE20" s="64"/>
      <c r="CF20" s="64"/>
      <c r="CG20" s="67"/>
      <c r="CH20" s="67" t="s">
        <v>2758</v>
      </c>
      <c r="CI20" s="67" t="s">
        <v>2479</v>
      </c>
      <c r="CJ20" s="64"/>
    </row>
    <row r="21" spans="2:88" ht="171.95" customHeight="1" x14ac:dyDescent="0.25">
      <c r="B21" s="1221"/>
      <c r="C21" s="654"/>
      <c r="D21" s="41" t="s">
        <v>57</v>
      </c>
      <c r="E21" s="41" t="s">
        <v>26</v>
      </c>
      <c r="F21" s="640"/>
      <c r="G21" s="41" t="s">
        <v>28</v>
      </c>
      <c r="H21" s="41" t="s">
        <v>28</v>
      </c>
      <c r="I21" s="41" t="s">
        <v>59</v>
      </c>
      <c r="J21" s="41" t="s">
        <v>30</v>
      </c>
      <c r="K21" s="641"/>
      <c r="L21" s="52" t="s">
        <v>61</v>
      </c>
      <c r="M21" s="42" t="s">
        <v>84</v>
      </c>
      <c r="N21" s="43" t="s">
        <v>81</v>
      </c>
      <c r="O21" s="41">
        <v>0.2</v>
      </c>
      <c r="P21" s="44">
        <v>44440</v>
      </c>
      <c r="Q21" s="44">
        <v>44561</v>
      </c>
      <c r="R21" s="45">
        <v>0</v>
      </c>
      <c r="S21" s="45">
        <v>0</v>
      </c>
      <c r="T21" s="45">
        <v>0.25</v>
      </c>
      <c r="U21" s="45">
        <v>1</v>
      </c>
      <c r="V21" s="27">
        <v>0</v>
      </c>
      <c r="W21" s="62" t="s">
        <v>37</v>
      </c>
      <c r="X21" s="63" t="s">
        <v>37</v>
      </c>
      <c r="Y21" s="19" t="str">
        <f t="shared" si="6"/>
        <v>Sin iniciar</v>
      </c>
      <c r="Z21" s="19" t="str">
        <f t="shared" si="1"/>
        <v>Sin iniciar</v>
      </c>
      <c r="AA21" s="530"/>
      <c r="AB21" s="596"/>
      <c r="AC21" s="597"/>
      <c r="AD21" s="611"/>
      <c r="AE21" s="611"/>
      <c r="AF21" s="66" t="s">
        <v>37</v>
      </c>
      <c r="AG21" s="579"/>
      <c r="AH21" s="579"/>
      <c r="AI21" s="579"/>
      <c r="AJ21" s="579"/>
      <c r="AK21" s="579"/>
      <c r="AL21" s="579"/>
      <c r="AM21" s="592"/>
      <c r="AN21" s="598"/>
      <c r="AO21" s="592" t="s">
        <v>2758</v>
      </c>
      <c r="AP21" s="592" t="s">
        <v>2479</v>
      </c>
      <c r="AQ21" s="579"/>
      <c r="AR21" s="1161">
        <v>0</v>
      </c>
      <c r="AS21" s="62" t="s">
        <v>2437</v>
      </c>
      <c r="AT21" s="63"/>
      <c r="AU21" s="19" t="str">
        <f t="shared" si="7"/>
        <v>Sin iniciar</v>
      </c>
      <c r="AV21" s="19" t="str">
        <f t="shared" si="3"/>
        <v>Sin iniciar</v>
      </c>
      <c r="AW21" s="530"/>
      <c r="AX21" s="599"/>
      <c r="AY21" s="600"/>
      <c r="AZ21" s="611"/>
      <c r="BA21" s="611"/>
      <c r="BB21" s="66"/>
      <c r="BC21" s="66"/>
      <c r="BD21" s="579"/>
      <c r="BE21" s="579"/>
      <c r="BF21" s="579"/>
      <c r="BG21" s="579"/>
      <c r="BH21" s="579"/>
      <c r="BI21" s="579"/>
      <c r="BJ21" s="592"/>
      <c r="BK21" s="592" t="s">
        <v>2758</v>
      </c>
      <c r="BL21" s="592" t="s">
        <v>2479</v>
      </c>
      <c r="BM21" s="579"/>
      <c r="BN21" s="50"/>
      <c r="BO21" s="347">
        <v>1</v>
      </c>
      <c r="BP21" s="24" t="s">
        <v>2828</v>
      </c>
      <c r="BQ21" s="24" t="s">
        <v>2829</v>
      </c>
      <c r="BR21" s="19" t="str">
        <f t="shared" si="8"/>
        <v>En gestión</v>
      </c>
      <c r="BS21" s="19" t="str">
        <f>IF(BO21&lt;1%,"Sin iniciar",IF(BO21=100%,"Terminado","En gestión"))</f>
        <v>Terminado</v>
      </c>
      <c r="BT21" s="585"/>
      <c r="BU21" s="561"/>
      <c r="BV21" s="562"/>
      <c r="BW21" s="611"/>
      <c r="BX21" s="611"/>
      <c r="BY21" s="578"/>
      <c r="BZ21" s="578"/>
      <c r="CA21" s="64"/>
      <c r="CB21" s="64"/>
      <c r="CC21" s="64"/>
      <c r="CD21" s="64"/>
      <c r="CE21" s="64"/>
      <c r="CF21" s="64"/>
      <c r="CG21" s="67"/>
      <c r="CH21" s="67" t="s">
        <v>2758</v>
      </c>
      <c r="CI21" s="67" t="s">
        <v>2479</v>
      </c>
      <c r="CJ21" s="64"/>
    </row>
    <row r="22" spans="2:88" ht="284.10000000000002" customHeight="1" x14ac:dyDescent="0.25">
      <c r="B22" s="1221"/>
      <c r="C22" s="630" t="s">
        <v>85</v>
      </c>
      <c r="D22" s="33" t="s">
        <v>57</v>
      </c>
      <c r="E22" s="33" t="s">
        <v>26</v>
      </c>
      <c r="F22" s="633" t="s">
        <v>86</v>
      </c>
      <c r="G22" s="33" t="s">
        <v>28</v>
      </c>
      <c r="H22" s="33" t="s">
        <v>28</v>
      </c>
      <c r="I22" s="33" t="s">
        <v>59</v>
      </c>
      <c r="J22" s="33" t="s">
        <v>30</v>
      </c>
      <c r="K22" s="634" t="s">
        <v>87</v>
      </c>
      <c r="L22" s="51" t="s">
        <v>61</v>
      </c>
      <c r="M22" s="34" t="s">
        <v>88</v>
      </c>
      <c r="N22" s="35" t="s">
        <v>89</v>
      </c>
      <c r="O22" s="33">
        <v>7.0000000000000007E-2</v>
      </c>
      <c r="P22" s="36">
        <v>44228</v>
      </c>
      <c r="Q22" s="36">
        <v>44286</v>
      </c>
      <c r="R22" s="37">
        <v>1</v>
      </c>
      <c r="S22" s="37">
        <v>1</v>
      </c>
      <c r="T22" s="37">
        <v>1</v>
      </c>
      <c r="U22" s="37">
        <v>1</v>
      </c>
      <c r="V22" s="27">
        <v>1</v>
      </c>
      <c r="W22" s="13" t="s">
        <v>90</v>
      </c>
      <c r="X22" s="55" t="s">
        <v>2830</v>
      </c>
      <c r="Y22" s="5" t="str">
        <f t="shared" si="6"/>
        <v>Terminado</v>
      </c>
      <c r="Z22" s="5" t="str">
        <f t="shared" si="1"/>
        <v>Terminado</v>
      </c>
      <c r="AA22" s="531" t="s">
        <v>143</v>
      </c>
      <c r="AB22" s="596">
        <f>SUMPRODUCT(O22:O38,V22:V38)</f>
        <v>0.14000000000000001</v>
      </c>
      <c r="AC22" s="597">
        <f>SUMPRODUCT(O22:O38,R22:R38)</f>
        <v>0.14000000000000001</v>
      </c>
      <c r="AD22" s="610" t="str">
        <f>IF(AC22&lt;1%,"Sin iniciar",IF(AC22=100%,"Terminado","En gestión"))</f>
        <v>En gestión</v>
      </c>
      <c r="AE22" s="610" t="str">
        <f>IF(AB22&lt;1%,"Sin iniciar",IF(AB22=100%,"Terminado","En gestión"))</f>
        <v>En gestión</v>
      </c>
      <c r="AF22" s="56" t="s">
        <v>37</v>
      </c>
      <c r="AG22" s="583">
        <v>4067750</v>
      </c>
      <c r="AH22" s="583">
        <v>0</v>
      </c>
      <c r="AI22" s="583">
        <v>1627100</v>
      </c>
      <c r="AJ22" s="660">
        <v>10273875</v>
      </c>
      <c r="AK22" s="583">
        <v>11330000</v>
      </c>
      <c r="AL22" s="583">
        <v>2832500</v>
      </c>
      <c r="AM22" s="659" t="s">
        <v>2755</v>
      </c>
      <c r="AN22" s="603"/>
      <c r="AO22" s="659" t="s">
        <v>2756</v>
      </c>
      <c r="AP22" s="659" t="s">
        <v>2634</v>
      </c>
      <c r="AQ22" s="583">
        <f>+AL22</f>
        <v>2832500</v>
      </c>
      <c r="AR22" s="1161">
        <v>1</v>
      </c>
      <c r="AS22" s="13" t="s">
        <v>2434</v>
      </c>
      <c r="AT22" s="55"/>
      <c r="AU22" s="5" t="str">
        <f t="shared" si="7"/>
        <v>Terminado</v>
      </c>
      <c r="AV22" s="5" t="str">
        <f t="shared" si="3"/>
        <v>Terminado</v>
      </c>
      <c r="AW22" s="531" t="s">
        <v>156</v>
      </c>
      <c r="AX22" s="599">
        <f>SUMPRODUCT(O22:O38,AR22:AR38)</f>
        <v>0.39</v>
      </c>
      <c r="AY22" s="600">
        <f>SUMPRODUCT(S22:S38,O22:O38)</f>
        <v>0.44</v>
      </c>
      <c r="AZ22" s="536" t="str">
        <f>IF(AY22&lt;1%,"Sin iniciar",IF(AY22=100%,"Terminado","En gestión"))</f>
        <v>En gestión</v>
      </c>
      <c r="BA22" s="536" t="str">
        <f>IF(AX22&lt;1%,"Sin iniciar",IF(AX22=100%,"Terminado","En gestión"))</f>
        <v>En gestión</v>
      </c>
      <c r="BB22" s="56"/>
      <c r="BC22" s="56"/>
      <c r="BD22" s="583">
        <v>4067750</v>
      </c>
      <c r="BE22" s="583">
        <v>0</v>
      </c>
      <c r="BF22" s="583">
        <v>0</v>
      </c>
      <c r="BG22" s="583">
        <v>11330000</v>
      </c>
      <c r="BH22" s="583">
        <v>11330000</v>
      </c>
      <c r="BI22" s="583">
        <v>2832500</v>
      </c>
      <c r="BJ22" s="659" t="s">
        <v>2755</v>
      </c>
      <c r="BK22" s="659" t="s">
        <v>2756</v>
      </c>
      <c r="BL22" s="659" t="s">
        <v>2634</v>
      </c>
      <c r="BM22" s="659" t="s">
        <v>2760</v>
      </c>
      <c r="BN22" s="60"/>
      <c r="BO22" s="347">
        <v>1</v>
      </c>
      <c r="BP22" s="11" t="s">
        <v>2814</v>
      </c>
      <c r="BQ22" s="12" t="s">
        <v>28</v>
      </c>
      <c r="BR22" s="5" t="str">
        <f t="shared" si="8"/>
        <v>Terminado</v>
      </c>
      <c r="BS22" s="5" t="str">
        <f t="shared" si="9"/>
        <v>Terminado</v>
      </c>
      <c r="BT22" s="581" t="s">
        <v>2831</v>
      </c>
      <c r="BU22" s="561">
        <f>SUMPRODUCT(O22:O38,BO22:BO38)</f>
        <v>0.7200000000000002</v>
      </c>
      <c r="BV22" s="562">
        <f>SUMPRODUCT(O22:O38,T22:T38)</f>
        <v>0.67000000000000015</v>
      </c>
      <c r="BW22" s="610" t="str">
        <f>IF(BV22&lt;1%,"Sin iniciar",IF(BV22=100%,"Terminado","En gestión"))</f>
        <v>En gestión</v>
      </c>
      <c r="BX22" s="610" t="str">
        <f>IF(BU22&lt;1%,"Sin iniciar",IF(BU22=100%,"Terminado","En gestión"))</f>
        <v>En gestión</v>
      </c>
      <c r="BY22" s="573" t="s">
        <v>37</v>
      </c>
      <c r="BZ22" s="573"/>
      <c r="CA22" s="583">
        <v>2169464</v>
      </c>
      <c r="CB22" s="583">
        <v>4067750</v>
      </c>
      <c r="CC22" s="583">
        <v>3796564</v>
      </c>
      <c r="CD22" s="583">
        <v>7585999</v>
      </c>
      <c r="CE22" s="583">
        <v>11330000</v>
      </c>
      <c r="CF22" s="583">
        <v>10250999</v>
      </c>
      <c r="CG22" s="659" t="s">
        <v>2755</v>
      </c>
      <c r="CH22" s="659" t="s">
        <v>2756</v>
      </c>
      <c r="CI22" s="659" t="s">
        <v>2634</v>
      </c>
      <c r="CJ22" s="659" t="s">
        <v>2760</v>
      </c>
    </row>
    <row r="23" spans="2:88" ht="171.95" customHeight="1" x14ac:dyDescent="0.25">
      <c r="B23" s="1221"/>
      <c r="C23" s="630"/>
      <c r="D23" s="33" t="s">
        <v>57</v>
      </c>
      <c r="E23" s="33" t="s">
        <v>26</v>
      </c>
      <c r="F23" s="633"/>
      <c r="G23" s="33" t="s">
        <v>28</v>
      </c>
      <c r="H23" s="33" t="s">
        <v>28</v>
      </c>
      <c r="I23" s="33" t="s">
        <v>59</v>
      </c>
      <c r="J23" s="33" t="s">
        <v>30</v>
      </c>
      <c r="K23" s="634"/>
      <c r="L23" s="51" t="s">
        <v>61</v>
      </c>
      <c r="M23" s="34" t="s">
        <v>91</v>
      </c>
      <c r="N23" s="35" t="s">
        <v>92</v>
      </c>
      <c r="O23" s="33">
        <v>7.0000000000000007E-2</v>
      </c>
      <c r="P23" s="36">
        <v>44228</v>
      </c>
      <c r="Q23" s="36">
        <v>44286</v>
      </c>
      <c r="R23" s="37">
        <v>1</v>
      </c>
      <c r="S23" s="37">
        <v>1</v>
      </c>
      <c r="T23" s="37">
        <v>1</v>
      </c>
      <c r="U23" s="37">
        <v>1</v>
      </c>
      <c r="V23" s="27">
        <v>1</v>
      </c>
      <c r="W23" s="13" t="s">
        <v>93</v>
      </c>
      <c r="X23" s="55" t="s">
        <v>2832</v>
      </c>
      <c r="Y23" s="5" t="str">
        <f t="shared" si="6"/>
        <v>Terminado</v>
      </c>
      <c r="Z23" s="5" t="str">
        <f t="shared" si="1"/>
        <v>Terminado</v>
      </c>
      <c r="AA23" s="536"/>
      <c r="AB23" s="596"/>
      <c r="AC23" s="597"/>
      <c r="AD23" s="610"/>
      <c r="AE23" s="610"/>
      <c r="AF23" s="56" t="s">
        <v>37</v>
      </c>
      <c r="AG23" s="583"/>
      <c r="AH23" s="583"/>
      <c r="AI23" s="583"/>
      <c r="AJ23" s="660"/>
      <c r="AK23" s="583"/>
      <c r="AL23" s="583"/>
      <c r="AM23" s="659" t="s">
        <v>2755</v>
      </c>
      <c r="AN23" s="603"/>
      <c r="AO23" s="659" t="s">
        <v>2756</v>
      </c>
      <c r="AP23" s="659" t="s">
        <v>2634</v>
      </c>
      <c r="AQ23" s="583"/>
      <c r="AR23" s="1161">
        <v>1</v>
      </c>
      <c r="AS23" s="13" t="s">
        <v>2434</v>
      </c>
      <c r="AT23" s="55"/>
      <c r="AU23" s="5" t="str">
        <f t="shared" si="7"/>
        <v>Terminado</v>
      </c>
      <c r="AV23" s="5" t="str">
        <f t="shared" si="3"/>
        <v>Terminado</v>
      </c>
      <c r="AW23" s="536"/>
      <c r="AX23" s="599"/>
      <c r="AY23" s="600"/>
      <c r="AZ23" s="536"/>
      <c r="BA23" s="536"/>
      <c r="BB23" s="56"/>
      <c r="BC23" s="56"/>
      <c r="BD23" s="583"/>
      <c r="BE23" s="583"/>
      <c r="BF23" s="583"/>
      <c r="BG23" s="583"/>
      <c r="BH23" s="583"/>
      <c r="BI23" s="583"/>
      <c r="BJ23" s="659" t="s">
        <v>2755</v>
      </c>
      <c r="BK23" s="659" t="s">
        <v>2756</v>
      </c>
      <c r="BL23" s="659" t="s">
        <v>2634</v>
      </c>
      <c r="BM23" s="659"/>
      <c r="BN23" s="60"/>
      <c r="BO23" s="347">
        <v>1</v>
      </c>
      <c r="BP23" s="12" t="s">
        <v>2814</v>
      </c>
      <c r="BQ23" s="12" t="s">
        <v>28</v>
      </c>
      <c r="BR23" s="5" t="str">
        <f t="shared" si="8"/>
        <v>Terminado</v>
      </c>
      <c r="BS23" s="5" t="str">
        <f t="shared" si="9"/>
        <v>Terminado</v>
      </c>
      <c r="BT23" s="581"/>
      <c r="BU23" s="561"/>
      <c r="BV23" s="562"/>
      <c r="BW23" s="610"/>
      <c r="BX23" s="610"/>
      <c r="BY23" s="573"/>
      <c r="BZ23" s="573"/>
      <c r="CA23" s="583"/>
      <c r="CB23" s="583"/>
      <c r="CC23" s="583"/>
      <c r="CD23" s="583"/>
      <c r="CE23" s="583"/>
      <c r="CF23" s="583"/>
      <c r="CG23" s="659"/>
      <c r="CH23" s="659" t="s">
        <v>2756</v>
      </c>
      <c r="CI23" s="659" t="s">
        <v>2634</v>
      </c>
      <c r="CJ23" s="659"/>
    </row>
    <row r="24" spans="2:88" ht="171.95" customHeight="1" x14ac:dyDescent="0.25">
      <c r="B24" s="1221"/>
      <c r="C24" s="630"/>
      <c r="D24" s="33" t="s">
        <v>57</v>
      </c>
      <c r="E24" s="33" t="s">
        <v>26</v>
      </c>
      <c r="F24" s="633"/>
      <c r="G24" s="33" t="s">
        <v>28</v>
      </c>
      <c r="H24" s="33" t="s">
        <v>28</v>
      </c>
      <c r="I24" s="33" t="s">
        <v>59</v>
      </c>
      <c r="J24" s="33" t="s">
        <v>30</v>
      </c>
      <c r="K24" s="634"/>
      <c r="L24" s="51" t="s">
        <v>61</v>
      </c>
      <c r="M24" s="34" t="s">
        <v>94</v>
      </c>
      <c r="N24" s="35" t="s">
        <v>95</v>
      </c>
      <c r="O24" s="33">
        <v>0.05</v>
      </c>
      <c r="P24" s="36">
        <v>44287</v>
      </c>
      <c r="Q24" s="36">
        <v>44316</v>
      </c>
      <c r="R24" s="37">
        <v>0</v>
      </c>
      <c r="S24" s="37">
        <v>1</v>
      </c>
      <c r="T24" s="37">
        <v>1</v>
      </c>
      <c r="U24" s="37">
        <v>1</v>
      </c>
      <c r="V24" s="27">
        <v>0</v>
      </c>
      <c r="W24" s="13" t="s">
        <v>37</v>
      </c>
      <c r="X24" s="55" t="s">
        <v>37</v>
      </c>
      <c r="Y24" s="5" t="str">
        <f t="shared" si="6"/>
        <v>Sin iniciar</v>
      </c>
      <c r="Z24" s="5" t="str">
        <f t="shared" si="1"/>
        <v>Sin iniciar</v>
      </c>
      <c r="AA24" s="536"/>
      <c r="AB24" s="596"/>
      <c r="AC24" s="597"/>
      <c r="AD24" s="610"/>
      <c r="AE24" s="610"/>
      <c r="AF24" s="56" t="s">
        <v>37</v>
      </c>
      <c r="AG24" s="583"/>
      <c r="AH24" s="583"/>
      <c r="AI24" s="583"/>
      <c r="AJ24" s="660"/>
      <c r="AK24" s="583"/>
      <c r="AL24" s="583"/>
      <c r="AM24" s="659" t="s">
        <v>2755</v>
      </c>
      <c r="AN24" s="603"/>
      <c r="AO24" s="659" t="s">
        <v>2756</v>
      </c>
      <c r="AP24" s="659" t="s">
        <v>2634</v>
      </c>
      <c r="AQ24" s="583"/>
      <c r="AR24" s="1161">
        <v>1</v>
      </c>
      <c r="AS24" s="13" t="s">
        <v>150</v>
      </c>
      <c r="AT24" s="68" t="s">
        <v>2833</v>
      </c>
      <c r="AU24" s="5" t="str">
        <f t="shared" si="7"/>
        <v>Terminado</v>
      </c>
      <c r="AV24" s="5" t="str">
        <f t="shared" si="3"/>
        <v>Terminado</v>
      </c>
      <c r="AW24" s="536"/>
      <c r="AX24" s="599"/>
      <c r="AY24" s="600"/>
      <c r="AZ24" s="536"/>
      <c r="BA24" s="536"/>
      <c r="BB24" s="56"/>
      <c r="BC24" s="56"/>
      <c r="BD24" s="583"/>
      <c r="BE24" s="583"/>
      <c r="BF24" s="583"/>
      <c r="BG24" s="583"/>
      <c r="BH24" s="583"/>
      <c r="BI24" s="583"/>
      <c r="BJ24" s="659" t="s">
        <v>2755</v>
      </c>
      <c r="BK24" s="659" t="s">
        <v>2756</v>
      </c>
      <c r="BL24" s="659" t="s">
        <v>2634</v>
      </c>
      <c r="BM24" s="659"/>
      <c r="BN24" s="60"/>
      <c r="BO24" s="347">
        <v>1</v>
      </c>
      <c r="BP24" s="11" t="s">
        <v>2814</v>
      </c>
      <c r="BQ24" s="12" t="s">
        <v>28</v>
      </c>
      <c r="BR24" s="5" t="str">
        <f t="shared" si="8"/>
        <v>Terminado</v>
      </c>
      <c r="BS24" s="5" t="str">
        <f t="shared" si="9"/>
        <v>Terminado</v>
      </c>
      <c r="BT24" s="581"/>
      <c r="BU24" s="561"/>
      <c r="BV24" s="562"/>
      <c r="BW24" s="610"/>
      <c r="BX24" s="610"/>
      <c r="BY24" s="573"/>
      <c r="BZ24" s="573"/>
      <c r="CA24" s="583"/>
      <c r="CB24" s="583"/>
      <c r="CC24" s="583"/>
      <c r="CD24" s="583"/>
      <c r="CE24" s="583"/>
      <c r="CF24" s="583"/>
      <c r="CG24" s="659"/>
      <c r="CH24" s="659" t="s">
        <v>2756</v>
      </c>
      <c r="CI24" s="659" t="s">
        <v>2634</v>
      </c>
      <c r="CJ24" s="659"/>
    </row>
    <row r="25" spans="2:88" ht="171.95" customHeight="1" x14ac:dyDescent="0.25">
      <c r="B25" s="1221"/>
      <c r="C25" s="630"/>
      <c r="D25" s="33" t="s">
        <v>57</v>
      </c>
      <c r="E25" s="33" t="s">
        <v>26</v>
      </c>
      <c r="F25" s="633"/>
      <c r="G25" s="33" t="s">
        <v>28</v>
      </c>
      <c r="H25" s="33" t="s">
        <v>28</v>
      </c>
      <c r="I25" s="33" t="s">
        <v>59</v>
      </c>
      <c r="J25" s="33" t="s">
        <v>30</v>
      </c>
      <c r="K25" s="634"/>
      <c r="L25" s="51" t="s">
        <v>61</v>
      </c>
      <c r="M25" s="34" t="s">
        <v>96</v>
      </c>
      <c r="N25" s="35" t="s">
        <v>97</v>
      </c>
      <c r="O25" s="33">
        <v>0.06</v>
      </c>
      <c r="P25" s="36">
        <v>44287</v>
      </c>
      <c r="Q25" s="36">
        <v>44316</v>
      </c>
      <c r="R25" s="37">
        <v>0</v>
      </c>
      <c r="S25" s="37">
        <v>1</v>
      </c>
      <c r="T25" s="37">
        <v>1</v>
      </c>
      <c r="U25" s="37">
        <v>1</v>
      </c>
      <c r="V25" s="27">
        <v>0</v>
      </c>
      <c r="W25" s="13" t="s">
        <v>37</v>
      </c>
      <c r="X25" s="55" t="s">
        <v>37</v>
      </c>
      <c r="Y25" s="5" t="str">
        <f t="shared" si="6"/>
        <v>Sin iniciar</v>
      </c>
      <c r="Z25" s="5" t="str">
        <f t="shared" si="1"/>
        <v>Sin iniciar</v>
      </c>
      <c r="AA25" s="536"/>
      <c r="AB25" s="596"/>
      <c r="AC25" s="597"/>
      <c r="AD25" s="610"/>
      <c r="AE25" s="610"/>
      <c r="AF25" s="56" t="s">
        <v>37</v>
      </c>
      <c r="AG25" s="583"/>
      <c r="AH25" s="583"/>
      <c r="AI25" s="583"/>
      <c r="AJ25" s="660"/>
      <c r="AK25" s="583"/>
      <c r="AL25" s="583"/>
      <c r="AM25" s="659" t="s">
        <v>2755</v>
      </c>
      <c r="AN25" s="603"/>
      <c r="AO25" s="659" t="s">
        <v>2756</v>
      </c>
      <c r="AP25" s="659" t="s">
        <v>2634</v>
      </c>
      <c r="AQ25" s="583"/>
      <c r="AR25" s="1161">
        <v>1</v>
      </c>
      <c r="AS25" s="13" t="s">
        <v>151</v>
      </c>
      <c r="AT25" s="55" t="s">
        <v>2834</v>
      </c>
      <c r="AU25" s="5" t="str">
        <f t="shared" si="7"/>
        <v>Terminado</v>
      </c>
      <c r="AV25" s="5" t="str">
        <f t="shared" si="3"/>
        <v>Terminado</v>
      </c>
      <c r="AW25" s="536"/>
      <c r="AX25" s="599"/>
      <c r="AY25" s="600"/>
      <c r="AZ25" s="536"/>
      <c r="BA25" s="536"/>
      <c r="BB25" s="56"/>
      <c r="BC25" s="56"/>
      <c r="BD25" s="583"/>
      <c r="BE25" s="583"/>
      <c r="BF25" s="583"/>
      <c r="BG25" s="583"/>
      <c r="BH25" s="583"/>
      <c r="BI25" s="583"/>
      <c r="BJ25" s="659" t="s">
        <v>2755</v>
      </c>
      <c r="BK25" s="659" t="s">
        <v>2756</v>
      </c>
      <c r="BL25" s="659" t="s">
        <v>2634</v>
      </c>
      <c r="BM25" s="659"/>
      <c r="BN25" s="60"/>
      <c r="BO25" s="347">
        <v>1</v>
      </c>
      <c r="BP25" s="11" t="s">
        <v>2814</v>
      </c>
      <c r="BQ25" s="12" t="s">
        <v>28</v>
      </c>
      <c r="BR25" s="5" t="str">
        <f t="shared" si="8"/>
        <v>Terminado</v>
      </c>
      <c r="BS25" s="5" t="str">
        <f t="shared" si="9"/>
        <v>Terminado</v>
      </c>
      <c r="BT25" s="581"/>
      <c r="BU25" s="561"/>
      <c r="BV25" s="562"/>
      <c r="BW25" s="610"/>
      <c r="BX25" s="610"/>
      <c r="BY25" s="573"/>
      <c r="BZ25" s="573"/>
      <c r="CA25" s="583"/>
      <c r="CB25" s="583"/>
      <c r="CC25" s="583"/>
      <c r="CD25" s="583"/>
      <c r="CE25" s="583"/>
      <c r="CF25" s="583"/>
      <c r="CG25" s="659"/>
      <c r="CH25" s="659" t="s">
        <v>2756</v>
      </c>
      <c r="CI25" s="659" t="s">
        <v>2634</v>
      </c>
      <c r="CJ25" s="659"/>
    </row>
    <row r="26" spans="2:88" ht="171.95" customHeight="1" x14ac:dyDescent="0.25">
      <c r="B26" s="1221"/>
      <c r="C26" s="630"/>
      <c r="D26" s="33" t="s">
        <v>57</v>
      </c>
      <c r="E26" s="33" t="s">
        <v>26</v>
      </c>
      <c r="F26" s="633"/>
      <c r="G26" s="33" t="s">
        <v>28</v>
      </c>
      <c r="H26" s="33" t="s">
        <v>28</v>
      </c>
      <c r="I26" s="33" t="s">
        <v>59</v>
      </c>
      <c r="J26" s="33" t="s">
        <v>30</v>
      </c>
      <c r="K26" s="634"/>
      <c r="L26" s="51" t="s">
        <v>61</v>
      </c>
      <c r="M26" s="34" t="s">
        <v>98</v>
      </c>
      <c r="N26" s="35" t="s">
        <v>99</v>
      </c>
      <c r="O26" s="33">
        <v>7.0000000000000007E-2</v>
      </c>
      <c r="P26" s="36">
        <v>44317</v>
      </c>
      <c r="Q26" s="36">
        <v>44347</v>
      </c>
      <c r="R26" s="37">
        <v>0</v>
      </c>
      <c r="S26" s="37">
        <v>1</v>
      </c>
      <c r="T26" s="37">
        <v>1</v>
      </c>
      <c r="U26" s="37">
        <v>1</v>
      </c>
      <c r="V26" s="27">
        <v>0</v>
      </c>
      <c r="W26" s="13" t="s">
        <v>37</v>
      </c>
      <c r="X26" s="55" t="s">
        <v>37</v>
      </c>
      <c r="Y26" s="5" t="str">
        <f t="shared" si="6"/>
        <v>Sin iniciar</v>
      </c>
      <c r="Z26" s="5" t="str">
        <f t="shared" si="1"/>
        <v>Sin iniciar</v>
      </c>
      <c r="AA26" s="536"/>
      <c r="AB26" s="596"/>
      <c r="AC26" s="597"/>
      <c r="AD26" s="610"/>
      <c r="AE26" s="610"/>
      <c r="AF26" s="56" t="s">
        <v>37</v>
      </c>
      <c r="AG26" s="583"/>
      <c r="AH26" s="583"/>
      <c r="AI26" s="583"/>
      <c r="AJ26" s="660"/>
      <c r="AK26" s="583"/>
      <c r="AL26" s="583"/>
      <c r="AM26" s="659" t="s">
        <v>2755</v>
      </c>
      <c r="AN26" s="603"/>
      <c r="AO26" s="659" t="s">
        <v>2756</v>
      </c>
      <c r="AP26" s="659" t="s">
        <v>2634</v>
      </c>
      <c r="AQ26" s="583"/>
      <c r="AR26" s="1161">
        <v>1</v>
      </c>
      <c r="AS26" s="13" t="s">
        <v>152</v>
      </c>
      <c r="AT26" s="68" t="s">
        <v>2835</v>
      </c>
      <c r="AU26" s="5" t="str">
        <f t="shared" si="7"/>
        <v>Terminado</v>
      </c>
      <c r="AV26" s="5" t="str">
        <f t="shared" si="3"/>
        <v>Terminado</v>
      </c>
      <c r="AW26" s="536"/>
      <c r="AX26" s="599"/>
      <c r="AY26" s="600"/>
      <c r="AZ26" s="536"/>
      <c r="BA26" s="536"/>
      <c r="BB26" s="56"/>
      <c r="BC26" s="56"/>
      <c r="BD26" s="583"/>
      <c r="BE26" s="583"/>
      <c r="BF26" s="583"/>
      <c r="BG26" s="583"/>
      <c r="BH26" s="583"/>
      <c r="BI26" s="583"/>
      <c r="BJ26" s="659" t="s">
        <v>2755</v>
      </c>
      <c r="BK26" s="659" t="s">
        <v>2756</v>
      </c>
      <c r="BL26" s="659" t="s">
        <v>2634</v>
      </c>
      <c r="BM26" s="659"/>
      <c r="BN26" s="60"/>
      <c r="BO26" s="347">
        <v>1</v>
      </c>
      <c r="BP26" s="11" t="s">
        <v>2814</v>
      </c>
      <c r="BQ26" s="12" t="s">
        <v>28</v>
      </c>
      <c r="BR26" s="5" t="str">
        <f t="shared" si="8"/>
        <v>Terminado</v>
      </c>
      <c r="BS26" s="5" t="str">
        <f t="shared" si="9"/>
        <v>Terminado</v>
      </c>
      <c r="BT26" s="581"/>
      <c r="BU26" s="561"/>
      <c r="BV26" s="562"/>
      <c r="BW26" s="610"/>
      <c r="BX26" s="610"/>
      <c r="BY26" s="573"/>
      <c r="BZ26" s="573"/>
      <c r="CA26" s="583"/>
      <c r="CB26" s="583"/>
      <c r="CC26" s="583"/>
      <c r="CD26" s="583"/>
      <c r="CE26" s="583"/>
      <c r="CF26" s="583"/>
      <c r="CG26" s="659"/>
      <c r="CH26" s="659" t="s">
        <v>2756</v>
      </c>
      <c r="CI26" s="659" t="s">
        <v>2634</v>
      </c>
      <c r="CJ26" s="659"/>
    </row>
    <row r="27" spans="2:88" ht="171.95" customHeight="1" x14ac:dyDescent="0.25">
      <c r="B27" s="1221"/>
      <c r="C27" s="630"/>
      <c r="D27" s="33" t="s">
        <v>57</v>
      </c>
      <c r="E27" s="33" t="s">
        <v>26</v>
      </c>
      <c r="F27" s="633"/>
      <c r="G27" s="33" t="s">
        <v>28</v>
      </c>
      <c r="H27" s="33" t="s">
        <v>28</v>
      </c>
      <c r="I27" s="33" t="s">
        <v>59</v>
      </c>
      <c r="J27" s="33" t="s">
        <v>30</v>
      </c>
      <c r="K27" s="634"/>
      <c r="L27" s="51" t="s">
        <v>61</v>
      </c>
      <c r="M27" s="34" t="s">
        <v>100</v>
      </c>
      <c r="N27" s="35" t="s">
        <v>101</v>
      </c>
      <c r="O27" s="33">
        <v>7.0000000000000007E-2</v>
      </c>
      <c r="P27" s="36">
        <v>44348</v>
      </c>
      <c r="Q27" s="36">
        <v>44377</v>
      </c>
      <c r="R27" s="37">
        <v>0</v>
      </c>
      <c r="S27" s="37">
        <v>1</v>
      </c>
      <c r="T27" s="37">
        <v>1</v>
      </c>
      <c r="U27" s="37">
        <v>1</v>
      </c>
      <c r="V27" s="27">
        <v>0</v>
      </c>
      <c r="W27" s="13" t="s">
        <v>37</v>
      </c>
      <c r="X27" s="55" t="s">
        <v>37</v>
      </c>
      <c r="Y27" s="5" t="str">
        <f t="shared" si="6"/>
        <v>Sin iniciar</v>
      </c>
      <c r="Z27" s="5" t="str">
        <f t="shared" si="1"/>
        <v>Sin iniciar</v>
      </c>
      <c r="AA27" s="536"/>
      <c r="AB27" s="596"/>
      <c r="AC27" s="597"/>
      <c r="AD27" s="610"/>
      <c r="AE27" s="610"/>
      <c r="AF27" s="56" t="s">
        <v>37</v>
      </c>
      <c r="AG27" s="583"/>
      <c r="AH27" s="583"/>
      <c r="AI27" s="583"/>
      <c r="AJ27" s="660"/>
      <c r="AK27" s="583"/>
      <c r="AL27" s="583"/>
      <c r="AM27" s="659" t="s">
        <v>2755</v>
      </c>
      <c r="AN27" s="603"/>
      <c r="AO27" s="659" t="s">
        <v>2756</v>
      </c>
      <c r="AP27" s="659" t="s">
        <v>2634</v>
      </c>
      <c r="AQ27" s="583"/>
      <c r="AR27" s="1161">
        <v>1</v>
      </c>
      <c r="AS27" s="13" t="s">
        <v>153</v>
      </c>
      <c r="AT27" s="55" t="s">
        <v>2836</v>
      </c>
      <c r="AU27" s="5" t="str">
        <f t="shared" si="7"/>
        <v>Terminado</v>
      </c>
      <c r="AV27" s="5" t="str">
        <f t="shared" si="3"/>
        <v>Terminado</v>
      </c>
      <c r="AW27" s="536"/>
      <c r="AX27" s="599"/>
      <c r="AY27" s="600"/>
      <c r="AZ27" s="536"/>
      <c r="BA27" s="536"/>
      <c r="BB27" s="56"/>
      <c r="BC27" s="56"/>
      <c r="BD27" s="583"/>
      <c r="BE27" s="583"/>
      <c r="BF27" s="583"/>
      <c r="BG27" s="583"/>
      <c r="BH27" s="583"/>
      <c r="BI27" s="583"/>
      <c r="BJ27" s="659" t="s">
        <v>2755</v>
      </c>
      <c r="BK27" s="659" t="s">
        <v>2756</v>
      </c>
      <c r="BL27" s="659" t="s">
        <v>2634</v>
      </c>
      <c r="BM27" s="659"/>
      <c r="BN27" s="60"/>
      <c r="BO27" s="347">
        <v>1</v>
      </c>
      <c r="BP27" s="11" t="s">
        <v>2814</v>
      </c>
      <c r="BQ27" s="12" t="s">
        <v>28</v>
      </c>
      <c r="BR27" s="5" t="str">
        <f t="shared" si="8"/>
        <v>Terminado</v>
      </c>
      <c r="BS27" s="5" t="str">
        <f t="shared" si="9"/>
        <v>Terminado</v>
      </c>
      <c r="BT27" s="581"/>
      <c r="BU27" s="561"/>
      <c r="BV27" s="562"/>
      <c r="BW27" s="610"/>
      <c r="BX27" s="610"/>
      <c r="BY27" s="573"/>
      <c r="BZ27" s="573"/>
      <c r="CA27" s="583"/>
      <c r="CB27" s="583"/>
      <c r="CC27" s="583"/>
      <c r="CD27" s="583"/>
      <c r="CE27" s="583"/>
      <c r="CF27" s="583"/>
      <c r="CG27" s="659"/>
      <c r="CH27" s="659" t="s">
        <v>2756</v>
      </c>
      <c r="CI27" s="659" t="s">
        <v>2634</v>
      </c>
      <c r="CJ27" s="659"/>
    </row>
    <row r="28" spans="2:88" ht="171.95" customHeight="1" x14ac:dyDescent="0.25">
      <c r="B28" s="1221"/>
      <c r="C28" s="630"/>
      <c r="D28" s="33" t="s">
        <v>57</v>
      </c>
      <c r="E28" s="33" t="s">
        <v>26</v>
      </c>
      <c r="F28" s="633"/>
      <c r="G28" s="33" t="s">
        <v>28</v>
      </c>
      <c r="H28" s="33" t="s">
        <v>28</v>
      </c>
      <c r="I28" s="33" t="s">
        <v>59</v>
      </c>
      <c r="J28" s="33" t="s">
        <v>30</v>
      </c>
      <c r="K28" s="634"/>
      <c r="L28" s="51" t="s">
        <v>61</v>
      </c>
      <c r="M28" s="34" t="s">
        <v>102</v>
      </c>
      <c r="N28" s="35" t="s">
        <v>103</v>
      </c>
      <c r="O28" s="33">
        <v>0.05</v>
      </c>
      <c r="P28" s="36">
        <v>44348</v>
      </c>
      <c r="Q28" s="36">
        <v>44377</v>
      </c>
      <c r="R28" s="37">
        <v>0</v>
      </c>
      <c r="S28" s="37">
        <v>1</v>
      </c>
      <c r="T28" s="37">
        <v>1</v>
      </c>
      <c r="U28" s="37">
        <v>1</v>
      </c>
      <c r="V28" s="27">
        <v>0</v>
      </c>
      <c r="W28" s="13" t="s">
        <v>37</v>
      </c>
      <c r="X28" s="55" t="s">
        <v>37</v>
      </c>
      <c r="Y28" s="5" t="str">
        <f t="shared" si="6"/>
        <v>Sin iniciar</v>
      </c>
      <c r="Z28" s="5" t="str">
        <f t="shared" si="1"/>
        <v>Sin iniciar</v>
      </c>
      <c r="AA28" s="536"/>
      <c r="AB28" s="596"/>
      <c r="AC28" s="597"/>
      <c r="AD28" s="610"/>
      <c r="AE28" s="610"/>
      <c r="AF28" s="56" t="s">
        <v>37</v>
      </c>
      <c r="AG28" s="583"/>
      <c r="AH28" s="583"/>
      <c r="AI28" s="583"/>
      <c r="AJ28" s="660"/>
      <c r="AK28" s="583"/>
      <c r="AL28" s="583"/>
      <c r="AM28" s="659" t="s">
        <v>2755</v>
      </c>
      <c r="AN28" s="603"/>
      <c r="AO28" s="659" t="s">
        <v>2756</v>
      </c>
      <c r="AP28" s="659" t="s">
        <v>2634</v>
      </c>
      <c r="AQ28" s="583"/>
      <c r="AR28" s="1161">
        <v>0</v>
      </c>
      <c r="AS28" s="13" t="s">
        <v>2448</v>
      </c>
      <c r="AT28" s="55"/>
      <c r="AU28" s="5" t="str">
        <f t="shared" si="7"/>
        <v>Terminado</v>
      </c>
      <c r="AV28" s="5" t="str">
        <f t="shared" si="3"/>
        <v>Sin iniciar</v>
      </c>
      <c r="AW28" s="536"/>
      <c r="AX28" s="599"/>
      <c r="AY28" s="600"/>
      <c r="AZ28" s="536"/>
      <c r="BA28" s="536"/>
      <c r="BB28" s="56"/>
      <c r="BC28" s="56"/>
      <c r="BD28" s="583"/>
      <c r="BE28" s="583"/>
      <c r="BF28" s="583"/>
      <c r="BG28" s="583"/>
      <c r="BH28" s="583"/>
      <c r="BI28" s="583"/>
      <c r="BJ28" s="659" t="s">
        <v>2755</v>
      </c>
      <c r="BK28" s="659" t="s">
        <v>2756</v>
      </c>
      <c r="BL28" s="659" t="s">
        <v>2634</v>
      </c>
      <c r="BM28" s="659"/>
      <c r="BN28" s="60"/>
      <c r="BO28" s="347">
        <v>1</v>
      </c>
      <c r="BP28" s="11" t="s">
        <v>2814</v>
      </c>
      <c r="BQ28" s="12" t="s">
        <v>28</v>
      </c>
      <c r="BR28" s="5" t="str">
        <f t="shared" si="8"/>
        <v>Terminado</v>
      </c>
      <c r="BS28" s="5" t="str">
        <f t="shared" si="9"/>
        <v>Terminado</v>
      </c>
      <c r="BT28" s="581"/>
      <c r="BU28" s="561"/>
      <c r="BV28" s="562"/>
      <c r="BW28" s="610"/>
      <c r="BX28" s="610"/>
      <c r="BY28" s="573"/>
      <c r="BZ28" s="573"/>
      <c r="CA28" s="583"/>
      <c r="CB28" s="583"/>
      <c r="CC28" s="583"/>
      <c r="CD28" s="583"/>
      <c r="CE28" s="583"/>
      <c r="CF28" s="583"/>
      <c r="CG28" s="659"/>
      <c r="CH28" s="659" t="s">
        <v>2756</v>
      </c>
      <c r="CI28" s="659" t="s">
        <v>2634</v>
      </c>
      <c r="CJ28" s="659"/>
    </row>
    <row r="29" spans="2:88" ht="171.95" customHeight="1" x14ac:dyDescent="0.25">
      <c r="B29" s="1221"/>
      <c r="C29" s="630"/>
      <c r="D29" s="33" t="s">
        <v>57</v>
      </c>
      <c r="E29" s="33" t="s">
        <v>26</v>
      </c>
      <c r="F29" s="633"/>
      <c r="G29" s="33" t="s">
        <v>28</v>
      </c>
      <c r="H29" s="33" t="s">
        <v>28</v>
      </c>
      <c r="I29" s="33" t="s">
        <v>59</v>
      </c>
      <c r="J29" s="33" t="s">
        <v>30</v>
      </c>
      <c r="K29" s="634"/>
      <c r="L29" s="51" t="s">
        <v>61</v>
      </c>
      <c r="M29" s="34" t="s">
        <v>104</v>
      </c>
      <c r="N29" s="35" t="s">
        <v>105</v>
      </c>
      <c r="O29" s="33">
        <v>0.05</v>
      </c>
      <c r="P29" s="36">
        <v>44378</v>
      </c>
      <c r="Q29" s="36">
        <v>44408</v>
      </c>
      <c r="R29" s="37">
        <v>0</v>
      </c>
      <c r="S29" s="37">
        <v>0</v>
      </c>
      <c r="T29" s="37">
        <v>1</v>
      </c>
      <c r="U29" s="37">
        <v>1</v>
      </c>
      <c r="V29" s="27">
        <v>0</v>
      </c>
      <c r="W29" s="13" t="s">
        <v>37</v>
      </c>
      <c r="X29" s="55" t="s">
        <v>37</v>
      </c>
      <c r="Y29" s="5" t="str">
        <f t="shared" si="6"/>
        <v>Sin iniciar</v>
      </c>
      <c r="Z29" s="5" t="str">
        <f t="shared" si="1"/>
        <v>Sin iniciar</v>
      </c>
      <c r="AA29" s="536"/>
      <c r="AB29" s="596"/>
      <c r="AC29" s="597"/>
      <c r="AD29" s="610"/>
      <c r="AE29" s="610"/>
      <c r="AF29" s="56" t="s">
        <v>37</v>
      </c>
      <c r="AG29" s="583"/>
      <c r="AH29" s="583"/>
      <c r="AI29" s="583"/>
      <c r="AJ29" s="660"/>
      <c r="AK29" s="583"/>
      <c r="AL29" s="583"/>
      <c r="AM29" s="659" t="s">
        <v>2755</v>
      </c>
      <c r="AN29" s="603"/>
      <c r="AO29" s="659" t="s">
        <v>2756</v>
      </c>
      <c r="AP29" s="659" t="s">
        <v>2634</v>
      </c>
      <c r="AQ29" s="583"/>
      <c r="AR29" s="1161">
        <v>0</v>
      </c>
      <c r="AS29" s="13" t="s">
        <v>2437</v>
      </c>
      <c r="AT29" s="55"/>
      <c r="AU29" s="5" t="str">
        <f t="shared" si="7"/>
        <v>Sin iniciar</v>
      </c>
      <c r="AV29" s="5" t="str">
        <f t="shared" si="3"/>
        <v>Sin iniciar</v>
      </c>
      <c r="AW29" s="536"/>
      <c r="AX29" s="599"/>
      <c r="AY29" s="600"/>
      <c r="AZ29" s="536"/>
      <c r="BA29" s="536"/>
      <c r="BB29" s="56"/>
      <c r="BC29" s="56"/>
      <c r="BD29" s="583"/>
      <c r="BE29" s="583"/>
      <c r="BF29" s="583"/>
      <c r="BG29" s="583"/>
      <c r="BH29" s="583"/>
      <c r="BI29" s="583"/>
      <c r="BJ29" s="659" t="s">
        <v>2755</v>
      </c>
      <c r="BK29" s="659" t="s">
        <v>2756</v>
      </c>
      <c r="BL29" s="659" t="s">
        <v>2634</v>
      </c>
      <c r="BM29" s="659"/>
      <c r="BN29" s="60"/>
      <c r="BO29" s="347">
        <v>1</v>
      </c>
      <c r="BP29" s="11" t="s">
        <v>2837</v>
      </c>
      <c r="BQ29" s="11" t="s">
        <v>2838</v>
      </c>
      <c r="BR29" s="5" t="str">
        <f t="shared" si="8"/>
        <v>Terminado</v>
      </c>
      <c r="BS29" s="5" t="str">
        <f t="shared" si="9"/>
        <v>Terminado</v>
      </c>
      <c r="BT29" s="581"/>
      <c r="BU29" s="561"/>
      <c r="BV29" s="562"/>
      <c r="BW29" s="610"/>
      <c r="BX29" s="610"/>
      <c r="BY29" s="573"/>
      <c r="BZ29" s="573"/>
      <c r="CA29" s="583"/>
      <c r="CB29" s="583"/>
      <c r="CC29" s="583"/>
      <c r="CD29" s="583"/>
      <c r="CE29" s="583"/>
      <c r="CF29" s="583"/>
      <c r="CG29" s="659"/>
      <c r="CH29" s="659" t="s">
        <v>2756</v>
      </c>
      <c r="CI29" s="659" t="s">
        <v>2634</v>
      </c>
      <c r="CJ29" s="659"/>
    </row>
    <row r="30" spans="2:88" ht="171.95" customHeight="1" x14ac:dyDescent="0.25">
      <c r="B30" s="1221"/>
      <c r="C30" s="630"/>
      <c r="D30" s="33" t="s">
        <v>57</v>
      </c>
      <c r="E30" s="33" t="s">
        <v>26</v>
      </c>
      <c r="F30" s="633"/>
      <c r="G30" s="33" t="s">
        <v>28</v>
      </c>
      <c r="H30" s="33" t="s">
        <v>28</v>
      </c>
      <c r="I30" s="33" t="s">
        <v>59</v>
      </c>
      <c r="J30" s="33" t="s">
        <v>30</v>
      </c>
      <c r="K30" s="634"/>
      <c r="L30" s="51" t="s">
        <v>61</v>
      </c>
      <c r="M30" s="34" t="s">
        <v>106</v>
      </c>
      <c r="N30" s="35" t="s">
        <v>107</v>
      </c>
      <c r="O30" s="33">
        <v>0.06</v>
      </c>
      <c r="P30" s="36">
        <v>44378</v>
      </c>
      <c r="Q30" s="36">
        <v>44408</v>
      </c>
      <c r="R30" s="37">
        <v>0</v>
      </c>
      <c r="S30" s="37">
        <v>0</v>
      </c>
      <c r="T30" s="37">
        <v>1</v>
      </c>
      <c r="U30" s="37">
        <v>1</v>
      </c>
      <c r="V30" s="27">
        <v>0</v>
      </c>
      <c r="W30" s="13" t="s">
        <v>37</v>
      </c>
      <c r="X30" s="55" t="s">
        <v>37</v>
      </c>
      <c r="Y30" s="5" t="str">
        <f t="shared" si="6"/>
        <v>Sin iniciar</v>
      </c>
      <c r="Z30" s="5" t="str">
        <f t="shared" si="1"/>
        <v>Sin iniciar</v>
      </c>
      <c r="AA30" s="536"/>
      <c r="AB30" s="596"/>
      <c r="AC30" s="597"/>
      <c r="AD30" s="610"/>
      <c r="AE30" s="610"/>
      <c r="AF30" s="56" t="s">
        <v>37</v>
      </c>
      <c r="AG30" s="583"/>
      <c r="AH30" s="583"/>
      <c r="AI30" s="583"/>
      <c r="AJ30" s="660"/>
      <c r="AK30" s="583">
        <v>31699400</v>
      </c>
      <c r="AL30" s="583">
        <v>7924850</v>
      </c>
      <c r="AM30" s="659" t="s">
        <v>2757</v>
      </c>
      <c r="AN30" s="603"/>
      <c r="AO30" s="659" t="s">
        <v>2758</v>
      </c>
      <c r="AP30" s="659" t="s">
        <v>2479</v>
      </c>
      <c r="AQ30" s="583">
        <f>+AL30</f>
        <v>7924850</v>
      </c>
      <c r="AR30" s="1161">
        <v>0</v>
      </c>
      <c r="AS30" s="13" t="s">
        <v>2437</v>
      </c>
      <c r="AT30" s="55"/>
      <c r="AU30" s="5" t="str">
        <f t="shared" si="7"/>
        <v>Sin iniciar</v>
      </c>
      <c r="AV30" s="5" t="str">
        <f t="shared" si="3"/>
        <v>Sin iniciar</v>
      </c>
      <c r="AW30" s="536"/>
      <c r="AX30" s="599"/>
      <c r="AY30" s="600"/>
      <c r="AZ30" s="536"/>
      <c r="BA30" s="536"/>
      <c r="BB30" s="56"/>
      <c r="BC30" s="56"/>
      <c r="BD30" s="583"/>
      <c r="BE30" s="583"/>
      <c r="BF30" s="583"/>
      <c r="BG30" s="583">
        <v>31699400</v>
      </c>
      <c r="BH30" s="583">
        <v>31699400</v>
      </c>
      <c r="BI30" s="583">
        <v>7924850</v>
      </c>
      <c r="BJ30" s="659" t="s">
        <v>2757</v>
      </c>
      <c r="BK30" s="659" t="s">
        <v>2758</v>
      </c>
      <c r="BL30" s="659" t="s">
        <v>2479</v>
      </c>
      <c r="BM30" s="659" t="s">
        <v>2759</v>
      </c>
      <c r="BN30" s="60"/>
      <c r="BO30" s="347">
        <v>1</v>
      </c>
      <c r="BP30" s="11" t="s">
        <v>2839</v>
      </c>
      <c r="BQ30" s="11" t="s">
        <v>2840</v>
      </c>
      <c r="BR30" s="5" t="str">
        <f t="shared" si="8"/>
        <v>Terminado</v>
      </c>
      <c r="BS30" s="5" t="str">
        <f t="shared" si="9"/>
        <v>Terminado</v>
      </c>
      <c r="BT30" s="581"/>
      <c r="BU30" s="561"/>
      <c r="BV30" s="562"/>
      <c r="BW30" s="610"/>
      <c r="BX30" s="610"/>
      <c r="BY30" s="573"/>
      <c r="BZ30" s="573"/>
      <c r="CA30" s="583"/>
      <c r="CB30" s="583"/>
      <c r="CC30" s="583"/>
      <c r="CD30" s="697">
        <v>31699400</v>
      </c>
      <c r="CE30" s="970">
        <v>31699400</v>
      </c>
      <c r="CF30" s="970">
        <v>7924850</v>
      </c>
      <c r="CG30" s="970" t="s">
        <v>2757</v>
      </c>
      <c r="CH30" s="970" t="s">
        <v>2758</v>
      </c>
      <c r="CI30" s="970" t="s">
        <v>2479</v>
      </c>
      <c r="CJ30" s="970" t="s">
        <v>2759</v>
      </c>
    </row>
    <row r="31" spans="2:88" ht="171.95" customHeight="1" x14ac:dyDescent="0.25">
      <c r="B31" s="1221"/>
      <c r="C31" s="630"/>
      <c r="D31" s="33" t="s">
        <v>57</v>
      </c>
      <c r="E31" s="33" t="s">
        <v>26</v>
      </c>
      <c r="F31" s="633"/>
      <c r="G31" s="33" t="s">
        <v>28</v>
      </c>
      <c r="H31" s="33" t="s">
        <v>28</v>
      </c>
      <c r="I31" s="33" t="s">
        <v>59</v>
      </c>
      <c r="J31" s="33" t="s">
        <v>30</v>
      </c>
      <c r="K31" s="634"/>
      <c r="L31" s="51" t="s">
        <v>61</v>
      </c>
      <c r="M31" s="34" t="s">
        <v>108</v>
      </c>
      <c r="N31" s="35" t="s">
        <v>109</v>
      </c>
      <c r="O31" s="33">
        <v>7.0000000000000007E-2</v>
      </c>
      <c r="P31" s="36">
        <v>44409</v>
      </c>
      <c r="Q31" s="36">
        <v>44439</v>
      </c>
      <c r="R31" s="37">
        <v>0</v>
      </c>
      <c r="S31" s="37">
        <v>0</v>
      </c>
      <c r="T31" s="37">
        <v>1</v>
      </c>
      <c r="U31" s="37">
        <v>1</v>
      </c>
      <c r="V31" s="27">
        <v>0</v>
      </c>
      <c r="W31" s="13" t="s">
        <v>37</v>
      </c>
      <c r="X31" s="55" t="s">
        <v>37</v>
      </c>
      <c r="Y31" s="5" t="str">
        <f t="shared" si="6"/>
        <v>Sin iniciar</v>
      </c>
      <c r="Z31" s="5" t="str">
        <f t="shared" si="1"/>
        <v>Sin iniciar</v>
      </c>
      <c r="AA31" s="536"/>
      <c r="AB31" s="596"/>
      <c r="AC31" s="597"/>
      <c r="AD31" s="610"/>
      <c r="AE31" s="610"/>
      <c r="AF31" s="56" t="s">
        <v>37</v>
      </c>
      <c r="AG31" s="583"/>
      <c r="AH31" s="583"/>
      <c r="AI31" s="583"/>
      <c r="AJ31" s="660"/>
      <c r="AK31" s="583"/>
      <c r="AL31" s="583"/>
      <c r="AM31" s="659" t="s">
        <v>2757</v>
      </c>
      <c r="AN31" s="603"/>
      <c r="AO31" s="659" t="s">
        <v>2758</v>
      </c>
      <c r="AP31" s="659" t="s">
        <v>2479</v>
      </c>
      <c r="AQ31" s="583"/>
      <c r="AR31" s="1161">
        <v>0</v>
      </c>
      <c r="AS31" s="13" t="s">
        <v>2437</v>
      </c>
      <c r="AT31" s="55"/>
      <c r="AU31" s="5" t="str">
        <f t="shared" si="7"/>
        <v>Sin iniciar</v>
      </c>
      <c r="AV31" s="5" t="str">
        <f t="shared" si="3"/>
        <v>Sin iniciar</v>
      </c>
      <c r="AW31" s="536"/>
      <c r="AX31" s="599"/>
      <c r="AY31" s="600"/>
      <c r="AZ31" s="536"/>
      <c r="BA31" s="536"/>
      <c r="BB31" s="56"/>
      <c r="BC31" s="56"/>
      <c r="BD31" s="583"/>
      <c r="BE31" s="583"/>
      <c r="BF31" s="583"/>
      <c r="BG31" s="583"/>
      <c r="BH31" s="583"/>
      <c r="BI31" s="583"/>
      <c r="BJ31" s="659" t="s">
        <v>2757</v>
      </c>
      <c r="BK31" s="659" t="s">
        <v>2758</v>
      </c>
      <c r="BL31" s="659" t="s">
        <v>2479</v>
      </c>
      <c r="BM31" s="659"/>
      <c r="BN31" s="60"/>
      <c r="BO31" s="347">
        <v>1</v>
      </c>
      <c r="BP31" s="11" t="s">
        <v>2841</v>
      </c>
      <c r="BQ31" s="11" t="s">
        <v>2842</v>
      </c>
      <c r="BR31" s="5" t="str">
        <f t="shared" si="8"/>
        <v>Terminado</v>
      </c>
      <c r="BS31" s="5" t="str">
        <f t="shared" si="9"/>
        <v>Terminado</v>
      </c>
      <c r="BT31" s="581"/>
      <c r="BU31" s="561"/>
      <c r="BV31" s="562"/>
      <c r="BW31" s="610"/>
      <c r="BX31" s="610"/>
      <c r="BY31" s="573"/>
      <c r="BZ31" s="573"/>
      <c r="CA31" s="583"/>
      <c r="CB31" s="583"/>
      <c r="CC31" s="583"/>
      <c r="CD31" s="697"/>
      <c r="CE31" s="970"/>
      <c r="CF31" s="970"/>
      <c r="CG31" s="970" t="s">
        <v>2757</v>
      </c>
      <c r="CH31" s="970" t="s">
        <v>2758</v>
      </c>
      <c r="CI31" s="970" t="s">
        <v>2479</v>
      </c>
      <c r="CJ31" s="970"/>
    </row>
    <row r="32" spans="2:88" ht="171.95" customHeight="1" x14ac:dyDescent="0.25">
      <c r="B32" s="1221"/>
      <c r="C32" s="630"/>
      <c r="D32" s="33" t="s">
        <v>57</v>
      </c>
      <c r="E32" s="33" t="s">
        <v>26</v>
      </c>
      <c r="F32" s="633"/>
      <c r="G32" s="33" t="s">
        <v>28</v>
      </c>
      <c r="H32" s="33" t="s">
        <v>28</v>
      </c>
      <c r="I32" s="33" t="s">
        <v>59</v>
      </c>
      <c r="J32" s="33" t="s">
        <v>30</v>
      </c>
      <c r="K32" s="634"/>
      <c r="L32" s="51" t="s">
        <v>61</v>
      </c>
      <c r="M32" s="34" t="s">
        <v>110</v>
      </c>
      <c r="N32" s="35" t="s">
        <v>111</v>
      </c>
      <c r="O32" s="33">
        <v>0.05</v>
      </c>
      <c r="P32" s="36">
        <v>44440</v>
      </c>
      <c r="Q32" s="36">
        <v>44469</v>
      </c>
      <c r="R32" s="37">
        <v>0</v>
      </c>
      <c r="S32" s="37">
        <v>0</v>
      </c>
      <c r="T32" s="37">
        <v>1</v>
      </c>
      <c r="U32" s="37">
        <v>1</v>
      </c>
      <c r="V32" s="27">
        <v>0</v>
      </c>
      <c r="W32" s="13" t="s">
        <v>37</v>
      </c>
      <c r="X32" s="55" t="s">
        <v>37</v>
      </c>
      <c r="Y32" s="5" t="str">
        <f t="shared" si="6"/>
        <v>Sin iniciar</v>
      </c>
      <c r="Z32" s="5" t="str">
        <f t="shared" si="1"/>
        <v>Sin iniciar</v>
      </c>
      <c r="AA32" s="536"/>
      <c r="AB32" s="596"/>
      <c r="AC32" s="597"/>
      <c r="AD32" s="610"/>
      <c r="AE32" s="610"/>
      <c r="AF32" s="56" t="s">
        <v>37</v>
      </c>
      <c r="AG32" s="583"/>
      <c r="AH32" s="583"/>
      <c r="AI32" s="583"/>
      <c r="AJ32" s="660"/>
      <c r="AK32" s="583"/>
      <c r="AL32" s="583"/>
      <c r="AM32" s="659" t="s">
        <v>2757</v>
      </c>
      <c r="AN32" s="603"/>
      <c r="AO32" s="659" t="s">
        <v>2758</v>
      </c>
      <c r="AP32" s="659" t="s">
        <v>2479</v>
      </c>
      <c r="AQ32" s="583"/>
      <c r="AR32" s="1161">
        <v>0</v>
      </c>
      <c r="AS32" s="13" t="s">
        <v>2437</v>
      </c>
      <c r="AT32" s="55"/>
      <c r="AU32" s="5" t="str">
        <f t="shared" si="7"/>
        <v>Sin iniciar</v>
      </c>
      <c r="AV32" s="5" t="str">
        <f t="shared" si="3"/>
        <v>Sin iniciar</v>
      </c>
      <c r="AW32" s="536"/>
      <c r="AX32" s="599"/>
      <c r="AY32" s="600"/>
      <c r="AZ32" s="536"/>
      <c r="BA32" s="536"/>
      <c r="BB32" s="56"/>
      <c r="BC32" s="56"/>
      <c r="BD32" s="583"/>
      <c r="BE32" s="583"/>
      <c r="BF32" s="583"/>
      <c r="BG32" s="583"/>
      <c r="BH32" s="583"/>
      <c r="BI32" s="583"/>
      <c r="BJ32" s="659" t="s">
        <v>2757</v>
      </c>
      <c r="BK32" s="659" t="s">
        <v>2758</v>
      </c>
      <c r="BL32" s="659" t="s">
        <v>2479</v>
      </c>
      <c r="BM32" s="659"/>
      <c r="BN32" s="60"/>
      <c r="BO32" s="347">
        <v>1</v>
      </c>
      <c r="BP32" s="11" t="s">
        <v>2843</v>
      </c>
      <c r="BQ32" s="11" t="s">
        <v>2844</v>
      </c>
      <c r="BR32" s="5" t="str">
        <f t="shared" si="8"/>
        <v>Terminado</v>
      </c>
      <c r="BS32" s="5" t="str">
        <f t="shared" si="9"/>
        <v>Terminado</v>
      </c>
      <c r="BT32" s="581"/>
      <c r="BU32" s="561"/>
      <c r="BV32" s="562"/>
      <c r="BW32" s="610"/>
      <c r="BX32" s="610"/>
      <c r="BY32" s="573"/>
      <c r="BZ32" s="573"/>
      <c r="CA32" s="583"/>
      <c r="CB32" s="583"/>
      <c r="CC32" s="583"/>
      <c r="CD32" s="697"/>
      <c r="CE32" s="970"/>
      <c r="CF32" s="970"/>
      <c r="CG32" s="970" t="s">
        <v>2757</v>
      </c>
      <c r="CH32" s="970" t="s">
        <v>2758</v>
      </c>
      <c r="CI32" s="970" t="s">
        <v>2479</v>
      </c>
      <c r="CJ32" s="970"/>
    </row>
    <row r="33" spans="2:88" ht="171.95" customHeight="1" x14ac:dyDescent="0.25">
      <c r="B33" s="1221"/>
      <c r="C33" s="630"/>
      <c r="D33" s="33" t="s">
        <v>57</v>
      </c>
      <c r="E33" s="33" t="s">
        <v>26</v>
      </c>
      <c r="F33" s="633"/>
      <c r="G33" s="33" t="s">
        <v>28</v>
      </c>
      <c r="H33" s="33" t="s">
        <v>28</v>
      </c>
      <c r="I33" s="33" t="s">
        <v>59</v>
      </c>
      <c r="J33" s="33" t="s">
        <v>30</v>
      </c>
      <c r="K33" s="634"/>
      <c r="L33" s="51" t="s">
        <v>61</v>
      </c>
      <c r="M33" s="34" t="s">
        <v>112</v>
      </c>
      <c r="N33" s="35" t="s">
        <v>2845</v>
      </c>
      <c r="O33" s="33">
        <v>0.05</v>
      </c>
      <c r="P33" s="36">
        <v>44440</v>
      </c>
      <c r="Q33" s="36">
        <v>44469</v>
      </c>
      <c r="R33" s="37">
        <v>0</v>
      </c>
      <c r="S33" s="37">
        <v>0</v>
      </c>
      <c r="T33" s="37">
        <v>0</v>
      </c>
      <c r="U33" s="37">
        <v>1</v>
      </c>
      <c r="V33" s="27">
        <v>0</v>
      </c>
      <c r="W33" s="13" t="s">
        <v>37</v>
      </c>
      <c r="X33" s="55" t="s">
        <v>37</v>
      </c>
      <c r="Y33" s="5" t="str">
        <f t="shared" si="6"/>
        <v>Sin iniciar</v>
      </c>
      <c r="Z33" s="5" t="str">
        <f t="shared" si="1"/>
        <v>Sin iniciar</v>
      </c>
      <c r="AA33" s="536"/>
      <c r="AB33" s="596"/>
      <c r="AC33" s="597"/>
      <c r="AD33" s="610"/>
      <c r="AE33" s="610"/>
      <c r="AF33" s="56" t="s">
        <v>37</v>
      </c>
      <c r="AG33" s="583"/>
      <c r="AH33" s="583"/>
      <c r="AI33" s="583"/>
      <c r="AJ33" s="660"/>
      <c r="AK33" s="583"/>
      <c r="AL33" s="583"/>
      <c r="AM33" s="659" t="s">
        <v>2757</v>
      </c>
      <c r="AN33" s="603"/>
      <c r="AO33" s="659" t="s">
        <v>2758</v>
      </c>
      <c r="AP33" s="659" t="s">
        <v>2479</v>
      </c>
      <c r="AQ33" s="583"/>
      <c r="AR33" s="1161">
        <v>0</v>
      </c>
      <c r="AS33" s="13" t="s">
        <v>2437</v>
      </c>
      <c r="AT33" s="55"/>
      <c r="AU33" s="56" t="str">
        <f t="shared" si="7"/>
        <v>Sin iniciar</v>
      </c>
      <c r="AV33" s="56" t="str">
        <f t="shared" si="3"/>
        <v>Sin iniciar</v>
      </c>
      <c r="AW33" s="536"/>
      <c r="AX33" s="599"/>
      <c r="AY33" s="600"/>
      <c r="AZ33" s="536"/>
      <c r="BA33" s="536"/>
      <c r="BB33" s="56"/>
      <c r="BC33" s="56"/>
      <c r="BD33" s="583"/>
      <c r="BE33" s="583"/>
      <c r="BF33" s="583"/>
      <c r="BG33" s="583"/>
      <c r="BH33" s="583"/>
      <c r="BI33" s="583"/>
      <c r="BJ33" s="659" t="s">
        <v>2757</v>
      </c>
      <c r="BK33" s="659" t="s">
        <v>2758</v>
      </c>
      <c r="BL33" s="659" t="s">
        <v>2479</v>
      </c>
      <c r="BM33" s="659"/>
      <c r="BN33" s="60"/>
      <c r="BO33" s="347">
        <v>1</v>
      </c>
      <c r="BP33" s="11" t="s">
        <v>2846</v>
      </c>
      <c r="BQ33" s="11" t="s">
        <v>2847</v>
      </c>
      <c r="BR33" s="5" t="str">
        <f t="shared" si="8"/>
        <v>Sin iniciar</v>
      </c>
      <c r="BS33" s="5" t="str">
        <f t="shared" si="9"/>
        <v>Terminado</v>
      </c>
      <c r="BT33" s="581"/>
      <c r="BU33" s="561"/>
      <c r="BV33" s="562"/>
      <c r="BW33" s="610"/>
      <c r="BX33" s="610"/>
      <c r="BY33" s="573"/>
      <c r="BZ33" s="573"/>
      <c r="CA33" s="583"/>
      <c r="CB33" s="583"/>
      <c r="CC33" s="583"/>
      <c r="CD33" s="697"/>
      <c r="CE33" s="970"/>
      <c r="CF33" s="970"/>
      <c r="CG33" s="970" t="s">
        <v>2757</v>
      </c>
      <c r="CH33" s="970" t="s">
        <v>2758</v>
      </c>
      <c r="CI33" s="970" t="s">
        <v>2479</v>
      </c>
      <c r="CJ33" s="970"/>
    </row>
    <row r="34" spans="2:88" ht="171.95" customHeight="1" x14ac:dyDescent="0.25">
      <c r="B34" s="1221"/>
      <c r="C34" s="630"/>
      <c r="D34" s="33" t="s">
        <v>57</v>
      </c>
      <c r="E34" s="33" t="s">
        <v>26</v>
      </c>
      <c r="F34" s="633"/>
      <c r="G34" s="33" t="s">
        <v>28</v>
      </c>
      <c r="H34" s="33" t="s">
        <v>28</v>
      </c>
      <c r="I34" s="33" t="s">
        <v>59</v>
      </c>
      <c r="J34" s="33" t="s">
        <v>30</v>
      </c>
      <c r="K34" s="634"/>
      <c r="L34" s="51" t="s">
        <v>61</v>
      </c>
      <c r="M34" s="34" t="s">
        <v>113</v>
      </c>
      <c r="N34" s="35" t="s">
        <v>114</v>
      </c>
      <c r="O34" s="33">
        <v>0.05</v>
      </c>
      <c r="P34" s="36">
        <v>44470</v>
      </c>
      <c r="Q34" s="36">
        <v>44500</v>
      </c>
      <c r="R34" s="37">
        <v>0</v>
      </c>
      <c r="S34" s="37">
        <v>0</v>
      </c>
      <c r="T34" s="37">
        <v>0</v>
      </c>
      <c r="U34" s="37">
        <v>1</v>
      </c>
      <c r="V34" s="27">
        <v>0</v>
      </c>
      <c r="W34" s="13" t="s">
        <v>37</v>
      </c>
      <c r="X34" s="55" t="s">
        <v>37</v>
      </c>
      <c r="Y34" s="5" t="str">
        <f t="shared" si="6"/>
        <v>Sin iniciar</v>
      </c>
      <c r="Z34" s="5" t="str">
        <f t="shared" si="1"/>
        <v>Sin iniciar</v>
      </c>
      <c r="AA34" s="536"/>
      <c r="AB34" s="596"/>
      <c r="AC34" s="597"/>
      <c r="AD34" s="610"/>
      <c r="AE34" s="610"/>
      <c r="AF34" s="56" t="s">
        <v>37</v>
      </c>
      <c r="AG34" s="583"/>
      <c r="AH34" s="583"/>
      <c r="AI34" s="583"/>
      <c r="AJ34" s="660"/>
      <c r="AK34" s="583"/>
      <c r="AL34" s="583"/>
      <c r="AM34" s="659" t="s">
        <v>2757</v>
      </c>
      <c r="AN34" s="603"/>
      <c r="AO34" s="659" t="s">
        <v>2758</v>
      </c>
      <c r="AP34" s="659" t="s">
        <v>2479</v>
      </c>
      <c r="AQ34" s="583"/>
      <c r="AR34" s="1161">
        <v>0</v>
      </c>
      <c r="AS34" s="13" t="s">
        <v>2437</v>
      </c>
      <c r="AT34" s="55"/>
      <c r="AU34" s="56" t="str">
        <f t="shared" si="7"/>
        <v>Sin iniciar</v>
      </c>
      <c r="AV34" s="56" t="str">
        <f t="shared" si="3"/>
        <v>Sin iniciar</v>
      </c>
      <c r="AW34" s="536"/>
      <c r="AX34" s="599"/>
      <c r="AY34" s="600"/>
      <c r="AZ34" s="536"/>
      <c r="BA34" s="536"/>
      <c r="BB34" s="56"/>
      <c r="BC34" s="56"/>
      <c r="BD34" s="583"/>
      <c r="BE34" s="583"/>
      <c r="BF34" s="583"/>
      <c r="BG34" s="583"/>
      <c r="BH34" s="583"/>
      <c r="BI34" s="583"/>
      <c r="BJ34" s="659" t="s">
        <v>2757</v>
      </c>
      <c r="BK34" s="659" t="s">
        <v>2758</v>
      </c>
      <c r="BL34" s="659" t="s">
        <v>2479</v>
      </c>
      <c r="BM34" s="659"/>
      <c r="BN34" s="60"/>
      <c r="BO34" s="347">
        <v>0</v>
      </c>
      <c r="BP34" s="11" t="s">
        <v>2824</v>
      </c>
      <c r="BQ34" s="12" t="s">
        <v>28</v>
      </c>
      <c r="BR34" s="5" t="str">
        <f t="shared" si="8"/>
        <v>Sin iniciar</v>
      </c>
      <c r="BS34" s="5" t="str">
        <f t="shared" si="9"/>
        <v>Sin iniciar</v>
      </c>
      <c r="BT34" s="581"/>
      <c r="BU34" s="561"/>
      <c r="BV34" s="562"/>
      <c r="BW34" s="610"/>
      <c r="BX34" s="610"/>
      <c r="BY34" s="573"/>
      <c r="BZ34" s="573"/>
      <c r="CA34" s="583"/>
      <c r="CB34" s="583"/>
      <c r="CC34" s="583"/>
      <c r="CD34" s="697"/>
      <c r="CE34" s="970"/>
      <c r="CF34" s="970"/>
      <c r="CG34" s="970" t="s">
        <v>2757</v>
      </c>
      <c r="CH34" s="970" t="s">
        <v>2758</v>
      </c>
      <c r="CI34" s="970" t="s">
        <v>2479</v>
      </c>
      <c r="CJ34" s="970"/>
    </row>
    <row r="35" spans="2:88" ht="171.95" customHeight="1" x14ac:dyDescent="0.25">
      <c r="B35" s="1221"/>
      <c r="C35" s="630"/>
      <c r="D35" s="33" t="s">
        <v>57</v>
      </c>
      <c r="E35" s="33" t="s">
        <v>26</v>
      </c>
      <c r="F35" s="633"/>
      <c r="G35" s="33" t="s">
        <v>28</v>
      </c>
      <c r="H35" s="33" t="s">
        <v>28</v>
      </c>
      <c r="I35" s="33" t="s">
        <v>59</v>
      </c>
      <c r="J35" s="33" t="s">
        <v>30</v>
      </c>
      <c r="K35" s="634"/>
      <c r="L35" s="51" t="s">
        <v>61</v>
      </c>
      <c r="M35" s="34" t="s">
        <v>115</v>
      </c>
      <c r="N35" s="35" t="s">
        <v>116</v>
      </c>
      <c r="O35" s="33">
        <v>0.06</v>
      </c>
      <c r="P35" s="36">
        <v>44470</v>
      </c>
      <c r="Q35" s="36">
        <v>44500</v>
      </c>
      <c r="R35" s="37">
        <v>0</v>
      </c>
      <c r="S35" s="37">
        <v>0</v>
      </c>
      <c r="T35" s="37">
        <v>0</v>
      </c>
      <c r="U35" s="37">
        <v>1</v>
      </c>
      <c r="V35" s="27">
        <v>0</v>
      </c>
      <c r="W35" s="13" t="s">
        <v>37</v>
      </c>
      <c r="X35" s="55" t="s">
        <v>37</v>
      </c>
      <c r="Y35" s="5" t="str">
        <f t="shared" si="6"/>
        <v>Sin iniciar</v>
      </c>
      <c r="Z35" s="5" t="str">
        <f t="shared" si="1"/>
        <v>Sin iniciar</v>
      </c>
      <c r="AA35" s="536"/>
      <c r="AB35" s="596"/>
      <c r="AC35" s="597"/>
      <c r="AD35" s="610"/>
      <c r="AE35" s="610"/>
      <c r="AF35" s="56" t="s">
        <v>37</v>
      </c>
      <c r="AG35" s="583"/>
      <c r="AH35" s="583"/>
      <c r="AI35" s="583"/>
      <c r="AJ35" s="660"/>
      <c r="AK35" s="583"/>
      <c r="AL35" s="583"/>
      <c r="AM35" s="659" t="s">
        <v>2757</v>
      </c>
      <c r="AN35" s="603"/>
      <c r="AO35" s="659" t="s">
        <v>2758</v>
      </c>
      <c r="AP35" s="659" t="s">
        <v>2479</v>
      </c>
      <c r="AQ35" s="583"/>
      <c r="AR35" s="1161">
        <v>0</v>
      </c>
      <c r="AS35" s="13" t="s">
        <v>2437</v>
      </c>
      <c r="AT35" s="55"/>
      <c r="AU35" s="56" t="str">
        <f t="shared" si="7"/>
        <v>Sin iniciar</v>
      </c>
      <c r="AV35" s="56" t="str">
        <f t="shared" si="3"/>
        <v>Sin iniciar</v>
      </c>
      <c r="AW35" s="536"/>
      <c r="AX35" s="599"/>
      <c r="AY35" s="600"/>
      <c r="AZ35" s="536"/>
      <c r="BA35" s="536"/>
      <c r="BB35" s="56"/>
      <c r="BC35" s="56"/>
      <c r="BD35" s="583"/>
      <c r="BE35" s="583"/>
      <c r="BF35" s="583"/>
      <c r="BG35" s="583"/>
      <c r="BH35" s="583"/>
      <c r="BI35" s="583"/>
      <c r="BJ35" s="659" t="s">
        <v>2757</v>
      </c>
      <c r="BK35" s="659" t="s">
        <v>2758</v>
      </c>
      <c r="BL35" s="659" t="s">
        <v>2479</v>
      </c>
      <c r="BM35" s="659"/>
      <c r="BN35" s="60"/>
      <c r="BO35" s="347">
        <v>0</v>
      </c>
      <c r="BP35" s="11" t="s">
        <v>2824</v>
      </c>
      <c r="BQ35" s="12" t="s">
        <v>28</v>
      </c>
      <c r="BR35" s="5" t="str">
        <f t="shared" si="8"/>
        <v>Sin iniciar</v>
      </c>
      <c r="BS35" s="5" t="str">
        <f t="shared" si="9"/>
        <v>Sin iniciar</v>
      </c>
      <c r="BT35" s="581"/>
      <c r="BU35" s="561"/>
      <c r="BV35" s="562"/>
      <c r="BW35" s="610"/>
      <c r="BX35" s="610"/>
      <c r="BY35" s="573"/>
      <c r="BZ35" s="573"/>
      <c r="CA35" s="583"/>
      <c r="CB35" s="583"/>
      <c r="CC35" s="583"/>
      <c r="CD35" s="697"/>
      <c r="CE35" s="970"/>
      <c r="CF35" s="970"/>
      <c r="CG35" s="970" t="s">
        <v>2757</v>
      </c>
      <c r="CH35" s="970" t="s">
        <v>2758</v>
      </c>
      <c r="CI35" s="970" t="s">
        <v>2479</v>
      </c>
      <c r="CJ35" s="970"/>
    </row>
    <row r="36" spans="2:88" ht="171.95" customHeight="1" x14ac:dyDescent="0.25">
      <c r="B36" s="1221"/>
      <c r="C36" s="630"/>
      <c r="D36" s="33" t="s">
        <v>57</v>
      </c>
      <c r="E36" s="33" t="s">
        <v>26</v>
      </c>
      <c r="F36" s="633"/>
      <c r="G36" s="33" t="s">
        <v>28</v>
      </c>
      <c r="H36" s="33" t="s">
        <v>28</v>
      </c>
      <c r="I36" s="33" t="s">
        <v>59</v>
      </c>
      <c r="J36" s="33" t="s">
        <v>30</v>
      </c>
      <c r="K36" s="634"/>
      <c r="L36" s="51" t="s">
        <v>61</v>
      </c>
      <c r="M36" s="34" t="s">
        <v>117</v>
      </c>
      <c r="N36" s="35" t="s">
        <v>118</v>
      </c>
      <c r="O36" s="33">
        <v>7.0000000000000007E-2</v>
      </c>
      <c r="P36" s="36">
        <v>44501</v>
      </c>
      <c r="Q36" s="36">
        <v>44530</v>
      </c>
      <c r="R36" s="37">
        <v>0</v>
      </c>
      <c r="S36" s="37">
        <v>0</v>
      </c>
      <c r="T36" s="37">
        <v>0</v>
      </c>
      <c r="U36" s="37">
        <v>1</v>
      </c>
      <c r="V36" s="27">
        <v>0</v>
      </c>
      <c r="W36" s="13" t="s">
        <v>37</v>
      </c>
      <c r="X36" s="55" t="s">
        <v>37</v>
      </c>
      <c r="Y36" s="5" t="str">
        <f t="shared" si="6"/>
        <v>Sin iniciar</v>
      </c>
      <c r="Z36" s="5" t="str">
        <f t="shared" si="1"/>
        <v>Sin iniciar</v>
      </c>
      <c r="AA36" s="536"/>
      <c r="AB36" s="596"/>
      <c r="AC36" s="597"/>
      <c r="AD36" s="610"/>
      <c r="AE36" s="610"/>
      <c r="AF36" s="56" t="s">
        <v>37</v>
      </c>
      <c r="AG36" s="583"/>
      <c r="AH36" s="583"/>
      <c r="AI36" s="583"/>
      <c r="AJ36" s="660"/>
      <c r="AK36" s="583"/>
      <c r="AL36" s="583"/>
      <c r="AM36" s="659" t="s">
        <v>2757</v>
      </c>
      <c r="AN36" s="603"/>
      <c r="AO36" s="659" t="s">
        <v>2758</v>
      </c>
      <c r="AP36" s="659" t="s">
        <v>2479</v>
      </c>
      <c r="AQ36" s="583"/>
      <c r="AR36" s="1161">
        <v>0</v>
      </c>
      <c r="AS36" s="13" t="s">
        <v>2437</v>
      </c>
      <c r="AT36" s="55"/>
      <c r="AU36" s="56" t="str">
        <f t="shared" si="7"/>
        <v>Sin iniciar</v>
      </c>
      <c r="AV36" s="56" t="str">
        <f t="shared" si="3"/>
        <v>Sin iniciar</v>
      </c>
      <c r="AW36" s="536"/>
      <c r="AX36" s="599"/>
      <c r="AY36" s="600"/>
      <c r="AZ36" s="536"/>
      <c r="BA36" s="536"/>
      <c r="BB36" s="56"/>
      <c r="BC36" s="56"/>
      <c r="BD36" s="583"/>
      <c r="BE36" s="583"/>
      <c r="BF36" s="583"/>
      <c r="BG36" s="583"/>
      <c r="BH36" s="583"/>
      <c r="BI36" s="583"/>
      <c r="BJ36" s="659" t="s">
        <v>2757</v>
      </c>
      <c r="BK36" s="659" t="s">
        <v>2758</v>
      </c>
      <c r="BL36" s="659" t="s">
        <v>2479</v>
      </c>
      <c r="BM36" s="659"/>
      <c r="BN36" s="60"/>
      <c r="BO36" s="347">
        <v>0</v>
      </c>
      <c r="BP36" s="11" t="s">
        <v>2824</v>
      </c>
      <c r="BQ36" s="12" t="s">
        <v>28</v>
      </c>
      <c r="BR36" s="5" t="str">
        <f t="shared" si="8"/>
        <v>Sin iniciar</v>
      </c>
      <c r="BS36" s="5" t="str">
        <f t="shared" si="9"/>
        <v>Sin iniciar</v>
      </c>
      <c r="BT36" s="581"/>
      <c r="BU36" s="561"/>
      <c r="BV36" s="562"/>
      <c r="BW36" s="610"/>
      <c r="BX36" s="610"/>
      <c r="BY36" s="573"/>
      <c r="BZ36" s="573"/>
      <c r="CA36" s="583"/>
      <c r="CB36" s="583"/>
      <c r="CC36" s="583"/>
      <c r="CD36" s="697"/>
      <c r="CE36" s="970"/>
      <c r="CF36" s="970"/>
      <c r="CG36" s="970" t="s">
        <v>2757</v>
      </c>
      <c r="CH36" s="970" t="s">
        <v>2758</v>
      </c>
      <c r="CI36" s="970" t="s">
        <v>2479</v>
      </c>
      <c r="CJ36" s="970"/>
    </row>
    <row r="37" spans="2:88" ht="171.95" customHeight="1" x14ac:dyDescent="0.25">
      <c r="B37" s="1221"/>
      <c r="C37" s="630"/>
      <c r="D37" s="33" t="s">
        <v>57</v>
      </c>
      <c r="E37" s="33" t="s">
        <v>26</v>
      </c>
      <c r="F37" s="633"/>
      <c r="G37" s="33" t="s">
        <v>28</v>
      </c>
      <c r="H37" s="33" t="s">
        <v>28</v>
      </c>
      <c r="I37" s="33" t="s">
        <v>59</v>
      </c>
      <c r="J37" s="33" t="s">
        <v>30</v>
      </c>
      <c r="K37" s="634"/>
      <c r="L37" s="51" t="s">
        <v>61</v>
      </c>
      <c r="M37" s="34" t="s">
        <v>119</v>
      </c>
      <c r="N37" s="35" t="s">
        <v>120</v>
      </c>
      <c r="O37" s="33">
        <v>0.05</v>
      </c>
      <c r="P37" s="36">
        <v>44515</v>
      </c>
      <c r="Q37" s="36">
        <v>44545</v>
      </c>
      <c r="R37" s="37">
        <v>0</v>
      </c>
      <c r="S37" s="37">
        <v>0</v>
      </c>
      <c r="T37" s="37">
        <v>0</v>
      </c>
      <c r="U37" s="37">
        <v>1</v>
      </c>
      <c r="V37" s="27">
        <v>0</v>
      </c>
      <c r="W37" s="13" t="s">
        <v>37</v>
      </c>
      <c r="X37" s="55" t="s">
        <v>37</v>
      </c>
      <c r="Y37" s="5" t="str">
        <f t="shared" si="6"/>
        <v>Sin iniciar</v>
      </c>
      <c r="Z37" s="5" t="str">
        <f t="shared" si="1"/>
        <v>Sin iniciar</v>
      </c>
      <c r="AA37" s="536"/>
      <c r="AB37" s="596"/>
      <c r="AC37" s="597"/>
      <c r="AD37" s="610"/>
      <c r="AE37" s="610"/>
      <c r="AF37" s="56" t="s">
        <v>37</v>
      </c>
      <c r="AG37" s="583"/>
      <c r="AH37" s="583"/>
      <c r="AI37" s="583"/>
      <c r="AJ37" s="660"/>
      <c r="AK37" s="583"/>
      <c r="AL37" s="583"/>
      <c r="AM37" s="659" t="s">
        <v>2757</v>
      </c>
      <c r="AN37" s="603"/>
      <c r="AO37" s="659" t="s">
        <v>2758</v>
      </c>
      <c r="AP37" s="659" t="s">
        <v>2479</v>
      </c>
      <c r="AQ37" s="583"/>
      <c r="AR37" s="1161">
        <v>0</v>
      </c>
      <c r="AS37" s="13" t="s">
        <v>2437</v>
      </c>
      <c r="AT37" s="55"/>
      <c r="AU37" s="56" t="str">
        <f t="shared" si="7"/>
        <v>Sin iniciar</v>
      </c>
      <c r="AV37" s="56" t="str">
        <f t="shared" si="3"/>
        <v>Sin iniciar</v>
      </c>
      <c r="AW37" s="536"/>
      <c r="AX37" s="599"/>
      <c r="AY37" s="600"/>
      <c r="AZ37" s="536"/>
      <c r="BA37" s="536"/>
      <c r="BB37" s="56"/>
      <c r="BC37" s="56"/>
      <c r="BD37" s="583"/>
      <c r="BE37" s="583"/>
      <c r="BF37" s="583"/>
      <c r="BG37" s="583"/>
      <c r="BH37" s="583"/>
      <c r="BI37" s="583"/>
      <c r="BJ37" s="659" t="s">
        <v>2757</v>
      </c>
      <c r="BK37" s="659" t="s">
        <v>2758</v>
      </c>
      <c r="BL37" s="659" t="s">
        <v>2479</v>
      </c>
      <c r="BM37" s="659"/>
      <c r="BN37" s="60"/>
      <c r="BO37" s="347">
        <v>0</v>
      </c>
      <c r="BP37" s="11" t="s">
        <v>2824</v>
      </c>
      <c r="BQ37" s="12" t="s">
        <v>28</v>
      </c>
      <c r="BR37" s="5" t="str">
        <f t="shared" si="8"/>
        <v>Sin iniciar</v>
      </c>
      <c r="BS37" s="5" t="str">
        <f t="shared" si="9"/>
        <v>Sin iniciar</v>
      </c>
      <c r="BT37" s="581"/>
      <c r="BU37" s="561"/>
      <c r="BV37" s="562"/>
      <c r="BW37" s="610"/>
      <c r="BX37" s="610"/>
      <c r="BY37" s="573"/>
      <c r="BZ37" s="573"/>
      <c r="CA37" s="583"/>
      <c r="CB37" s="583"/>
      <c r="CC37" s="583"/>
      <c r="CD37" s="697"/>
      <c r="CE37" s="970"/>
      <c r="CF37" s="970"/>
      <c r="CG37" s="970" t="s">
        <v>2757</v>
      </c>
      <c r="CH37" s="970" t="s">
        <v>2758</v>
      </c>
      <c r="CI37" s="970" t="s">
        <v>2479</v>
      </c>
      <c r="CJ37" s="970"/>
    </row>
    <row r="38" spans="2:88" ht="171.95" customHeight="1" x14ac:dyDescent="0.25">
      <c r="B38" s="1221"/>
      <c r="C38" s="630"/>
      <c r="D38" s="33" t="s">
        <v>57</v>
      </c>
      <c r="E38" s="33" t="s">
        <v>26</v>
      </c>
      <c r="F38" s="633"/>
      <c r="G38" s="33" t="s">
        <v>28</v>
      </c>
      <c r="H38" s="33" t="s">
        <v>28</v>
      </c>
      <c r="I38" s="33" t="s">
        <v>59</v>
      </c>
      <c r="J38" s="33" t="s">
        <v>30</v>
      </c>
      <c r="K38" s="634"/>
      <c r="L38" s="51" t="s">
        <v>61</v>
      </c>
      <c r="M38" s="34" t="s">
        <v>121</v>
      </c>
      <c r="N38" s="35" t="s">
        <v>122</v>
      </c>
      <c r="O38" s="33">
        <v>0.05</v>
      </c>
      <c r="P38" s="36">
        <v>44515</v>
      </c>
      <c r="Q38" s="36">
        <v>44545</v>
      </c>
      <c r="R38" s="37">
        <v>0</v>
      </c>
      <c r="S38" s="37">
        <v>0</v>
      </c>
      <c r="T38" s="37">
        <v>0</v>
      </c>
      <c r="U38" s="37">
        <v>1</v>
      </c>
      <c r="V38" s="27">
        <v>0</v>
      </c>
      <c r="W38" s="13" t="s">
        <v>37</v>
      </c>
      <c r="X38" s="55" t="s">
        <v>37</v>
      </c>
      <c r="Y38" s="5" t="str">
        <f t="shared" si="6"/>
        <v>Sin iniciar</v>
      </c>
      <c r="Z38" s="5" t="str">
        <f t="shared" si="1"/>
        <v>Sin iniciar</v>
      </c>
      <c r="AA38" s="536"/>
      <c r="AB38" s="596"/>
      <c r="AC38" s="597"/>
      <c r="AD38" s="610"/>
      <c r="AE38" s="610"/>
      <c r="AF38" s="56" t="s">
        <v>37</v>
      </c>
      <c r="AG38" s="583"/>
      <c r="AH38" s="583"/>
      <c r="AI38" s="583"/>
      <c r="AJ38" s="660"/>
      <c r="AK38" s="583"/>
      <c r="AL38" s="583"/>
      <c r="AM38" s="659" t="s">
        <v>2757</v>
      </c>
      <c r="AN38" s="603"/>
      <c r="AO38" s="659" t="s">
        <v>2758</v>
      </c>
      <c r="AP38" s="659" t="s">
        <v>2479</v>
      </c>
      <c r="AQ38" s="583"/>
      <c r="AR38" s="1161">
        <v>0</v>
      </c>
      <c r="AS38" s="13" t="s">
        <v>2437</v>
      </c>
      <c r="AT38" s="55"/>
      <c r="AU38" s="56" t="str">
        <f t="shared" si="7"/>
        <v>Sin iniciar</v>
      </c>
      <c r="AV38" s="56" t="str">
        <f t="shared" si="3"/>
        <v>Sin iniciar</v>
      </c>
      <c r="AW38" s="536"/>
      <c r="AX38" s="599"/>
      <c r="AY38" s="600"/>
      <c r="AZ38" s="536"/>
      <c r="BA38" s="536"/>
      <c r="BB38" s="56"/>
      <c r="BC38" s="56"/>
      <c r="BD38" s="583"/>
      <c r="BE38" s="583"/>
      <c r="BF38" s="583"/>
      <c r="BG38" s="583"/>
      <c r="BH38" s="583"/>
      <c r="BI38" s="583"/>
      <c r="BJ38" s="659" t="s">
        <v>2757</v>
      </c>
      <c r="BK38" s="659" t="s">
        <v>2758</v>
      </c>
      <c r="BL38" s="659" t="s">
        <v>2479</v>
      </c>
      <c r="BM38" s="659"/>
      <c r="BN38" s="60"/>
      <c r="BO38" s="347">
        <v>0</v>
      </c>
      <c r="BP38" s="11" t="s">
        <v>2824</v>
      </c>
      <c r="BQ38" s="12" t="s">
        <v>28</v>
      </c>
      <c r="BR38" s="5" t="str">
        <f t="shared" si="8"/>
        <v>Sin iniciar</v>
      </c>
      <c r="BS38" s="5" t="str">
        <f t="shared" si="9"/>
        <v>Sin iniciar</v>
      </c>
      <c r="BT38" s="581"/>
      <c r="BU38" s="561"/>
      <c r="BV38" s="562"/>
      <c r="BW38" s="610"/>
      <c r="BX38" s="610"/>
      <c r="BY38" s="573"/>
      <c r="BZ38" s="573"/>
      <c r="CA38" s="583"/>
      <c r="CB38" s="583"/>
      <c r="CC38" s="583"/>
      <c r="CD38" s="697"/>
      <c r="CE38" s="970"/>
      <c r="CF38" s="970"/>
      <c r="CG38" s="970" t="s">
        <v>2757</v>
      </c>
      <c r="CH38" s="970" t="s">
        <v>2758</v>
      </c>
      <c r="CI38" s="970" t="s">
        <v>2479</v>
      </c>
      <c r="CJ38" s="970"/>
    </row>
    <row r="39" spans="2:88" ht="171.95" customHeight="1" x14ac:dyDescent="0.25">
      <c r="B39" s="1221"/>
      <c r="C39" s="654" t="s">
        <v>123</v>
      </c>
      <c r="D39" s="41" t="s">
        <v>57</v>
      </c>
      <c r="E39" s="41" t="s">
        <v>26</v>
      </c>
      <c r="F39" s="640" t="s">
        <v>86</v>
      </c>
      <c r="G39" s="41" t="s">
        <v>28</v>
      </c>
      <c r="H39" s="41" t="s">
        <v>28</v>
      </c>
      <c r="I39" s="41" t="s">
        <v>59</v>
      </c>
      <c r="J39" s="41" t="s">
        <v>30</v>
      </c>
      <c r="K39" s="641" t="s">
        <v>124</v>
      </c>
      <c r="L39" s="52" t="s">
        <v>61</v>
      </c>
      <c r="M39" s="42" t="s">
        <v>125</v>
      </c>
      <c r="N39" s="43" t="s">
        <v>126</v>
      </c>
      <c r="O39" s="41">
        <v>0.5</v>
      </c>
      <c r="P39" s="44">
        <v>44228</v>
      </c>
      <c r="Q39" s="44">
        <v>44561</v>
      </c>
      <c r="R39" s="45">
        <v>0.25</v>
      </c>
      <c r="S39" s="45">
        <v>0.5</v>
      </c>
      <c r="T39" s="45">
        <v>0.75</v>
      </c>
      <c r="U39" s="45">
        <v>1</v>
      </c>
      <c r="V39" s="27">
        <v>0.25</v>
      </c>
      <c r="W39" s="62" t="s">
        <v>127</v>
      </c>
      <c r="X39" s="63" t="s">
        <v>2848</v>
      </c>
      <c r="Y39" s="19" t="str">
        <f t="shared" si="6"/>
        <v>En gestión</v>
      </c>
      <c r="Z39" s="19" t="str">
        <f t="shared" si="1"/>
        <v>En gestión</v>
      </c>
      <c r="AA39" s="532" t="s">
        <v>144</v>
      </c>
      <c r="AB39" s="596">
        <f>SUMPRODUCT(O39:O40,V39:V40)</f>
        <v>0.25</v>
      </c>
      <c r="AC39" s="597">
        <f>SUMPRODUCT(O39:O40,R39:R40)</f>
        <v>0.25</v>
      </c>
      <c r="AD39" s="611" t="str">
        <f>IF(AC39&lt;1%,"Sin iniciar",IF(AC39=100%,"Terminado","En gestión"))</f>
        <v>En gestión</v>
      </c>
      <c r="AE39" s="611" t="str">
        <f>IF(AB39&lt;1%,"Sin iniciar",IF(AB39=100%,"Terminado","En gestión"))</f>
        <v>En gestión</v>
      </c>
      <c r="AF39" s="66" t="s">
        <v>37</v>
      </c>
      <c r="AG39" s="579">
        <v>6508400</v>
      </c>
      <c r="AH39" s="579">
        <v>0</v>
      </c>
      <c r="AI39" s="579">
        <v>3254200</v>
      </c>
      <c r="AJ39" s="590">
        <v>3296000</v>
      </c>
      <c r="AK39" s="64">
        <v>11330000</v>
      </c>
      <c r="AL39" s="64">
        <v>2832500</v>
      </c>
      <c r="AM39" s="67" t="s">
        <v>2755</v>
      </c>
      <c r="AN39" s="598" t="s">
        <v>2556</v>
      </c>
      <c r="AO39" s="67" t="s">
        <v>2756</v>
      </c>
      <c r="AP39" s="62" t="s">
        <v>2634</v>
      </c>
      <c r="AQ39" s="69">
        <f>+AL39</f>
        <v>2832500</v>
      </c>
      <c r="AR39" s="1161">
        <v>0.25</v>
      </c>
      <c r="AS39" s="62" t="s">
        <v>2448</v>
      </c>
      <c r="AT39" s="63"/>
      <c r="AU39" s="66" t="str">
        <f t="shared" si="7"/>
        <v>En gestión</v>
      </c>
      <c r="AV39" s="66" t="str">
        <f t="shared" si="3"/>
        <v>En gestión</v>
      </c>
      <c r="AW39" s="532" t="s">
        <v>2448</v>
      </c>
      <c r="AX39" s="599">
        <f>SUMPRODUCT(O39:O40,AR39:AR40)</f>
        <v>0.25</v>
      </c>
      <c r="AY39" s="600">
        <f>SUMPRODUCT(S39:S40,O39:O40)</f>
        <v>0.5</v>
      </c>
      <c r="AZ39" s="530" t="str">
        <f>IF(AY39&lt;1%,"Sin iniciar",IF(AY39=100%,"Terminado","En gestión"))</f>
        <v>En gestión</v>
      </c>
      <c r="BA39" s="530" t="str">
        <f>IF(AX39&lt;1%,"Sin iniciar",IF(AX39=100%,"Terminado","En gestión"))</f>
        <v>En gestión</v>
      </c>
      <c r="BB39" s="66"/>
      <c r="BC39" s="66"/>
      <c r="BD39" s="579">
        <v>6508400</v>
      </c>
      <c r="BE39" s="579">
        <v>0</v>
      </c>
      <c r="BF39" s="579">
        <v>0</v>
      </c>
      <c r="BG39" s="64">
        <v>11330000</v>
      </c>
      <c r="BH39" s="64">
        <v>11330000</v>
      </c>
      <c r="BI39" s="64">
        <v>5665000</v>
      </c>
      <c r="BJ39" s="67" t="s">
        <v>2755</v>
      </c>
      <c r="BK39" s="67" t="s">
        <v>2756</v>
      </c>
      <c r="BL39" s="62" t="s">
        <v>2634</v>
      </c>
      <c r="BM39" s="62" t="s">
        <v>2760</v>
      </c>
      <c r="BN39" s="50"/>
      <c r="BO39" s="347">
        <v>1</v>
      </c>
      <c r="BP39" s="24" t="s">
        <v>2849</v>
      </c>
      <c r="BQ39" s="24" t="s">
        <v>2850</v>
      </c>
      <c r="BR39" s="19" t="str">
        <f t="shared" si="8"/>
        <v>En gestión</v>
      </c>
      <c r="BS39" s="19" t="str">
        <f t="shared" si="9"/>
        <v>Terminado</v>
      </c>
      <c r="BT39" s="560" t="s">
        <v>2851</v>
      </c>
      <c r="BU39" s="561">
        <f>SUMPRODUCT(O39:O40,BO39:BO40)</f>
        <v>1</v>
      </c>
      <c r="BV39" s="562">
        <f>SUMPRODUCT(O39:O40,T39:T40)</f>
        <v>0.75</v>
      </c>
      <c r="BW39" s="611" t="str">
        <f>IF(BV39&lt;1%,"Sin iniciar",IF(BV39=100%,"Terminado","En gestión"))</f>
        <v>En gestión</v>
      </c>
      <c r="BX39" s="611" t="str">
        <f>IF(BU39&lt;1%,"Sin iniciar",IF(BU39=100%,"Terminado","En gestión"))</f>
        <v>Terminado</v>
      </c>
      <c r="BY39" s="578"/>
      <c r="BZ39" s="578"/>
      <c r="CA39" s="64">
        <v>6508400</v>
      </c>
      <c r="CB39" s="64">
        <v>6508400</v>
      </c>
      <c r="CC39" s="64">
        <v>6508400</v>
      </c>
      <c r="CD39" s="64">
        <v>11330000</v>
      </c>
      <c r="CE39" s="64">
        <v>11330000</v>
      </c>
      <c r="CF39" s="64">
        <v>11330000</v>
      </c>
      <c r="CG39" s="67" t="s">
        <v>2755</v>
      </c>
      <c r="CH39" s="67" t="s">
        <v>2756</v>
      </c>
      <c r="CI39" s="62" t="s">
        <v>2634</v>
      </c>
      <c r="CJ39" s="62" t="s">
        <v>2760</v>
      </c>
    </row>
    <row r="40" spans="2:88" ht="171.95" customHeight="1" x14ac:dyDescent="0.25">
      <c r="B40" s="1221"/>
      <c r="C40" s="654"/>
      <c r="D40" s="41" t="s">
        <v>57</v>
      </c>
      <c r="E40" s="41" t="s">
        <v>26</v>
      </c>
      <c r="F40" s="640"/>
      <c r="G40" s="41" t="s">
        <v>28</v>
      </c>
      <c r="H40" s="41" t="s">
        <v>28</v>
      </c>
      <c r="I40" s="41" t="s">
        <v>59</v>
      </c>
      <c r="J40" s="41" t="s">
        <v>30</v>
      </c>
      <c r="K40" s="641"/>
      <c r="L40" s="52" t="s">
        <v>61</v>
      </c>
      <c r="M40" s="42" t="s">
        <v>128</v>
      </c>
      <c r="N40" s="43" t="s">
        <v>129</v>
      </c>
      <c r="O40" s="41">
        <v>0.5</v>
      </c>
      <c r="P40" s="44">
        <v>44228</v>
      </c>
      <c r="Q40" s="44">
        <v>44561</v>
      </c>
      <c r="R40" s="45">
        <v>0.25</v>
      </c>
      <c r="S40" s="45">
        <v>0.5</v>
      </c>
      <c r="T40" s="45">
        <v>0.75</v>
      </c>
      <c r="U40" s="45">
        <v>1</v>
      </c>
      <c r="V40" s="27">
        <v>0.25</v>
      </c>
      <c r="W40" s="62" t="s">
        <v>130</v>
      </c>
      <c r="X40" s="63" t="s">
        <v>2852</v>
      </c>
      <c r="Y40" s="19" t="str">
        <f t="shared" si="6"/>
        <v>En gestión</v>
      </c>
      <c r="Z40" s="19" t="str">
        <f t="shared" si="1"/>
        <v>En gestión</v>
      </c>
      <c r="AA40" s="530"/>
      <c r="AB40" s="596"/>
      <c r="AC40" s="597"/>
      <c r="AD40" s="611"/>
      <c r="AE40" s="611"/>
      <c r="AF40" s="66" t="s">
        <v>37</v>
      </c>
      <c r="AG40" s="579"/>
      <c r="AH40" s="579"/>
      <c r="AI40" s="579"/>
      <c r="AJ40" s="590"/>
      <c r="AK40" s="64">
        <v>1149800</v>
      </c>
      <c r="AL40" s="64">
        <v>2872700</v>
      </c>
      <c r="AM40" s="67" t="s">
        <v>2757</v>
      </c>
      <c r="AN40" s="598"/>
      <c r="AO40" s="67" t="s">
        <v>2758</v>
      </c>
      <c r="AP40" s="62" t="s">
        <v>2479</v>
      </c>
      <c r="AQ40" s="69">
        <f>+AL40</f>
        <v>2872700</v>
      </c>
      <c r="AR40" s="1161">
        <v>0.25</v>
      </c>
      <c r="AS40" s="62" t="s">
        <v>2448</v>
      </c>
      <c r="AT40" s="63"/>
      <c r="AU40" s="66" t="str">
        <f t="shared" si="7"/>
        <v>En gestión</v>
      </c>
      <c r="AV40" s="66" t="str">
        <f t="shared" si="3"/>
        <v>En gestión</v>
      </c>
      <c r="AW40" s="530"/>
      <c r="AX40" s="599"/>
      <c r="AY40" s="600"/>
      <c r="AZ40" s="530"/>
      <c r="BA40" s="530"/>
      <c r="BB40" s="66"/>
      <c r="BC40" s="66"/>
      <c r="BD40" s="579"/>
      <c r="BE40" s="579"/>
      <c r="BF40" s="579"/>
      <c r="BG40" s="64">
        <v>1149800</v>
      </c>
      <c r="BH40" s="64">
        <v>1149800</v>
      </c>
      <c r="BI40" s="64">
        <v>5745700</v>
      </c>
      <c r="BJ40" s="67" t="s">
        <v>2757</v>
      </c>
      <c r="BK40" s="67" t="s">
        <v>2758</v>
      </c>
      <c r="BL40" s="62" t="s">
        <v>2479</v>
      </c>
      <c r="BM40" s="62" t="s">
        <v>2759</v>
      </c>
      <c r="BN40" s="50"/>
      <c r="BO40" s="347">
        <v>1</v>
      </c>
      <c r="BP40" s="24" t="s">
        <v>2853</v>
      </c>
      <c r="BQ40" s="24" t="s">
        <v>2854</v>
      </c>
      <c r="BR40" s="19" t="str">
        <f t="shared" si="8"/>
        <v>En gestión</v>
      </c>
      <c r="BS40" s="19" t="str">
        <f t="shared" si="9"/>
        <v>Terminado</v>
      </c>
      <c r="BT40" s="560"/>
      <c r="BU40" s="561"/>
      <c r="BV40" s="562"/>
      <c r="BW40" s="611"/>
      <c r="BX40" s="611"/>
      <c r="BY40" s="578"/>
      <c r="BZ40" s="578"/>
      <c r="CA40" s="64"/>
      <c r="CB40" s="64"/>
      <c r="CC40" s="64"/>
      <c r="CD40" s="64">
        <v>1149800</v>
      </c>
      <c r="CE40" s="64">
        <v>11330000</v>
      </c>
      <c r="CF40" s="64">
        <v>11330000</v>
      </c>
      <c r="CG40" s="67" t="s">
        <v>2757</v>
      </c>
      <c r="CH40" s="67" t="s">
        <v>2758</v>
      </c>
      <c r="CI40" s="62" t="s">
        <v>2479</v>
      </c>
      <c r="CJ40" s="62" t="s">
        <v>2759</v>
      </c>
    </row>
    <row r="41" spans="2:88" ht="171.95" customHeight="1" x14ac:dyDescent="0.25">
      <c r="B41" s="1221"/>
      <c r="C41" s="630" t="s">
        <v>131</v>
      </c>
      <c r="D41" s="33" t="s">
        <v>57</v>
      </c>
      <c r="E41" s="33" t="s">
        <v>26</v>
      </c>
      <c r="F41" s="633" t="s">
        <v>86</v>
      </c>
      <c r="G41" s="33" t="s">
        <v>28</v>
      </c>
      <c r="H41" s="33" t="s">
        <v>28</v>
      </c>
      <c r="I41" s="33" t="s">
        <v>59</v>
      </c>
      <c r="J41" s="33" t="s">
        <v>132</v>
      </c>
      <c r="K41" s="634" t="s">
        <v>133</v>
      </c>
      <c r="L41" s="51" t="s">
        <v>61</v>
      </c>
      <c r="M41" s="34" t="s">
        <v>134</v>
      </c>
      <c r="N41" s="35" t="s">
        <v>135</v>
      </c>
      <c r="O41" s="33">
        <v>0.75</v>
      </c>
      <c r="P41" s="36">
        <v>44228</v>
      </c>
      <c r="Q41" s="36">
        <v>44561</v>
      </c>
      <c r="R41" s="37">
        <v>0.3</v>
      </c>
      <c r="S41" s="37">
        <v>0.3</v>
      </c>
      <c r="T41" s="37">
        <v>0.65</v>
      </c>
      <c r="U41" s="37">
        <v>1</v>
      </c>
      <c r="V41" s="27">
        <v>0.3</v>
      </c>
      <c r="W41" s="13" t="s">
        <v>136</v>
      </c>
      <c r="X41" s="55" t="s">
        <v>2812</v>
      </c>
      <c r="Y41" s="5" t="str">
        <f t="shared" si="6"/>
        <v>En gestión</v>
      </c>
      <c r="Z41" s="5" t="str">
        <f t="shared" si="1"/>
        <v>En gestión</v>
      </c>
      <c r="AA41" s="531" t="s">
        <v>145</v>
      </c>
      <c r="AB41" s="596">
        <f>SUMPRODUCT(O41:O42,V41:V42)</f>
        <v>0.35</v>
      </c>
      <c r="AC41" s="597">
        <f>SUMPRODUCT(O41:O42,R41:R42)</f>
        <v>0.35</v>
      </c>
      <c r="AD41" s="610" t="str">
        <f>IF(AC41&lt;1%,"Sin iniciar",IF(AC41=100%,"Terminado","En gestión"))</f>
        <v>En gestión</v>
      </c>
      <c r="AE41" s="610" t="str">
        <f>IF(AB41&lt;1%,"Sin iniciar",IF(AB41=100%,"Terminado","En gestión"))</f>
        <v>En gestión</v>
      </c>
      <c r="AF41" s="56" t="s">
        <v>37</v>
      </c>
      <c r="AG41" s="583">
        <v>6508400</v>
      </c>
      <c r="AH41" s="583">
        <v>0</v>
      </c>
      <c r="AI41" s="583">
        <v>3254200</v>
      </c>
      <c r="AJ41" s="660">
        <v>3296000</v>
      </c>
      <c r="AK41" s="57">
        <v>9064000</v>
      </c>
      <c r="AL41" s="57">
        <v>2266000</v>
      </c>
      <c r="AM41" s="58" t="s">
        <v>2755</v>
      </c>
      <c r="AN41" s="603" t="s">
        <v>2556</v>
      </c>
      <c r="AO41" s="58" t="s">
        <v>2756</v>
      </c>
      <c r="AP41" s="13" t="s">
        <v>2634</v>
      </c>
      <c r="AQ41" s="59">
        <f>+AL41</f>
        <v>2266000</v>
      </c>
      <c r="AR41" s="1161">
        <v>0.3</v>
      </c>
      <c r="AS41" s="13" t="s">
        <v>2448</v>
      </c>
      <c r="AT41" s="55"/>
      <c r="AU41" s="56" t="str">
        <f t="shared" si="7"/>
        <v>En gestión</v>
      </c>
      <c r="AV41" s="56" t="str">
        <f t="shared" si="3"/>
        <v>En gestión</v>
      </c>
      <c r="AW41" s="531" t="s">
        <v>157</v>
      </c>
      <c r="AX41" s="599">
        <f>SUMPRODUCT(O41:O42,AR41:AR42)</f>
        <v>0.47499999999999998</v>
      </c>
      <c r="AY41" s="600">
        <f>SUMPRODUCT(S41:S42,O41:O42)</f>
        <v>0.47499999999999998</v>
      </c>
      <c r="AZ41" s="536" t="str">
        <f>IF(AY41&lt;1%,"Sin iniciar",IF(AY41=100%,"Terminado","En gestión"))</f>
        <v>En gestión</v>
      </c>
      <c r="BA41" s="536" t="str">
        <f>IF(AX41&lt;1%,"Sin iniciar",IF(AX41=100%,"Terminado","En gestión"))</f>
        <v>En gestión</v>
      </c>
      <c r="BB41" s="56"/>
      <c r="BC41" s="56"/>
      <c r="BD41" s="568">
        <v>3254200</v>
      </c>
      <c r="BE41" s="583">
        <v>1627100</v>
      </c>
      <c r="BF41" s="583">
        <v>1627100</v>
      </c>
      <c r="BG41" s="57">
        <v>9064000</v>
      </c>
      <c r="BH41" s="57">
        <v>9064000</v>
      </c>
      <c r="BI41" s="57">
        <v>4532000</v>
      </c>
      <c r="BJ41" s="58" t="s">
        <v>2755</v>
      </c>
      <c r="BK41" s="58" t="s">
        <v>2756</v>
      </c>
      <c r="BL41" s="13" t="s">
        <v>2634</v>
      </c>
      <c r="BM41" s="13" t="s">
        <v>2760</v>
      </c>
      <c r="BN41" s="60"/>
      <c r="BO41" s="347">
        <v>1</v>
      </c>
      <c r="BP41" s="11" t="s">
        <v>2855</v>
      </c>
      <c r="BQ41" s="11" t="s">
        <v>2856</v>
      </c>
      <c r="BR41" s="5" t="str">
        <f t="shared" si="8"/>
        <v>En gestión</v>
      </c>
      <c r="BS41" s="5" t="str">
        <f t="shared" si="9"/>
        <v>Terminado</v>
      </c>
      <c r="BT41" s="581" t="s">
        <v>2857</v>
      </c>
      <c r="BU41" s="561">
        <f>SUMPRODUCT(O41:O42,BO41:BO42)</f>
        <v>1</v>
      </c>
      <c r="BV41" s="562">
        <f>SUMPRODUCT(O41:O42,T41:T42)</f>
        <v>0.73750000000000004</v>
      </c>
      <c r="BW41" s="610" t="str">
        <f>IF(BV41&lt;1%,"Sin iniciar",IF(BV41=100%,"Terminado","En gestión"))</f>
        <v>En gestión</v>
      </c>
      <c r="BX41" s="610" t="str">
        <f>IF(BU41&lt;1%,"Sin iniciar",IF(BU41=100%,"Terminado","En gestión"))</f>
        <v>Terminado</v>
      </c>
      <c r="BY41" s="573"/>
      <c r="BZ41" s="573"/>
      <c r="CA41" s="59">
        <v>3254200</v>
      </c>
      <c r="CB41" s="57">
        <v>1627100</v>
      </c>
      <c r="CC41" s="57">
        <v>1627100</v>
      </c>
      <c r="CD41" s="57">
        <v>274667</v>
      </c>
      <c r="CE41" s="57">
        <v>274667</v>
      </c>
      <c r="CF41" s="57">
        <v>274667</v>
      </c>
      <c r="CG41" s="58" t="s">
        <v>2755</v>
      </c>
      <c r="CH41" s="58" t="s">
        <v>2756</v>
      </c>
      <c r="CI41" s="13" t="s">
        <v>2634</v>
      </c>
      <c r="CJ41" s="13" t="s">
        <v>2760</v>
      </c>
    </row>
    <row r="42" spans="2:88" ht="171.95" customHeight="1" x14ac:dyDescent="0.25">
      <c r="B42" s="1221"/>
      <c r="C42" s="648"/>
      <c r="D42" s="33" t="s">
        <v>57</v>
      </c>
      <c r="E42" s="33" t="s">
        <v>26</v>
      </c>
      <c r="F42" s="633"/>
      <c r="G42" s="33" t="s">
        <v>28</v>
      </c>
      <c r="H42" s="33" t="s">
        <v>28</v>
      </c>
      <c r="I42" s="33" t="s">
        <v>59</v>
      </c>
      <c r="J42" s="33" t="s">
        <v>47</v>
      </c>
      <c r="K42" s="634"/>
      <c r="L42" s="51" t="s">
        <v>61</v>
      </c>
      <c r="M42" s="34" t="s">
        <v>137</v>
      </c>
      <c r="N42" s="35" t="s">
        <v>138</v>
      </c>
      <c r="O42" s="33">
        <v>0.25</v>
      </c>
      <c r="P42" s="36">
        <v>44228</v>
      </c>
      <c r="Q42" s="36">
        <v>44561</v>
      </c>
      <c r="R42" s="37">
        <v>0.5</v>
      </c>
      <c r="S42" s="37">
        <v>1</v>
      </c>
      <c r="T42" s="37">
        <v>1</v>
      </c>
      <c r="U42" s="37">
        <v>1</v>
      </c>
      <c r="V42" s="27">
        <v>0.5</v>
      </c>
      <c r="W42" s="13" t="s">
        <v>139</v>
      </c>
      <c r="X42" s="55" t="s">
        <v>2812</v>
      </c>
      <c r="Y42" s="5" t="str">
        <f t="shared" si="6"/>
        <v>En gestión</v>
      </c>
      <c r="Z42" s="5" t="str">
        <f t="shared" si="1"/>
        <v>En gestión</v>
      </c>
      <c r="AA42" s="536"/>
      <c r="AB42" s="596"/>
      <c r="AC42" s="597"/>
      <c r="AD42" s="610"/>
      <c r="AE42" s="610"/>
      <c r="AF42" s="56" t="s">
        <v>37</v>
      </c>
      <c r="AG42" s="583"/>
      <c r="AH42" s="583"/>
      <c r="AI42" s="583"/>
      <c r="AJ42" s="660"/>
      <c r="AK42" s="57">
        <v>13736200</v>
      </c>
      <c r="AL42" s="57">
        <v>3434050</v>
      </c>
      <c r="AM42" s="58" t="s">
        <v>2757</v>
      </c>
      <c r="AN42" s="603"/>
      <c r="AO42" s="58" t="s">
        <v>2758</v>
      </c>
      <c r="AP42" s="13" t="s">
        <v>2479</v>
      </c>
      <c r="AQ42" s="59">
        <f>+AL42</f>
        <v>3434050</v>
      </c>
      <c r="AR42" s="1161">
        <v>1</v>
      </c>
      <c r="AS42" s="13" t="s">
        <v>139</v>
      </c>
      <c r="AT42" s="55" t="s">
        <v>2858</v>
      </c>
      <c r="AU42" s="56" t="str">
        <f t="shared" si="7"/>
        <v>Terminado</v>
      </c>
      <c r="AV42" s="56" t="str">
        <f t="shared" si="3"/>
        <v>Terminado</v>
      </c>
      <c r="AW42" s="536"/>
      <c r="AX42" s="599"/>
      <c r="AY42" s="600"/>
      <c r="AZ42" s="536"/>
      <c r="BA42" s="536"/>
      <c r="BB42" s="56"/>
      <c r="BC42" s="56"/>
      <c r="BD42" s="568"/>
      <c r="BE42" s="583"/>
      <c r="BF42" s="583"/>
      <c r="BG42" s="57">
        <v>13736200</v>
      </c>
      <c r="BH42" s="57">
        <v>13736200</v>
      </c>
      <c r="BI42" s="57">
        <v>6868100</v>
      </c>
      <c r="BJ42" s="58" t="s">
        <v>2757</v>
      </c>
      <c r="BK42" s="58" t="s">
        <v>2758</v>
      </c>
      <c r="BL42" s="13" t="s">
        <v>2479</v>
      </c>
      <c r="BM42" s="13" t="s">
        <v>2759</v>
      </c>
      <c r="BN42" s="60"/>
      <c r="BO42" s="347">
        <v>1</v>
      </c>
      <c r="BP42" s="11" t="s">
        <v>2814</v>
      </c>
      <c r="BQ42" s="12" t="s">
        <v>28</v>
      </c>
      <c r="BR42" s="5" t="str">
        <f t="shared" si="8"/>
        <v>Terminado</v>
      </c>
      <c r="BS42" s="5" t="str">
        <f t="shared" si="9"/>
        <v>Terminado</v>
      </c>
      <c r="BT42" s="581"/>
      <c r="BU42" s="561"/>
      <c r="BV42" s="562"/>
      <c r="BW42" s="610"/>
      <c r="BX42" s="610"/>
      <c r="BY42" s="573"/>
      <c r="BZ42" s="573"/>
      <c r="CA42" s="59"/>
      <c r="CB42" s="57"/>
      <c r="CC42" s="57"/>
      <c r="CD42" s="57">
        <v>13736200</v>
      </c>
      <c r="CE42" s="57">
        <v>13736200</v>
      </c>
      <c r="CF42" s="57">
        <v>13736200</v>
      </c>
      <c r="CG42" s="58" t="s">
        <v>2757</v>
      </c>
      <c r="CH42" s="58" t="s">
        <v>2758</v>
      </c>
      <c r="CI42" s="13" t="s">
        <v>2479</v>
      </c>
      <c r="CJ42" s="13" t="s">
        <v>2759</v>
      </c>
    </row>
    <row r="43" spans="2:88" ht="171.95" customHeight="1" x14ac:dyDescent="0.25">
      <c r="B43" s="1221"/>
      <c r="C43" s="662" t="s">
        <v>158</v>
      </c>
      <c r="D43" s="70" t="s">
        <v>159</v>
      </c>
      <c r="E43" s="70" t="s">
        <v>160</v>
      </c>
      <c r="F43" s="663" t="s">
        <v>161</v>
      </c>
      <c r="G43" s="70" t="s">
        <v>28</v>
      </c>
      <c r="H43" s="70" t="s">
        <v>28</v>
      </c>
      <c r="I43" s="70" t="s">
        <v>162</v>
      </c>
      <c r="J43" s="70" t="s">
        <v>47</v>
      </c>
      <c r="K43" s="664" t="s">
        <v>163</v>
      </c>
      <c r="L43" s="71" t="s">
        <v>164</v>
      </c>
      <c r="M43" s="72" t="s">
        <v>165</v>
      </c>
      <c r="N43" s="71" t="s">
        <v>166</v>
      </c>
      <c r="O43" s="70">
        <v>0.75</v>
      </c>
      <c r="P43" s="73">
        <v>44197</v>
      </c>
      <c r="Q43" s="73">
        <v>44561</v>
      </c>
      <c r="R43" s="74">
        <v>0.25</v>
      </c>
      <c r="S43" s="74">
        <v>0.5</v>
      </c>
      <c r="T43" s="74">
        <v>0.75</v>
      </c>
      <c r="U43" s="74">
        <v>1</v>
      </c>
      <c r="V43" s="75">
        <v>0.25</v>
      </c>
      <c r="W43" s="76" t="s">
        <v>167</v>
      </c>
      <c r="X43" s="77" t="s">
        <v>2860</v>
      </c>
      <c r="Y43" s="20" t="s">
        <v>2811</v>
      </c>
      <c r="Z43" s="20" t="s">
        <v>2811</v>
      </c>
      <c r="AA43" s="609" t="s">
        <v>178</v>
      </c>
      <c r="AB43" s="665">
        <v>0.25</v>
      </c>
      <c r="AC43" s="666">
        <v>0.25</v>
      </c>
      <c r="AD43" s="667" t="s">
        <v>2811</v>
      </c>
      <c r="AE43" s="667" t="s">
        <v>2811</v>
      </c>
      <c r="AF43" s="76"/>
      <c r="AG43" s="661">
        <v>36889470</v>
      </c>
      <c r="AH43" s="661">
        <v>36880470</v>
      </c>
      <c r="AI43" s="661">
        <v>9220117</v>
      </c>
      <c r="AJ43" s="661">
        <v>160105000</v>
      </c>
      <c r="AK43" s="661">
        <v>160105000</v>
      </c>
      <c r="AL43" s="661">
        <v>13095000</v>
      </c>
      <c r="AM43" s="688" t="s">
        <v>2752</v>
      </c>
      <c r="AN43" s="689" t="s">
        <v>2461</v>
      </c>
      <c r="AO43" s="688" t="s">
        <v>2753</v>
      </c>
      <c r="AP43" s="688" t="s">
        <v>2754</v>
      </c>
      <c r="AQ43" s="661">
        <v>13095000</v>
      </c>
      <c r="AR43" s="1162">
        <v>0.52</v>
      </c>
      <c r="AS43" s="76" t="s">
        <v>180</v>
      </c>
      <c r="AT43" s="77" t="s">
        <v>2860</v>
      </c>
      <c r="AU43" s="78" t="s">
        <v>2811</v>
      </c>
      <c r="AV43" s="78" t="s">
        <v>2811</v>
      </c>
      <c r="AW43" s="609" t="s">
        <v>182</v>
      </c>
      <c r="AX43" s="684">
        <v>0.52</v>
      </c>
      <c r="AY43" s="685">
        <v>0.5</v>
      </c>
      <c r="AZ43" s="686" t="s">
        <v>2811</v>
      </c>
      <c r="BA43" s="686" t="s">
        <v>2811</v>
      </c>
      <c r="BB43" s="76"/>
      <c r="BC43" s="76"/>
      <c r="BD43" s="679">
        <v>36889470</v>
      </c>
      <c r="BE43" s="687">
        <v>48813036</v>
      </c>
      <c r="BF43" s="690">
        <v>18444735</v>
      </c>
      <c r="BG43" s="679">
        <v>160105000</v>
      </c>
      <c r="BH43" s="679">
        <v>58702500</v>
      </c>
      <c r="BI43" s="679">
        <v>58702500</v>
      </c>
      <c r="BJ43" s="609" t="s">
        <v>2752</v>
      </c>
      <c r="BK43" s="691" t="s">
        <v>2461</v>
      </c>
      <c r="BL43" s="609" t="s">
        <v>2753</v>
      </c>
      <c r="BM43" s="609" t="s">
        <v>2754</v>
      </c>
      <c r="BN43" s="680" t="s">
        <v>2861</v>
      </c>
      <c r="BO43" s="349">
        <v>0.76</v>
      </c>
      <c r="BP43" s="79" t="s">
        <v>2862</v>
      </c>
      <c r="BQ43" s="365" t="s">
        <v>2860</v>
      </c>
      <c r="BR43" s="20" t="s">
        <v>2811</v>
      </c>
      <c r="BS43" s="20" t="s">
        <v>2811</v>
      </c>
      <c r="BT43" s="609" t="s">
        <v>2863</v>
      </c>
      <c r="BU43" s="681">
        <v>0.76</v>
      </c>
      <c r="BV43" s="682">
        <v>0.75</v>
      </c>
      <c r="BW43" s="667" t="s">
        <v>2811</v>
      </c>
      <c r="BX43" s="667" t="s">
        <v>2811</v>
      </c>
      <c r="BY43" s="615" t="s">
        <v>37</v>
      </c>
      <c r="BZ43" s="615" t="s">
        <v>2864</v>
      </c>
      <c r="CA43" s="679">
        <v>36889470</v>
      </c>
      <c r="CB43" s="678">
        <v>68150000</v>
      </c>
      <c r="CC43" s="678">
        <v>35250000</v>
      </c>
      <c r="CD43" s="678">
        <v>68150000</v>
      </c>
      <c r="CE43" s="678">
        <v>68150000</v>
      </c>
      <c r="CF43" s="609" t="s">
        <v>2752</v>
      </c>
      <c r="CG43" s="691" t="s">
        <v>2461</v>
      </c>
      <c r="CH43" s="609" t="s">
        <v>2753</v>
      </c>
      <c r="CI43" s="609" t="s">
        <v>2754</v>
      </c>
      <c r="CJ43" s="683" t="s">
        <v>2861</v>
      </c>
    </row>
    <row r="44" spans="2:88" ht="171.95" customHeight="1" x14ac:dyDescent="0.25">
      <c r="B44" s="1221"/>
      <c r="C44" s="662"/>
      <c r="D44" s="70" t="s">
        <v>159</v>
      </c>
      <c r="E44" s="70" t="s">
        <v>160</v>
      </c>
      <c r="F44" s="663"/>
      <c r="G44" s="70" t="s">
        <v>28</v>
      </c>
      <c r="H44" s="70" t="s">
        <v>28</v>
      </c>
      <c r="I44" s="70" t="s">
        <v>162</v>
      </c>
      <c r="J44" s="70" t="s">
        <v>47</v>
      </c>
      <c r="K44" s="664"/>
      <c r="L44" s="71" t="s">
        <v>164</v>
      </c>
      <c r="M44" s="72" t="s">
        <v>168</v>
      </c>
      <c r="N44" s="71" t="s">
        <v>169</v>
      </c>
      <c r="O44" s="70">
        <v>0.25</v>
      </c>
      <c r="P44" s="73">
        <v>44228</v>
      </c>
      <c r="Q44" s="73">
        <v>44561</v>
      </c>
      <c r="R44" s="74">
        <v>0.25</v>
      </c>
      <c r="S44" s="74">
        <v>0.5</v>
      </c>
      <c r="T44" s="74">
        <v>0.75</v>
      </c>
      <c r="U44" s="74">
        <v>1</v>
      </c>
      <c r="V44" s="75">
        <v>0.25</v>
      </c>
      <c r="W44" s="76" t="s">
        <v>170</v>
      </c>
      <c r="X44" s="77" t="s">
        <v>2865</v>
      </c>
      <c r="Y44" s="20" t="s">
        <v>2811</v>
      </c>
      <c r="Z44" s="20" t="s">
        <v>2811</v>
      </c>
      <c r="AA44" s="609"/>
      <c r="AB44" s="665"/>
      <c r="AC44" s="666"/>
      <c r="AD44" s="667"/>
      <c r="AE44" s="667"/>
      <c r="AF44" s="76"/>
      <c r="AG44" s="661"/>
      <c r="AH44" s="661"/>
      <c r="AI44" s="661"/>
      <c r="AJ44" s="661"/>
      <c r="AK44" s="661"/>
      <c r="AL44" s="661"/>
      <c r="AM44" s="688"/>
      <c r="AN44" s="689"/>
      <c r="AO44" s="688"/>
      <c r="AP44" s="688"/>
      <c r="AQ44" s="661"/>
      <c r="AR44" s="1162">
        <v>0.5</v>
      </c>
      <c r="AS44" s="76" t="s">
        <v>181</v>
      </c>
      <c r="AT44" s="77" t="s">
        <v>2866</v>
      </c>
      <c r="AU44" s="78" t="s">
        <v>2811</v>
      </c>
      <c r="AV44" s="78" t="s">
        <v>2811</v>
      </c>
      <c r="AW44" s="609"/>
      <c r="AX44" s="684"/>
      <c r="AY44" s="685"/>
      <c r="AZ44" s="686"/>
      <c r="BA44" s="686"/>
      <c r="BB44" s="76"/>
      <c r="BC44" s="76"/>
      <c r="BD44" s="679"/>
      <c r="BE44" s="687"/>
      <c r="BF44" s="690"/>
      <c r="BG44" s="679"/>
      <c r="BH44" s="679"/>
      <c r="BI44" s="679"/>
      <c r="BJ44" s="609"/>
      <c r="BK44" s="691"/>
      <c r="BL44" s="609"/>
      <c r="BM44" s="609"/>
      <c r="BN44" s="680"/>
      <c r="BO44" s="349">
        <v>0.75</v>
      </c>
      <c r="BP44" s="79" t="s">
        <v>2867</v>
      </c>
      <c r="BQ44" s="365" t="s">
        <v>2868</v>
      </c>
      <c r="BR44" s="20" t="s">
        <v>2811</v>
      </c>
      <c r="BS44" s="20" t="s">
        <v>2811</v>
      </c>
      <c r="BT44" s="609"/>
      <c r="BU44" s="681"/>
      <c r="BV44" s="682"/>
      <c r="BW44" s="667"/>
      <c r="BX44" s="667"/>
      <c r="BY44" s="615"/>
      <c r="BZ44" s="615"/>
      <c r="CA44" s="679"/>
      <c r="CB44" s="678"/>
      <c r="CC44" s="678"/>
      <c r="CD44" s="678"/>
      <c r="CE44" s="678"/>
      <c r="CF44" s="609"/>
      <c r="CG44" s="691"/>
      <c r="CH44" s="609"/>
      <c r="CI44" s="609"/>
      <c r="CJ44" s="683"/>
    </row>
    <row r="45" spans="2:88" ht="171.95" customHeight="1" x14ac:dyDescent="0.25">
      <c r="B45" s="1221"/>
      <c r="C45" s="668" t="s">
        <v>171</v>
      </c>
      <c r="D45" s="80" t="s">
        <v>159</v>
      </c>
      <c r="E45" s="80" t="s">
        <v>160</v>
      </c>
      <c r="F45" s="669" t="s">
        <v>172</v>
      </c>
      <c r="G45" s="80" t="s">
        <v>28</v>
      </c>
      <c r="H45" s="80" t="s">
        <v>28</v>
      </c>
      <c r="I45" s="80" t="s">
        <v>162</v>
      </c>
      <c r="J45" s="80" t="s">
        <v>47</v>
      </c>
      <c r="K45" s="670" t="s">
        <v>173</v>
      </c>
      <c r="L45" s="81" t="s">
        <v>164</v>
      </c>
      <c r="M45" s="82" t="s">
        <v>174</v>
      </c>
      <c r="N45" s="81" t="s">
        <v>175</v>
      </c>
      <c r="O45" s="80">
        <v>0.55000000000000004</v>
      </c>
      <c r="P45" s="83">
        <v>44378</v>
      </c>
      <c r="Q45" s="83">
        <v>44501</v>
      </c>
      <c r="R45" s="84">
        <v>0</v>
      </c>
      <c r="S45" s="84">
        <v>0</v>
      </c>
      <c r="T45" s="84">
        <v>0.5</v>
      </c>
      <c r="U45" s="84">
        <v>1</v>
      </c>
      <c r="V45" s="75">
        <v>0</v>
      </c>
      <c r="W45" s="85" t="s">
        <v>37</v>
      </c>
      <c r="X45" s="86" t="s">
        <v>37</v>
      </c>
      <c r="Y45" s="7" t="s">
        <v>2821</v>
      </c>
      <c r="Z45" s="7" t="s">
        <v>2821</v>
      </c>
      <c r="AA45" s="671" t="s">
        <v>179</v>
      </c>
      <c r="AB45" s="665">
        <v>0</v>
      </c>
      <c r="AC45" s="666">
        <v>0</v>
      </c>
      <c r="AD45" s="672" t="s">
        <v>2821</v>
      </c>
      <c r="AE45" s="672" t="s">
        <v>2821</v>
      </c>
      <c r="AF45" s="85"/>
      <c r="AG45" s="677" t="s">
        <v>2817</v>
      </c>
      <c r="AH45" s="677" t="s">
        <v>2817</v>
      </c>
      <c r="AI45" s="677" t="s">
        <v>2817</v>
      </c>
      <c r="AJ45" s="677" t="s">
        <v>2817</v>
      </c>
      <c r="AK45" s="677" t="s">
        <v>2817</v>
      </c>
      <c r="AL45" s="677" t="s">
        <v>2817</v>
      </c>
      <c r="AM45" s="675" t="s">
        <v>2752</v>
      </c>
      <c r="AN45" s="676"/>
      <c r="AO45" s="675" t="s">
        <v>2753</v>
      </c>
      <c r="AP45" s="675" t="s">
        <v>2754</v>
      </c>
      <c r="AQ45" s="677" t="s">
        <v>2817</v>
      </c>
      <c r="AR45" s="1162">
        <v>0</v>
      </c>
      <c r="AS45" s="85" t="s">
        <v>2437</v>
      </c>
      <c r="AT45" s="86" t="s">
        <v>37</v>
      </c>
      <c r="AU45" s="87" t="s">
        <v>2821</v>
      </c>
      <c r="AV45" s="87" t="s">
        <v>2821</v>
      </c>
      <c r="AW45" s="671" t="s">
        <v>179</v>
      </c>
      <c r="AX45" s="684">
        <v>0</v>
      </c>
      <c r="AY45" s="685">
        <v>0</v>
      </c>
      <c r="AZ45" s="673" t="s">
        <v>2821</v>
      </c>
      <c r="BA45" s="673" t="s">
        <v>2821</v>
      </c>
      <c r="BB45" s="85"/>
      <c r="BC45" s="85"/>
      <c r="BD45" s="674">
        <v>36889470</v>
      </c>
      <c r="BE45" s="674">
        <v>48813036</v>
      </c>
      <c r="BF45" s="697" t="s">
        <v>2869</v>
      </c>
      <c r="BG45" s="692">
        <v>172395000</v>
      </c>
      <c r="BH45" s="692">
        <v>172395000</v>
      </c>
      <c r="BI45" s="697" t="s">
        <v>2869</v>
      </c>
      <c r="BJ45" s="671" t="s">
        <v>2752</v>
      </c>
      <c r="BK45" s="698" t="s">
        <v>2461</v>
      </c>
      <c r="BL45" s="671" t="s">
        <v>2753</v>
      </c>
      <c r="BM45" s="671" t="s">
        <v>2754</v>
      </c>
      <c r="BN45" s="695" t="s">
        <v>2861</v>
      </c>
      <c r="BO45" s="349">
        <v>0.5</v>
      </c>
      <c r="BP45" s="88" t="s">
        <v>2870</v>
      </c>
      <c r="BQ45" s="366" t="s">
        <v>2871</v>
      </c>
      <c r="BR45" s="6" t="s">
        <v>2811</v>
      </c>
      <c r="BS45" s="6" t="s">
        <v>2811</v>
      </c>
      <c r="BT45" s="696" t="s">
        <v>2872</v>
      </c>
      <c r="BU45" s="681">
        <v>0.28000000000000003</v>
      </c>
      <c r="BV45" s="682">
        <v>0.28000000000000003</v>
      </c>
      <c r="BW45" s="693" t="s">
        <v>2811</v>
      </c>
      <c r="BX45" s="693" t="s">
        <v>2811</v>
      </c>
      <c r="BY45" s="619" t="s">
        <v>37</v>
      </c>
      <c r="BZ45" s="619" t="s">
        <v>2864</v>
      </c>
      <c r="CA45" s="674">
        <v>36889470</v>
      </c>
      <c r="CB45" s="971">
        <v>68150000</v>
      </c>
      <c r="CC45" s="971">
        <v>35250000</v>
      </c>
      <c r="CD45" s="971">
        <v>68150000</v>
      </c>
      <c r="CE45" s="971">
        <v>68150000</v>
      </c>
      <c r="CF45" s="671" t="s">
        <v>2752</v>
      </c>
      <c r="CG45" s="694" t="s">
        <v>2461</v>
      </c>
      <c r="CH45" s="671" t="s">
        <v>2753</v>
      </c>
      <c r="CI45" s="671" t="s">
        <v>2754</v>
      </c>
      <c r="CJ45" s="692" t="s">
        <v>2861</v>
      </c>
    </row>
    <row r="46" spans="2:88" ht="171.95" customHeight="1" x14ac:dyDescent="0.25">
      <c r="B46" s="1221"/>
      <c r="C46" s="668"/>
      <c r="D46" s="80" t="s">
        <v>159</v>
      </c>
      <c r="E46" s="80" t="s">
        <v>160</v>
      </c>
      <c r="F46" s="669"/>
      <c r="G46" s="80" t="s">
        <v>28</v>
      </c>
      <c r="H46" s="80" t="s">
        <v>28</v>
      </c>
      <c r="I46" s="80" t="s">
        <v>162</v>
      </c>
      <c r="J46" s="80" t="s">
        <v>47</v>
      </c>
      <c r="K46" s="670"/>
      <c r="L46" s="81" t="s">
        <v>164</v>
      </c>
      <c r="M46" s="82" t="s">
        <v>176</v>
      </c>
      <c r="N46" s="81" t="s">
        <v>177</v>
      </c>
      <c r="O46" s="80">
        <v>0.45</v>
      </c>
      <c r="P46" s="83">
        <v>44470</v>
      </c>
      <c r="Q46" s="83">
        <v>44531</v>
      </c>
      <c r="R46" s="84">
        <v>0</v>
      </c>
      <c r="S46" s="84">
        <v>0</v>
      </c>
      <c r="T46" s="84">
        <v>0</v>
      </c>
      <c r="U46" s="84">
        <v>1</v>
      </c>
      <c r="V46" s="75">
        <v>0</v>
      </c>
      <c r="W46" s="85" t="s">
        <v>37</v>
      </c>
      <c r="X46" s="86" t="s">
        <v>37</v>
      </c>
      <c r="Y46" s="7" t="s">
        <v>2821</v>
      </c>
      <c r="Z46" s="7" t="s">
        <v>2821</v>
      </c>
      <c r="AA46" s="671"/>
      <c r="AB46" s="665"/>
      <c r="AC46" s="666"/>
      <c r="AD46" s="672"/>
      <c r="AE46" s="672"/>
      <c r="AF46" s="85"/>
      <c r="AG46" s="677"/>
      <c r="AH46" s="677"/>
      <c r="AI46" s="677"/>
      <c r="AJ46" s="677"/>
      <c r="AK46" s="677"/>
      <c r="AL46" s="677"/>
      <c r="AM46" s="675"/>
      <c r="AN46" s="676"/>
      <c r="AO46" s="675"/>
      <c r="AP46" s="675"/>
      <c r="AQ46" s="677"/>
      <c r="AR46" s="1162">
        <v>0</v>
      </c>
      <c r="AS46" s="85" t="s">
        <v>2437</v>
      </c>
      <c r="AT46" s="86" t="s">
        <v>37</v>
      </c>
      <c r="AU46" s="87" t="s">
        <v>2821</v>
      </c>
      <c r="AV46" s="87" t="s">
        <v>2821</v>
      </c>
      <c r="AW46" s="671"/>
      <c r="AX46" s="684"/>
      <c r="AY46" s="685"/>
      <c r="AZ46" s="673"/>
      <c r="BA46" s="673"/>
      <c r="BB46" s="85"/>
      <c r="BC46" s="85"/>
      <c r="BD46" s="674"/>
      <c r="BE46" s="674"/>
      <c r="BF46" s="697"/>
      <c r="BG46" s="692"/>
      <c r="BH46" s="692"/>
      <c r="BI46" s="697"/>
      <c r="BJ46" s="671"/>
      <c r="BK46" s="698"/>
      <c r="BL46" s="671"/>
      <c r="BM46" s="671"/>
      <c r="BN46" s="695"/>
      <c r="BO46" s="349">
        <v>0</v>
      </c>
      <c r="BP46" s="89"/>
      <c r="BQ46" s="12"/>
      <c r="BR46" s="7" t="s">
        <v>2821</v>
      </c>
      <c r="BS46" s="7" t="s">
        <v>2821</v>
      </c>
      <c r="BT46" s="696"/>
      <c r="BU46" s="681"/>
      <c r="BV46" s="682"/>
      <c r="BW46" s="693"/>
      <c r="BX46" s="693"/>
      <c r="BY46" s="619"/>
      <c r="BZ46" s="619"/>
      <c r="CA46" s="674"/>
      <c r="CB46" s="971"/>
      <c r="CC46" s="971"/>
      <c r="CD46" s="971"/>
      <c r="CE46" s="971"/>
      <c r="CF46" s="671"/>
      <c r="CG46" s="694"/>
      <c r="CH46" s="671"/>
      <c r="CI46" s="671"/>
      <c r="CJ46" s="692"/>
    </row>
    <row r="47" spans="2:88" ht="171.95" customHeight="1" x14ac:dyDescent="0.25">
      <c r="B47" s="1222" t="s">
        <v>5277</v>
      </c>
      <c r="C47" s="639" t="s">
        <v>183</v>
      </c>
      <c r="D47" s="41" t="s">
        <v>25</v>
      </c>
      <c r="E47" s="41" t="s">
        <v>160</v>
      </c>
      <c r="F47" s="640" t="s">
        <v>184</v>
      </c>
      <c r="G47" s="41" t="s">
        <v>28</v>
      </c>
      <c r="H47" s="41" t="s">
        <v>28</v>
      </c>
      <c r="I47" s="41" t="s">
        <v>59</v>
      </c>
      <c r="J47" s="41" t="s">
        <v>185</v>
      </c>
      <c r="K47" s="641" t="s">
        <v>186</v>
      </c>
      <c r="L47" s="52" t="s">
        <v>187</v>
      </c>
      <c r="M47" s="42" t="s">
        <v>188</v>
      </c>
      <c r="N47" s="43" t="s">
        <v>189</v>
      </c>
      <c r="O47" s="41">
        <v>0.2</v>
      </c>
      <c r="P47" s="44">
        <v>44242</v>
      </c>
      <c r="Q47" s="44">
        <v>44316</v>
      </c>
      <c r="R47" s="45">
        <v>0.7</v>
      </c>
      <c r="S47" s="45">
        <v>1</v>
      </c>
      <c r="T47" s="45">
        <v>1</v>
      </c>
      <c r="U47" s="45">
        <v>1</v>
      </c>
      <c r="V47" s="90">
        <v>0.7</v>
      </c>
      <c r="W47" s="62" t="s">
        <v>190</v>
      </c>
      <c r="X47" s="63" t="s">
        <v>5204</v>
      </c>
      <c r="Y47" s="19" t="str">
        <f t="shared" ref="Y47:Y91" si="10">IF(R47&lt;1%,"Sin iniciar",IF(R47=100%,"Terminado","En gestión"))</f>
        <v>En gestión</v>
      </c>
      <c r="Z47" s="19" t="str">
        <f t="shared" ref="Z47:Z91" si="11">IF(V47&lt;1%,"Sin iniciar",IF(V47=100%,"Terminado","En gestión"))</f>
        <v>En gestión</v>
      </c>
      <c r="AA47" s="532" t="s">
        <v>215</v>
      </c>
      <c r="AB47" s="596">
        <f>SUMPRODUCT(O47:O49,V47:V49)</f>
        <v>0.13999999999999999</v>
      </c>
      <c r="AC47" s="597">
        <f>SUMPRODUCT(O47:O49,R47:R49)</f>
        <v>0.13999999999999999</v>
      </c>
      <c r="AD47" s="611" t="str">
        <f>IF(AC47&lt;1%,"Sin iniciar",IF(AC47=100%,"Terminado","En gestión"))</f>
        <v>En gestión</v>
      </c>
      <c r="AE47" s="611" t="str">
        <f>IF(AB47&lt;1%,"Sin iniciar",IF(AB47=100%,"Terminado","En gestión"))</f>
        <v>En gestión</v>
      </c>
      <c r="AF47" s="62"/>
      <c r="AG47" s="579">
        <v>0</v>
      </c>
      <c r="AH47" s="579">
        <v>0</v>
      </c>
      <c r="AI47" s="579">
        <v>0</v>
      </c>
      <c r="AJ47" s="579">
        <v>25923486757</v>
      </c>
      <c r="AK47" s="579">
        <v>0</v>
      </c>
      <c r="AL47" s="579">
        <v>0</v>
      </c>
      <c r="AM47" s="532" t="s">
        <v>2557</v>
      </c>
      <c r="AN47" s="607" t="s">
        <v>2873</v>
      </c>
      <c r="AO47" s="532" t="s">
        <v>2558</v>
      </c>
      <c r="AP47" s="530" t="s">
        <v>2559</v>
      </c>
      <c r="AQ47" s="579">
        <f>+AK47</f>
        <v>0</v>
      </c>
      <c r="AR47" s="1163">
        <v>1</v>
      </c>
      <c r="AS47" s="62" t="s">
        <v>216</v>
      </c>
      <c r="AT47" s="63" t="s">
        <v>2874</v>
      </c>
      <c r="AU47" s="66" t="str">
        <f t="shared" ref="AU47:AU91" si="12">IF(S47&lt;1%,"Sin iniciar",IF(S47=100%,"Terminado","En gestión"))</f>
        <v>Terminado</v>
      </c>
      <c r="AV47" s="66" t="str">
        <f t="shared" ref="AV47:AV91" si="13">IF(AR47&lt;1%,"Sin iniciar",IF(AR47=100%,"Terminado","En gestión"))</f>
        <v>Terminado</v>
      </c>
      <c r="AW47" s="532" t="s">
        <v>219</v>
      </c>
      <c r="AX47" s="599">
        <f>SUMPRODUCT(O47:O49,AR47:AR49)</f>
        <v>0.92</v>
      </c>
      <c r="AY47" s="600">
        <f>SUMPRODUCT(S47:S49,O47:O49)</f>
        <v>0.92</v>
      </c>
      <c r="AZ47" s="530" t="str">
        <f>IF(AY47&lt;1%,"Sin iniciar",IF(AY47=100%,"Terminado","En gestión"))</f>
        <v>En gestión</v>
      </c>
      <c r="BA47" s="530" t="str">
        <f>IF(AX47&lt;1%,"Sin iniciar",IF(AX47=100%,"Terminado","En gestión"))</f>
        <v>En gestión</v>
      </c>
      <c r="BB47" s="62"/>
      <c r="BC47" s="532" t="s">
        <v>1555</v>
      </c>
      <c r="BD47" s="579">
        <v>0</v>
      </c>
      <c r="BE47" s="579">
        <v>0</v>
      </c>
      <c r="BF47" s="579">
        <v>0</v>
      </c>
      <c r="BG47" s="579">
        <v>25923486757</v>
      </c>
      <c r="BH47" s="579">
        <v>25923486757</v>
      </c>
      <c r="BI47" s="579">
        <v>22638408557</v>
      </c>
      <c r="BJ47" s="532" t="s">
        <v>2557</v>
      </c>
      <c r="BK47" s="532" t="s">
        <v>2558</v>
      </c>
      <c r="BL47" s="530" t="s">
        <v>2559</v>
      </c>
      <c r="BM47" s="658" t="s">
        <v>2561</v>
      </c>
      <c r="BN47" s="50"/>
      <c r="BO47" s="347">
        <v>1</v>
      </c>
      <c r="BP47" s="24" t="s">
        <v>2875</v>
      </c>
      <c r="BQ47" s="24" t="s">
        <v>2875</v>
      </c>
      <c r="BR47" s="19" t="str">
        <f t="shared" ref="BR47:BR55" si="14">IF(T47&lt;1%,"Sin iniciar",IF(T47=100%,"Terminado","En gestión"))</f>
        <v>Terminado</v>
      </c>
      <c r="BS47" s="19" t="str">
        <f t="shared" ref="BS47:BS91" si="15">IF(BO47&lt;1%,"Sin iniciar",IF(BO47=100%,"Terminado","En gestión"))</f>
        <v>Terminado</v>
      </c>
      <c r="BT47" s="699" t="s">
        <v>2876</v>
      </c>
      <c r="BU47" s="561">
        <f>SUMPRODUCT(O47:O49,BO47:BO49)</f>
        <v>1</v>
      </c>
      <c r="BV47" s="562">
        <f>SUMPRODUCT(O47:O49,T47:T49)</f>
        <v>1</v>
      </c>
      <c r="BW47" s="611" t="str">
        <f>IF(BV47&lt;1%,"Sin iniciar",IF(BV47=100%,"Terminado","En gestión"))</f>
        <v>Terminado</v>
      </c>
      <c r="BX47" s="611" t="str">
        <f>IF(BU47&lt;1%,"Sin iniciar",IF(BU47=100%,"Terminado","En gestión"))</f>
        <v>Terminado</v>
      </c>
      <c r="BY47" s="578" t="s">
        <v>37</v>
      </c>
      <c r="BZ47" s="620" t="s">
        <v>1555</v>
      </c>
      <c r="CA47" s="565">
        <v>0</v>
      </c>
      <c r="CB47" s="811">
        <v>0</v>
      </c>
      <c r="CC47" s="811">
        <v>0</v>
      </c>
      <c r="CD47" s="811">
        <v>26500000000</v>
      </c>
      <c r="CE47" s="811">
        <v>23668115690.959999</v>
      </c>
      <c r="CF47" s="811">
        <v>23530599680.370003</v>
      </c>
      <c r="CG47" s="811" t="s">
        <v>2557</v>
      </c>
      <c r="CH47" s="811" t="s">
        <v>2558</v>
      </c>
      <c r="CI47" s="811" t="s">
        <v>2559</v>
      </c>
      <c r="CJ47" s="811" t="s">
        <v>2561</v>
      </c>
    </row>
    <row r="48" spans="2:88" ht="171.95" customHeight="1" x14ac:dyDescent="0.25">
      <c r="B48" s="1222"/>
      <c r="C48" s="639"/>
      <c r="D48" s="41" t="s">
        <v>25</v>
      </c>
      <c r="E48" s="41" t="s">
        <v>160</v>
      </c>
      <c r="F48" s="640"/>
      <c r="G48" s="41" t="s">
        <v>28</v>
      </c>
      <c r="H48" s="41" t="s">
        <v>28</v>
      </c>
      <c r="I48" s="41" t="s">
        <v>59</v>
      </c>
      <c r="J48" s="41" t="s">
        <v>191</v>
      </c>
      <c r="K48" s="641"/>
      <c r="L48" s="52" t="s">
        <v>187</v>
      </c>
      <c r="M48" s="42" t="s">
        <v>192</v>
      </c>
      <c r="N48" s="43" t="s">
        <v>193</v>
      </c>
      <c r="O48" s="41">
        <v>0.6</v>
      </c>
      <c r="P48" s="44">
        <v>44331</v>
      </c>
      <c r="Q48" s="44">
        <v>44407</v>
      </c>
      <c r="R48" s="45">
        <v>0</v>
      </c>
      <c r="S48" s="45">
        <v>0.9</v>
      </c>
      <c r="T48" s="45">
        <v>1</v>
      </c>
      <c r="U48" s="45">
        <v>1</v>
      </c>
      <c r="V48" s="90">
        <v>0</v>
      </c>
      <c r="W48" s="66" t="s">
        <v>37</v>
      </c>
      <c r="X48" s="91" t="s">
        <v>37</v>
      </c>
      <c r="Y48" s="19" t="str">
        <f t="shared" si="10"/>
        <v>Sin iniciar</v>
      </c>
      <c r="Z48" s="19" t="str">
        <f t="shared" si="11"/>
        <v>Sin iniciar</v>
      </c>
      <c r="AA48" s="532"/>
      <c r="AB48" s="596"/>
      <c r="AC48" s="597"/>
      <c r="AD48" s="611"/>
      <c r="AE48" s="611"/>
      <c r="AF48" s="66"/>
      <c r="AG48" s="579"/>
      <c r="AH48" s="579"/>
      <c r="AI48" s="579"/>
      <c r="AJ48" s="579"/>
      <c r="AK48" s="579"/>
      <c r="AL48" s="579"/>
      <c r="AM48" s="532"/>
      <c r="AN48" s="607"/>
      <c r="AO48" s="532"/>
      <c r="AP48" s="530"/>
      <c r="AQ48" s="579"/>
      <c r="AR48" s="1163">
        <v>0.9</v>
      </c>
      <c r="AS48" s="62" t="s">
        <v>217</v>
      </c>
      <c r="AT48" s="63" t="s">
        <v>2877</v>
      </c>
      <c r="AU48" s="66" t="str">
        <f t="shared" si="12"/>
        <v>En gestión</v>
      </c>
      <c r="AV48" s="66" t="str">
        <f t="shared" si="13"/>
        <v>En gestión</v>
      </c>
      <c r="AW48" s="532"/>
      <c r="AX48" s="599"/>
      <c r="AY48" s="600"/>
      <c r="AZ48" s="530"/>
      <c r="BA48" s="530"/>
      <c r="BB48" s="66"/>
      <c r="BC48" s="532"/>
      <c r="BD48" s="579"/>
      <c r="BE48" s="579"/>
      <c r="BF48" s="579"/>
      <c r="BG48" s="579"/>
      <c r="BH48" s="579"/>
      <c r="BI48" s="579"/>
      <c r="BJ48" s="532"/>
      <c r="BK48" s="532"/>
      <c r="BL48" s="530"/>
      <c r="BM48" s="579"/>
      <c r="BN48" s="50"/>
      <c r="BO48" s="347">
        <v>1</v>
      </c>
      <c r="BP48" s="92" t="s">
        <v>2878</v>
      </c>
      <c r="BQ48" s="24" t="s">
        <v>2879</v>
      </c>
      <c r="BR48" s="19" t="str">
        <f t="shared" si="14"/>
        <v>Terminado</v>
      </c>
      <c r="BS48" s="19" t="str">
        <f t="shared" si="15"/>
        <v>Terminado</v>
      </c>
      <c r="BT48" s="699"/>
      <c r="BU48" s="561"/>
      <c r="BV48" s="562"/>
      <c r="BW48" s="611"/>
      <c r="BX48" s="611"/>
      <c r="BY48" s="578"/>
      <c r="BZ48" s="620"/>
      <c r="CA48" s="565"/>
      <c r="CB48" s="811">
        <v>0</v>
      </c>
      <c r="CC48" s="811">
        <v>0</v>
      </c>
      <c r="CD48" s="811"/>
      <c r="CE48" s="811"/>
      <c r="CF48" s="811"/>
      <c r="CG48" s="811"/>
      <c r="CH48" s="811"/>
      <c r="CI48" s="811"/>
      <c r="CJ48" s="811"/>
    </row>
    <row r="49" spans="2:88" ht="171.95" customHeight="1" x14ac:dyDescent="0.25">
      <c r="B49" s="1222"/>
      <c r="C49" s="639"/>
      <c r="D49" s="41" t="s">
        <v>25</v>
      </c>
      <c r="E49" s="41" t="s">
        <v>160</v>
      </c>
      <c r="F49" s="640"/>
      <c r="G49" s="41" t="s">
        <v>28</v>
      </c>
      <c r="H49" s="41" t="s">
        <v>28</v>
      </c>
      <c r="I49" s="41" t="s">
        <v>59</v>
      </c>
      <c r="J49" s="41" t="s">
        <v>194</v>
      </c>
      <c r="K49" s="641"/>
      <c r="L49" s="52" t="s">
        <v>187</v>
      </c>
      <c r="M49" s="42" t="s">
        <v>195</v>
      </c>
      <c r="N49" s="43" t="s">
        <v>196</v>
      </c>
      <c r="O49" s="41">
        <v>0.2</v>
      </c>
      <c r="P49" s="44">
        <v>44331</v>
      </c>
      <c r="Q49" s="44">
        <v>44407</v>
      </c>
      <c r="R49" s="45">
        <v>0</v>
      </c>
      <c r="S49" s="45">
        <v>0.9</v>
      </c>
      <c r="T49" s="45">
        <v>1</v>
      </c>
      <c r="U49" s="45">
        <v>1</v>
      </c>
      <c r="V49" s="90">
        <v>0</v>
      </c>
      <c r="W49" s="66" t="s">
        <v>37</v>
      </c>
      <c r="X49" s="91" t="s">
        <v>37</v>
      </c>
      <c r="Y49" s="19" t="str">
        <f t="shared" si="10"/>
        <v>Sin iniciar</v>
      </c>
      <c r="Z49" s="19" t="str">
        <f t="shared" si="11"/>
        <v>Sin iniciar</v>
      </c>
      <c r="AA49" s="532"/>
      <c r="AB49" s="596"/>
      <c r="AC49" s="597"/>
      <c r="AD49" s="611"/>
      <c r="AE49" s="611"/>
      <c r="AF49" s="66"/>
      <c r="AG49" s="64">
        <v>0</v>
      </c>
      <c r="AH49" s="64">
        <v>0</v>
      </c>
      <c r="AI49" s="64">
        <v>0</v>
      </c>
      <c r="AJ49" s="64">
        <v>576513243</v>
      </c>
      <c r="AK49" s="64">
        <v>0</v>
      </c>
      <c r="AL49" s="64">
        <v>0</v>
      </c>
      <c r="AM49" s="62" t="s">
        <v>2557</v>
      </c>
      <c r="AN49" s="91" t="s">
        <v>2873</v>
      </c>
      <c r="AO49" s="62" t="s">
        <v>2560</v>
      </c>
      <c r="AP49" s="66" t="s">
        <v>2559</v>
      </c>
      <c r="AQ49" s="64">
        <f>+AK49</f>
        <v>0</v>
      </c>
      <c r="AR49" s="1163">
        <v>0.9</v>
      </c>
      <c r="AS49" s="62" t="s">
        <v>218</v>
      </c>
      <c r="AT49" s="91" t="s">
        <v>2880</v>
      </c>
      <c r="AU49" s="66" t="str">
        <f t="shared" si="12"/>
        <v>En gestión</v>
      </c>
      <c r="AV49" s="66" t="str">
        <f t="shared" si="13"/>
        <v>En gestión</v>
      </c>
      <c r="AW49" s="532"/>
      <c r="AX49" s="599"/>
      <c r="AY49" s="600"/>
      <c r="AZ49" s="530"/>
      <c r="BA49" s="530"/>
      <c r="BB49" s="66"/>
      <c r="BC49" s="532"/>
      <c r="BD49" s="579"/>
      <c r="BE49" s="579"/>
      <c r="BF49" s="579"/>
      <c r="BG49" s="64">
        <v>576513243</v>
      </c>
      <c r="BH49" s="64">
        <v>576513243</v>
      </c>
      <c r="BI49" s="64">
        <v>576513243</v>
      </c>
      <c r="BJ49" s="62" t="s">
        <v>2557</v>
      </c>
      <c r="BK49" s="62" t="s">
        <v>2560</v>
      </c>
      <c r="BL49" s="66" t="s">
        <v>2559</v>
      </c>
      <c r="BM49" s="65" t="s">
        <v>2562</v>
      </c>
      <c r="BN49" s="50"/>
      <c r="BO49" s="347">
        <v>1</v>
      </c>
      <c r="BP49" s="24" t="s">
        <v>2881</v>
      </c>
      <c r="BQ49" s="24" t="s">
        <v>2882</v>
      </c>
      <c r="BR49" s="19" t="str">
        <f t="shared" si="14"/>
        <v>Terminado</v>
      </c>
      <c r="BS49" s="19" t="str">
        <f t="shared" si="15"/>
        <v>Terminado</v>
      </c>
      <c r="BT49" s="699"/>
      <c r="BU49" s="561"/>
      <c r="BV49" s="562"/>
      <c r="BW49" s="611"/>
      <c r="BX49" s="611"/>
      <c r="BY49" s="578"/>
      <c r="BZ49" s="620"/>
      <c r="CA49" s="565"/>
      <c r="CB49" s="811">
        <v>0</v>
      </c>
      <c r="CC49" s="811">
        <v>0</v>
      </c>
      <c r="CD49" s="811"/>
      <c r="CE49" s="811"/>
      <c r="CF49" s="811"/>
      <c r="CG49" s="811"/>
      <c r="CH49" s="811" t="s">
        <v>2560</v>
      </c>
      <c r="CI49" s="811" t="s">
        <v>2559</v>
      </c>
      <c r="CJ49" s="811" t="s">
        <v>2562</v>
      </c>
    </row>
    <row r="50" spans="2:88" ht="171.95" customHeight="1" x14ac:dyDescent="0.25">
      <c r="B50" s="1222"/>
      <c r="C50" s="632" t="s">
        <v>197</v>
      </c>
      <c r="D50" s="33" t="s">
        <v>25</v>
      </c>
      <c r="E50" s="33" t="s">
        <v>160</v>
      </c>
      <c r="F50" s="633" t="s">
        <v>198</v>
      </c>
      <c r="G50" s="33" t="s">
        <v>28</v>
      </c>
      <c r="H50" s="33" t="s">
        <v>28</v>
      </c>
      <c r="I50" s="33" t="s">
        <v>59</v>
      </c>
      <c r="J50" s="33" t="s">
        <v>132</v>
      </c>
      <c r="K50" s="634" t="s">
        <v>199</v>
      </c>
      <c r="L50" s="51" t="s">
        <v>187</v>
      </c>
      <c r="M50" s="34" t="s">
        <v>200</v>
      </c>
      <c r="N50" s="93" t="s">
        <v>201</v>
      </c>
      <c r="O50" s="33">
        <v>0.3</v>
      </c>
      <c r="P50" s="36">
        <v>44484</v>
      </c>
      <c r="Q50" s="36">
        <v>44540</v>
      </c>
      <c r="R50" s="37">
        <v>0</v>
      </c>
      <c r="S50" s="37">
        <v>0</v>
      </c>
      <c r="T50" s="37">
        <v>0</v>
      </c>
      <c r="U50" s="37">
        <v>1</v>
      </c>
      <c r="V50" s="90">
        <v>0</v>
      </c>
      <c r="W50" s="56" t="s">
        <v>37</v>
      </c>
      <c r="X50" s="94" t="s">
        <v>37</v>
      </c>
      <c r="Y50" s="5" t="str">
        <f t="shared" si="10"/>
        <v>Sin iniciar</v>
      </c>
      <c r="Z50" s="5" t="str">
        <f t="shared" si="11"/>
        <v>Sin iniciar</v>
      </c>
      <c r="AA50" s="531" t="s">
        <v>179</v>
      </c>
      <c r="AB50" s="596">
        <f>SUMPRODUCT(O50:O52,V50:V52)</f>
        <v>0</v>
      </c>
      <c r="AC50" s="597">
        <f>SUMPRODUCT(O50:O52,R50:R52)</f>
        <v>0</v>
      </c>
      <c r="AD50" s="610" t="str">
        <f>IF(AC50&lt;1%,"Sin iniciar",IF(AC50=100%,"Terminado","En gestión"))</f>
        <v>Sin iniciar</v>
      </c>
      <c r="AE50" s="610" t="str">
        <f>IF(AB50&lt;1%,"Sin iniciar",IF(AB50=100%,"Terminado","En gestión"))</f>
        <v>Sin iniciar</v>
      </c>
      <c r="AF50" s="56"/>
      <c r="AG50" s="583">
        <v>0</v>
      </c>
      <c r="AH50" s="583">
        <v>0</v>
      </c>
      <c r="AI50" s="583">
        <v>0</v>
      </c>
      <c r="AJ50" s="583">
        <v>0</v>
      </c>
      <c r="AK50" s="583">
        <v>0</v>
      </c>
      <c r="AL50" s="583">
        <v>0</v>
      </c>
      <c r="AM50" s="536"/>
      <c r="AN50" s="605"/>
      <c r="AO50" s="536"/>
      <c r="AP50" s="536" t="s">
        <v>2466</v>
      </c>
      <c r="AQ50" s="583">
        <v>0</v>
      </c>
      <c r="AR50" s="1163">
        <v>0</v>
      </c>
      <c r="AS50" s="13" t="s">
        <v>2437</v>
      </c>
      <c r="AT50" s="94"/>
      <c r="AU50" s="56" t="str">
        <f t="shared" si="12"/>
        <v>Sin iniciar</v>
      </c>
      <c r="AV50" s="56" t="str">
        <f t="shared" si="13"/>
        <v>Sin iniciar</v>
      </c>
      <c r="AW50" s="531" t="s">
        <v>2437</v>
      </c>
      <c r="AX50" s="599">
        <f>SUMPRODUCT(O50:O52,AR50:AR52)</f>
        <v>0</v>
      </c>
      <c r="AY50" s="600">
        <f>SUMPRODUCT(S50:S52,O50:O52)</f>
        <v>0</v>
      </c>
      <c r="AZ50" s="536" t="str">
        <f>IF(AY50&lt;1%,"Sin iniciar",IF(AY50=100%,"Terminado","En gestión"))</f>
        <v>Sin iniciar</v>
      </c>
      <c r="BA50" s="536" t="str">
        <f>IF(AX50&lt;1%,"Sin iniciar",IF(AX50=100%,"Terminado","En gestión"))</f>
        <v>Sin iniciar</v>
      </c>
      <c r="BB50" s="56"/>
      <c r="BC50" s="536" t="s">
        <v>1555</v>
      </c>
      <c r="BD50" s="583">
        <v>0</v>
      </c>
      <c r="BE50" s="583">
        <v>0</v>
      </c>
      <c r="BF50" s="583">
        <v>0</v>
      </c>
      <c r="BG50" s="583">
        <v>0</v>
      </c>
      <c r="BH50" s="583">
        <v>0</v>
      </c>
      <c r="BI50" s="583">
        <v>0</v>
      </c>
      <c r="BJ50" s="536"/>
      <c r="BK50" s="536"/>
      <c r="BL50" s="536"/>
      <c r="BM50" s="583"/>
      <c r="BN50" s="60"/>
      <c r="BO50" s="347">
        <v>0</v>
      </c>
      <c r="BP50" s="11" t="s">
        <v>2883</v>
      </c>
      <c r="BQ50" s="11" t="s">
        <v>2883</v>
      </c>
      <c r="BR50" s="5" t="str">
        <f t="shared" si="14"/>
        <v>Sin iniciar</v>
      </c>
      <c r="BS50" s="5" t="str">
        <f t="shared" si="15"/>
        <v>Sin iniciar</v>
      </c>
      <c r="BT50" s="573" t="s">
        <v>28</v>
      </c>
      <c r="BU50" s="561">
        <f>SUMPRODUCT(O50:O52,BO50:BO52)</f>
        <v>0</v>
      </c>
      <c r="BV50" s="562">
        <f>SUMPRODUCT(O50:O52,T50:T52)</f>
        <v>0</v>
      </c>
      <c r="BW50" s="610" t="str">
        <f>IF(BV50&lt;1%,"Sin iniciar",IF(BV50=100%,"Terminado","En gestión"))</f>
        <v>Sin iniciar</v>
      </c>
      <c r="BX50" s="610" t="str">
        <f>IF(BU50&lt;1%,"Sin iniciar",IF(BU50=100%,"Terminado","En gestión"))</f>
        <v>Sin iniciar</v>
      </c>
      <c r="BY50" s="573" t="s">
        <v>37</v>
      </c>
      <c r="BZ50" s="621" t="s">
        <v>1555</v>
      </c>
      <c r="CA50" s="574">
        <v>0</v>
      </c>
      <c r="CB50" s="574">
        <v>0</v>
      </c>
      <c r="CC50" s="574">
        <v>0</v>
      </c>
      <c r="CD50" s="574">
        <v>0</v>
      </c>
      <c r="CE50" s="574">
        <v>238256000.00323999</v>
      </c>
      <c r="CF50" s="574">
        <v>0</v>
      </c>
      <c r="CG50" s="574" t="s">
        <v>2557</v>
      </c>
      <c r="CH50" s="574" t="s">
        <v>2558</v>
      </c>
      <c r="CI50" s="574" t="s">
        <v>2559</v>
      </c>
      <c r="CJ50" s="574" t="s">
        <v>2561</v>
      </c>
    </row>
    <row r="51" spans="2:88" ht="171.95" customHeight="1" x14ac:dyDescent="0.25">
      <c r="B51" s="1222"/>
      <c r="C51" s="632"/>
      <c r="D51" s="33" t="s">
        <v>25</v>
      </c>
      <c r="E51" s="33" t="s">
        <v>160</v>
      </c>
      <c r="F51" s="633"/>
      <c r="G51" s="33" t="s">
        <v>28</v>
      </c>
      <c r="H51" s="33" t="s">
        <v>28</v>
      </c>
      <c r="I51" s="33" t="s">
        <v>59</v>
      </c>
      <c r="J51" s="33" t="s">
        <v>132</v>
      </c>
      <c r="K51" s="634"/>
      <c r="L51" s="51" t="s">
        <v>187</v>
      </c>
      <c r="M51" s="34" t="s">
        <v>202</v>
      </c>
      <c r="N51" s="35" t="s">
        <v>203</v>
      </c>
      <c r="O51" s="33">
        <v>0.3</v>
      </c>
      <c r="P51" s="36">
        <v>44491</v>
      </c>
      <c r="Q51" s="36">
        <v>44557</v>
      </c>
      <c r="R51" s="37">
        <v>0</v>
      </c>
      <c r="S51" s="37">
        <v>0</v>
      </c>
      <c r="T51" s="37">
        <v>0</v>
      </c>
      <c r="U51" s="37">
        <v>1</v>
      </c>
      <c r="V51" s="90">
        <v>0</v>
      </c>
      <c r="W51" s="56" t="s">
        <v>37</v>
      </c>
      <c r="X51" s="94" t="s">
        <v>37</v>
      </c>
      <c r="Y51" s="5" t="str">
        <f t="shared" si="10"/>
        <v>Sin iniciar</v>
      </c>
      <c r="Z51" s="5" t="str">
        <f t="shared" si="11"/>
        <v>Sin iniciar</v>
      </c>
      <c r="AA51" s="531"/>
      <c r="AB51" s="596"/>
      <c r="AC51" s="597"/>
      <c r="AD51" s="610"/>
      <c r="AE51" s="610"/>
      <c r="AF51" s="56"/>
      <c r="AG51" s="583"/>
      <c r="AH51" s="583"/>
      <c r="AI51" s="583"/>
      <c r="AJ51" s="583"/>
      <c r="AK51" s="583"/>
      <c r="AL51" s="583"/>
      <c r="AM51" s="536"/>
      <c r="AN51" s="605"/>
      <c r="AO51" s="536"/>
      <c r="AP51" s="536" t="s">
        <v>2466</v>
      </c>
      <c r="AQ51" s="583"/>
      <c r="AR51" s="1163">
        <v>0</v>
      </c>
      <c r="AS51" s="13" t="s">
        <v>2437</v>
      </c>
      <c r="AT51" s="94"/>
      <c r="AU51" s="56" t="str">
        <f t="shared" si="12"/>
        <v>Sin iniciar</v>
      </c>
      <c r="AV51" s="56" t="str">
        <f t="shared" si="13"/>
        <v>Sin iniciar</v>
      </c>
      <c r="AW51" s="531"/>
      <c r="AX51" s="599"/>
      <c r="AY51" s="600"/>
      <c r="AZ51" s="536"/>
      <c r="BA51" s="536"/>
      <c r="BB51" s="56"/>
      <c r="BC51" s="536"/>
      <c r="BD51" s="583"/>
      <c r="BE51" s="583"/>
      <c r="BF51" s="583"/>
      <c r="BG51" s="583"/>
      <c r="BH51" s="583"/>
      <c r="BI51" s="583"/>
      <c r="BJ51" s="536"/>
      <c r="BK51" s="536"/>
      <c r="BL51" s="536"/>
      <c r="BM51" s="583"/>
      <c r="BN51" s="60"/>
      <c r="BO51" s="347">
        <v>0</v>
      </c>
      <c r="BP51" s="11" t="s">
        <v>2883</v>
      </c>
      <c r="BQ51" s="11" t="s">
        <v>2883</v>
      </c>
      <c r="BR51" s="5" t="str">
        <f t="shared" si="14"/>
        <v>Sin iniciar</v>
      </c>
      <c r="BS51" s="5" t="str">
        <f t="shared" si="15"/>
        <v>Sin iniciar</v>
      </c>
      <c r="BT51" s="573"/>
      <c r="BU51" s="561"/>
      <c r="BV51" s="562"/>
      <c r="BW51" s="610"/>
      <c r="BX51" s="610"/>
      <c r="BY51" s="573"/>
      <c r="BZ51" s="621"/>
      <c r="CA51" s="574"/>
      <c r="CB51" s="574"/>
      <c r="CC51" s="574"/>
      <c r="CD51" s="574"/>
      <c r="CE51" s="574"/>
      <c r="CF51" s="574"/>
      <c r="CG51" s="574"/>
      <c r="CH51" s="574"/>
      <c r="CI51" s="574"/>
      <c r="CJ51" s="574"/>
    </row>
    <row r="52" spans="2:88" ht="171.95" customHeight="1" x14ac:dyDescent="0.25">
      <c r="B52" s="1222"/>
      <c r="C52" s="632"/>
      <c r="D52" s="33" t="s">
        <v>25</v>
      </c>
      <c r="E52" s="33" t="s">
        <v>160</v>
      </c>
      <c r="F52" s="633"/>
      <c r="G52" s="33" t="s">
        <v>28</v>
      </c>
      <c r="H52" s="33" t="s">
        <v>28</v>
      </c>
      <c r="I52" s="33" t="s">
        <v>59</v>
      </c>
      <c r="J52" s="33" t="s">
        <v>132</v>
      </c>
      <c r="K52" s="634"/>
      <c r="L52" s="51" t="s">
        <v>187</v>
      </c>
      <c r="M52" s="34" t="s">
        <v>204</v>
      </c>
      <c r="N52" s="35" t="s">
        <v>205</v>
      </c>
      <c r="O52" s="33">
        <v>0.4</v>
      </c>
      <c r="P52" s="36">
        <v>44491</v>
      </c>
      <c r="Q52" s="36">
        <v>44557</v>
      </c>
      <c r="R52" s="37">
        <v>0</v>
      </c>
      <c r="S52" s="37">
        <v>0</v>
      </c>
      <c r="T52" s="37">
        <v>0</v>
      </c>
      <c r="U52" s="37">
        <v>1</v>
      </c>
      <c r="V52" s="90">
        <v>0</v>
      </c>
      <c r="W52" s="56" t="s">
        <v>37</v>
      </c>
      <c r="X52" s="94" t="s">
        <v>37</v>
      </c>
      <c r="Y52" s="5" t="str">
        <f t="shared" si="10"/>
        <v>Sin iniciar</v>
      </c>
      <c r="Z52" s="5" t="str">
        <f t="shared" si="11"/>
        <v>Sin iniciar</v>
      </c>
      <c r="AA52" s="531"/>
      <c r="AB52" s="596"/>
      <c r="AC52" s="597"/>
      <c r="AD52" s="610"/>
      <c r="AE52" s="610"/>
      <c r="AF52" s="56"/>
      <c r="AG52" s="583"/>
      <c r="AH52" s="583"/>
      <c r="AI52" s="583"/>
      <c r="AJ52" s="583"/>
      <c r="AK52" s="583"/>
      <c r="AL52" s="583"/>
      <c r="AM52" s="536"/>
      <c r="AN52" s="605"/>
      <c r="AO52" s="536"/>
      <c r="AP52" s="536" t="s">
        <v>2466</v>
      </c>
      <c r="AQ52" s="583"/>
      <c r="AR52" s="1163">
        <v>0</v>
      </c>
      <c r="AS52" s="13" t="s">
        <v>2437</v>
      </c>
      <c r="AT52" s="94"/>
      <c r="AU52" s="56" t="str">
        <f t="shared" si="12"/>
        <v>Sin iniciar</v>
      </c>
      <c r="AV52" s="56" t="str">
        <f t="shared" si="13"/>
        <v>Sin iniciar</v>
      </c>
      <c r="AW52" s="531"/>
      <c r="AX52" s="599"/>
      <c r="AY52" s="600"/>
      <c r="AZ52" s="536"/>
      <c r="BA52" s="536"/>
      <c r="BB52" s="56"/>
      <c r="BC52" s="536"/>
      <c r="BD52" s="583"/>
      <c r="BE52" s="583"/>
      <c r="BF52" s="583"/>
      <c r="BG52" s="583"/>
      <c r="BH52" s="583"/>
      <c r="BI52" s="583"/>
      <c r="BJ52" s="536"/>
      <c r="BK52" s="536"/>
      <c r="BL52" s="536"/>
      <c r="BM52" s="583"/>
      <c r="BN52" s="60"/>
      <c r="BO52" s="347">
        <v>0</v>
      </c>
      <c r="BP52" s="11" t="s">
        <v>2883</v>
      </c>
      <c r="BQ52" s="11" t="s">
        <v>2883</v>
      </c>
      <c r="BR52" s="5" t="str">
        <f t="shared" si="14"/>
        <v>Sin iniciar</v>
      </c>
      <c r="BS52" s="5" t="str">
        <f t="shared" si="15"/>
        <v>Sin iniciar</v>
      </c>
      <c r="BT52" s="573"/>
      <c r="BU52" s="561"/>
      <c r="BV52" s="562"/>
      <c r="BW52" s="610"/>
      <c r="BX52" s="610"/>
      <c r="BY52" s="573"/>
      <c r="BZ52" s="621"/>
      <c r="CA52" s="574"/>
      <c r="CB52" s="574"/>
      <c r="CC52" s="574"/>
      <c r="CD52" s="574"/>
      <c r="CE52" s="574"/>
      <c r="CF52" s="574"/>
      <c r="CG52" s="574"/>
      <c r="CH52" s="574"/>
      <c r="CI52" s="574"/>
      <c r="CJ52" s="574"/>
    </row>
    <row r="53" spans="2:88" ht="171.95" customHeight="1" x14ac:dyDescent="0.25">
      <c r="B53" s="1222"/>
      <c r="C53" s="639" t="s">
        <v>206</v>
      </c>
      <c r="D53" s="41" t="s">
        <v>25</v>
      </c>
      <c r="E53" s="41" t="s">
        <v>160</v>
      </c>
      <c r="F53" s="640" t="s">
        <v>207</v>
      </c>
      <c r="G53" s="41" t="s">
        <v>28</v>
      </c>
      <c r="H53" s="41" t="s">
        <v>28</v>
      </c>
      <c r="I53" s="41" t="s">
        <v>59</v>
      </c>
      <c r="J53" s="41" t="s">
        <v>132</v>
      </c>
      <c r="K53" s="641" t="s">
        <v>208</v>
      </c>
      <c r="L53" s="52" t="s">
        <v>187</v>
      </c>
      <c r="M53" s="42" t="s">
        <v>209</v>
      </c>
      <c r="N53" s="43" t="s">
        <v>210</v>
      </c>
      <c r="O53" s="41">
        <v>0.3</v>
      </c>
      <c r="P53" s="44">
        <v>44470</v>
      </c>
      <c r="Q53" s="44">
        <v>44531</v>
      </c>
      <c r="R53" s="45">
        <v>0</v>
      </c>
      <c r="S53" s="45">
        <v>0</v>
      </c>
      <c r="T53" s="45">
        <v>0</v>
      </c>
      <c r="U53" s="45">
        <v>1</v>
      </c>
      <c r="V53" s="90">
        <v>0</v>
      </c>
      <c r="W53" s="66" t="s">
        <v>37</v>
      </c>
      <c r="X53" s="91" t="s">
        <v>37</v>
      </c>
      <c r="Y53" s="19" t="str">
        <f t="shared" si="10"/>
        <v>Sin iniciar</v>
      </c>
      <c r="Z53" s="19" t="str">
        <f t="shared" si="11"/>
        <v>Sin iniciar</v>
      </c>
      <c r="AA53" s="532" t="s">
        <v>179</v>
      </c>
      <c r="AB53" s="596">
        <f>SUMPRODUCT(O53:O55,V53:V55)</f>
        <v>0</v>
      </c>
      <c r="AC53" s="597">
        <f>SUMPRODUCT(O53:O55,R53:R55)</f>
        <v>0</v>
      </c>
      <c r="AD53" s="611" t="str">
        <f>IF(AC53&lt;1%,"Sin iniciar",IF(AC53=100%,"Terminado","En gestión"))</f>
        <v>Sin iniciar</v>
      </c>
      <c r="AE53" s="611" t="str">
        <f>IF(AB53&lt;1%,"Sin iniciar",IF(AB53=100%,"Terminado","En gestión"))</f>
        <v>Sin iniciar</v>
      </c>
      <c r="AF53" s="66"/>
      <c r="AG53" s="579">
        <v>0</v>
      </c>
      <c r="AH53" s="579">
        <v>0</v>
      </c>
      <c r="AI53" s="579">
        <v>0</v>
      </c>
      <c r="AJ53" s="579">
        <v>0</v>
      </c>
      <c r="AK53" s="579">
        <v>0</v>
      </c>
      <c r="AL53" s="579">
        <v>0</v>
      </c>
      <c r="AM53" s="530"/>
      <c r="AN53" s="607"/>
      <c r="AO53" s="530"/>
      <c r="AP53" s="530" t="s">
        <v>2466</v>
      </c>
      <c r="AQ53" s="579">
        <v>0</v>
      </c>
      <c r="AR53" s="1163">
        <v>0</v>
      </c>
      <c r="AS53" s="62" t="s">
        <v>2437</v>
      </c>
      <c r="AT53" s="91"/>
      <c r="AU53" s="66" t="str">
        <f t="shared" si="12"/>
        <v>Sin iniciar</v>
      </c>
      <c r="AV53" s="66" t="str">
        <f t="shared" si="13"/>
        <v>Sin iniciar</v>
      </c>
      <c r="AW53" s="532" t="s">
        <v>2437</v>
      </c>
      <c r="AX53" s="599">
        <f>SUMPRODUCT(O53:O55,AR53:AR55)</f>
        <v>0</v>
      </c>
      <c r="AY53" s="600">
        <f>SUMPRODUCT(S53:S55,O53:O55)</f>
        <v>0</v>
      </c>
      <c r="AZ53" s="530" t="str">
        <f>IF(AY53&lt;1%,"Sin iniciar",IF(AY53=100%,"Terminado","En gestión"))</f>
        <v>Sin iniciar</v>
      </c>
      <c r="BA53" s="530" t="str">
        <f>IF(AX53&lt;1%,"Sin iniciar",IF(AX53=100%,"Terminado","En gestión"))</f>
        <v>Sin iniciar</v>
      </c>
      <c r="BB53" s="66"/>
      <c r="BC53" s="530" t="s">
        <v>1555</v>
      </c>
      <c r="BD53" s="579">
        <v>0</v>
      </c>
      <c r="BE53" s="579">
        <v>0</v>
      </c>
      <c r="BF53" s="579">
        <v>0</v>
      </c>
      <c r="BG53" s="579">
        <v>0</v>
      </c>
      <c r="BH53" s="579">
        <v>0</v>
      </c>
      <c r="BI53" s="579">
        <v>0</v>
      </c>
      <c r="BJ53" s="530"/>
      <c r="BK53" s="530"/>
      <c r="BL53" s="530"/>
      <c r="BM53" s="579"/>
      <c r="BN53" s="50"/>
      <c r="BO53" s="347">
        <v>0</v>
      </c>
      <c r="BP53" s="24" t="s">
        <v>2883</v>
      </c>
      <c r="BQ53" s="24" t="s">
        <v>2883</v>
      </c>
      <c r="BR53" s="19" t="str">
        <f t="shared" si="14"/>
        <v>Sin iniciar</v>
      </c>
      <c r="BS53" s="19" t="str">
        <f t="shared" si="15"/>
        <v>Sin iniciar</v>
      </c>
      <c r="BT53" s="578" t="s">
        <v>28</v>
      </c>
      <c r="BU53" s="561">
        <f>SUMPRODUCT(O53:O55,BO53:BO55)</f>
        <v>0</v>
      </c>
      <c r="BV53" s="562">
        <f>SUMPRODUCT(O53:O55,T53:T55)</f>
        <v>0</v>
      </c>
      <c r="BW53" s="611" t="str">
        <f>IF(BV53&lt;1%,"Sin iniciar",IF(BV53=100%,"Terminado","En gestión"))</f>
        <v>Sin iniciar</v>
      </c>
      <c r="BX53" s="611" t="str">
        <f>IF(BU53&lt;1%,"Sin iniciar",IF(BU53=100%,"Terminado","En gestión"))</f>
        <v>Sin iniciar</v>
      </c>
      <c r="BY53" s="578" t="s">
        <v>37</v>
      </c>
      <c r="BZ53" s="620" t="s">
        <v>1555</v>
      </c>
      <c r="CA53" s="578">
        <v>0</v>
      </c>
      <c r="CB53" s="578">
        <v>0</v>
      </c>
      <c r="CC53" s="578">
        <v>0</v>
      </c>
      <c r="CD53" s="578">
        <v>0</v>
      </c>
      <c r="CE53" s="565">
        <v>208659000</v>
      </c>
      <c r="CF53" s="578">
        <v>0</v>
      </c>
      <c r="CG53" s="578" t="s">
        <v>2557</v>
      </c>
      <c r="CH53" s="578" t="s">
        <v>2558</v>
      </c>
      <c r="CI53" s="578" t="s">
        <v>2559</v>
      </c>
      <c r="CJ53" s="560" t="s">
        <v>2561</v>
      </c>
    </row>
    <row r="54" spans="2:88" ht="171.95" customHeight="1" x14ac:dyDescent="0.25">
      <c r="B54" s="1222"/>
      <c r="C54" s="639"/>
      <c r="D54" s="41" t="s">
        <v>25</v>
      </c>
      <c r="E54" s="41" t="s">
        <v>160</v>
      </c>
      <c r="F54" s="640"/>
      <c r="G54" s="41" t="s">
        <v>28</v>
      </c>
      <c r="H54" s="41" t="s">
        <v>28</v>
      </c>
      <c r="I54" s="41" t="s">
        <v>59</v>
      </c>
      <c r="J54" s="41" t="s">
        <v>132</v>
      </c>
      <c r="K54" s="641"/>
      <c r="L54" s="52" t="s">
        <v>187</v>
      </c>
      <c r="M54" s="42" t="s">
        <v>211</v>
      </c>
      <c r="N54" s="43" t="s">
        <v>212</v>
      </c>
      <c r="O54" s="41">
        <v>0.4</v>
      </c>
      <c r="P54" s="44">
        <v>44531</v>
      </c>
      <c r="Q54" s="44">
        <v>44545</v>
      </c>
      <c r="R54" s="45">
        <v>0</v>
      </c>
      <c r="S54" s="45">
        <v>0</v>
      </c>
      <c r="T54" s="45">
        <v>0</v>
      </c>
      <c r="U54" s="45">
        <v>1</v>
      </c>
      <c r="V54" s="90">
        <v>0</v>
      </c>
      <c r="W54" s="66" t="s">
        <v>37</v>
      </c>
      <c r="X54" s="91" t="s">
        <v>37</v>
      </c>
      <c r="Y54" s="19" t="str">
        <f t="shared" si="10"/>
        <v>Sin iniciar</v>
      </c>
      <c r="Z54" s="19" t="str">
        <f t="shared" si="11"/>
        <v>Sin iniciar</v>
      </c>
      <c r="AA54" s="532"/>
      <c r="AB54" s="596"/>
      <c r="AC54" s="597"/>
      <c r="AD54" s="611"/>
      <c r="AE54" s="611"/>
      <c r="AF54" s="66"/>
      <c r="AG54" s="579"/>
      <c r="AH54" s="579"/>
      <c r="AI54" s="579"/>
      <c r="AJ54" s="579"/>
      <c r="AK54" s="579"/>
      <c r="AL54" s="579"/>
      <c r="AM54" s="530"/>
      <c r="AN54" s="607"/>
      <c r="AO54" s="530"/>
      <c r="AP54" s="530" t="s">
        <v>2466</v>
      </c>
      <c r="AQ54" s="579"/>
      <c r="AR54" s="1163">
        <v>0</v>
      </c>
      <c r="AS54" s="62" t="s">
        <v>2437</v>
      </c>
      <c r="AT54" s="91"/>
      <c r="AU54" s="66" t="str">
        <f t="shared" si="12"/>
        <v>Sin iniciar</v>
      </c>
      <c r="AV54" s="66" t="str">
        <f t="shared" si="13"/>
        <v>Sin iniciar</v>
      </c>
      <c r="AW54" s="532"/>
      <c r="AX54" s="599"/>
      <c r="AY54" s="600"/>
      <c r="AZ54" s="530"/>
      <c r="BA54" s="530"/>
      <c r="BB54" s="66"/>
      <c r="BC54" s="530"/>
      <c r="BD54" s="579"/>
      <c r="BE54" s="579"/>
      <c r="BF54" s="579"/>
      <c r="BG54" s="579"/>
      <c r="BH54" s="579"/>
      <c r="BI54" s="579"/>
      <c r="BJ54" s="530"/>
      <c r="BK54" s="530"/>
      <c r="BL54" s="530"/>
      <c r="BM54" s="579"/>
      <c r="BN54" s="50"/>
      <c r="BO54" s="347">
        <v>0</v>
      </c>
      <c r="BP54" s="24" t="s">
        <v>2883</v>
      </c>
      <c r="BQ54" s="24" t="s">
        <v>2883</v>
      </c>
      <c r="BR54" s="19" t="str">
        <f t="shared" si="14"/>
        <v>Sin iniciar</v>
      </c>
      <c r="BS54" s="19" t="str">
        <f t="shared" si="15"/>
        <v>Sin iniciar</v>
      </c>
      <c r="BT54" s="578"/>
      <c r="BU54" s="561"/>
      <c r="BV54" s="562"/>
      <c r="BW54" s="611"/>
      <c r="BX54" s="611"/>
      <c r="BY54" s="578"/>
      <c r="BZ54" s="620"/>
      <c r="CA54" s="578"/>
      <c r="CB54" s="578"/>
      <c r="CC54" s="578"/>
      <c r="CD54" s="578"/>
      <c r="CE54" s="565"/>
      <c r="CF54" s="578"/>
      <c r="CG54" s="578"/>
      <c r="CH54" s="578"/>
      <c r="CI54" s="578"/>
      <c r="CJ54" s="560"/>
    </row>
    <row r="55" spans="2:88" ht="171.95" customHeight="1" x14ac:dyDescent="0.25">
      <c r="B55" s="1222"/>
      <c r="C55" s="639"/>
      <c r="D55" s="41" t="s">
        <v>25</v>
      </c>
      <c r="E55" s="41" t="s">
        <v>160</v>
      </c>
      <c r="F55" s="640"/>
      <c r="G55" s="41" t="s">
        <v>28</v>
      </c>
      <c r="H55" s="41" t="s">
        <v>28</v>
      </c>
      <c r="I55" s="41" t="s">
        <v>59</v>
      </c>
      <c r="J55" s="41" t="s">
        <v>132</v>
      </c>
      <c r="K55" s="641"/>
      <c r="L55" s="52" t="s">
        <v>187</v>
      </c>
      <c r="M55" s="42" t="s">
        <v>213</v>
      </c>
      <c r="N55" s="43" t="s">
        <v>214</v>
      </c>
      <c r="O55" s="41">
        <v>0.3</v>
      </c>
      <c r="P55" s="44">
        <v>44531</v>
      </c>
      <c r="Q55" s="44">
        <v>44557</v>
      </c>
      <c r="R55" s="45">
        <v>0</v>
      </c>
      <c r="S55" s="45">
        <v>0</v>
      </c>
      <c r="T55" s="45">
        <v>0</v>
      </c>
      <c r="U55" s="45">
        <v>1</v>
      </c>
      <c r="V55" s="90">
        <v>0</v>
      </c>
      <c r="W55" s="66" t="s">
        <v>37</v>
      </c>
      <c r="X55" s="91" t="s">
        <v>37</v>
      </c>
      <c r="Y55" s="19" t="str">
        <f t="shared" si="10"/>
        <v>Sin iniciar</v>
      </c>
      <c r="Z55" s="19" t="str">
        <f t="shared" si="11"/>
        <v>Sin iniciar</v>
      </c>
      <c r="AA55" s="532"/>
      <c r="AB55" s="596"/>
      <c r="AC55" s="597"/>
      <c r="AD55" s="611"/>
      <c r="AE55" s="611"/>
      <c r="AF55" s="66"/>
      <c r="AG55" s="579"/>
      <c r="AH55" s="579"/>
      <c r="AI55" s="579"/>
      <c r="AJ55" s="579"/>
      <c r="AK55" s="579"/>
      <c r="AL55" s="579"/>
      <c r="AM55" s="530"/>
      <c r="AN55" s="607"/>
      <c r="AO55" s="530"/>
      <c r="AP55" s="530" t="s">
        <v>2466</v>
      </c>
      <c r="AQ55" s="579"/>
      <c r="AR55" s="1163">
        <v>0</v>
      </c>
      <c r="AS55" s="62" t="s">
        <v>2437</v>
      </c>
      <c r="AT55" s="91"/>
      <c r="AU55" s="66" t="str">
        <f t="shared" si="12"/>
        <v>Sin iniciar</v>
      </c>
      <c r="AV55" s="66" t="str">
        <f t="shared" si="13"/>
        <v>Sin iniciar</v>
      </c>
      <c r="AW55" s="532"/>
      <c r="AX55" s="599"/>
      <c r="AY55" s="600"/>
      <c r="AZ55" s="530"/>
      <c r="BA55" s="530"/>
      <c r="BB55" s="66"/>
      <c r="BC55" s="530"/>
      <c r="BD55" s="579"/>
      <c r="BE55" s="579"/>
      <c r="BF55" s="579"/>
      <c r="BG55" s="579"/>
      <c r="BH55" s="579"/>
      <c r="BI55" s="579"/>
      <c r="BJ55" s="530"/>
      <c r="BK55" s="530"/>
      <c r="BL55" s="530"/>
      <c r="BM55" s="579"/>
      <c r="BN55" s="50"/>
      <c r="BO55" s="347">
        <v>0</v>
      </c>
      <c r="BP55" s="24" t="s">
        <v>2883</v>
      </c>
      <c r="BQ55" s="24" t="s">
        <v>2883</v>
      </c>
      <c r="BR55" s="19" t="str">
        <f t="shared" si="14"/>
        <v>Sin iniciar</v>
      </c>
      <c r="BS55" s="19" t="str">
        <f t="shared" si="15"/>
        <v>Sin iniciar</v>
      </c>
      <c r="BT55" s="578"/>
      <c r="BU55" s="561"/>
      <c r="BV55" s="562"/>
      <c r="BW55" s="611"/>
      <c r="BX55" s="611"/>
      <c r="BY55" s="578"/>
      <c r="BZ55" s="620"/>
      <c r="CA55" s="578"/>
      <c r="CB55" s="578"/>
      <c r="CC55" s="578"/>
      <c r="CD55" s="578"/>
      <c r="CE55" s="565"/>
      <c r="CF55" s="578"/>
      <c r="CG55" s="578"/>
      <c r="CH55" s="578"/>
      <c r="CI55" s="578"/>
      <c r="CJ55" s="560"/>
    </row>
    <row r="56" spans="2:88" ht="171.95" customHeight="1" x14ac:dyDescent="0.25">
      <c r="B56" s="1223" t="s">
        <v>5218</v>
      </c>
      <c r="C56" s="700" t="s">
        <v>220</v>
      </c>
      <c r="D56" s="95" t="s">
        <v>159</v>
      </c>
      <c r="E56" s="95" t="s">
        <v>26</v>
      </c>
      <c r="F56" s="701" t="s">
        <v>221</v>
      </c>
      <c r="G56" s="95" t="s">
        <v>28</v>
      </c>
      <c r="H56" s="95" t="s">
        <v>28</v>
      </c>
      <c r="I56" s="95" t="s">
        <v>222</v>
      </c>
      <c r="J56" s="95" t="s">
        <v>47</v>
      </c>
      <c r="K56" s="702" t="s">
        <v>223</v>
      </c>
      <c r="L56" s="96" t="s">
        <v>164</v>
      </c>
      <c r="M56" s="97" t="s">
        <v>224</v>
      </c>
      <c r="N56" s="93" t="s">
        <v>225</v>
      </c>
      <c r="O56" s="95">
        <v>0.25</v>
      </c>
      <c r="P56" s="98">
        <v>44211</v>
      </c>
      <c r="Q56" s="98">
        <v>44560</v>
      </c>
      <c r="R56" s="99">
        <v>0</v>
      </c>
      <c r="S56" s="99">
        <v>0.6</v>
      </c>
      <c r="T56" s="99">
        <v>0.7</v>
      </c>
      <c r="U56" s="99">
        <v>1</v>
      </c>
      <c r="V56" s="90">
        <v>0</v>
      </c>
      <c r="W56" s="56" t="s">
        <v>37</v>
      </c>
      <c r="X56" s="100" t="s">
        <v>37</v>
      </c>
      <c r="Y56" s="5" t="str">
        <f t="shared" si="10"/>
        <v>Sin iniciar</v>
      </c>
      <c r="Z56" s="5" t="str">
        <f t="shared" si="11"/>
        <v>Sin iniciar</v>
      </c>
      <c r="AA56" s="703" t="s">
        <v>179</v>
      </c>
      <c r="AB56" s="604">
        <f>SUMPRODUCT(O56:O59,V56:V59)</f>
        <v>0</v>
      </c>
      <c r="AC56" s="597">
        <f>SUMPRODUCT(O56:O59,R56:R59)</f>
        <v>0</v>
      </c>
      <c r="AD56" s="610" t="str">
        <f>IF(AC56&lt;1%,"Sin iniciar",IF(AC56=100%,"Terminado","En gestión"))</f>
        <v>Sin iniciar</v>
      </c>
      <c r="AE56" s="610" t="str">
        <f>IF(AB56&lt;1%,"Sin iniciar",IF(AB56=100%,"Terminado","En gestión"))</f>
        <v>Sin iniciar</v>
      </c>
      <c r="AF56" s="101"/>
      <c r="AG56" s="704">
        <v>20528766.600000001</v>
      </c>
      <c r="AH56" s="704">
        <v>19107203.400000002</v>
      </c>
      <c r="AI56" s="704">
        <v>4776800.8500000006</v>
      </c>
      <c r="AJ56" s="704">
        <v>47460000</v>
      </c>
      <c r="AK56" s="704">
        <v>22440000</v>
      </c>
      <c r="AL56" s="704">
        <v>5610000</v>
      </c>
      <c r="AM56" s="705" t="s">
        <v>2460</v>
      </c>
      <c r="AN56" s="707" t="s">
        <v>2461</v>
      </c>
      <c r="AO56" s="705" t="s">
        <v>2462</v>
      </c>
      <c r="AP56" s="708" t="s">
        <v>2463</v>
      </c>
      <c r="AQ56" s="708">
        <f>+AK56</f>
        <v>22440000</v>
      </c>
      <c r="AR56" s="1163">
        <v>0.6</v>
      </c>
      <c r="AS56" s="13" t="s">
        <v>340</v>
      </c>
      <c r="AT56" s="102" t="s">
        <v>2884</v>
      </c>
      <c r="AU56" s="56" t="str">
        <f t="shared" si="12"/>
        <v>En gestión</v>
      </c>
      <c r="AV56" s="56" t="str">
        <f t="shared" si="13"/>
        <v>En gestión</v>
      </c>
      <c r="AW56" s="705" t="s">
        <v>356</v>
      </c>
      <c r="AX56" s="706">
        <f>SUMPRODUCT(O56:O59,AR56:AR59)</f>
        <v>0.5</v>
      </c>
      <c r="AY56" s="600">
        <f>SUMPRODUCT(S56:S59,O56:O59)</f>
        <v>0.5</v>
      </c>
      <c r="AZ56" s="536" t="str">
        <f>IF(AY56&lt;1%,"Sin iniciar",IF(AY56=100%,"Terminado","En gestión"))</f>
        <v>En gestión</v>
      </c>
      <c r="BA56" s="536" t="str">
        <f>IF(AX56&lt;1%,"Sin iniciar",IF(AX56=100%,"Terminado","En gestión"))</f>
        <v>En gestión</v>
      </c>
      <c r="BB56" s="103" t="s">
        <v>357</v>
      </c>
      <c r="BC56" s="703" t="s">
        <v>358</v>
      </c>
      <c r="BD56" s="704">
        <v>19107203.400000002</v>
      </c>
      <c r="BE56" s="704">
        <v>57692122.800000004</v>
      </c>
      <c r="BF56" s="704">
        <v>28846061.400000002</v>
      </c>
      <c r="BG56" s="704">
        <v>47460000</v>
      </c>
      <c r="BH56" s="704">
        <v>69424960</v>
      </c>
      <c r="BI56" s="704">
        <v>34712480</v>
      </c>
      <c r="BJ56" s="705" t="s">
        <v>2460</v>
      </c>
      <c r="BK56" s="707" t="s">
        <v>2461</v>
      </c>
      <c r="BL56" s="705" t="s">
        <v>2462</v>
      </c>
      <c r="BM56" s="709" t="s">
        <v>2463</v>
      </c>
      <c r="BN56" s="709" t="s">
        <v>2530</v>
      </c>
      <c r="BO56" s="347">
        <v>0.7</v>
      </c>
      <c r="BP56" s="13" t="s">
        <v>2885</v>
      </c>
      <c r="BQ56" s="12" t="s">
        <v>2886</v>
      </c>
      <c r="BR56" s="5" t="str">
        <f t="shared" ref="BR56:BR91" si="16">IF(T56&lt;1%,"Sin iniciar",IF(T56=100%,"Terminado","En gestión"))</f>
        <v>En gestión</v>
      </c>
      <c r="BS56" s="5" t="str">
        <f t="shared" si="15"/>
        <v>En gestión</v>
      </c>
      <c r="BT56" s="581" t="s">
        <v>2887</v>
      </c>
      <c r="BU56" s="714">
        <f>SUMPRODUCT(O56:O59,BO56:BO59)</f>
        <v>0.57500000000000007</v>
      </c>
      <c r="BV56" s="562">
        <f>SUMPRODUCT(O56:O59,T56:T59)</f>
        <v>0.60000000000000009</v>
      </c>
      <c r="BW56" s="610" t="str">
        <f>IF(BV56&lt;1%,"Sin iniciar",IF(BV56=100%,"Terminado","En gestión"))</f>
        <v>En gestión</v>
      </c>
      <c r="BX56" s="610" t="str">
        <f>IF(BU56&lt;1%,"Sin iniciar",IF(BU56=100%,"Terminado","En gestión"))</f>
        <v>En gestión</v>
      </c>
      <c r="BY56" s="573" t="s">
        <v>37</v>
      </c>
      <c r="BZ56" s="703" t="s">
        <v>358</v>
      </c>
      <c r="CA56" s="704">
        <v>19107203.400000002</v>
      </c>
      <c r="CB56" s="704">
        <v>57692122.800000004</v>
      </c>
      <c r="CC56" s="704">
        <v>43269092</v>
      </c>
      <c r="CD56" s="704">
        <v>47460000</v>
      </c>
      <c r="CE56" s="704">
        <v>67211120</v>
      </c>
      <c r="CF56" s="704">
        <v>54615840</v>
      </c>
      <c r="CG56" s="705" t="s">
        <v>2460</v>
      </c>
      <c r="CH56" s="705" t="s">
        <v>2462</v>
      </c>
      <c r="CI56" s="708" t="s">
        <v>2463</v>
      </c>
      <c r="CJ56" s="709" t="s">
        <v>2530</v>
      </c>
    </row>
    <row r="57" spans="2:88" ht="171.95" customHeight="1" x14ac:dyDescent="0.25">
      <c r="B57" s="1224"/>
      <c r="C57" s="700"/>
      <c r="D57" s="95" t="s">
        <v>159</v>
      </c>
      <c r="E57" s="95" t="s">
        <v>26</v>
      </c>
      <c r="F57" s="701"/>
      <c r="G57" s="95" t="s">
        <v>28</v>
      </c>
      <c r="H57" s="95" t="s">
        <v>28</v>
      </c>
      <c r="I57" s="95" t="s">
        <v>222</v>
      </c>
      <c r="J57" s="95" t="s">
        <v>47</v>
      </c>
      <c r="K57" s="702"/>
      <c r="L57" s="96" t="s">
        <v>164</v>
      </c>
      <c r="M57" s="97" t="s">
        <v>226</v>
      </c>
      <c r="N57" s="93" t="s">
        <v>227</v>
      </c>
      <c r="O57" s="95">
        <v>0.25</v>
      </c>
      <c r="P57" s="98">
        <v>44228</v>
      </c>
      <c r="Q57" s="98">
        <v>44560</v>
      </c>
      <c r="R57" s="99">
        <v>0</v>
      </c>
      <c r="S57" s="99">
        <v>0.4</v>
      </c>
      <c r="T57" s="99">
        <v>0.5</v>
      </c>
      <c r="U57" s="99">
        <v>1</v>
      </c>
      <c r="V57" s="90">
        <v>0</v>
      </c>
      <c r="W57" s="56" t="s">
        <v>37</v>
      </c>
      <c r="X57" s="100" t="s">
        <v>37</v>
      </c>
      <c r="Y57" s="5" t="str">
        <f t="shared" si="10"/>
        <v>Sin iniciar</v>
      </c>
      <c r="Z57" s="5" t="str">
        <f t="shared" si="11"/>
        <v>Sin iniciar</v>
      </c>
      <c r="AA57" s="703"/>
      <c r="AB57" s="604"/>
      <c r="AC57" s="597"/>
      <c r="AD57" s="610"/>
      <c r="AE57" s="610"/>
      <c r="AF57" s="101"/>
      <c r="AG57" s="704"/>
      <c r="AH57" s="704"/>
      <c r="AI57" s="704"/>
      <c r="AJ57" s="704"/>
      <c r="AK57" s="704"/>
      <c r="AL57" s="704"/>
      <c r="AM57" s="705"/>
      <c r="AN57" s="707"/>
      <c r="AO57" s="705"/>
      <c r="AP57" s="705"/>
      <c r="AQ57" s="705"/>
      <c r="AR57" s="1163">
        <v>0.4</v>
      </c>
      <c r="AS57" s="13" t="s">
        <v>341</v>
      </c>
      <c r="AT57" s="102" t="s">
        <v>2888</v>
      </c>
      <c r="AU57" s="56" t="str">
        <f t="shared" si="12"/>
        <v>En gestión</v>
      </c>
      <c r="AV57" s="56" t="str">
        <f t="shared" si="13"/>
        <v>En gestión</v>
      </c>
      <c r="AW57" s="705"/>
      <c r="AX57" s="706"/>
      <c r="AY57" s="600"/>
      <c r="AZ57" s="536"/>
      <c r="BA57" s="536"/>
      <c r="BB57" s="101"/>
      <c r="BC57" s="703"/>
      <c r="BD57" s="704"/>
      <c r="BE57" s="704"/>
      <c r="BF57" s="704"/>
      <c r="BG57" s="704"/>
      <c r="BH57" s="704"/>
      <c r="BI57" s="704"/>
      <c r="BJ57" s="705"/>
      <c r="BK57" s="707"/>
      <c r="BL57" s="705"/>
      <c r="BM57" s="703"/>
      <c r="BN57" s="703"/>
      <c r="BO57" s="347">
        <v>0.5</v>
      </c>
      <c r="BP57" s="13" t="s">
        <v>2889</v>
      </c>
      <c r="BQ57" s="12" t="s">
        <v>2886</v>
      </c>
      <c r="BR57" s="5" t="str">
        <f t="shared" si="16"/>
        <v>En gestión</v>
      </c>
      <c r="BS57" s="5" t="str">
        <f t="shared" si="15"/>
        <v>En gestión</v>
      </c>
      <c r="BT57" s="581"/>
      <c r="BU57" s="714"/>
      <c r="BV57" s="562"/>
      <c r="BW57" s="610"/>
      <c r="BX57" s="610"/>
      <c r="BY57" s="573"/>
      <c r="BZ57" s="703"/>
      <c r="CA57" s="704"/>
      <c r="CB57" s="704"/>
      <c r="CC57" s="704"/>
      <c r="CD57" s="704"/>
      <c r="CE57" s="704"/>
      <c r="CF57" s="704"/>
      <c r="CG57" s="705"/>
      <c r="CH57" s="705"/>
      <c r="CI57" s="705"/>
      <c r="CJ57" s="703"/>
    </row>
    <row r="58" spans="2:88" ht="171.95" customHeight="1" x14ac:dyDescent="0.25">
      <c r="B58" s="1224"/>
      <c r="C58" s="700"/>
      <c r="D58" s="95" t="s">
        <v>159</v>
      </c>
      <c r="E58" s="95" t="s">
        <v>26</v>
      </c>
      <c r="F58" s="701"/>
      <c r="G58" s="95" t="s">
        <v>28</v>
      </c>
      <c r="H58" s="95" t="s">
        <v>28</v>
      </c>
      <c r="I58" s="95" t="s">
        <v>222</v>
      </c>
      <c r="J58" s="95" t="s">
        <v>47</v>
      </c>
      <c r="K58" s="702"/>
      <c r="L58" s="96" t="s">
        <v>164</v>
      </c>
      <c r="M58" s="97" t="s">
        <v>228</v>
      </c>
      <c r="N58" s="93" t="s">
        <v>229</v>
      </c>
      <c r="O58" s="95">
        <v>0.25</v>
      </c>
      <c r="P58" s="98">
        <v>44256</v>
      </c>
      <c r="Q58" s="98">
        <v>44469</v>
      </c>
      <c r="R58" s="99">
        <v>0</v>
      </c>
      <c r="S58" s="99">
        <v>0.9</v>
      </c>
      <c r="T58" s="99">
        <v>1</v>
      </c>
      <c r="U58" s="99">
        <v>1</v>
      </c>
      <c r="V58" s="90">
        <v>0</v>
      </c>
      <c r="W58" s="56" t="s">
        <v>37</v>
      </c>
      <c r="X58" s="100" t="s">
        <v>37</v>
      </c>
      <c r="Y58" s="5" t="str">
        <f t="shared" si="10"/>
        <v>Sin iniciar</v>
      </c>
      <c r="Z58" s="5" t="str">
        <f t="shared" si="11"/>
        <v>Sin iniciar</v>
      </c>
      <c r="AA58" s="703"/>
      <c r="AB58" s="604"/>
      <c r="AC58" s="597"/>
      <c r="AD58" s="610"/>
      <c r="AE58" s="610"/>
      <c r="AF58" s="101"/>
      <c r="AG58" s="704"/>
      <c r="AH58" s="704"/>
      <c r="AI58" s="704"/>
      <c r="AJ58" s="704"/>
      <c r="AK58" s="704"/>
      <c r="AL58" s="704"/>
      <c r="AM58" s="705"/>
      <c r="AN58" s="707"/>
      <c r="AO58" s="705"/>
      <c r="AP58" s="705"/>
      <c r="AQ58" s="705"/>
      <c r="AR58" s="1163">
        <v>0.9</v>
      </c>
      <c r="AS58" s="13" t="s">
        <v>342</v>
      </c>
      <c r="AT58" s="104" t="s">
        <v>2890</v>
      </c>
      <c r="AU58" s="56" t="str">
        <f t="shared" si="12"/>
        <v>En gestión</v>
      </c>
      <c r="AV58" s="56" t="str">
        <f t="shared" si="13"/>
        <v>En gestión</v>
      </c>
      <c r="AW58" s="705"/>
      <c r="AX58" s="706"/>
      <c r="AY58" s="600"/>
      <c r="AZ58" s="536"/>
      <c r="BA58" s="536"/>
      <c r="BB58" s="103" t="s">
        <v>357</v>
      </c>
      <c r="BC58" s="703"/>
      <c r="BD58" s="704"/>
      <c r="BE58" s="704"/>
      <c r="BF58" s="704"/>
      <c r="BG58" s="704"/>
      <c r="BH58" s="704"/>
      <c r="BI58" s="704"/>
      <c r="BJ58" s="705"/>
      <c r="BK58" s="707"/>
      <c r="BL58" s="705"/>
      <c r="BM58" s="703"/>
      <c r="BN58" s="703"/>
      <c r="BO58" s="347">
        <v>0.9</v>
      </c>
      <c r="BP58" s="13" t="s">
        <v>2891</v>
      </c>
      <c r="BQ58" s="12" t="s">
        <v>2886</v>
      </c>
      <c r="BR58" s="5" t="str">
        <f t="shared" si="16"/>
        <v>Terminado</v>
      </c>
      <c r="BS58" s="5" t="str">
        <f t="shared" si="15"/>
        <v>En gestión</v>
      </c>
      <c r="BT58" s="581"/>
      <c r="BU58" s="714"/>
      <c r="BV58" s="562"/>
      <c r="BW58" s="610"/>
      <c r="BX58" s="610"/>
      <c r="BY58" s="11" t="s">
        <v>2892</v>
      </c>
      <c r="BZ58" s="703"/>
      <c r="CA58" s="704"/>
      <c r="CB58" s="704"/>
      <c r="CC58" s="704"/>
      <c r="CD58" s="704"/>
      <c r="CE58" s="704"/>
      <c r="CF58" s="704"/>
      <c r="CG58" s="705"/>
      <c r="CH58" s="705"/>
      <c r="CI58" s="705"/>
      <c r="CJ58" s="703"/>
    </row>
    <row r="59" spans="2:88" ht="171.95" customHeight="1" x14ac:dyDescent="0.25">
      <c r="B59" s="1224"/>
      <c r="C59" s="700"/>
      <c r="D59" s="95" t="s">
        <v>159</v>
      </c>
      <c r="E59" s="95" t="s">
        <v>26</v>
      </c>
      <c r="F59" s="701"/>
      <c r="G59" s="95" t="s">
        <v>28</v>
      </c>
      <c r="H59" s="95" t="s">
        <v>28</v>
      </c>
      <c r="I59" s="95" t="s">
        <v>222</v>
      </c>
      <c r="J59" s="95" t="s">
        <v>47</v>
      </c>
      <c r="K59" s="702"/>
      <c r="L59" s="96" t="s">
        <v>164</v>
      </c>
      <c r="M59" s="97" t="s">
        <v>230</v>
      </c>
      <c r="N59" s="93" t="s">
        <v>231</v>
      </c>
      <c r="O59" s="95">
        <v>0.25</v>
      </c>
      <c r="P59" s="98">
        <v>44206</v>
      </c>
      <c r="Q59" s="98">
        <v>44560</v>
      </c>
      <c r="R59" s="99">
        <v>0</v>
      </c>
      <c r="S59" s="99">
        <v>0.1</v>
      </c>
      <c r="T59" s="99">
        <v>0.2</v>
      </c>
      <c r="U59" s="99">
        <v>1</v>
      </c>
      <c r="V59" s="90">
        <v>0</v>
      </c>
      <c r="W59" s="56" t="s">
        <v>37</v>
      </c>
      <c r="X59" s="100" t="s">
        <v>37</v>
      </c>
      <c r="Y59" s="5" t="str">
        <f t="shared" si="10"/>
        <v>Sin iniciar</v>
      </c>
      <c r="Z59" s="5" t="str">
        <f t="shared" si="11"/>
        <v>Sin iniciar</v>
      </c>
      <c r="AA59" s="703"/>
      <c r="AB59" s="604"/>
      <c r="AC59" s="597"/>
      <c r="AD59" s="610"/>
      <c r="AE59" s="610"/>
      <c r="AF59" s="101"/>
      <c r="AG59" s="704"/>
      <c r="AH59" s="704"/>
      <c r="AI59" s="704"/>
      <c r="AJ59" s="704"/>
      <c r="AK59" s="704"/>
      <c r="AL59" s="704"/>
      <c r="AM59" s="705"/>
      <c r="AN59" s="707"/>
      <c r="AO59" s="705"/>
      <c r="AP59" s="705"/>
      <c r="AQ59" s="705"/>
      <c r="AR59" s="1163">
        <v>0.1</v>
      </c>
      <c r="AS59" s="13" t="s">
        <v>343</v>
      </c>
      <c r="AT59" s="102" t="s">
        <v>2893</v>
      </c>
      <c r="AU59" s="56" t="str">
        <f t="shared" si="12"/>
        <v>En gestión</v>
      </c>
      <c r="AV59" s="56" t="str">
        <f t="shared" si="13"/>
        <v>En gestión</v>
      </c>
      <c r="AW59" s="705"/>
      <c r="AX59" s="706"/>
      <c r="AY59" s="600"/>
      <c r="AZ59" s="536"/>
      <c r="BA59" s="536"/>
      <c r="BB59" s="101"/>
      <c r="BC59" s="703"/>
      <c r="BD59" s="704"/>
      <c r="BE59" s="704"/>
      <c r="BF59" s="704"/>
      <c r="BG59" s="704"/>
      <c r="BH59" s="704"/>
      <c r="BI59" s="704"/>
      <c r="BJ59" s="705"/>
      <c r="BK59" s="707"/>
      <c r="BL59" s="705"/>
      <c r="BM59" s="703"/>
      <c r="BN59" s="703"/>
      <c r="BO59" s="347">
        <v>0.2</v>
      </c>
      <c r="BP59" s="13" t="s">
        <v>2894</v>
      </c>
      <c r="BQ59" s="12" t="s">
        <v>2886</v>
      </c>
      <c r="BR59" s="5" t="str">
        <f t="shared" si="16"/>
        <v>En gestión</v>
      </c>
      <c r="BS59" s="5" t="str">
        <f t="shared" si="15"/>
        <v>En gestión</v>
      </c>
      <c r="BT59" s="581"/>
      <c r="BU59" s="714"/>
      <c r="BV59" s="562"/>
      <c r="BW59" s="610"/>
      <c r="BX59" s="610"/>
      <c r="BY59" s="12" t="s">
        <v>37</v>
      </c>
      <c r="BZ59" s="703"/>
      <c r="CA59" s="704"/>
      <c r="CB59" s="704"/>
      <c r="CC59" s="704"/>
      <c r="CD59" s="704"/>
      <c r="CE59" s="704"/>
      <c r="CF59" s="704"/>
      <c r="CG59" s="705"/>
      <c r="CH59" s="705"/>
      <c r="CI59" s="705"/>
      <c r="CJ59" s="703"/>
    </row>
    <row r="60" spans="2:88" ht="171.95" customHeight="1" x14ac:dyDescent="0.25">
      <c r="B60" s="1224"/>
      <c r="C60" s="710" t="s">
        <v>232</v>
      </c>
      <c r="D60" s="105" t="s">
        <v>233</v>
      </c>
      <c r="E60" s="105" t="s">
        <v>26</v>
      </c>
      <c r="F60" s="711" t="s">
        <v>234</v>
      </c>
      <c r="G60" s="105" t="s">
        <v>235</v>
      </c>
      <c r="H60" s="105" t="s">
        <v>28</v>
      </c>
      <c r="I60" s="105" t="s">
        <v>222</v>
      </c>
      <c r="J60" s="105" t="s">
        <v>47</v>
      </c>
      <c r="K60" s="712" t="s">
        <v>2895</v>
      </c>
      <c r="L60" s="106" t="s">
        <v>164</v>
      </c>
      <c r="M60" s="107" t="s">
        <v>236</v>
      </c>
      <c r="N60" s="108" t="s">
        <v>2896</v>
      </c>
      <c r="O60" s="105">
        <v>0.3</v>
      </c>
      <c r="P60" s="109">
        <v>44440</v>
      </c>
      <c r="Q60" s="109">
        <v>44560</v>
      </c>
      <c r="R60" s="110">
        <v>0</v>
      </c>
      <c r="S60" s="110">
        <v>0</v>
      </c>
      <c r="T60" s="110">
        <v>0</v>
      </c>
      <c r="U60" s="110">
        <v>1</v>
      </c>
      <c r="V60" s="90">
        <v>0</v>
      </c>
      <c r="W60" s="66" t="s">
        <v>37</v>
      </c>
      <c r="X60" s="111" t="s">
        <v>37</v>
      </c>
      <c r="Y60" s="19" t="str">
        <f t="shared" si="10"/>
        <v>Sin iniciar</v>
      </c>
      <c r="Z60" s="19" t="str">
        <f t="shared" si="11"/>
        <v>Sin iniciar</v>
      </c>
      <c r="AA60" s="713" t="s">
        <v>179</v>
      </c>
      <c r="AB60" s="596">
        <f>SUMPRODUCT(O60:O61,V60:V61)</f>
        <v>0</v>
      </c>
      <c r="AC60" s="597">
        <f>SUMPRODUCT(O60:O61,R60:R61)</f>
        <v>0</v>
      </c>
      <c r="AD60" s="611" t="str">
        <f>IF(AC60&lt;1%,"Sin iniciar",IF(AC60=100%,"Terminado","En gestión"))</f>
        <v>Sin iniciar</v>
      </c>
      <c r="AE60" s="611" t="str">
        <f>IF(AB60&lt;1%,"Sin iniciar",IF(AB60=100%,"Terminado","En gestión"))</f>
        <v>Sin iniciar</v>
      </c>
      <c r="AF60" s="112"/>
      <c r="AG60" s="715">
        <v>53571789</v>
      </c>
      <c r="AH60" s="715">
        <v>37290313.799999997</v>
      </c>
      <c r="AI60" s="715">
        <v>9322578.4499999993</v>
      </c>
      <c r="AJ60" s="715">
        <v>53721600</v>
      </c>
      <c r="AK60" s="715">
        <v>38284960</v>
      </c>
      <c r="AL60" s="715">
        <v>9571240</v>
      </c>
      <c r="AM60" s="716" t="s">
        <v>2460</v>
      </c>
      <c r="AN60" s="716" t="s">
        <v>2461</v>
      </c>
      <c r="AO60" s="716" t="s">
        <v>2462</v>
      </c>
      <c r="AP60" s="717" t="s">
        <v>2463</v>
      </c>
      <c r="AQ60" s="590">
        <f>+AK60</f>
        <v>38284960</v>
      </c>
      <c r="AR60" s="1163">
        <v>0</v>
      </c>
      <c r="AS60" s="62" t="s">
        <v>2437</v>
      </c>
      <c r="AT60" s="113"/>
      <c r="AU60" s="66" t="str">
        <f t="shared" si="12"/>
        <v>Sin iniciar</v>
      </c>
      <c r="AV60" s="66" t="str">
        <f t="shared" si="13"/>
        <v>Sin iniciar</v>
      </c>
      <c r="AW60" s="713" t="s">
        <v>2437</v>
      </c>
      <c r="AX60" s="599">
        <f>SUMPRODUCT(O60:O61,AR60:AR61)</f>
        <v>0</v>
      </c>
      <c r="AY60" s="600">
        <f>SUMPRODUCT(S60:S61,O60:O61)</f>
        <v>0</v>
      </c>
      <c r="AZ60" s="530" t="str">
        <f>IF(AY60&lt;1%,"Sin iniciar",IF(AY60=100%,"Terminado","En gestión"))</f>
        <v>Sin iniciar</v>
      </c>
      <c r="BA60" s="530" t="str">
        <f>IF(AX60&lt;1%,"Sin iniciar",IF(AX60=100%,"Terminado","En gestión"))</f>
        <v>Sin iniciar</v>
      </c>
      <c r="BB60" s="112"/>
      <c r="BC60" s="713" t="s">
        <v>359</v>
      </c>
      <c r="BD60" s="715">
        <v>37290313.799999997</v>
      </c>
      <c r="BE60" s="715">
        <v>0</v>
      </c>
      <c r="BF60" s="715">
        <v>0</v>
      </c>
      <c r="BG60" s="715">
        <v>53721600</v>
      </c>
      <c r="BH60" s="715">
        <v>53721600</v>
      </c>
      <c r="BI60" s="715">
        <v>0</v>
      </c>
      <c r="BJ60" s="716" t="s">
        <v>2460</v>
      </c>
      <c r="BK60" s="719" t="s">
        <v>2461</v>
      </c>
      <c r="BL60" s="716" t="s">
        <v>2462</v>
      </c>
      <c r="BM60" s="717" t="s">
        <v>2463</v>
      </c>
      <c r="BN60" s="717" t="s">
        <v>2530</v>
      </c>
      <c r="BO60" s="347">
        <v>0</v>
      </c>
      <c r="BP60" s="25" t="s">
        <v>2897</v>
      </c>
      <c r="BQ60" s="25" t="s">
        <v>2897</v>
      </c>
      <c r="BR60" s="19" t="str">
        <f t="shared" si="16"/>
        <v>Sin iniciar</v>
      </c>
      <c r="BS60" s="19" t="str">
        <f t="shared" si="15"/>
        <v>Sin iniciar</v>
      </c>
      <c r="BT60" s="578" t="s">
        <v>2897</v>
      </c>
      <c r="BU60" s="561">
        <f>SUMPRODUCT(O60:O61,BO60:BO61)</f>
        <v>0</v>
      </c>
      <c r="BV60" s="562">
        <f>SUMPRODUCT(O60:O61,T60:T61)</f>
        <v>0</v>
      </c>
      <c r="BW60" s="611" t="str">
        <f>IF(BV60&lt;1%,"Sin iniciar",IF(BV60=100%,"Terminado","En gestión"))</f>
        <v>Sin iniciar</v>
      </c>
      <c r="BX60" s="611" t="str">
        <f>IF(BU60&lt;1%,"Sin iniciar",IF(BU60=100%,"Terminado","En gestión"))</f>
        <v>Sin iniciar</v>
      </c>
      <c r="BY60" s="578" t="s">
        <v>37</v>
      </c>
      <c r="BZ60" s="713" t="s">
        <v>358</v>
      </c>
      <c r="CA60" s="715">
        <v>37290313.799999997</v>
      </c>
      <c r="CB60" s="715">
        <v>0</v>
      </c>
      <c r="CC60" s="715">
        <v>0</v>
      </c>
      <c r="CD60" s="715">
        <v>53721600</v>
      </c>
      <c r="CE60" s="715">
        <v>38591560</v>
      </c>
      <c r="CF60" s="715">
        <v>0</v>
      </c>
      <c r="CG60" s="716" t="s">
        <v>2460</v>
      </c>
      <c r="CH60" s="716" t="s">
        <v>2462</v>
      </c>
      <c r="CI60" s="718" t="s">
        <v>2463</v>
      </c>
      <c r="CJ60" s="717" t="s">
        <v>2530</v>
      </c>
    </row>
    <row r="61" spans="2:88" ht="171.95" customHeight="1" x14ac:dyDescent="0.25">
      <c r="B61" s="1224"/>
      <c r="C61" s="710"/>
      <c r="D61" s="105" t="s">
        <v>233</v>
      </c>
      <c r="E61" s="105" t="s">
        <v>26</v>
      </c>
      <c r="F61" s="711"/>
      <c r="G61" s="105" t="s">
        <v>235</v>
      </c>
      <c r="H61" s="105" t="s">
        <v>28</v>
      </c>
      <c r="I61" s="105" t="s">
        <v>222</v>
      </c>
      <c r="J61" s="105" t="s">
        <v>47</v>
      </c>
      <c r="K61" s="712"/>
      <c r="L61" s="106" t="s">
        <v>164</v>
      </c>
      <c r="M61" s="107" t="s">
        <v>237</v>
      </c>
      <c r="N61" s="108" t="s">
        <v>2898</v>
      </c>
      <c r="O61" s="105">
        <v>0.7</v>
      </c>
      <c r="P61" s="109">
        <v>44470</v>
      </c>
      <c r="Q61" s="109">
        <v>44560</v>
      </c>
      <c r="R61" s="110">
        <v>0</v>
      </c>
      <c r="S61" s="110">
        <v>0</v>
      </c>
      <c r="T61" s="110">
        <v>0</v>
      </c>
      <c r="U61" s="110">
        <v>1</v>
      </c>
      <c r="V61" s="90">
        <v>0</v>
      </c>
      <c r="W61" s="66" t="s">
        <v>37</v>
      </c>
      <c r="X61" s="111" t="s">
        <v>37</v>
      </c>
      <c r="Y61" s="19" t="str">
        <f t="shared" si="10"/>
        <v>Sin iniciar</v>
      </c>
      <c r="Z61" s="19" t="str">
        <f t="shared" si="11"/>
        <v>Sin iniciar</v>
      </c>
      <c r="AA61" s="713"/>
      <c r="AB61" s="596"/>
      <c r="AC61" s="597"/>
      <c r="AD61" s="611"/>
      <c r="AE61" s="611"/>
      <c r="AF61" s="112"/>
      <c r="AG61" s="715"/>
      <c r="AH61" s="715"/>
      <c r="AI61" s="715"/>
      <c r="AJ61" s="715"/>
      <c r="AK61" s="715"/>
      <c r="AL61" s="715"/>
      <c r="AM61" s="716"/>
      <c r="AN61" s="716"/>
      <c r="AO61" s="716"/>
      <c r="AP61" s="717"/>
      <c r="AQ61" s="530"/>
      <c r="AR61" s="1163">
        <v>0</v>
      </c>
      <c r="AS61" s="62" t="s">
        <v>2437</v>
      </c>
      <c r="AT61" s="113"/>
      <c r="AU61" s="66" t="str">
        <f t="shared" si="12"/>
        <v>Sin iniciar</v>
      </c>
      <c r="AV61" s="66" t="str">
        <f t="shared" si="13"/>
        <v>Sin iniciar</v>
      </c>
      <c r="AW61" s="713"/>
      <c r="AX61" s="599"/>
      <c r="AY61" s="600"/>
      <c r="AZ61" s="530"/>
      <c r="BA61" s="530"/>
      <c r="BB61" s="112"/>
      <c r="BC61" s="713"/>
      <c r="BD61" s="715"/>
      <c r="BE61" s="715"/>
      <c r="BF61" s="715"/>
      <c r="BG61" s="715"/>
      <c r="BH61" s="715"/>
      <c r="BI61" s="715"/>
      <c r="BJ61" s="716"/>
      <c r="BK61" s="719"/>
      <c r="BL61" s="716"/>
      <c r="BM61" s="713"/>
      <c r="BN61" s="713"/>
      <c r="BO61" s="347">
        <v>0</v>
      </c>
      <c r="BP61" s="25" t="s">
        <v>2897</v>
      </c>
      <c r="BQ61" s="25" t="s">
        <v>2897</v>
      </c>
      <c r="BR61" s="19" t="str">
        <f t="shared" si="16"/>
        <v>Sin iniciar</v>
      </c>
      <c r="BS61" s="19" t="str">
        <f t="shared" si="15"/>
        <v>Sin iniciar</v>
      </c>
      <c r="BT61" s="578"/>
      <c r="BU61" s="561"/>
      <c r="BV61" s="562"/>
      <c r="BW61" s="611"/>
      <c r="BX61" s="611"/>
      <c r="BY61" s="578"/>
      <c r="BZ61" s="713"/>
      <c r="CA61" s="715"/>
      <c r="CB61" s="715"/>
      <c r="CC61" s="715"/>
      <c r="CD61" s="715"/>
      <c r="CE61" s="715"/>
      <c r="CF61" s="715"/>
      <c r="CG61" s="716"/>
      <c r="CH61" s="716"/>
      <c r="CI61" s="716"/>
      <c r="CJ61" s="713"/>
    </row>
    <row r="62" spans="2:88" ht="171.95" customHeight="1" x14ac:dyDescent="0.25">
      <c r="B62" s="1224"/>
      <c r="C62" s="700" t="s">
        <v>238</v>
      </c>
      <c r="D62" s="95" t="s">
        <v>159</v>
      </c>
      <c r="E62" s="95" t="s">
        <v>26</v>
      </c>
      <c r="F62" s="701" t="s">
        <v>239</v>
      </c>
      <c r="G62" s="95" t="s">
        <v>28</v>
      </c>
      <c r="H62" s="95" t="s">
        <v>28</v>
      </c>
      <c r="I62" s="95" t="s">
        <v>222</v>
      </c>
      <c r="J62" s="95" t="s">
        <v>47</v>
      </c>
      <c r="K62" s="702" t="s">
        <v>240</v>
      </c>
      <c r="L62" s="96" t="s">
        <v>187</v>
      </c>
      <c r="M62" s="97" t="s">
        <v>241</v>
      </c>
      <c r="N62" s="93" t="s">
        <v>243</v>
      </c>
      <c r="O62" s="95">
        <v>0.2</v>
      </c>
      <c r="P62" s="98">
        <v>44256</v>
      </c>
      <c r="Q62" s="98">
        <v>44286</v>
      </c>
      <c r="R62" s="99">
        <v>1</v>
      </c>
      <c r="S62" s="99">
        <v>1</v>
      </c>
      <c r="T62" s="99">
        <v>1</v>
      </c>
      <c r="U62" s="99">
        <v>1</v>
      </c>
      <c r="V62" s="90">
        <v>1</v>
      </c>
      <c r="W62" s="13" t="s">
        <v>244</v>
      </c>
      <c r="X62" s="100" t="s">
        <v>2899</v>
      </c>
      <c r="Y62" s="5" t="str">
        <f t="shared" si="10"/>
        <v>Terminado</v>
      </c>
      <c r="Z62" s="5" t="str">
        <f t="shared" si="11"/>
        <v>Terminado</v>
      </c>
      <c r="AA62" s="705" t="s">
        <v>335</v>
      </c>
      <c r="AB62" s="604">
        <v>0.15</v>
      </c>
      <c r="AC62" s="597">
        <v>0.15</v>
      </c>
      <c r="AD62" s="610" t="str">
        <f t="shared" ref="AD62" si="17">IF(AC62&lt;1%,"Sin iniciar",IF(AC62=100%,"Terminado","En gestión"))</f>
        <v>En gestión</v>
      </c>
      <c r="AE62" s="610" t="str">
        <f t="shared" ref="AE62" si="18">IF(AB62&lt;1%,"Sin iniciar",IF(AB62=100%,"Terminado","En gestión"))</f>
        <v>En gestión</v>
      </c>
      <c r="AF62" s="101"/>
      <c r="AG62" s="704">
        <v>54993352.200000003</v>
      </c>
      <c r="AH62" s="704">
        <v>34318331</v>
      </c>
      <c r="AI62" s="704">
        <v>8579582.8499999996</v>
      </c>
      <c r="AJ62" s="704">
        <v>92044500</v>
      </c>
      <c r="AK62" s="704">
        <v>99461200</v>
      </c>
      <c r="AL62" s="704">
        <v>24865300</v>
      </c>
      <c r="AM62" s="705" t="s">
        <v>2460</v>
      </c>
      <c r="AN62" s="705" t="s">
        <v>2461</v>
      </c>
      <c r="AO62" s="705" t="s">
        <v>2462</v>
      </c>
      <c r="AP62" s="703" t="s">
        <v>2463</v>
      </c>
      <c r="AQ62" s="720">
        <f>+AK62</f>
        <v>99461200</v>
      </c>
      <c r="AR62" s="1163">
        <v>1</v>
      </c>
      <c r="AS62" s="13" t="s">
        <v>2434</v>
      </c>
      <c r="AT62" s="114" t="s">
        <v>2900</v>
      </c>
      <c r="AU62" s="56" t="str">
        <f t="shared" si="12"/>
        <v>Terminado</v>
      </c>
      <c r="AV62" s="56" t="str">
        <f t="shared" si="13"/>
        <v>Terminado</v>
      </c>
      <c r="AW62" s="705" t="s">
        <v>360</v>
      </c>
      <c r="AX62" s="706">
        <v>0.45</v>
      </c>
      <c r="AY62" s="600">
        <v>0.45</v>
      </c>
      <c r="AZ62" s="536" t="str">
        <f>IF(AY62&lt;1%,"Sin iniciar",IF(AY62=100%,"Terminado","En gestión"))</f>
        <v>En gestión</v>
      </c>
      <c r="BA62" s="536" t="str">
        <f>IF(AX62&lt;1%,"Sin iniciar",IF(AX62=100%,"Terminado","En gestión"))</f>
        <v>En gestión</v>
      </c>
      <c r="BB62" s="101"/>
      <c r="BC62" s="703" t="s">
        <v>358</v>
      </c>
      <c r="BD62" s="704">
        <v>34318331</v>
      </c>
      <c r="BE62" s="704">
        <v>47910904.799999997</v>
      </c>
      <c r="BF62" s="704">
        <v>23955452.399999999</v>
      </c>
      <c r="BG62" s="704">
        <v>92044500</v>
      </c>
      <c r="BH62" s="704">
        <v>96561200</v>
      </c>
      <c r="BI62" s="704">
        <v>48280600</v>
      </c>
      <c r="BJ62" s="705" t="s">
        <v>2460</v>
      </c>
      <c r="BK62" s="707" t="s">
        <v>2461</v>
      </c>
      <c r="BL62" s="707" t="s">
        <v>2462</v>
      </c>
      <c r="BM62" s="703" t="s">
        <v>2463</v>
      </c>
      <c r="BN62" s="703" t="s">
        <v>2530</v>
      </c>
      <c r="BO62" s="347">
        <v>1</v>
      </c>
      <c r="BP62" s="12" t="s">
        <v>2434</v>
      </c>
      <c r="BQ62" s="12" t="s">
        <v>2434</v>
      </c>
      <c r="BR62" s="5" t="str">
        <f t="shared" si="16"/>
        <v>Terminado</v>
      </c>
      <c r="BS62" s="5" t="str">
        <f t="shared" si="15"/>
        <v>Terminado</v>
      </c>
      <c r="BT62" s="581" t="s">
        <v>335</v>
      </c>
      <c r="BU62" s="714">
        <f>SUMPRODUCT(O62:O67,BO62:BO67)</f>
        <v>0.70000000000000007</v>
      </c>
      <c r="BV62" s="562">
        <f>SUMPRODUCT(O62:O67,T62:T67)</f>
        <v>0.70000000000000007</v>
      </c>
      <c r="BW62" s="610" t="str">
        <f>IF(BV62&lt;1%,"Sin iniciar",IF(BV62=100%,"Terminado","En gestión"))</f>
        <v>En gestión</v>
      </c>
      <c r="BX62" s="610" t="str">
        <f>IF(BU62&lt;1%,"Sin iniciar",IF(BU62=100%,"Terminado","En gestión"))</f>
        <v>En gestión</v>
      </c>
      <c r="BY62" s="573" t="s">
        <v>37</v>
      </c>
      <c r="BZ62" s="703" t="s">
        <v>358</v>
      </c>
      <c r="CA62" s="704">
        <v>34318331</v>
      </c>
      <c r="CB62" s="704">
        <v>47910905</v>
      </c>
      <c r="CC62" s="704">
        <v>35933179</v>
      </c>
      <c r="CD62" s="704">
        <v>92044500</v>
      </c>
      <c r="CE62" s="704">
        <v>94604400</v>
      </c>
      <c r="CF62" s="704">
        <v>73519800</v>
      </c>
      <c r="CG62" s="705" t="s">
        <v>2460</v>
      </c>
      <c r="CH62" s="705" t="s">
        <v>2462</v>
      </c>
      <c r="CI62" s="705" t="s">
        <v>2463</v>
      </c>
      <c r="CJ62" s="703" t="s">
        <v>2530</v>
      </c>
    </row>
    <row r="63" spans="2:88" ht="171.95" customHeight="1" x14ac:dyDescent="0.25">
      <c r="B63" s="1224"/>
      <c r="C63" s="700"/>
      <c r="D63" s="95" t="s">
        <v>159</v>
      </c>
      <c r="E63" s="95" t="s">
        <v>26</v>
      </c>
      <c r="F63" s="701"/>
      <c r="G63" s="95" t="s">
        <v>28</v>
      </c>
      <c r="H63" s="95" t="s">
        <v>28</v>
      </c>
      <c r="I63" s="95" t="s">
        <v>222</v>
      </c>
      <c r="J63" s="95" t="s">
        <v>47</v>
      </c>
      <c r="K63" s="702"/>
      <c r="L63" s="96" t="s">
        <v>187</v>
      </c>
      <c r="M63" s="97" t="s">
        <v>242</v>
      </c>
      <c r="N63" s="93" t="s">
        <v>246</v>
      </c>
      <c r="O63" s="95">
        <v>0.2</v>
      </c>
      <c r="P63" s="98">
        <v>44287</v>
      </c>
      <c r="Q63" s="98">
        <v>44347</v>
      </c>
      <c r="R63" s="99">
        <v>0</v>
      </c>
      <c r="S63" s="99">
        <v>1</v>
      </c>
      <c r="T63" s="99">
        <v>1</v>
      </c>
      <c r="U63" s="99">
        <v>1</v>
      </c>
      <c r="V63" s="90">
        <v>0</v>
      </c>
      <c r="W63" s="56" t="s">
        <v>37</v>
      </c>
      <c r="X63" s="100" t="s">
        <v>37</v>
      </c>
      <c r="Y63" s="5" t="str">
        <f t="shared" si="10"/>
        <v>Sin iniciar</v>
      </c>
      <c r="Z63" s="5" t="str">
        <f t="shared" si="11"/>
        <v>Sin iniciar</v>
      </c>
      <c r="AA63" s="705"/>
      <c r="AB63" s="604"/>
      <c r="AC63" s="597"/>
      <c r="AD63" s="610"/>
      <c r="AE63" s="610"/>
      <c r="AF63" s="101"/>
      <c r="AG63" s="704"/>
      <c r="AH63" s="704"/>
      <c r="AI63" s="704"/>
      <c r="AJ63" s="704"/>
      <c r="AK63" s="704"/>
      <c r="AL63" s="704"/>
      <c r="AM63" s="705"/>
      <c r="AN63" s="705"/>
      <c r="AO63" s="705"/>
      <c r="AP63" s="703"/>
      <c r="AQ63" s="703"/>
      <c r="AR63" s="1163">
        <v>1</v>
      </c>
      <c r="AS63" s="13" t="s">
        <v>344</v>
      </c>
      <c r="AT63" s="104" t="s">
        <v>2901</v>
      </c>
      <c r="AU63" s="56" t="str">
        <f t="shared" si="12"/>
        <v>Terminado</v>
      </c>
      <c r="AV63" s="56" t="str">
        <f t="shared" si="13"/>
        <v>Terminado</v>
      </c>
      <c r="AW63" s="705"/>
      <c r="AX63" s="706"/>
      <c r="AY63" s="600"/>
      <c r="AZ63" s="536"/>
      <c r="BA63" s="536"/>
      <c r="BB63" s="101"/>
      <c r="BC63" s="703"/>
      <c r="BD63" s="704"/>
      <c r="BE63" s="704"/>
      <c r="BF63" s="704"/>
      <c r="BG63" s="704"/>
      <c r="BH63" s="704"/>
      <c r="BI63" s="704"/>
      <c r="BJ63" s="705"/>
      <c r="BK63" s="707"/>
      <c r="BL63" s="707"/>
      <c r="BM63" s="703"/>
      <c r="BN63" s="703"/>
      <c r="BO63" s="347">
        <v>1</v>
      </c>
      <c r="BP63" s="12" t="s">
        <v>2875</v>
      </c>
      <c r="BQ63" s="12" t="s">
        <v>2875</v>
      </c>
      <c r="BR63" s="5" t="str">
        <f t="shared" si="16"/>
        <v>Terminado</v>
      </c>
      <c r="BS63" s="5" t="str">
        <f t="shared" si="15"/>
        <v>Terminado</v>
      </c>
      <c r="BT63" s="581"/>
      <c r="BU63" s="714"/>
      <c r="BV63" s="562"/>
      <c r="BW63" s="610"/>
      <c r="BX63" s="610"/>
      <c r="BY63" s="573"/>
      <c r="BZ63" s="703"/>
      <c r="CA63" s="704"/>
      <c r="CB63" s="704"/>
      <c r="CC63" s="704"/>
      <c r="CD63" s="704"/>
      <c r="CE63" s="704"/>
      <c r="CF63" s="704"/>
      <c r="CG63" s="705"/>
      <c r="CH63" s="705"/>
      <c r="CI63" s="705"/>
      <c r="CJ63" s="703"/>
    </row>
    <row r="64" spans="2:88" ht="171.95" customHeight="1" x14ac:dyDescent="0.25">
      <c r="B64" s="1224"/>
      <c r="C64" s="700"/>
      <c r="D64" s="95" t="s">
        <v>159</v>
      </c>
      <c r="E64" s="95" t="s">
        <v>26</v>
      </c>
      <c r="F64" s="701"/>
      <c r="G64" s="95" t="s">
        <v>28</v>
      </c>
      <c r="H64" s="95" t="s">
        <v>28</v>
      </c>
      <c r="I64" s="95" t="s">
        <v>222</v>
      </c>
      <c r="J64" s="95" t="s">
        <v>47</v>
      </c>
      <c r="K64" s="702"/>
      <c r="L64" s="96" t="s">
        <v>187</v>
      </c>
      <c r="M64" s="97" t="s">
        <v>245</v>
      </c>
      <c r="N64" s="93" t="s">
        <v>248</v>
      </c>
      <c r="O64" s="95">
        <v>0.2</v>
      </c>
      <c r="P64" s="98">
        <v>44319</v>
      </c>
      <c r="Q64" s="98">
        <v>44347</v>
      </c>
      <c r="R64" s="99">
        <v>0</v>
      </c>
      <c r="S64" s="99">
        <v>1</v>
      </c>
      <c r="T64" s="99">
        <v>1</v>
      </c>
      <c r="U64" s="99">
        <v>1</v>
      </c>
      <c r="V64" s="90">
        <v>0</v>
      </c>
      <c r="W64" s="56" t="s">
        <v>37</v>
      </c>
      <c r="X64" s="100" t="s">
        <v>37</v>
      </c>
      <c r="Y64" s="5" t="str">
        <f t="shared" si="10"/>
        <v>Sin iniciar</v>
      </c>
      <c r="Z64" s="5" t="str">
        <f t="shared" si="11"/>
        <v>Sin iniciar</v>
      </c>
      <c r="AA64" s="705"/>
      <c r="AB64" s="604"/>
      <c r="AC64" s="597"/>
      <c r="AD64" s="610"/>
      <c r="AE64" s="610"/>
      <c r="AF64" s="101"/>
      <c r="AG64" s="704"/>
      <c r="AH64" s="704"/>
      <c r="AI64" s="704"/>
      <c r="AJ64" s="704"/>
      <c r="AK64" s="704"/>
      <c r="AL64" s="704"/>
      <c r="AM64" s="705"/>
      <c r="AN64" s="705"/>
      <c r="AO64" s="705"/>
      <c r="AP64" s="703"/>
      <c r="AQ64" s="703"/>
      <c r="AR64" s="1163">
        <v>1</v>
      </c>
      <c r="AS64" s="13" t="s">
        <v>345</v>
      </c>
      <c r="AT64" s="104" t="s">
        <v>2902</v>
      </c>
      <c r="AU64" s="56" t="str">
        <f t="shared" si="12"/>
        <v>Terminado</v>
      </c>
      <c r="AV64" s="56" t="str">
        <f t="shared" si="13"/>
        <v>Terminado</v>
      </c>
      <c r="AW64" s="705"/>
      <c r="AX64" s="706"/>
      <c r="AY64" s="600"/>
      <c r="AZ64" s="536"/>
      <c r="BA64" s="536"/>
      <c r="BB64" s="103"/>
      <c r="BC64" s="703"/>
      <c r="BD64" s="704"/>
      <c r="BE64" s="704"/>
      <c r="BF64" s="704"/>
      <c r="BG64" s="704"/>
      <c r="BH64" s="704"/>
      <c r="BI64" s="704"/>
      <c r="BJ64" s="705"/>
      <c r="BK64" s="707"/>
      <c r="BL64" s="707"/>
      <c r="BM64" s="703"/>
      <c r="BN64" s="703"/>
      <c r="BO64" s="347">
        <v>1</v>
      </c>
      <c r="BP64" s="12" t="s">
        <v>2875</v>
      </c>
      <c r="BQ64" s="12" t="s">
        <v>2875</v>
      </c>
      <c r="BR64" s="5" t="str">
        <f t="shared" si="16"/>
        <v>Terminado</v>
      </c>
      <c r="BS64" s="5" t="str">
        <f t="shared" si="15"/>
        <v>Terminado</v>
      </c>
      <c r="BT64" s="581"/>
      <c r="BU64" s="714"/>
      <c r="BV64" s="562"/>
      <c r="BW64" s="610"/>
      <c r="BX64" s="610"/>
      <c r="BY64" s="573"/>
      <c r="BZ64" s="703"/>
      <c r="CA64" s="704"/>
      <c r="CB64" s="704"/>
      <c r="CC64" s="704"/>
      <c r="CD64" s="704"/>
      <c r="CE64" s="704"/>
      <c r="CF64" s="704"/>
      <c r="CG64" s="705"/>
      <c r="CH64" s="705"/>
      <c r="CI64" s="705"/>
      <c r="CJ64" s="703"/>
    </row>
    <row r="65" spans="2:88" ht="171.95" customHeight="1" x14ac:dyDescent="0.25">
      <c r="B65" s="1224"/>
      <c r="C65" s="700"/>
      <c r="D65" s="95" t="s">
        <v>159</v>
      </c>
      <c r="E65" s="95" t="s">
        <v>26</v>
      </c>
      <c r="F65" s="701"/>
      <c r="G65" s="95" t="s">
        <v>28</v>
      </c>
      <c r="H65" s="95" t="s">
        <v>28</v>
      </c>
      <c r="I65" s="95" t="s">
        <v>222</v>
      </c>
      <c r="J65" s="95" t="s">
        <v>47</v>
      </c>
      <c r="K65" s="702"/>
      <c r="L65" s="96" t="s">
        <v>187</v>
      </c>
      <c r="M65" s="97" t="s">
        <v>247</v>
      </c>
      <c r="N65" s="93" t="s">
        <v>250</v>
      </c>
      <c r="O65" s="95">
        <v>0.1</v>
      </c>
      <c r="P65" s="98">
        <v>44378</v>
      </c>
      <c r="Q65" s="98">
        <v>44439</v>
      </c>
      <c r="R65" s="99">
        <v>0</v>
      </c>
      <c r="S65" s="99">
        <v>0</v>
      </c>
      <c r="T65" s="99">
        <v>1</v>
      </c>
      <c r="U65" s="99">
        <v>1</v>
      </c>
      <c r="V65" s="90">
        <v>0</v>
      </c>
      <c r="W65" s="56" t="s">
        <v>37</v>
      </c>
      <c r="X65" s="100" t="s">
        <v>37</v>
      </c>
      <c r="Y65" s="5" t="str">
        <f t="shared" si="10"/>
        <v>Sin iniciar</v>
      </c>
      <c r="Z65" s="5" t="str">
        <f t="shared" si="11"/>
        <v>Sin iniciar</v>
      </c>
      <c r="AA65" s="705"/>
      <c r="AB65" s="604"/>
      <c r="AC65" s="597"/>
      <c r="AD65" s="610"/>
      <c r="AE65" s="610"/>
      <c r="AF65" s="101"/>
      <c r="AG65" s="704"/>
      <c r="AH65" s="704"/>
      <c r="AI65" s="704"/>
      <c r="AJ65" s="704"/>
      <c r="AK65" s="704"/>
      <c r="AL65" s="704"/>
      <c r="AM65" s="705"/>
      <c r="AN65" s="705"/>
      <c r="AO65" s="705"/>
      <c r="AP65" s="703"/>
      <c r="AQ65" s="703"/>
      <c r="AR65" s="1163">
        <v>0</v>
      </c>
      <c r="AS65" s="13" t="s">
        <v>2437</v>
      </c>
      <c r="AT65" s="114" t="s">
        <v>2437</v>
      </c>
      <c r="AU65" s="56" t="str">
        <f t="shared" si="12"/>
        <v>Sin iniciar</v>
      </c>
      <c r="AV65" s="56" t="str">
        <f t="shared" si="13"/>
        <v>Sin iniciar</v>
      </c>
      <c r="AW65" s="705"/>
      <c r="AX65" s="706"/>
      <c r="AY65" s="600"/>
      <c r="AZ65" s="536"/>
      <c r="BA65" s="536"/>
      <c r="BB65" s="101"/>
      <c r="BC65" s="703"/>
      <c r="BD65" s="704"/>
      <c r="BE65" s="704"/>
      <c r="BF65" s="704"/>
      <c r="BG65" s="704"/>
      <c r="BH65" s="704"/>
      <c r="BI65" s="704"/>
      <c r="BJ65" s="705"/>
      <c r="BK65" s="707"/>
      <c r="BL65" s="707"/>
      <c r="BM65" s="703"/>
      <c r="BN65" s="703"/>
      <c r="BO65" s="347">
        <v>1</v>
      </c>
      <c r="BP65" s="11" t="s">
        <v>2903</v>
      </c>
      <c r="BQ65" s="11" t="s">
        <v>2904</v>
      </c>
      <c r="BR65" s="5" t="str">
        <f t="shared" si="16"/>
        <v>Terminado</v>
      </c>
      <c r="BS65" s="5" t="str">
        <f t="shared" si="15"/>
        <v>Terminado</v>
      </c>
      <c r="BT65" s="581"/>
      <c r="BU65" s="714"/>
      <c r="BV65" s="562"/>
      <c r="BW65" s="610"/>
      <c r="BX65" s="610"/>
      <c r="BY65" s="573"/>
      <c r="BZ65" s="703"/>
      <c r="CA65" s="704"/>
      <c r="CB65" s="704"/>
      <c r="CC65" s="704"/>
      <c r="CD65" s="704"/>
      <c r="CE65" s="704"/>
      <c r="CF65" s="704"/>
      <c r="CG65" s="705"/>
      <c r="CH65" s="705"/>
      <c r="CI65" s="705"/>
      <c r="CJ65" s="703"/>
    </row>
    <row r="66" spans="2:88" ht="171.95" customHeight="1" x14ac:dyDescent="0.25">
      <c r="B66" s="1224"/>
      <c r="C66" s="700"/>
      <c r="D66" s="95" t="s">
        <v>159</v>
      </c>
      <c r="E66" s="95" t="s">
        <v>26</v>
      </c>
      <c r="F66" s="701"/>
      <c r="G66" s="95" t="s">
        <v>28</v>
      </c>
      <c r="H66" s="95" t="s">
        <v>28</v>
      </c>
      <c r="I66" s="95" t="s">
        <v>222</v>
      </c>
      <c r="J66" s="95" t="s">
        <v>47</v>
      </c>
      <c r="K66" s="702"/>
      <c r="L66" s="96" t="s">
        <v>187</v>
      </c>
      <c r="M66" s="97" t="s">
        <v>249</v>
      </c>
      <c r="N66" s="93" t="s">
        <v>252</v>
      </c>
      <c r="O66" s="95">
        <v>0.1</v>
      </c>
      <c r="P66" s="98">
        <v>44470</v>
      </c>
      <c r="Q66" s="98">
        <v>44531</v>
      </c>
      <c r="R66" s="99">
        <v>0</v>
      </c>
      <c r="S66" s="99">
        <v>0</v>
      </c>
      <c r="T66" s="99">
        <v>0</v>
      </c>
      <c r="U66" s="99">
        <v>1</v>
      </c>
      <c r="V66" s="90">
        <v>0</v>
      </c>
      <c r="W66" s="56" t="s">
        <v>37</v>
      </c>
      <c r="X66" s="100" t="s">
        <v>37</v>
      </c>
      <c r="Y66" s="5" t="str">
        <f t="shared" si="10"/>
        <v>Sin iniciar</v>
      </c>
      <c r="Z66" s="5" t="str">
        <f t="shared" si="11"/>
        <v>Sin iniciar</v>
      </c>
      <c r="AA66" s="705"/>
      <c r="AB66" s="604"/>
      <c r="AC66" s="597"/>
      <c r="AD66" s="610"/>
      <c r="AE66" s="610"/>
      <c r="AF66" s="101"/>
      <c r="AG66" s="704"/>
      <c r="AH66" s="704"/>
      <c r="AI66" s="704"/>
      <c r="AJ66" s="704"/>
      <c r="AK66" s="704"/>
      <c r="AL66" s="704"/>
      <c r="AM66" s="705"/>
      <c r="AN66" s="705"/>
      <c r="AO66" s="705"/>
      <c r="AP66" s="703"/>
      <c r="AQ66" s="703"/>
      <c r="AR66" s="1163">
        <v>0</v>
      </c>
      <c r="AS66" s="13" t="s">
        <v>2437</v>
      </c>
      <c r="AT66" s="114" t="s">
        <v>2437</v>
      </c>
      <c r="AU66" s="56" t="str">
        <f t="shared" si="12"/>
        <v>Sin iniciar</v>
      </c>
      <c r="AV66" s="56" t="str">
        <f t="shared" si="13"/>
        <v>Sin iniciar</v>
      </c>
      <c r="AW66" s="705"/>
      <c r="AX66" s="706"/>
      <c r="AY66" s="600"/>
      <c r="AZ66" s="536"/>
      <c r="BA66" s="536"/>
      <c r="BB66" s="101"/>
      <c r="BC66" s="703"/>
      <c r="BD66" s="704"/>
      <c r="BE66" s="704"/>
      <c r="BF66" s="704"/>
      <c r="BG66" s="704"/>
      <c r="BH66" s="704"/>
      <c r="BI66" s="704"/>
      <c r="BJ66" s="705"/>
      <c r="BK66" s="707"/>
      <c r="BL66" s="707"/>
      <c r="BM66" s="703"/>
      <c r="BN66" s="703"/>
      <c r="BO66" s="347">
        <v>0</v>
      </c>
      <c r="BP66" s="12" t="s">
        <v>2897</v>
      </c>
      <c r="BQ66" s="12" t="s">
        <v>2897</v>
      </c>
      <c r="BR66" s="5" t="str">
        <f t="shared" si="16"/>
        <v>Sin iniciar</v>
      </c>
      <c r="BS66" s="5" t="str">
        <f t="shared" si="15"/>
        <v>Sin iniciar</v>
      </c>
      <c r="BT66" s="581"/>
      <c r="BU66" s="714"/>
      <c r="BV66" s="562"/>
      <c r="BW66" s="610"/>
      <c r="BX66" s="610"/>
      <c r="BY66" s="573"/>
      <c r="BZ66" s="703"/>
      <c r="CA66" s="704"/>
      <c r="CB66" s="704"/>
      <c r="CC66" s="704"/>
      <c r="CD66" s="704"/>
      <c r="CE66" s="704"/>
      <c r="CF66" s="704"/>
      <c r="CG66" s="705"/>
      <c r="CH66" s="705"/>
      <c r="CI66" s="705"/>
      <c r="CJ66" s="703"/>
    </row>
    <row r="67" spans="2:88" ht="171.95" customHeight="1" x14ac:dyDescent="0.25">
      <c r="B67" s="1224"/>
      <c r="C67" s="700"/>
      <c r="D67" s="95" t="s">
        <v>159</v>
      </c>
      <c r="E67" s="95" t="s">
        <v>26</v>
      </c>
      <c r="F67" s="701"/>
      <c r="G67" s="95" t="s">
        <v>28</v>
      </c>
      <c r="H67" s="95" t="s">
        <v>28</v>
      </c>
      <c r="I67" s="95" t="s">
        <v>222</v>
      </c>
      <c r="J67" s="95" t="s">
        <v>47</v>
      </c>
      <c r="K67" s="702"/>
      <c r="L67" s="96" t="s">
        <v>187</v>
      </c>
      <c r="M67" s="97" t="s">
        <v>251</v>
      </c>
      <c r="N67" s="93" t="s">
        <v>253</v>
      </c>
      <c r="O67" s="95">
        <v>0.2</v>
      </c>
      <c r="P67" s="98">
        <v>44531</v>
      </c>
      <c r="Q67" s="98">
        <v>44561</v>
      </c>
      <c r="R67" s="99">
        <v>0</v>
      </c>
      <c r="S67" s="99">
        <v>0</v>
      </c>
      <c r="T67" s="99">
        <v>0</v>
      </c>
      <c r="U67" s="99">
        <v>1</v>
      </c>
      <c r="V67" s="90">
        <v>0</v>
      </c>
      <c r="W67" s="56" t="s">
        <v>37</v>
      </c>
      <c r="X67" s="100" t="s">
        <v>37</v>
      </c>
      <c r="Y67" s="5" t="str">
        <f t="shared" si="10"/>
        <v>Sin iniciar</v>
      </c>
      <c r="Z67" s="5" t="str">
        <f t="shared" si="11"/>
        <v>Sin iniciar</v>
      </c>
      <c r="AA67" s="705"/>
      <c r="AB67" s="604"/>
      <c r="AC67" s="597"/>
      <c r="AD67" s="610"/>
      <c r="AE67" s="610"/>
      <c r="AF67" s="101"/>
      <c r="AG67" s="704"/>
      <c r="AH67" s="704"/>
      <c r="AI67" s="704"/>
      <c r="AJ67" s="704"/>
      <c r="AK67" s="704"/>
      <c r="AL67" s="704"/>
      <c r="AM67" s="705"/>
      <c r="AN67" s="705"/>
      <c r="AO67" s="705"/>
      <c r="AP67" s="703"/>
      <c r="AQ67" s="703"/>
      <c r="AR67" s="1163">
        <v>0</v>
      </c>
      <c r="AS67" s="13" t="s">
        <v>2437</v>
      </c>
      <c r="AT67" s="102"/>
      <c r="AU67" s="56" t="str">
        <f t="shared" si="12"/>
        <v>Sin iniciar</v>
      </c>
      <c r="AV67" s="56" t="str">
        <f t="shared" si="13"/>
        <v>Sin iniciar</v>
      </c>
      <c r="AW67" s="705"/>
      <c r="AX67" s="706"/>
      <c r="AY67" s="600"/>
      <c r="AZ67" s="536"/>
      <c r="BA67" s="536"/>
      <c r="BB67" s="101"/>
      <c r="BC67" s="703"/>
      <c r="BD67" s="704"/>
      <c r="BE67" s="704"/>
      <c r="BF67" s="704"/>
      <c r="BG67" s="704"/>
      <c r="BH67" s="704"/>
      <c r="BI67" s="704"/>
      <c r="BJ67" s="705"/>
      <c r="BK67" s="707"/>
      <c r="BL67" s="707"/>
      <c r="BM67" s="703"/>
      <c r="BN67" s="703"/>
      <c r="BO67" s="347">
        <v>0</v>
      </c>
      <c r="BP67" s="12" t="s">
        <v>2897</v>
      </c>
      <c r="BQ67" s="12" t="s">
        <v>2897</v>
      </c>
      <c r="BR67" s="5" t="str">
        <f t="shared" si="16"/>
        <v>Sin iniciar</v>
      </c>
      <c r="BS67" s="5" t="str">
        <f t="shared" si="15"/>
        <v>Sin iniciar</v>
      </c>
      <c r="BT67" s="581"/>
      <c r="BU67" s="714"/>
      <c r="BV67" s="562"/>
      <c r="BW67" s="610"/>
      <c r="BX67" s="610"/>
      <c r="BY67" s="573"/>
      <c r="BZ67" s="703"/>
      <c r="CA67" s="704"/>
      <c r="CB67" s="704"/>
      <c r="CC67" s="704"/>
      <c r="CD67" s="704"/>
      <c r="CE67" s="704"/>
      <c r="CF67" s="704"/>
      <c r="CG67" s="705"/>
      <c r="CH67" s="705"/>
      <c r="CI67" s="705"/>
      <c r="CJ67" s="703"/>
    </row>
    <row r="68" spans="2:88" ht="171.95" customHeight="1" x14ac:dyDescent="0.25">
      <c r="B68" s="1224"/>
      <c r="C68" s="710" t="s">
        <v>254</v>
      </c>
      <c r="D68" s="105" t="s">
        <v>159</v>
      </c>
      <c r="E68" s="105" t="s">
        <v>26</v>
      </c>
      <c r="F68" s="711" t="s">
        <v>255</v>
      </c>
      <c r="G68" s="105" t="s">
        <v>28</v>
      </c>
      <c r="H68" s="105" t="s">
        <v>28</v>
      </c>
      <c r="I68" s="105" t="s">
        <v>222</v>
      </c>
      <c r="J68" s="105" t="s">
        <v>47</v>
      </c>
      <c r="K68" s="712" t="s">
        <v>256</v>
      </c>
      <c r="L68" s="106" t="s">
        <v>164</v>
      </c>
      <c r="M68" s="107" t="s">
        <v>257</v>
      </c>
      <c r="N68" s="108" t="s">
        <v>258</v>
      </c>
      <c r="O68" s="105">
        <v>0.2</v>
      </c>
      <c r="P68" s="109">
        <v>44211</v>
      </c>
      <c r="Q68" s="109">
        <v>44270</v>
      </c>
      <c r="R68" s="110">
        <v>1</v>
      </c>
      <c r="S68" s="110">
        <v>1</v>
      </c>
      <c r="T68" s="110">
        <v>1</v>
      </c>
      <c r="U68" s="110">
        <v>1</v>
      </c>
      <c r="V68" s="90">
        <v>1</v>
      </c>
      <c r="W68" s="62" t="s">
        <v>259</v>
      </c>
      <c r="X68" s="115" t="s">
        <v>2905</v>
      </c>
      <c r="Y68" s="19" t="str">
        <f t="shared" si="10"/>
        <v>Terminado</v>
      </c>
      <c r="Z68" s="19" t="str">
        <f t="shared" si="11"/>
        <v>Terminado</v>
      </c>
      <c r="AA68" s="716" t="s">
        <v>259</v>
      </c>
      <c r="AB68" s="596">
        <f>SUMPRODUCT(O68:O70,V68:V70)</f>
        <v>0.60000000000000009</v>
      </c>
      <c r="AC68" s="597">
        <f>SUMPRODUCT(O68:O70,R68:R70)</f>
        <v>0.60000000000000009</v>
      </c>
      <c r="AD68" s="611" t="str">
        <f>IF(AC68&lt;1%,"Sin iniciar",IF(AC68=100%,"Terminado","En gestión"))</f>
        <v>En gestión</v>
      </c>
      <c r="AE68" s="611" t="str">
        <f>IF(AB68&lt;1%,"Sin iniciar",IF(AB68=100%,"Terminado","En gestión"))</f>
        <v>En gestión</v>
      </c>
      <c r="AF68" s="112"/>
      <c r="AG68" s="715">
        <v>19329563.399999999</v>
      </c>
      <c r="AH68" s="715">
        <v>16486437</v>
      </c>
      <c r="AI68" s="715">
        <v>4121609.25</v>
      </c>
      <c r="AJ68" s="715">
        <v>30523300</v>
      </c>
      <c r="AK68" s="715">
        <v>45437480</v>
      </c>
      <c r="AL68" s="715">
        <v>11359370</v>
      </c>
      <c r="AM68" s="716" t="s">
        <v>2460</v>
      </c>
      <c r="AN68" s="716" t="s">
        <v>2461</v>
      </c>
      <c r="AO68" s="716" t="s">
        <v>2462</v>
      </c>
      <c r="AP68" s="717" t="s">
        <v>2463</v>
      </c>
      <c r="AQ68" s="717">
        <f>+AK68</f>
        <v>45437480</v>
      </c>
      <c r="AR68" s="1163">
        <v>1</v>
      </c>
      <c r="AS68" s="62" t="s">
        <v>2434</v>
      </c>
      <c r="AT68" s="116" t="s">
        <v>2900</v>
      </c>
      <c r="AU68" s="66" t="str">
        <f t="shared" si="12"/>
        <v>Terminado</v>
      </c>
      <c r="AV68" s="66" t="str">
        <f t="shared" si="13"/>
        <v>Terminado</v>
      </c>
      <c r="AW68" s="716" t="s">
        <v>361</v>
      </c>
      <c r="AX68" s="599">
        <f>SUMPRODUCT(O68:O70,AR68:AR70)</f>
        <v>0.76000000000000012</v>
      </c>
      <c r="AY68" s="600">
        <f>SUMPRODUCT(S68:S70,O68:O70)</f>
        <v>0.8</v>
      </c>
      <c r="AZ68" s="530" t="str">
        <f>IF(AY68&lt;1%,"Sin iniciar",IF(AY68=100%,"Terminado","En gestión"))</f>
        <v>En gestión</v>
      </c>
      <c r="BA68" s="530" t="str">
        <f>IF(AX68&lt;1%,"Sin iniciar",IF(AX68=100%,"Terminado","En gestión"))</f>
        <v>En gestión</v>
      </c>
      <c r="BB68" s="112"/>
      <c r="BC68" s="713" t="s">
        <v>358</v>
      </c>
      <c r="BD68" s="715">
        <v>16486437</v>
      </c>
      <c r="BE68" s="715">
        <v>18191080.800000001</v>
      </c>
      <c r="BF68" s="715">
        <v>9095540.4000000004</v>
      </c>
      <c r="BG68" s="715">
        <v>30523300</v>
      </c>
      <c r="BH68" s="715">
        <v>50437480</v>
      </c>
      <c r="BI68" s="715">
        <v>25218740</v>
      </c>
      <c r="BJ68" s="716" t="s">
        <v>2460</v>
      </c>
      <c r="BK68" s="719" t="s">
        <v>2461</v>
      </c>
      <c r="BL68" s="716" t="s">
        <v>2462</v>
      </c>
      <c r="BM68" s="717" t="s">
        <v>2463</v>
      </c>
      <c r="BN68" s="717" t="s">
        <v>2530</v>
      </c>
      <c r="BO68" s="347">
        <v>1</v>
      </c>
      <c r="BP68" s="62" t="s">
        <v>2434</v>
      </c>
      <c r="BQ68" s="62" t="s">
        <v>2434</v>
      </c>
      <c r="BR68" s="19" t="str">
        <f t="shared" si="16"/>
        <v>Terminado</v>
      </c>
      <c r="BS68" s="19" t="str">
        <f t="shared" si="15"/>
        <v>Terminado</v>
      </c>
      <c r="BT68" s="560" t="s">
        <v>2906</v>
      </c>
      <c r="BU68" s="561">
        <f>SUMPRODUCT(O68:O70,BO68:BO70)</f>
        <v>0.90000000000000013</v>
      </c>
      <c r="BV68" s="562">
        <f>SUMPRODUCT(O68:O70,T68:T70)</f>
        <v>0.90000000000000013</v>
      </c>
      <c r="BW68" s="611" t="str">
        <f>IF(BV68&lt;1%,"Sin iniciar",IF(BV68=100%,"Terminado","En gestión"))</f>
        <v>En gestión</v>
      </c>
      <c r="BX68" s="611" t="str">
        <f>IF(BU68&lt;1%,"Sin iniciar",IF(BU68=100%,"Terminado","En gestión"))</f>
        <v>En gestión</v>
      </c>
      <c r="BY68" s="578" t="s">
        <v>37</v>
      </c>
      <c r="BZ68" s="713" t="s">
        <v>358</v>
      </c>
      <c r="CA68" s="715">
        <v>16486437</v>
      </c>
      <c r="CB68" s="715">
        <v>18191080.800000001</v>
      </c>
      <c r="CC68" s="715">
        <v>13643311</v>
      </c>
      <c r="CD68" s="715">
        <v>30523300</v>
      </c>
      <c r="CE68" s="715">
        <v>42800560</v>
      </c>
      <c r="CF68" s="715">
        <v>35850420</v>
      </c>
      <c r="CG68" s="716" t="s">
        <v>2460</v>
      </c>
      <c r="CH68" s="716" t="s">
        <v>2462</v>
      </c>
      <c r="CI68" s="718" t="s">
        <v>2463</v>
      </c>
      <c r="CJ68" s="717" t="s">
        <v>2530</v>
      </c>
    </row>
    <row r="69" spans="2:88" ht="171.95" customHeight="1" x14ac:dyDescent="0.25">
      <c r="B69" s="1224"/>
      <c r="C69" s="710"/>
      <c r="D69" s="105" t="s">
        <v>159</v>
      </c>
      <c r="E69" s="105" t="s">
        <v>26</v>
      </c>
      <c r="F69" s="711"/>
      <c r="G69" s="105" t="s">
        <v>28</v>
      </c>
      <c r="H69" s="105" t="s">
        <v>28</v>
      </c>
      <c r="I69" s="105" t="s">
        <v>222</v>
      </c>
      <c r="J69" s="105" t="s">
        <v>47</v>
      </c>
      <c r="K69" s="712"/>
      <c r="L69" s="106" t="s">
        <v>164</v>
      </c>
      <c r="M69" s="107" t="s">
        <v>260</v>
      </c>
      <c r="N69" s="108" t="s">
        <v>261</v>
      </c>
      <c r="O69" s="105">
        <v>0.4</v>
      </c>
      <c r="P69" s="109">
        <v>44228</v>
      </c>
      <c r="Q69" s="109" t="s">
        <v>262</v>
      </c>
      <c r="R69" s="110">
        <v>1</v>
      </c>
      <c r="S69" s="110">
        <v>1</v>
      </c>
      <c r="T69" s="110">
        <v>1</v>
      </c>
      <c r="U69" s="110">
        <v>1</v>
      </c>
      <c r="V69" s="90">
        <v>1</v>
      </c>
      <c r="W69" s="62" t="s">
        <v>263</v>
      </c>
      <c r="X69" s="115" t="s">
        <v>2907</v>
      </c>
      <c r="Y69" s="19" t="str">
        <f t="shared" si="10"/>
        <v>Terminado</v>
      </c>
      <c r="Z69" s="19" t="str">
        <f t="shared" si="11"/>
        <v>Terminado</v>
      </c>
      <c r="AA69" s="716"/>
      <c r="AB69" s="596"/>
      <c r="AC69" s="597"/>
      <c r="AD69" s="611"/>
      <c r="AE69" s="611"/>
      <c r="AF69" s="112"/>
      <c r="AG69" s="715"/>
      <c r="AH69" s="715"/>
      <c r="AI69" s="715"/>
      <c r="AJ69" s="715"/>
      <c r="AK69" s="715"/>
      <c r="AL69" s="715"/>
      <c r="AM69" s="716"/>
      <c r="AN69" s="716"/>
      <c r="AO69" s="716"/>
      <c r="AP69" s="717"/>
      <c r="AQ69" s="717"/>
      <c r="AR69" s="1163">
        <v>1</v>
      </c>
      <c r="AS69" s="62" t="s">
        <v>2434</v>
      </c>
      <c r="AT69" s="116" t="s">
        <v>2900</v>
      </c>
      <c r="AU69" s="66" t="str">
        <f t="shared" si="12"/>
        <v>Terminado</v>
      </c>
      <c r="AV69" s="66" t="str">
        <f t="shared" si="13"/>
        <v>Terminado</v>
      </c>
      <c r="AW69" s="716"/>
      <c r="AX69" s="599"/>
      <c r="AY69" s="600"/>
      <c r="AZ69" s="530"/>
      <c r="BA69" s="530"/>
      <c r="BB69" s="112"/>
      <c r="BC69" s="713"/>
      <c r="BD69" s="715"/>
      <c r="BE69" s="715"/>
      <c r="BF69" s="715"/>
      <c r="BG69" s="715"/>
      <c r="BH69" s="715"/>
      <c r="BI69" s="715"/>
      <c r="BJ69" s="716"/>
      <c r="BK69" s="719"/>
      <c r="BL69" s="716"/>
      <c r="BM69" s="713"/>
      <c r="BN69" s="713"/>
      <c r="BO69" s="347">
        <v>1</v>
      </c>
      <c r="BP69" s="62" t="s">
        <v>2434</v>
      </c>
      <c r="BQ69" s="62" t="s">
        <v>2434</v>
      </c>
      <c r="BR69" s="19" t="str">
        <f t="shared" si="16"/>
        <v>Terminado</v>
      </c>
      <c r="BS69" s="19" t="str">
        <f t="shared" si="15"/>
        <v>Terminado</v>
      </c>
      <c r="BT69" s="560"/>
      <c r="BU69" s="561"/>
      <c r="BV69" s="562"/>
      <c r="BW69" s="611"/>
      <c r="BX69" s="611"/>
      <c r="BY69" s="578"/>
      <c r="BZ69" s="713"/>
      <c r="CA69" s="715"/>
      <c r="CB69" s="715"/>
      <c r="CC69" s="715"/>
      <c r="CD69" s="715"/>
      <c r="CE69" s="715"/>
      <c r="CF69" s="715"/>
      <c r="CG69" s="716"/>
      <c r="CH69" s="716"/>
      <c r="CI69" s="716"/>
      <c r="CJ69" s="713"/>
    </row>
    <row r="70" spans="2:88" ht="171.95" customHeight="1" x14ac:dyDescent="0.25">
      <c r="B70" s="1224"/>
      <c r="C70" s="710"/>
      <c r="D70" s="105" t="s">
        <v>159</v>
      </c>
      <c r="E70" s="105" t="s">
        <v>26</v>
      </c>
      <c r="F70" s="711"/>
      <c r="G70" s="105" t="s">
        <v>28</v>
      </c>
      <c r="H70" s="105" t="s">
        <v>28</v>
      </c>
      <c r="I70" s="105" t="s">
        <v>222</v>
      </c>
      <c r="J70" s="105" t="s">
        <v>47</v>
      </c>
      <c r="K70" s="712"/>
      <c r="L70" s="106" t="s">
        <v>164</v>
      </c>
      <c r="M70" s="107" t="s">
        <v>264</v>
      </c>
      <c r="N70" s="108" t="s">
        <v>265</v>
      </c>
      <c r="O70" s="105">
        <v>0.4</v>
      </c>
      <c r="P70" s="109">
        <v>44287</v>
      </c>
      <c r="Q70" s="109">
        <v>44560</v>
      </c>
      <c r="R70" s="110">
        <v>0</v>
      </c>
      <c r="S70" s="110">
        <v>0.5</v>
      </c>
      <c r="T70" s="110">
        <v>0.75</v>
      </c>
      <c r="U70" s="110">
        <v>1</v>
      </c>
      <c r="V70" s="90">
        <v>0</v>
      </c>
      <c r="W70" s="66" t="s">
        <v>37</v>
      </c>
      <c r="X70" s="111" t="s">
        <v>37</v>
      </c>
      <c r="Y70" s="19" t="str">
        <f t="shared" si="10"/>
        <v>Sin iniciar</v>
      </c>
      <c r="Z70" s="19" t="str">
        <f t="shared" si="11"/>
        <v>Sin iniciar</v>
      </c>
      <c r="AA70" s="716"/>
      <c r="AB70" s="596"/>
      <c r="AC70" s="597"/>
      <c r="AD70" s="611"/>
      <c r="AE70" s="611"/>
      <c r="AF70" s="112"/>
      <c r="AG70" s="715"/>
      <c r="AH70" s="715"/>
      <c r="AI70" s="715"/>
      <c r="AJ70" s="715"/>
      <c r="AK70" s="715"/>
      <c r="AL70" s="715"/>
      <c r="AM70" s="716"/>
      <c r="AN70" s="716"/>
      <c r="AO70" s="716"/>
      <c r="AP70" s="717"/>
      <c r="AQ70" s="717"/>
      <c r="AR70" s="1163">
        <v>0.4</v>
      </c>
      <c r="AS70" s="62" t="s">
        <v>346</v>
      </c>
      <c r="AT70" s="116" t="s">
        <v>2908</v>
      </c>
      <c r="AU70" s="66" t="str">
        <f t="shared" si="12"/>
        <v>En gestión</v>
      </c>
      <c r="AV70" s="66" t="str">
        <f t="shared" si="13"/>
        <v>En gestión</v>
      </c>
      <c r="AW70" s="716"/>
      <c r="AX70" s="599"/>
      <c r="AY70" s="600"/>
      <c r="AZ70" s="530"/>
      <c r="BA70" s="530"/>
      <c r="BB70" s="117" t="s">
        <v>362</v>
      </c>
      <c r="BC70" s="713"/>
      <c r="BD70" s="715"/>
      <c r="BE70" s="715"/>
      <c r="BF70" s="715"/>
      <c r="BG70" s="715"/>
      <c r="BH70" s="715"/>
      <c r="BI70" s="715"/>
      <c r="BJ70" s="716"/>
      <c r="BK70" s="719"/>
      <c r="BL70" s="716"/>
      <c r="BM70" s="713"/>
      <c r="BN70" s="713"/>
      <c r="BO70" s="347">
        <v>0.75</v>
      </c>
      <c r="BP70" s="24" t="s">
        <v>2909</v>
      </c>
      <c r="BQ70" s="24" t="s">
        <v>2910</v>
      </c>
      <c r="BR70" s="19" t="str">
        <f t="shared" si="16"/>
        <v>En gestión</v>
      </c>
      <c r="BS70" s="19" t="str">
        <f t="shared" si="15"/>
        <v>En gestión</v>
      </c>
      <c r="BT70" s="560"/>
      <c r="BU70" s="561"/>
      <c r="BV70" s="562"/>
      <c r="BW70" s="611"/>
      <c r="BX70" s="611"/>
      <c r="BY70" s="578"/>
      <c r="BZ70" s="713"/>
      <c r="CA70" s="715"/>
      <c r="CB70" s="715"/>
      <c r="CC70" s="715"/>
      <c r="CD70" s="715"/>
      <c r="CE70" s="715"/>
      <c r="CF70" s="715"/>
      <c r="CG70" s="716"/>
      <c r="CH70" s="716"/>
      <c r="CI70" s="716"/>
      <c r="CJ70" s="713"/>
    </row>
    <row r="71" spans="2:88" ht="171.95" customHeight="1" x14ac:dyDescent="0.25">
      <c r="B71" s="1224"/>
      <c r="C71" s="700" t="s">
        <v>266</v>
      </c>
      <c r="D71" s="95" t="s">
        <v>267</v>
      </c>
      <c r="E71" s="95" t="s">
        <v>26</v>
      </c>
      <c r="F71" s="701" t="s">
        <v>268</v>
      </c>
      <c r="G71" s="95" t="s">
        <v>28</v>
      </c>
      <c r="H71" s="95" t="s">
        <v>28</v>
      </c>
      <c r="I71" s="95" t="s">
        <v>269</v>
      </c>
      <c r="J71" s="95" t="s">
        <v>47</v>
      </c>
      <c r="K71" s="702" t="s">
        <v>270</v>
      </c>
      <c r="L71" s="96" t="s">
        <v>187</v>
      </c>
      <c r="M71" s="97" t="s">
        <v>271</v>
      </c>
      <c r="N71" s="93" t="s">
        <v>272</v>
      </c>
      <c r="O71" s="95">
        <v>0.1</v>
      </c>
      <c r="P71" s="98">
        <v>44207</v>
      </c>
      <c r="Q71" s="98">
        <v>44285</v>
      </c>
      <c r="R71" s="99">
        <v>1</v>
      </c>
      <c r="S71" s="99">
        <v>1</v>
      </c>
      <c r="T71" s="99">
        <v>1</v>
      </c>
      <c r="U71" s="99">
        <v>1</v>
      </c>
      <c r="V71" s="90">
        <v>1</v>
      </c>
      <c r="W71" s="13" t="s">
        <v>273</v>
      </c>
      <c r="X71" s="118" t="s">
        <v>2911</v>
      </c>
      <c r="Y71" s="5" t="str">
        <f t="shared" si="10"/>
        <v>Terminado</v>
      </c>
      <c r="Z71" s="5" t="str">
        <f t="shared" si="11"/>
        <v>Terminado</v>
      </c>
      <c r="AA71" s="705" t="s">
        <v>336</v>
      </c>
      <c r="AB71" s="604">
        <f>SUMPRODUCT(O71:O76,V71:V76)</f>
        <v>0.44</v>
      </c>
      <c r="AC71" s="597">
        <f>SUMPRODUCT(O71:O76,R71:R76)</f>
        <v>0.44</v>
      </c>
      <c r="AD71" s="610" t="str">
        <f>IF(AC71&lt;1%,"Sin iniciar",IF(AC71=100%,"Terminado","En gestión"))</f>
        <v>En gestión</v>
      </c>
      <c r="AE71" s="610" t="str">
        <f>IF(AB71&lt;1%,"Sin iniciar",IF(AB71=100%,"Terminado","En gestión"))</f>
        <v>En gestión</v>
      </c>
      <c r="AF71" s="101"/>
      <c r="AG71" s="704">
        <v>43538872.799999997</v>
      </c>
      <c r="AH71" s="704">
        <v>46159639.200000003</v>
      </c>
      <c r="AI71" s="704">
        <v>11539909.800000001</v>
      </c>
      <c r="AJ71" s="704">
        <v>56901000</v>
      </c>
      <c r="AK71" s="704">
        <v>14850000</v>
      </c>
      <c r="AL71" s="704">
        <v>4050000</v>
      </c>
      <c r="AM71" s="705" t="s">
        <v>2460</v>
      </c>
      <c r="AN71" s="705" t="s">
        <v>2461</v>
      </c>
      <c r="AO71" s="705" t="s">
        <v>2467</v>
      </c>
      <c r="AP71" s="708" t="s">
        <v>2468</v>
      </c>
      <c r="AQ71" s="709">
        <f>+AK71</f>
        <v>14850000</v>
      </c>
      <c r="AR71" s="1163">
        <v>1</v>
      </c>
      <c r="AS71" s="13" t="s">
        <v>2434</v>
      </c>
      <c r="AT71" s="104" t="s">
        <v>2900</v>
      </c>
      <c r="AU71" s="56" t="str">
        <f t="shared" si="12"/>
        <v>Terminado</v>
      </c>
      <c r="AV71" s="56" t="str">
        <f t="shared" si="13"/>
        <v>Terminado</v>
      </c>
      <c r="AW71" s="705" t="s">
        <v>363</v>
      </c>
      <c r="AX71" s="706">
        <f>SUMPRODUCT(O71:O76,AR71:AR76)</f>
        <v>0.78</v>
      </c>
      <c r="AY71" s="600">
        <f>SUMPRODUCT(S71:S76,O71:O76)</f>
        <v>0.78</v>
      </c>
      <c r="AZ71" s="536" t="str">
        <f>IF(AY71&lt;1%,"Sin iniciar",IF(AY71=100%,"Terminado","En gestión"))</f>
        <v>En gestión</v>
      </c>
      <c r="BA71" s="536" t="str">
        <f>IF(AX71&lt;1%,"Sin iniciar",IF(AX71=100%,"Terminado","En gestión"))</f>
        <v>En gestión</v>
      </c>
      <c r="BB71" s="101"/>
      <c r="BC71" s="703" t="s">
        <v>364</v>
      </c>
      <c r="BD71" s="704">
        <v>46159639.200000003</v>
      </c>
      <c r="BE71" s="704">
        <v>46159639.200000003</v>
      </c>
      <c r="BF71" s="704">
        <v>23079819.600000001</v>
      </c>
      <c r="BG71" s="704">
        <v>56901000</v>
      </c>
      <c r="BH71" s="704">
        <v>14850000</v>
      </c>
      <c r="BI71" s="704">
        <v>8100000</v>
      </c>
      <c r="BJ71" s="705" t="s">
        <v>2460</v>
      </c>
      <c r="BK71" s="707" t="s">
        <v>2461</v>
      </c>
      <c r="BL71" s="705" t="s">
        <v>2467</v>
      </c>
      <c r="BM71" s="709" t="s">
        <v>2468</v>
      </c>
      <c r="BN71" s="709" t="s">
        <v>2532</v>
      </c>
      <c r="BO71" s="347">
        <v>1</v>
      </c>
      <c r="BP71" s="11" t="s">
        <v>2912</v>
      </c>
      <c r="BQ71" s="11" t="s">
        <v>2911</v>
      </c>
      <c r="BR71" s="5" t="str">
        <f t="shared" si="16"/>
        <v>Terminado</v>
      </c>
      <c r="BS71" s="5" t="str">
        <f t="shared" si="15"/>
        <v>Terminado</v>
      </c>
      <c r="BT71" s="581" t="s">
        <v>2913</v>
      </c>
      <c r="BU71" s="714">
        <f>SUMPRODUCT(O71:O76,BO71:BO76)</f>
        <v>0.83000000000000007</v>
      </c>
      <c r="BV71" s="562">
        <f>SUMPRODUCT(O71:O76,T71:T76)</f>
        <v>0.83000000000000007</v>
      </c>
      <c r="BW71" s="610" t="str">
        <f>IF(BV71&lt;1%,"Sin iniciar",IF(BV71=100%,"Terminado","En gestión"))</f>
        <v>En gestión</v>
      </c>
      <c r="BX71" s="610" t="str">
        <f>IF(BU71&lt;1%,"Sin iniciar",IF(BU71=100%,"Terminado","En gestión"))</f>
        <v>En gestión</v>
      </c>
      <c r="BY71" s="573" t="s">
        <v>37</v>
      </c>
      <c r="BZ71" s="703" t="s">
        <v>364</v>
      </c>
      <c r="CA71" s="704">
        <v>46159639.200000003</v>
      </c>
      <c r="CB71" s="704">
        <v>96993558</v>
      </c>
      <c r="CC71" s="704">
        <v>36279070</v>
      </c>
      <c r="CD71" s="704">
        <v>56901000</v>
      </c>
      <c r="CE71" s="704">
        <v>15120000</v>
      </c>
      <c r="CF71" s="704">
        <v>12150000</v>
      </c>
      <c r="CG71" s="705" t="s">
        <v>2460</v>
      </c>
      <c r="CH71" s="705" t="s">
        <v>2467</v>
      </c>
      <c r="CI71" s="708" t="s">
        <v>2468</v>
      </c>
      <c r="CJ71" s="709" t="s">
        <v>2532</v>
      </c>
    </row>
    <row r="72" spans="2:88" ht="171.95" customHeight="1" x14ac:dyDescent="0.25">
      <c r="B72" s="1224"/>
      <c r="C72" s="700"/>
      <c r="D72" s="95" t="s">
        <v>267</v>
      </c>
      <c r="E72" s="95" t="s">
        <v>26</v>
      </c>
      <c r="F72" s="701"/>
      <c r="G72" s="95" t="s">
        <v>28</v>
      </c>
      <c r="H72" s="95" t="s">
        <v>28</v>
      </c>
      <c r="I72" s="95" t="s">
        <v>269</v>
      </c>
      <c r="J72" s="95" t="s">
        <v>47</v>
      </c>
      <c r="K72" s="702"/>
      <c r="L72" s="96" t="s">
        <v>187</v>
      </c>
      <c r="M72" s="97" t="s">
        <v>274</v>
      </c>
      <c r="N72" s="93" t="s">
        <v>275</v>
      </c>
      <c r="O72" s="95">
        <v>0.2</v>
      </c>
      <c r="P72" s="98">
        <v>44207</v>
      </c>
      <c r="Q72" s="98">
        <v>44560</v>
      </c>
      <c r="R72" s="99">
        <v>0.4</v>
      </c>
      <c r="S72" s="99">
        <v>0.5</v>
      </c>
      <c r="T72" s="99">
        <v>0.6</v>
      </c>
      <c r="U72" s="99">
        <v>1</v>
      </c>
      <c r="V72" s="90">
        <v>0.4</v>
      </c>
      <c r="W72" s="13" t="s">
        <v>276</v>
      </c>
      <c r="X72" s="118" t="s">
        <v>2914</v>
      </c>
      <c r="Y72" s="5" t="str">
        <f t="shared" si="10"/>
        <v>En gestión</v>
      </c>
      <c r="Z72" s="5" t="str">
        <f t="shared" si="11"/>
        <v>En gestión</v>
      </c>
      <c r="AA72" s="705"/>
      <c r="AB72" s="604"/>
      <c r="AC72" s="597"/>
      <c r="AD72" s="610"/>
      <c r="AE72" s="610"/>
      <c r="AF72" s="101"/>
      <c r="AG72" s="704"/>
      <c r="AH72" s="704"/>
      <c r="AI72" s="704"/>
      <c r="AJ72" s="704"/>
      <c r="AK72" s="704"/>
      <c r="AL72" s="704"/>
      <c r="AM72" s="705"/>
      <c r="AN72" s="705"/>
      <c r="AO72" s="705"/>
      <c r="AP72" s="705"/>
      <c r="AQ72" s="709"/>
      <c r="AR72" s="1163">
        <v>0.5</v>
      </c>
      <c r="AS72" s="13" t="s">
        <v>276</v>
      </c>
      <c r="AT72" s="104" t="s">
        <v>2915</v>
      </c>
      <c r="AU72" s="56" t="str">
        <f t="shared" si="12"/>
        <v>En gestión</v>
      </c>
      <c r="AV72" s="56" t="str">
        <f t="shared" si="13"/>
        <v>En gestión</v>
      </c>
      <c r="AW72" s="705"/>
      <c r="AX72" s="706"/>
      <c r="AY72" s="600"/>
      <c r="AZ72" s="536"/>
      <c r="BA72" s="536"/>
      <c r="BB72" s="101"/>
      <c r="BC72" s="703"/>
      <c r="BD72" s="704"/>
      <c r="BE72" s="704"/>
      <c r="BF72" s="704"/>
      <c r="BG72" s="704"/>
      <c r="BH72" s="704"/>
      <c r="BI72" s="704"/>
      <c r="BJ72" s="705"/>
      <c r="BK72" s="707"/>
      <c r="BL72" s="705"/>
      <c r="BM72" s="703"/>
      <c r="BN72" s="703"/>
      <c r="BO72" s="347">
        <v>0.6</v>
      </c>
      <c r="BP72" s="11" t="s">
        <v>2916</v>
      </c>
      <c r="BQ72" s="12" t="s">
        <v>2917</v>
      </c>
      <c r="BR72" s="5" t="str">
        <f t="shared" si="16"/>
        <v>En gestión</v>
      </c>
      <c r="BS72" s="5" t="str">
        <f t="shared" si="15"/>
        <v>En gestión</v>
      </c>
      <c r="BT72" s="581"/>
      <c r="BU72" s="714"/>
      <c r="BV72" s="562"/>
      <c r="BW72" s="610"/>
      <c r="BX72" s="610"/>
      <c r="BY72" s="573"/>
      <c r="BZ72" s="703"/>
      <c r="CA72" s="704"/>
      <c r="CB72" s="704"/>
      <c r="CC72" s="704"/>
      <c r="CD72" s="704"/>
      <c r="CE72" s="704"/>
      <c r="CF72" s="704"/>
      <c r="CG72" s="705"/>
      <c r="CH72" s="705"/>
      <c r="CI72" s="705"/>
      <c r="CJ72" s="703"/>
    </row>
    <row r="73" spans="2:88" ht="171.95" customHeight="1" x14ac:dyDescent="0.25">
      <c r="B73" s="1224"/>
      <c r="C73" s="700"/>
      <c r="D73" s="95" t="s">
        <v>267</v>
      </c>
      <c r="E73" s="95" t="s">
        <v>26</v>
      </c>
      <c r="F73" s="701"/>
      <c r="G73" s="95" t="s">
        <v>28</v>
      </c>
      <c r="H73" s="95" t="s">
        <v>28</v>
      </c>
      <c r="I73" s="95" t="s">
        <v>269</v>
      </c>
      <c r="J73" s="95" t="s">
        <v>47</v>
      </c>
      <c r="K73" s="702"/>
      <c r="L73" s="96" t="s">
        <v>187</v>
      </c>
      <c r="M73" s="97" t="s">
        <v>277</v>
      </c>
      <c r="N73" s="93" t="s">
        <v>278</v>
      </c>
      <c r="O73" s="95">
        <v>0.2</v>
      </c>
      <c r="P73" s="98">
        <v>44207</v>
      </c>
      <c r="Q73" s="98" t="s">
        <v>279</v>
      </c>
      <c r="R73" s="99">
        <v>0.4</v>
      </c>
      <c r="S73" s="99">
        <v>0.8</v>
      </c>
      <c r="T73" s="99">
        <v>0.85</v>
      </c>
      <c r="U73" s="99">
        <v>1</v>
      </c>
      <c r="V73" s="90">
        <v>0.4</v>
      </c>
      <c r="W73" s="13" t="s">
        <v>280</v>
      </c>
      <c r="X73" s="119" t="s">
        <v>2918</v>
      </c>
      <c r="Y73" s="5" t="str">
        <f t="shared" si="10"/>
        <v>En gestión</v>
      </c>
      <c r="Z73" s="5" t="str">
        <f t="shared" si="11"/>
        <v>En gestión</v>
      </c>
      <c r="AA73" s="705"/>
      <c r="AB73" s="604"/>
      <c r="AC73" s="597"/>
      <c r="AD73" s="610"/>
      <c r="AE73" s="610"/>
      <c r="AF73" s="101"/>
      <c r="AG73" s="704"/>
      <c r="AH73" s="704"/>
      <c r="AI73" s="704"/>
      <c r="AJ73" s="704"/>
      <c r="AK73" s="704"/>
      <c r="AL73" s="704"/>
      <c r="AM73" s="705"/>
      <c r="AN73" s="705"/>
      <c r="AO73" s="705"/>
      <c r="AP73" s="705"/>
      <c r="AQ73" s="709"/>
      <c r="AR73" s="1163">
        <v>0.8</v>
      </c>
      <c r="AS73" s="120" t="s">
        <v>347</v>
      </c>
      <c r="AT73" s="104" t="s">
        <v>2919</v>
      </c>
      <c r="AU73" s="56" t="str">
        <f t="shared" si="12"/>
        <v>En gestión</v>
      </c>
      <c r="AV73" s="56" t="str">
        <f t="shared" si="13"/>
        <v>En gestión</v>
      </c>
      <c r="AW73" s="705"/>
      <c r="AX73" s="706"/>
      <c r="AY73" s="600"/>
      <c r="AZ73" s="536"/>
      <c r="BA73" s="536"/>
      <c r="BB73" s="103" t="s">
        <v>365</v>
      </c>
      <c r="BC73" s="101" t="s">
        <v>366</v>
      </c>
      <c r="BD73" s="704"/>
      <c r="BE73" s="704"/>
      <c r="BF73" s="704"/>
      <c r="BG73" s="704"/>
      <c r="BH73" s="704"/>
      <c r="BI73" s="704"/>
      <c r="BJ73" s="705"/>
      <c r="BK73" s="707"/>
      <c r="BL73" s="705"/>
      <c r="BM73" s="703"/>
      <c r="BN73" s="703"/>
      <c r="BO73" s="347">
        <v>0.85</v>
      </c>
      <c r="BP73" s="120" t="s">
        <v>2920</v>
      </c>
      <c r="BQ73" s="118" t="s">
        <v>2921</v>
      </c>
      <c r="BR73" s="5" t="str">
        <f t="shared" si="16"/>
        <v>En gestión</v>
      </c>
      <c r="BS73" s="5" t="str">
        <f t="shared" si="15"/>
        <v>En gestión</v>
      </c>
      <c r="BT73" s="581"/>
      <c r="BU73" s="714"/>
      <c r="BV73" s="562"/>
      <c r="BW73" s="610"/>
      <c r="BX73" s="610"/>
      <c r="BY73" s="573"/>
      <c r="BZ73" s="101" t="s">
        <v>366</v>
      </c>
      <c r="CA73" s="704"/>
      <c r="CB73" s="704"/>
      <c r="CC73" s="704"/>
      <c r="CD73" s="704"/>
      <c r="CE73" s="704"/>
      <c r="CF73" s="704"/>
      <c r="CG73" s="705"/>
      <c r="CH73" s="705"/>
      <c r="CI73" s="705"/>
      <c r="CJ73" s="703"/>
    </row>
    <row r="74" spans="2:88" ht="171.95" customHeight="1" x14ac:dyDescent="0.25">
      <c r="B74" s="1224"/>
      <c r="C74" s="700"/>
      <c r="D74" s="95" t="s">
        <v>267</v>
      </c>
      <c r="E74" s="95" t="s">
        <v>26</v>
      </c>
      <c r="F74" s="701"/>
      <c r="G74" s="95" t="s">
        <v>28</v>
      </c>
      <c r="H74" s="95" t="s">
        <v>28</v>
      </c>
      <c r="I74" s="95" t="s">
        <v>269</v>
      </c>
      <c r="J74" s="95" t="s">
        <v>47</v>
      </c>
      <c r="K74" s="702"/>
      <c r="L74" s="96" t="s">
        <v>187</v>
      </c>
      <c r="M74" s="97" t="s">
        <v>281</v>
      </c>
      <c r="N74" s="93" t="s">
        <v>282</v>
      </c>
      <c r="O74" s="95">
        <v>0.15</v>
      </c>
      <c r="P74" s="98">
        <v>44207</v>
      </c>
      <c r="Q74" s="98" t="s">
        <v>279</v>
      </c>
      <c r="R74" s="99">
        <v>0.4</v>
      </c>
      <c r="S74" s="99">
        <v>1</v>
      </c>
      <c r="T74" s="99">
        <v>1</v>
      </c>
      <c r="U74" s="99">
        <v>1</v>
      </c>
      <c r="V74" s="90">
        <v>0.4</v>
      </c>
      <c r="W74" s="13" t="s">
        <v>283</v>
      </c>
      <c r="X74" s="119" t="s">
        <v>2922</v>
      </c>
      <c r="Y74" s="5" t="str">
        <f t="shared" si="10"/>
        <v>En gestión</v>
      </c>
      <c r="Z74" s="5" t="str">
        <f t="shared" si="11"/>
        <v>En gestión</v>
      </c>
      <c r="AA74" s="705"/>
      <c r="AB74" s="604"/>
      <c r="AC74" s="597"/>
      <c r="AD74" s="610"/>
      <c r="AE74" s="610"/>
      <c r="AF74" s="101"/>
      <c r="AG74" s="704"/>
      <c r="AH74" s="704"/>
      <c r="AI74" s="704"/>
      <c r="AJ74" s="704"/>
      <c r="AK74" s="704"/>
      <c r="AL74" s="704"/>
      <c r="AM74" s="705"/>
      <c r="AN74" s="705"/>
      <c r="AO74" s="705"/>
      <c r="AP74" s="705"/>
      <c r="AQ74" s="709"/>
      <c r="AR74" s="1163">
        <v>1</v>
      </c>
      <c r="AS74" s="13" t="s">
        <v>348</v>
      </c>
      <c r="AT74" s="121" t="s">
        <v>2922</v>
      </c>
      <c r="AU74" s="56" t="str">
        <f t="shared" si="12"/>
        <v>Terminado</v>
      </c>
      <c r="AV74" s="56" t="str">
        <f t="shared" si="13"/>
        <v>Terminado</v>
      </c>
      <c r="AW74" s="705"/>
      <c r="AX74" s="706"/>
      <c r="AY74" s="600"/>
      <c r="AZ74" s="536"/>
      <c r="BA74" s="536"/>
      <c r="BB74" s="101"/>
      <c r="BC74" s="703" t="s">
        <v>364</v>
      </c>
      <c r="BD74" s="704"/>
      <c r="BE74" s="704"/>
      <c r="BF74" s="704"/>
      <c r="BG74" s="704"/>
      <c r="BH74" s="704"/>
      <c r="BI74" s="704"/>
      <c r="BJ74" s="705"/>
      <c r="BK74" s="707"/>
      <c r="BL74" s="705"/>
      <c r="BM74" s="703"/>
      <c r="BN74" s="703"/>
      <c r="BO74" s="347">
        <v>1</v>
      </c>
      <c r="BP74" s="11" t="s">
        <v>2923</v>
      </c>
      <c r="BQ74" s="11" t="s">
        <v>2923</v>
      </c>
      <c r="BR74" s="5" t="str">
        <f t="shared" si="16"/>
        <v>Terminado</v>
      </c>
      <c r="BS74" s="5" t="str">
        <f t="shared" si="15"/>
        <v>Terminado</v>
      </c>
      <c r="BT74" s="581"/>
      <c r="BU74" s="714"/>
      <c r="BV74" s="562"/>
      <c r="BW74" s="610"/>
      <c r="BX74" s="610"/>
      <c r="BY74" s="573"/>
      <c r="BZ74" s="703" t="s">
        <v>364</v>
      </c>
      <c r="CA74" s="704"/>
      <c r="CB74" s="704"/>
      <c r="CC74" s="704"/>
      <c r="CD74" s="704"/>
      <c r="CE74" s="704"/>
      <c r="CF74" s="704"/>
      <c r="CG74" s="705"/>
      <c r="CH74" s="705"/>
      <c r="CI74" s="705"/>
      <c r="CJ74" s="703"/>
    </row>
    <row r="75" spans="2:88" ht="171.95" customHeight="1" x14ac:dyDescent="0.25">
      <c r="B75" s="1224"/>
      <c r="C75" s="700"/>
      <c r="D75" s="95" t="s">
        <v>267</v>
      </c>
      <c r="E75" s="95" t="s">
        <v>26</v>
      </c>
      <c r="F75" s="701"/>
      <c r="G75" s="95" t="s">
        <v>28</v>
      </c>
      <c r="H75" s="95" t="s">
        <v>28</v>
      </c>
      <c r="I75" s="95" t="s">
        <v>269</v>
      </c>
      <c r="J75" s="95" t="s">
        <v>47</v>
      </c>
      <c r="K75" s="702"/>
      <c r="L75" s="96" t="s">
        <v>187</v>
      </c>
      <c r="M75" s="97" t="s">
        <v>284</v>
      </c>
      <c r="N75" s="93" t="s">
        <v>285</v>
      </c>
      <c r="O75" s="95">
        <v>0.2</v>
      </c>
      <c r="P75" s="98">
        <v>44207</v>
      </c>
      <c r="Q75" s="98">
        <v>44560</v>
      </c>
      <c r="R75" s="99">
        <v>0.3</v>
      </c>
      <c r="S75" s="99">
        <v>0.6</v>
      </c>
      <c r="T75" s="99">
        <v>0.7</v>
      </c>
      <c r="U75" s="99">
        <v>1</v>
      </c>
      <c r="V75" s="90">
        <v>0.3</v>
      </c>
      <c r="W75" s="13" t="s">
        <v>287</v>
      </c>
      <c r="X75" s="119" t="s">
        <v>2924</v>
      </c>
      <c r="Y75" s="5" t="str">
        <f t="shared" si="10"/>
        <v>En gestión</v>
      </c>
      <c r="Z75" s="5" t="str">
        <f t="shared" si="11"/>
        <v>En gestión</v>
      </c>
      <c r="AA75" s="705"/>
      <c r="AB75" s="604"/>
      <c r="AC75" s="597"/>
      <c r="AD75" s="610"/>
      <c r="AE75" s="610"/>
      <c r="AF75" s="101"/>
      <c r="AG75" s="704"/>
      <c r="AH75" s="704"/>
      <c r="AI75" s="704"/>
      <c r="AJ75" s="704"/>
      <c r="AK75" s="704"/>
      <c r="AL75" s="704"/>
      <c r="AM75" s="705"/>
      <c r="AN75" s="705"/>
      <c r="AO75" s="705"/>
      <c r="AP75" s="705"/>
      <c r="AQ75" s="709"/>
      <c r="AR75" s="1163">
        <v>0.6</v>
      </c>
      <c r="AS75" s="120" t="s">
        <v>287</v>
      </c>
      <c r="AT75" s="121" t="s">
        <v>2924</v>
      </c>
      <c r="AU75" s="56" t="str">
        <f t="shared" si="12"/>
        <v>En gestión</v>
      </c>
      <c r="AV75" s="56" t="str">
        <f t="shared" si="13"/>
        <v>En gestión</v>
      </c>
      <c r="AW75" s="705"/>
      <c r="AX75" s="706"/>
      <c r="AY75" s="600"/>
      <c r="AZ75" s="536"/>
      <c r="BA75" s="536"/>
      <c r="BB75" s="101"/>
      <c r="BC75" s="703"/>
      <c r="BD75" s="704"/>
      <c r="BE75" s="704"/>
      <c r="BF75" s="704"/>
      <c r="BG75" s="704"/>
      <c r="BH75" s="704"/>
      <c r="BI75" s="704"/>
      <c r="BJ75" s="705"/>
      <c r="BK75" s="707"/>
      <c r="BL75" s="705"/>
      <c r="BM75" s="703"/>
      <c r="BN75" s="703"/>
      <c r="BO75" s="347">
        <v>0.7</v>
      </c>
      <c r="BP75" s="120" t="s">
        <v>2925</v>
      </c>
      <c r="BQ75" s="367" t="s">
        <v>5234</v>
      </c>
      <c r="BR75" s="5" t="str">
        <f t="shared" si="16"/>
        <v>En gestión</v>
      </c>
      <c r="BS75" s="5" t="str">
        <f t="shared" si="15"/>
        <v>En gestión</v>
      </c>
      <c r="BT75" s="581"/>
      <c r="BU75" s="714"/>
      <c r="BV75" s="562"/>
      <c r="BW75" s="610"/>
      <c r="BX75" s="610"/>
      <c r="BY75" s="573"/>
      <c r="BZ75" s="703"/>
      <c r="CA75" s="704"/>
      <c r="CB75" s="704"/>
      <c r="CC75" s="704"/>
      <c r="CD75" s="704"/>
      <c r="CE75" s="704"/>
      <c r="CF75" s="704"/>
      <c r="CG75" s="705"/>
      <c r="CH75" s="705"/>
      <c r="CI75" s="705"/>
      <c r="CJ75" s="703"/>
    </row>
    <row r="76" spans="2:88" ht="171.95" customHeight="1" x14ac:dyDescent="0.25">
      <c r="B76" s="1224"/>
      <c r="C76" s="700"/>
      <c r="D76" s="95" t="s">
        <v>267</v>
      </c>
      <c r="E76" s="95" t="s">
        <v>26</v>
      </c>
      <c r="F76" s="701"/>
      <c r="G76" s="95" t="s">
        <v>28</v>
      </c>
      <c r="H76" s="95" t="s">
        <v>28</v>
      </c>
      <c r="I76" s="95" t="s">
        <v>269</v>
      </c>
      <c r="J76" s="95" t="s">
        <v>47</v>
      </c>
      <c r="K76" s="702"/>
      <c r="L76" s="96" t="s">
        <v>187</v>
      </c>
      <c r="M76" s="97" t="s">
        <v>288</v>
      </c>
      <c r="N76" s="93" t="s">
        <v>289</v>
      </c>
      <c r="O76" s="95">
        <v>0.15</v>
      </c>
      <c r="P76" s="98">
        <v>44207</v>
      </c>
      <c r="Q76" s="98" t="s">
        <v>279</v>
      </c>
      <c r="R76" s="99">
        <v>0.4</v>
      </c>
      <c r="S76" s="99">
        <v>1</v>
      </c>
      <c r="T76" s="99">
        <v>1</v>
      </c>
      <c r="U76" s="99">
        <v>1</v>
      </c>
      <c r="V76" s="90">
        <v>0.4</v>
      </c>
      <c r="W76" s="13" t="s">
        <v>290</v>
      </c>
      <c r="X76" s="100" t="s">
        <v>2926</v>
      </c>
      <c r="Y76" s="5" t="str">
        <f t="shared" si="10"/>
        <v>En gestión</v>
      </c>
      <c r="Z76" s="5" t="str">
        <f t="shared" si="11"/>
        <v>En gestión</v>
      </c>
      <c r="AA76" s="705"/>
      <c r="AB76" s="604"/>
      <c r="AC76" s="597"/>
      <c r="AD76" s="610"/>
      <c r="AE76" s="610"/>
      <c r="AF76" s="101"/>
      <c r="AG76" s="704"/>
      <c r="AH76" s="704"/>
      <c r="AI76" s="704"/>
      <c r="AJ76" s="704"/>
      <c r="AK76" s="704"/>
      <c r="AL76" s="704"/>
      <c r="AM76" s="705"/>
      <c r="AN76" s="705"/>
      <c r="AO76" s="705"/>
      <c r="AP76" s="705"/>
      <c r="AQ76" s="709"/>
      <c r="AR76" s="1163">
        <v>1</v>
      </c>
      <c r="AS76" s="120" t="s">
        <v>349</v>
      </c>
      <c r="AT76" s="102" t="s">
        <v>2927</v>
      </c>
      <c r="AU76" s="56" t="str">
        <f t="shared" si="12"/>
        <v>Terminado</v>
      </c>
      <c r="AV76" s="56" t="str">
        <f t="shared" si="13"/>
        <v>Terminado</v>
      </c>
      <c r="AW76" s="705"/>
      <c r="AX76" s="706"/>
      <c r="AY76" s="600"/>
      <c r="AZ76" s="536"/>
      <c r="BA76" s="536"/>
      <c r="BB76" s="101"/>
      <c r="BC76" s="703"/>
      <c r="BD76" s="704"/>
      <c r="BE76" s="704"/>
      <c r="BF76" s="704"/>
      <c r="BG76" s="704"/>
      <c r="BH76" s="704"/>
      <c r="BI76" s="704"/>
      <c r="BJ76" s="705"/>
      <c r="BK76" s="707"/>
      <c r="BL76" s="705"/>
      <c r="BM76" s="703"/>
      <c r="BN76" s="703"/>
      <c r="BO76" s="347">
        <v>1</v>
      </c>
      <c r="BP76" s="11" t="s">
        <v>2923</v>
      </c>
      <c r="BQ76" s="11" t="s">
        <v>2923</v>
      </c>
      <c r="BR76" s="5" t="str">
        <f t="shared" si="16"/>
        <v>Terminado</v>
      </c>
      <c r="BS76" s="5" t="str">
        <f t="shared" si="15"/>
        <v>Terminado</v>
      </c>
      <c r="BT76" s="581"/>
      <c r="BU76" s="714"/>
      <c r="BV76" s="562"/>
      <c r="BW76" s="610"/>
      <c r="BX76" s="610"/>
      <c r="BY76" s="573"/>
      <c r="BZ76" s="703"/>
      <c r="CA76" s="704"/>
      <c r="CB76" s="704"/>
      <c r="CC76" s="704"/>
      <c r="CD76" s="704"/>
      <c r="CE76" s="704"/>
      <c r="CF76" s="704"/>
      <c r="CG76" s="705"/>
      <c r="CH76" s="705"/>
      <c r="CI76" s="705"/>
      <c r="CJ76" s="703"/>
    </row>
    <row r="77" spans="2:88" ht="171.95" customHeight="1" x14ac:dyDescent="0.25">
      <c r="B77" s="1224"/>
      <c r="C77" s="710" t="s">
        <v>291</v>
      </c>
      <c r="D77" s="105" t="s">
        <v>159</v>
      </c>
      <c r="E77" s="105" t="s">
        <v>26</v>
      </c>
      <c r="F77" s="711" t="s">
        <v>292</v>
      </c>
      <c r="G77" s="105" t="s">
        <v>28</v>
      </c>
      <c r="H77" s="105" t="s">
        <v>28</v>
      </c>
      <c r="I77" s="105" t="s">
        <v>269</v>
      </c>
      <c r="J77" s="105" t="s">
        <v>47</v>
      </c>
      <c r="K77" s="712" t="s">
        <v>293</v>
      </c>
      <c r="L77" s="106" t="s">
        <v>164</v>
      </c>
      <c r="M77" s="107" t="s">
        <v>294</v>
      </c>
      <c r="N77" s="108" t="s">
        <v>295</v>
      </c>
      <c r="O77" s="105">
        <v>0.25</v>
      </c>
      <c r="P77" s="109">
        <v>44207</v>
      </c>
      <c r="Q77" s="109" t="s">
        <v>279</v>
      </c>
      <c r="R77" s="110">
        <v>0.3</v>
      </c>
      <c r="S77" s="110">
        <v>1</v>
      </c>
      <c r="T77" s="110">
        <v>1</v>
      </c>
      <c r="U77" s="110">
        <v>1</v>
      </c>
      <c r="V77" s="90">
        <v>0.3</v>
      </c>
      <c r="W77" s="62" t="s">
        <v>296</v>
      </c>
      <c r="X77" s="115" t="s">
        <v>2928</v>
      </c>
      <c r="Y77" s="19" t="str">
        <f t="shared" si="10"/>
        <v>En gestión</v>
      </c>
      <c r="Z77" s="19" t="str">
        <f t="shared" si="11"/>
        <v>En gestión</v>
      </c>
      <c r="AA77" s="716" t="s">
        <v>337</v>
      </c>
      <c r="AB77" s="596">
        <f>SUMPRODUCT(O77:O79,V77:V79)</f>
        <v>7.4999999999999997E-2</v>
      </c>
      <c r="AC77" s="597">
        <f>SUMPRODUCT(O77:O79,R77:R79)</f>
        <v>7.4999999999999997E-2</v>
      </c>
      <c r="AD77" s="611" t="str">
        <f>IF(AC77&lt;1%,"Sin iniciar",IF(AC77=100%,"Terminado","En gestión"))</f>
        <v>En gestión</v>
      </c>
      <c r="AE77" s="611" t="str">
        <f>IF(AB77&lt;1%,"Sin iniciar",IF(AB77=100%,"Terminado","En gestión"))</f>
        <v>En gestión</v>
      </c>
      <c r="AF77" s="112"/>
      <c r="AG77" s="715">
        <v>185415127.19999999</v>
      </c>
      <c r="AH77" s="715">
        <v>149575826.40000001</v>
      </c>
      <c r="AI77" s="715">
        <v>37393956.600000001</v>
      </c>
      <c r="AJ77" s="715">
        <v>138177000</v>
      </c>
      <c r="AK77" s="715">
        <v>90706000</v>
      </c>
      <c r="AL77" s="715">
        <v>24738000</v>
      </c>
      <c r="AM77" s="716" t="s">
        <v>2460</v>
      </c>
      <c r="AN77" s="716" t="s">
        <v>2461</v>
      </c>
      <c r="AO77" s="716" t="s">
        <v>2467</v>
      </c>
      <c r="AP77" s="717" t="s">
        <v>2468</v>
      </c>
      <c r="AQ77" s="717">
        <f>+AK77</f>
        <v>90706000</v>
      </c>
      <c r="AR77" s="1163">
        <v>1</v>
      </c>
      <c r="AS77" s="122" t="s">
        <v>350</v>
      </c>
      <c r="AT77" s="116" t="s">
        <v>2929</v>
      </c>
      <c r="AU77" s="66" t="str">
        <f t="shared" si="12"/>
        <v>Terminado</v>
      </c>
      <c r="AV77" s="66" t="str">
        <f t="shared" si="13"/>
        <v>Terminado</v>
      </c>
      <c r="AW77" s="716" t="s">
        <v>367</v>
      </c>
      <c r="AX77" s="599">
        <f>SUMPRODUCT(O77:O79,AR77:AR79)</f>
        <v>0.42499999999999999</v>
      </c>
      <c r="AY77" s="600">
        <f>SUMPRODUCT(S77:S79,O77:O79)</f>
        <v>0.42499999999999999</v>
      </c>
      <c r="AZ77" s="530" t="str">
        <f>IF(AY77&lt;1%,"Sin iniciar",IF(AY77=100%,"Terminado","En gestión"))</f>
        <v>En gestión</v>
      </c>
      <c r="BA77" s="530" t="str">
        <f>IF(AX77&lt;1%,"Sin iniciar",IF(AX77=100%,"Terminado","En gestión"))</f>
        <v>En gestión</v>
      </c>
      <c r="BB77" s="112"/>
      <c r="BC77" s="713" t="s">
        <v>364</v>
      </c>
      <c r="BD77" s="715">
        <v>149575826.40000001</v>
      </c>
      <c r="BE77" s="715">
        <v>149575826.40000001</v>
      </c>
      <c r="BF77" s="715">
        <v>134663941.19999999</v>
      </c>
      <c r="BG77" s="715">
        <v>138177000</v>
      </c>
      <c r="BH77" s="715">
        <v>169706000</v>
      </c>
      <c r="BI77" s="715">
        <v>49476000</v>
      </c>
      <c r="BJ77" s="716" t="s">
        <v>2460</v>
      </c>
      <c r="BK77" s="719" t="s">
        <v>2461</v>
      </c>
      <c r="BL77" s="716" t="s">
        <v>2467</v>
      </c>
      <c r="BM77" s="717" t="s">
        <v>2468</v>
      </c>
      <c r="BN77" s="717" t="s">
        <v>2532</v>
      </c>
      <c r="BO77" s="347">
        <v>1</v>
      </c>
      <c r="BP77" s="24" t="s">
        <v>2923</v>
      </c>
      <c r="BQ77" s="24" t="s">
        <v>2923</v>
      </c>
      <c r="BR77" s="19" t="str">
        <f t="shared" si="16"/>
        <v>Terminado</v>
      </c>
      <c r="BS77" s="19" t="str">
        <f t="shared" si="15"/>
        <v>Terminado</v>
      </c>
      <c r="BT77" s="716" t="s">
        <v>2930</v>
      </c>
      <c r="BU77" s="561">
        <f>SUMPRODUCT(O77:O79,BO77:BO79)</f>
        <v>0.45</v>
      </c>
      <c r="BV77" s="562">
        <f>SUMPRODUCT(O77:O79,T77:T79)</f>
        <v>0.45</v>
      </c>
      <c r="BW77" s="611" t="str">
        <f>IF(BV77&lt;1%,"Sin iniciar",IF(BV77=100%,"Terminado","En gestión"))</f>
        <v>En gestión</v>
      </c>
      <c r="BX77" s="611" t="str">
        <f>IF(BU77&lt;1%,"Sin iniciar",IF(BU77=100%,"Terminado","En gestión"))</f>
        <v>En gestión</v>
      </c>
      <c r="BY77" s="578" t="s">
        <v>37</v>
      </c>
      <c r="BZ77" s="713" t="s">
        <v>364</v>
      </c>
      <c r="CA77" s="715">
        <v>149575826.40000001</v>
      </c>
      <c r="CB77" s="715">
        <v>176131324</v>
      </c>
      <c r="CC77" s="715">
        <v>73346473</v>
      </c>
      <c r="CD77" s="715">
        <v>138177000</v>
      </c>
      <c r="CE77" s="715">
        <v>91665600</v>
      </c>
      <c r="CF77" s="715">
        <v>74214000</v>
      </c>
      <c r="CG77" s="716" t="s">
        <v>2460</v>
      </c>
      <c r="CH77" s="716" t="s">
        <v>2467</v>
      </c>
      <c r="CI77" s="718" t="s">
        <v>2468</v>
      </c>
      <c r="CJ77" s="717" t="s">
        <v>2532</v>
      </c>
    </row>
    <row r="78" spans="2:88" ht="171.95" customHeight="1" x14ac:dyDescent="0.25">
      <c r="B78" s="1224"/>
      <c r="C78" s="710"/>
      <c r="D78" s="105" t="s">
        <v>159</v>
      </c>
      <c r="E78" s="105" t="s">
        <v>26</v>
      </c>
      <c r="F78" s="711"/>
      <c r="G78" s="105" t="s">
        <v>28</v>
      </c>
      <c r="H78" s="105" t="s">
        <v>28</v>
      </c>
      <c r="I78" s="105" t="s">
        <v>269</v>
      </c>
      <c r="J78" s="105" t="s">
        <v>47</v>
      </c>
      <c r="K78" s="712"/>
      <c r="L78" s="106" t="s">
        <v>164</v>
      </c>
      <c r="M78" s="107" t="s">
        <v>297</v>
      </c>
      <c r="N78" s="108" t="s">
        <v>298</v>
      </c>
      <c r="O78" s="105">
        <v>0.25</v>
      </c>
      <c r="P78" s="109">
        <v>44207</v>
      </c>
      <c r="Q78" s="109" t="s">
        <v>279</v>
      </c>
      <c r="R78" s="110">
        <v>0</v>
      </c>
      <c r="S78" s="110">
        <v>0.7</v>
      </c>
      <c r="T78" s="110">
        <v>0.8</v>
      </c>
      <c r="U78" s="110">
        <v>1</v>
      </c>
      <c r="V78" s="90">
        <v>0</v>
      </c>
      <c r="W78" s="111" t="s">
        <v>37</v>
      </c>
      <c r="X78" s="111" t="s">
        <v>37</v>
      </c>
      <c r="Y78" s="19" t="str">
        <f t="shared" si="10"/>
        <v>Sin iniciar</v>
      </c>
      <c r="Z78" s="19" t="str">
        <f t="shared" si="11"/>
        <v>Sin iniciar</v>
      </c>
      <c r="AA78" s="716"/>
      <c r="AB78" s="596"/>
      <c r="AC78" s="597"/>
      <c r="AD78" s="611"/>
      <c r="AE78" s="611"/>
      <c r="AF78" s="112"/>
      <c r="AG78" s="715"/>
      <c r="AH78" s="715"/>
      <c r="AI78" s="715"/>
      <c r="AJ78" s="715"/>
      <c r="AK78" s="715"/>
      <c r="AL78" s="715"/>
      <c r="AM78" s="716"/>
      <c r="AN78" s="716"/>
      <c r="AO78" s="716"/>
      <c r="AP78" s="717"/>
      <c r="AQ78" s="717"/>
      <c r="AR78" s="1163">
        <v>0.7</v>
      </c>
      <c r="AS78" s="122" t="s">
        <v>351</v>
      </c>
      <c r="AT78" s="116" t="s">
        <v>2931</v>
      </c>
      <c r="AU78" s="66" t="str">
        <f t="shared" si="12"/>
        <v>En gestión</v>
      </c>
      <c r="AV78" s="66" t="str">
        <f t="shared" si="13"/>
        <v>En gestión</v>
      </c>
      <c r="AW78" s="716"/>
      <c r="AX78" s="599"/>
      <c r="AY78" s="600"/>
      <c r="AZ78" s="530"/>
      <c r="BA78" s="530"/>
      <c r="BB78" s="117" t="s">
        <v>368</v>
      </c>
      <c r="BC78" s="713"/>
      <c r="BD78" s="715"/>
      <c r="BE78" s="715"/>
      <c r="BF78" s="715"/>
      <c r="BG78" s="715"/>
      <c r="BH78" s="715"/>
      <c r="BI78" s="715"/>
      <c r="BJ78" s="716"/>
      <c r="BK78" s="719"/>
      <c r="BL78" s="716"/>
      <c r="BM78" s="713"/>
      <c r="BN78" s="713"/>
      <c r="BO78" s="347">
        <v>0.8</v>
      </c>
      <c r="BP78" s="24" t="s">
        <v>2932</v>
      </c>
      <c r="BQ78" s="24" t="s">
        <v>2933</v>
      </c>
      <c r="BR78" s="19" t="str">
        <f t="shared" si="16"/>
        <v>En gestión</v>
      </c>
      <c r="BS78" s="19" t="str">
        <f t="shared" si="15"/>
        <v>En gestión</v>
      </c>
      <c r="BT78" s="716"/>
      <c r="BU78" s="561"/>
      <c r="BV78" s="562"/>
      <c r="BW78" s="611"/>
      <c r="BX78" s="611"/>
      <c r="BY78" s="578"/>
      <c r="BZ78" s="713"/>
      <c r="CA78" s="715"/>
      <c r="CB78" s="715"/>
      <c r="CC78" s="715"/>
      <c r="CD78" s="715"/>
      <c r="CE78" s="715"/>
      <c r="CF78" s="715"/>
      <c r="CG78" s="716"/>
      <c r="CH78" s="716"/>
      <c r="CI78" s="716"/>
      <c r="CJ78" s="713"/>
    </row>
    <row r="79" spans="2:88" ht="171.95" customHeight="1" x14ac:dyDescent="0.25">
      <c r="B79" s="1224"/>
      <c r="C79" s="710"/>
      <c r="D79" s="105" t="s">
        <v>159</v>
      </c>
      <c r="E79" s="105" t="s">
        <v>26</v>
      </c>
      <c r="F79" s="711"/>
      <c r="G79" s="105" t="s">
        <v>28</v>
      </c>
      <c r="H79" s="105" t="s">
        <v>28</v>
      </c>
      <c r="I79" s="105" t="s">
        <v>269</v>
      </c>
      <c r="J79" s="105" t="s">
        <v>47</v>
      </c>
      <c r="K79" s="712"/>
      <c r="L79" s="106" t="s">
        <v>164</v>
      </c>
      <c r="M79" s="107" t="s">
        <v>299</v>
      </c>
      <c r="N79" s="108" t="s">
        <v>300</v>
      </c>
      <c r="O79" s="105">
        <v>0.5</v>
      </c>
      <c r="P79" s="109">
        <v>44207</v>
      </c>
      <c r="Q79" s="109">
        <v>44442</v>
      </c>
      <c r="R79" s="110">
        <v>0</v>
      </c>
      <c r="S79" s="110">
        <v>0</v>
      </c>
      <c r="T79" s="110">
        <v>0</v>
      </c>
      <c r="U79" s="110">
        <v>1</v>
      </c>
      <c r="V79" s="90">
        <v>0</v>
      </c>
      <c r="W79" s="66" t="s">
        <v>37</v>
      </c>
      <c r="X79" s="111" t="s">
        <v>37</v>
      </c>
      <c r="Y79" s="19" t="str">
        <f t="shared" si="10"/>
        <v>Sin iniciar</v>
      </c>
      <c r="Z79" s="19" t="str">
        <f t="shared" si="11"/>
        <v>Sin iniciar</v>
      </c>
      <c r="AA79" s="716"/>
      <c r="AB79" s="596"/>
      <c r="AC79" s="597"/>
      <c r="AD79" s="611"/>
      <c r="AE79" s="611"/>
      <c r="AF79" s="112"/>
      <c r="AG79" s="715"/>
      <c r="AH79" s="715"/>
      <c r="AI79" s="715"/>
      <c r="AJ79" s="715"/>
      <c r="AK79" s="715"/>
      <c r="AL79" s="715"/>
      <c r="AM79" s="716"/>
      <c r="AN79" s="716"/>
      <c r="AO79" s="716"/>
      <c r="AP79" s="717"/>
      <c r="AQ79" s="717"/>
      <c r="AR79" s="1163">
        <v>0</v>
      </c>
      <c r="AS79" s="62" t="s">
        <v>2437</v>
      </c>
      <c r="AT79" s="113"/>
      <c r="AU79" s="66" t="str">
        <f t="shared" si="12"/>
        <v>Sin iniciar</v>
      </c>
      <c r="AV79" s="66" t="str">
        <f t="shared" si="13"/>
        <v>Sin iniciar</v>
      </c>
      <c r="AW79" s="716"/>
      <c r="AX79" s="599"/>
      <c r="AY79" s="600"/>
      <c r="AZ79" s="530"/>
      <c r="BA79" s="530"/>
      <c r="BB79" s="112"/>
      <c r="BC79" s="713"/>
      <c r="BD79" s="715"/>
      <c r="BE79" s="715"/>
      <c r="BF79" s="715"/>
      <c r="BG79" s="715"/>
      <c r="BH79" s="715"/>
      <c r="BI79" s="715"/>
      <c r="BJ79" s="716"/>
      <c r="BK79" s="719"/>
      <c r="BL79" s="716"/>
      <c r="BM79" s="713"/>
      <c r="BN79" s="713"/>
      <c r="BO79" s="347">
        <v>0</v>
      </c>
      <c r="BP79" s="62" t="s">
        <v>2437</v>
      </c>
      <c r="BQ79" s="62" t="s">
        <v>2437</v>
      </c>
      <c r="BR79" s="19" t="str">
        <f t="shared" si="16"/>
        <v>Sin iniciar</v>
      </c>
      <c r="BS79" s="19" t="str">
        <f t="shared" si="15"/>
        <v>Sin iniciar</v>
      </c>
      <c r="BT79" s="716"/>
      <c r="BU79" s="561"/>
      <c r="BV79" s="562"/>
      <c r="BW79" s="611"/>
      <c r="BX79" s="611"/>
      <c r="BY79" s="578"/>
      <c r="BZ79" s="713"/>
      <c r="CA79" s="715"/>
      <c r="CB79" s="715"/>
      <c r="CC79" s="715"/>
      <c r="CD79" s="715"/>
      <c r="CE79" s="715"/>
      <c r="CF79" s="715"/>
      <c r="CG79" s="716"/>
      <c r="CH79" s="716"/>
      <c r="CI79" s="716"/>
      <c r="CJ79" s="713"/>
    </row>
    <row r="80" spans="2:88" ht="171.95" customHeight="1" x14ac:dyDescent="0.25">
      <c r="B80" s="1224"/>
      <c r="C80" s="700" t="s">
        <v>301</v>
      </c>
      <c r="D80" s="95" t="s">
        <v>159</v>
      </c>
      <c r="E80" s="95" t="s">
        <v>26</v>
      </c>
      <c r="F80" s="701" t="s">
        <v>292</v>
      </c>
      <c r="G80" s="95" t="s">
        <v>28</v>
      </c>
      <c r="H80" s="95" t="s">
        <v>28</v>
      </c>
      <c r="I80" s="95" t="s">
        <v>269</v>
      </c>
      <c r="J80" s="95" t="s">
        <v>47</v>
      </c>
      <c r="K80" s="702" t="s">
        <v>302</v>
      </c>
      <c r="L80" s="96" t="s">
        <v>164</v>
      </c>
      <c r="M80" s="97" t="s">
        <v>303</v>
      </c>
      <c r="N80" s="93" t="s">
        <v>304</v>
      </c>
      <c r="O80" s="95">
        <v>0.4</v>
      </c>
      <c r="P80" s="98" t="s">
        <v>305</v>
      </c>
      <c r="Q80" s="98" t="s">
        <v>279</v>
      </c>
      <c r="R80" s="99">
        <v>0.4</v>
      </c>
      <c r="S80" s="99">
        <v>1</v>
      </c>
      <c r="T80" s="99">
        <v>1</v>
      </c>
      <c r="U80" s="99">
        <v>1</v>
      </c>
      <c r="V80" s="90">
        <v>1</v>
      </c>
      <c r="W80" s="13" t="s">
        <v>306</v>
      </c>
      <c r="X80" s="100" t="s">
        <v>2934</v>
      </c>
      <c r="Y80" s="5" t="str">
        <f t="shared" si="10"/>
        <v>En gestión</v>
      </c>
      <c r="Z80" s="5" t="str">
        <f t="shared" si="11"/>
        <v>Terminado</v>
      </c>
      <c r="AA80" s="705" t="s">
        <v>338</v>
      </c>
      <c r="AB80" s="596">
        <f>SUMPRODUCT(O80:O82,V80:V82)</f>
        <v>0.48000000000000004</v>
      </c>
      <c r="AC80" s="597">
        <f>SUMPRODUCT(O80:O82,R80:R82)</f>
        <v>0.24000000000000005</v>
      </c>
      <c r="AD80" s="610" t="str">
        <f>IF(AC80&lt;1%,"Sin iniciar",IF(AC80=100%,"Terminado","En gestión"))</f>
        <v>En gestión</v>
      </c>
      <c r="AE80" s="610" t="str">
        <f>IF(AB80&lt;1%,"Sin iniciar",IF(AB80=100%,"Terminado","En gestión"))</f>
        <v>En gestión</v>
      </c>
      <c r="AF80" s="101"/>
      <c r="AG80" s="704">
        <v>12944055.6</v>
      </c>
      <c r="AH80" s="704">
        <v>12944055.6</v>
      </c>
      <c r="AI80" s="704">
        <v>3236013.9</v>
      </c>
      <c r="AJ80" s="704">
        <v>7178000</v>
      </c>
      <c r="AK80" s="704">
        <v>0</v>
      </c>
      <c r="AL80" s="704">
        <v>0</v>
      </c>
      <c r="AM80" s="705" t="s">
        <v>2460</v>
      </c>
      <c r="AN80" s="705" t="s">
        <v>2461</v>
      </c>
      <c r="AO80" s="705" t="s">
        <v>2467</v>
      </c>
      <c r="AP80" s="709" t="s">
        <v>2468</v>
      </c>
      <c r="AQ80" s="709">
        <f>+AK80</f>
        <v>0</v>
      </c>
      <c r="AR80" s="1163">
        <v>1</v>
      </c>
      <c r="AS80" s="13" t="s">
        <v>2434</v>
      </c>
      <c r="AT80" s="114" t="s">
        <v>2900</v>
      </c>
      <c r="AU80" s="56" t="str">
        <f t="shared" si="12"/>
        <v>Terminado</v>
      </c>
      <c r="AV80" s="56" t="str">
        <f t="shared" si="13"/>
        <v>Terminado</v>
      </c>
      <c r="AW80" s="705" t="s">
        <v>338</v>
      </c>
      <c r="AX80" s="599">
        <f>SUMPRODUCT(O80:O82,AR80:AR82)</f>
        <v>0.60000000000000009</v>
      </c>
      <c r="AY80" s="600">
        <f>SUMPRODUCT(S80:S82,O80:O82)</f>
        <v>0.60000000000000009</v>
      </c>
      <c r="AZ80" s="536" t="str">
        <f>IF(AY80&lt;1%,"Sin iniciar",IF(AY80=100%,"Terminado","En gestión"))</f>
        <v>En gestión</v>
      </c>
      <c r="BA80" s="536" t="str">
        <f>IF(AX80&lt;1%,"Sin iniciar",IF(AX80=100%,"Terminado","En gestión"))</f>
        <v>En gestión</v>
      </c>
      <c r="BB80" s="101"/>
      <c r="BC80" s="703" t="s">
        <v>364</v>
      </c>
      <c r="BD80" s="704">
        <v>12944055.6</v>
      </c>
      <c r="BE80" s="704">
        <v>12944055.6</v>
      </c>
      <c r="BF80" s="704">
        <v>6472027.7999999998</v>
      </c>
      <c r="BG80" s="704">
        <v>7178000</v>
      </c>
      <c r="BH80" s="704">
        <v>0</v>
      </c>
      <c r="BI80" s="704">
        <v>0</v>
      </c>
      <c r="BJ80" s="705" t="s">
        <v>2460</v>
      </c>
      <c r="BK80" s="707" t="s">
        <v>2461</v>
      </c>
      <c r="BL80" s="705" t="s">
        <v>2467</v>
      </c>
      <c r="BM80" s="709" t="s">
        <v>2468</v>
      </c>
      <c r="BN80" s="709" t="s">
        <v>2532</v>
      </c>
      <c r="BO80" s="347">
        <v>1</v>
      </c>
      <c r="BP80" s="11" t="s">
        <v>2923</v>
      </c>
      <c r="BQ80" s="11" t="s">
        <v>2923</v>
      </c>
      <c r="BR80" s="5" t="str">
        <f t="shared" si="16"/>
        <v>Terminado</v>
      </c>
      <c r="BS80" s="5" t="str">
        <f t="shared" si="15"/>
        <v>Terminado</v>
      </c>
      <c r="BT80" s="705" t="s">
        <v>2935</v>
      </c>
      <c r="BU80" s="561">
        <f>SUMPRODUCT(O80:O82,BO80:BO82)</f>
        <v>0.68000000000000016</v>
      </c>
      <c r="BV80" s="562">
        <f>SUMPRODUCT(O80:O82,T80:T82)</f>
        <v>0.68000000000000016</v>
      </c>
      <c r="BW80" s="610" t="str">
        <f>IF(BV80&lt;1%,"Sin iniciar",IF(BV80=100%,"Terminado","En gestión"))</f>
        <v>En gestión</v>
      </c>
      <c r="BX80" s="610" t="str">
        <f>IF(BU80&lt;1%,"Sin iniciar",IF(BU80=100%,"Terminado","En gestión"))</f>
        <v>En gestión</v>
      </c>
      <c r="BY80" s="573" t="s">
        <v>37</v>
      </c>
      <c r="BZ80" s="703" t="s">
        <v>364</v>
      </c>
      <c r="CA80" s="704">
        <v>12944055.6</v>
      </c>
      <c r="CB80" s="704">
        <v>13281899</v>
      </c>
      <c r="CC80" s="704">
        <v>9961425</v>
      </c>
      <c r="CD80" s="704">
        <v>7178000</v>
      </c>
      <c r="CE80" s="704">
        <v>0</v>
      </c>
      <c r="CF80" s="704">
        <v>0</v>
      </c>
      <c r="CG80" s="705" t="s">
        <v>2629</v>
      </c>
      <c r="CH80" s="705" t="s">
        <v>2629</v>
      </c>
      <c r="CI80" s="709" t="s">
        <v>2629</v>
      </c>
      <c r="CJ80" s="709" t="s">
        <v>2629</v>
      </c>
    </row>
    <row r="81" spans="2:88" ht="171.95" customHeight="1" x14ac:dyDescent="0.25">
      <c r="B81" s="1224"/>
      <c r="C81" s="700"/>
      <c r="D81" s="95" t="s">
        <v>159</v>
      </c>
      <c r="E81" s="95" t="s">
        <v>26</v>
      </c>
      <c r="F81" s="701"/>
      <c r="G81" s="95" t="s">
        <v>28</v>
      </c>
      <c r="H81" s="95" t="s">
        <v>28</v>
      </c>
      <c r="I81" s="95" t="s">
        <v>269</v>
      </c>
      <c r="J81" s="95" t="s">
        <v>47</v>
      </c>
      <c r="K81" s="702"/>
      <c r="L81" s="96" t="s">
        <v>164</v>
      </c>
      <c r="M81" s="97" t="s">
        <v>307</v>
      </c>
      <c r="N81" s="93" t="s">
        <v>308</v>
      </c>
      <c r="O81" s="95">
        <v>0.2</v>
      </c>
      <c r="P81" s="98" t="s">
        <v>305</v>
      </c>
      <c r="Q81" s="98" t="s">
        <v>279</v>
      </c>
      <c r="R81" s="99">
        <v>0.4</v>
      </c>
      <c r="S81" s="99">
        <v>1</v>
      </c>
      <c r="T81" s="99">
        <v>1</v>
      </c>
      <c r="U81" s="99">
        <v>1</v>
      </c>
      <c r="V81" s="90">
        <v>0.4</v>
      </c>
      <c r="W81" s="13" t="s">
        <v>309</v>
      </c>
      <c r="X81" s="118" t="s">
        <v>2936</v>
      </c>
      <c r="Y81" s="5" t="str">
        <f t="shared" si="10"/>
        <v>En gestión</v>
      </c>
      <c r="Z81" s="5" t="str">
        <f t="shared" si="11"/>
        <v>En gestión</v>
      </c>
      <c r="AA81" s="705"/>
      <c r="AB81" s="596"/>
      <c r="AC81" s="597"/>
      <c r="AD81" s="610"/>
      <c r="AE81" s="610"/>
      <c r="AF81" s="101"/>
      <c r="AG81" s="704"/>
      <c r="AH81" s="704"/>
      <c r="AI81" s="704"/>
      <c r="AJ81" s="704"/>
      <c r="AK81" s="704"/>
      <c r="AL81" s="704"/>
      <c r="AM81" s="705"/>
      <c r="AN81" s="705"/>
      <c r="AO81" s="705"/>
      <c r="AP81" s="709"/>
      <c r="AQ81" s="709"/>
      <c r="AR81" s="1163">
        <v>1</v>
      </c>
      <c r="AS81" s="13" t="s">
        <v>352</v>
      </c>
      <c r="AT81" s="114" t="s">
        <v>2937</v>
      </c>
      <c r="AU81" s="56" t="str">
        <f t="shared" si="12"/>
        <v>Terminado</v>
      </c>
      <c r="AV81" s="56" t="str">
        <f t="shared" si="13"/>
        <v>Terminado</v>
      </c>
      <c r="AW81" s="705"/>
      <c r="AX81" s="599"/>
      <c r="AY81" s="600"/>
      <c r="AZ81" s="536"/>
      <c r="BA81" s="536"/>
      <c r="BB81" s="101"/>
      <c r="BC81" s="703"/>
      <c r="BD81" s="704"/>
      <c r="BE81" s="704"/>
      <c r="BF81" s="704"/>
      <c r="BG81" s="704"/>
      <c r="BH81" s="704"/>
      <c r="BI81" s="704"/>
      <c r="BJ81" s="705"/>
      <c r="BK81" s="707"/>
      <c r="BL81" s="705"/>
      <c r="BM81" s="709"/>
      <c r="BN81" s="703"/>
      <c r="BO81" s="347">
        <v>1</v>
      </c>
      <c r="BP81" s="11" t="s">
        <v>2923</v>
      </c>
      <c r="BQ81" s="11" t="s">
        <v>2923</v>
      </c>
      <c r="BR81" s="5" t="str">
        <f t="shared" si="16"/>
        <v>Terminado</v>
      </c>
      <c r="BS81" s="5" t="str">
        <f t="shared" si="15"/>
        <v>Terminado</v>
      </c>
      <c r="BT81" s="705"/>
      <c r="BU81" s="561"/>
      <c r="BV81" s="562"/>
      <c r="BW81" s="610"/>
      <c r="BX81" s="610"/>
      <c r="BY81" s="573"/>
      <c r="BZ81" s="703"/>
      <c r="CA81" s="704"/>
      <c r="CB81" s="704"/>
      <c r="CC81" s="704"/>
      <c r="CD81" s="704"/>
      <c r="CE81" s="704"/>
      <c r="CF81" s="704"/>
      <c r="CG81" s="705"/>
      <c r="CH81" s="705"/>
      <c r="CI81" s="709"/>
      <c r="CJ81" s="703"/>
    </row>
    <row r="82" spans="2:88" ht="171.95" customHeight="1" x14ac:dyDescent="0.25">
      <c r="B82" s="1224"/>
      <c r="C82" s="700"/>
      <c r="D82" s="95" t="s">
        <v>159</v>
      </c>
      <c r="E82" s="95" t="s">
        <v>26</v>
      </c>
      <c r="F82" s="701"/>
      <c r="G82" s="95" t="s">
        <v>28</v>
      </c>
      <c r="H82" s="95" t="s">
        <v>28</v>
      </c>
      <c r="I82" s="95" t="s">
        <v>269</v>
      </c>
      <c r="J82" s="95" t="s">
        <v>47</v>
      </c>
      <c r="K82" s="702"/>
      <c r="L82" s="96" t="s">
        <v>164</v>
      </c>
      <c r="M82" s="97" t="s">
        <v>310</v>
      </c>
      <c r="N82" s="93" t="s">
        <v>311</v>
      </c>
      <c r="O82" s="95">
        <v>0.4</v>
      </c>
      <c r="P82" s="98">
        <v>44378</v>
      </c>
      <c r="Q82" s="98">
        <v>44560</v>
      </c>
      <c r="R82" s="99">
        <v>0</v>
      </c>
      <c r="S82" s="99">
        <v>0</v>
      </c>
      <c r="T82" s="99">
        <v>0.2</v>
      </c>
      <c r="U82" s="99">
        <v>1</v>
      </c>
      <c r="V82" s="90">
        <v>0</v>
      </c>
      <c r="W82" s="56" t="s">
        <v>37</v>
      </c>
      <c r="X82" s="100" t="s">
        <v>37</v>
      </c>
      <c r="Y82" s="5" t="str">
        <f t="shared" si="10"/>
        <v>Sin iniciar</v>
      </c>
      <c r="Z82" s="5" t="str">
        <f t="shared" si="11"/>
        <v>Sin iniciar</v>
      </c>
      <c r="AA82" s="705"/>
      <c r="AB82" s="596"/>
      <c r="AC82" s="597"/>
      <c r="AD82" s="610"/>
      <c r="AE82" s="610"/>
      <c r="AF82" s="101"/>
      <c r="AG82" s="704"/>
      <c r="AH82" s="704"/>
      <c r="AI82" s="704"/>
      <c r="AJ82" s="704"/>
      <c r="AK82" s="704"/>
      <c r="AL82" s="704"/>
      <c r="AM82" s="705"/>
      <c r="AN82" s="705"/>
      <c r="AO82" s="705"/>
      <c r="AP82" s="709"/>
      <c r="AQ82" s="709"/>
      <c r="AR82" s="1163">
        <v>0</v>
      </c>
      <c r="AS82" s="13" t="s">
        <v>2437</v>
      </c>
      <c r="AT82" s="102"/>
      <c r="AU82" s="56" t="str">
        <f t="shared" si="12"/>
        <v>Sin iniciar</v>
      </c>
      <c r="AV82" s="56" t="str">
        <f t="shared" si="13"/>
        <v>Sin iniciar</v>
      </c>
      <c r="AW82" s="705"/>
      <c r="AX82" s="599"/>
      <c r="AY82" s="600"/>
      <c r="AZ82" s="536"/>
      <c r="BA82" s="536"/>
      <c r="BB82" s="101"/>
      <c r="BC82" s="703"/>
      <c r="BD82" s="704"/>
      <c r="BE82" s="704"/>
      <c r="BF82" s="704"/>
      <c r="BG82" s="704"/>
      <c r="BH82" s="704"/>
      <c r="BI82" s="704"/>
      <c r="BJ82" s="705"/>
      <c r="BK82" s="707"/>
      <c r="BL82" s="705"/>
      <c r="BM82" s="709"/>
      <c r="BN82" s="703"/>
      <c r="BO82" s="347">
        <v>0.2</v>
      </c>
      <c r="BP82" s="11" t="s">
        <v>2938</v>
      </c>
      <c r="BQ82" s="368" t="s">
        <v>5235</v>
      </c>
      <c r="BR82" s="5" t="str">
        <f t="shared" si="16"/>
        <v>En gestión</v>
      </c>
      <c r="BS82" s="5" t="str">
        <f t="shared" si="15"/>
        <v>En gestión</v>
      </c>
      <c r="BT82" s="705"/>
      <c r="BU82" s="561"/>
      <c r="BV82" s="562"/>
      <c r="BW82" s="610"/>
      <c r="BX82" s="610"/>
      <c r="BY82" s="573"/>
      <c r="BZ82" s="703"/>
      <c r="CA82" s="704"/>
      <c r="CB82" s="704"/>
      <c r="CC82" s="704"/>
      <c r="CD82" s="704"/>
      <c r="CE82" s="704"/>
      <c r="CF82" s="704"/>
      <c r="CG82" s="705"/>
      <c r="CH82" s="705"/>
      <c r="CI82" s="709"/>
      <c r="CJ82" s="703"/>
    </row>
    <row r="83" spans="2:88" ht="171.95" customHeight="1" x14ac:dyDescent="0.25">
      <c r="B83" s="1224"/>
      <c r="C83" s="710" t="s">
        <v>312</v>
      </c>
      <c r="D83" s="105" t="s">
        <v>159</v>
      </c>
      <c r="E83" s="105" t="s">
        <v>26</v>
      </c>
      <c r="F83" s="711" t="s">
        <v>292</v>
      </c>
      <c r="G83" s="105" t="s">
        <v>28</v>
      </c>
      <c r="H83" s="105" t="s">
        <v>28</v>
      </c>
      <c r="I83" s="105" t="s">
        <v>269</v>
      </c>
      <c r="J83" s="105" t="s">
        <v>47</v>
      </c>
      <c r="K83" s="712" t="s">
        <v>313</v>
      </c>
      <c r="L83" s="106" t="s">
        <v>164</v>
      </c>
      <c r="M83" s="107" t="s">
        <v>314</v>
      </c>
      <c r="N83" s="108" t="s">
        <v>304</v>
      </c>
      <c r="O83" s="105">
        <v>0.4</v>
      </c>
      <c r="P83" s="109" t="s">
        <v>305</v>
      </c>
      <c r="Q83" s="109" t="s">
        <v>279</v>
      </c>
      <c r="R83" s="110">
        <v>0.4</v>
      </c>
      <c r="S83" s="110">
        <v>1</v>
      </c>
      <c r="T83" s="110">
        <v>1</v>
      </c>
      <c r="U83" s="110">
        <v>1</v>
      </c>
      <c r="V83" s="90">
        <v>1</v>
      </c>
      <c r="W83" s="62" t="s">
        <v>315</v>
      </c>
      <c r="X83" s="111" t="s">
        <v>2939</v>
      </c>
      <c r="Y83" s="19" t="str">
        <f t="shared" si="10"/>
        <v>En gestión</v>
      </c>
      <c r="Z83" s="19" t="str">
        <f t="shared" si="11"/>
        <v>Terminado</v>
      </c>
      <c r="AA83" s="716" t="s">
        <v>339</v>
      </c>
      <c r="AB83" s="596">
        <f>SUMPRODUCT(O83:O85,V83:V85)</f>
        <v>0.60000000000000009</v>
      </c>
      <c r="AC83" s="597">
        <f>SUMPRODUCT(O83:O85,R83:R85)</f>
        <v>0.24000000000000005</v>
      </c>
      <c r="AD83" s="611" t="str">
        <f>IF(AC83&lt;1%,"Sin iniciar",IF(AC83=100%,"Terminado","En gestión"))</f>
        <v>En gestión</v>
      </c>
      <c r="AE83" s="611" t="str">
        <f>IF(AB83&lt;1%,"Sin iniciar",IF(AB83=100%,"Terminado","En gestión"))</f>
        <v>En gestión</v>
      </c>
      <c r="AF83" s="112"/>
      <c r="AG83" s="715">
        <v>24099730.199999999</v>
      </c>
      <c r="AH83" s="715">
        <v>24099730.199999999</v>
      </c>
      <c r="AI83" s="715">
        <v>6024932.5499999998</v>
      </c>
      <c r="AJ83" s="715">
        <v>27584000</v>
      </c>
      <c r="AK83" s="715">
        <v>0</v>
      </c>
      <c r="AL83" s="715">
        <v>0</v>
      </c>
      <c r="AM83" s="716" t="s">
        <v>2460</v>
      </c>
      <c r="AN83" s="716" t="s">
        <v>2461</v>
      </c>
      <c r="AO83" s="716" t="s">
        <v>2467</v>
      </c>
      <c r="AP83" s="717" t="s">
        <v>2468</v>
      </c>
      <c r="AQ83" s="717">
        <f>+AK83</f>
        <v>0</v>
      </c>
      <c r="AR83" s="1163">
        <v>1</v>
      </c>
      <c r="AS83" s="62" t="s">
        <v>2434</v>
      </c>
      <c r="AT83" s="123" t="s">
        <v>2900</v>
      </c>
      <c r="AU83" s="66" t="str">
        <f t="shared" si="12"/>
        <v>Terminado</v>
      </c>
      <c r="AV83" s="66" t="str">
        <f t="shared" si="13"/>
        <v>Terminado</v>
      </c>
      <c r="AW83" s="716" t="s">
        <v>339</v>
      </c>
      <c r="AX83" s="599">
        <f>SUMPRODUCT(O83:O85,AR83:AR85)</f>
        <v>0.60000000000000009</v>
      </c>
      <c r="AY83" s="600">
        <f>SUMPRODUCT(S83:S85,O83:O85)</f>
        <v>0.60000000000000009</v>
      </c>
      <c r="AZ83" s="530" t="str">
        <f>IF(AY83&lt;1%,"Sin iniciar",IF(AY83=100%,"Terminado","En gestión"))</f>
        <v>En gestión</v>
      </c>
      <c r="BA83" s="530" t="str">
        <f>IF(AX83&lt;1%,"Sin iniciar",IF(AX83=100%,"Terminado","En gestión"))</f>
        <v>En gestión</v>
      </c>
      <c r="BB83" s="112"/>
      <c r="BC83" s="713" t="s">
        <v>364</v>
      </c>
      <c r="BD83" s="715">
        <v>24099730.199999999</v>
      </c>
      <c r="BE83" s="715">
        <v>24099730.199999999</v>
      </c>
      <c r="BF83" s="715">
        <v>12049865.1</v>
      </c>
      <c r="BG83" s="715">
        <v>27584000</v>
      </c>
      <c r="BH83" s="715">
        <v>0</v>
      </c>
      <c r="BI83" s="715">
        <v>0</v>
      </c>
      <c r="BJ83" s="716" t="s">
        <v>2460</v>
      </c>
      <c r="BK83" s="719" t="s">
        <v>2461</v>
      </c>
      <c r="BL83" s="716" t="s">
        <v>2467</v>
      </c>
      <c r="BM83" s="717" t="s">
        <v>2468</v>
      </c>
      <c r="BN83" s="717" t="s">
        <v>2532</v>
      </c>
      <c r="BO83" s="347">
        <v>1</v>
      </c>
      <c r="BP83" s="62" t="s">
        <v>2434</v>
      </c>
      <c r="BQ83" s="62" t="s">
        <v>2434</v>
      </c>
      <c r="BR83" s="19" t="str">
        <f t="shared" si="16"/>
        <v>Terminado</v>
      </c>
      <c r="BS83" s="19" t="str">
        <f t="shared" si="15"/>
        <v>Terminado</v>
      </c>
      <c r="BT83" s="716" t="s">
        <v>2940</v>
      </c>
      <c r="BU83" s="561">
        <f>SUMPRODUCT(O83:O85,BO83:BO85)</f>
        <v>0.8</v>
      </c>
      <c r="BV83" s="562">
        <f>SUMPRODUCT(O83:O85,T83:T85)</f>
        <v>0.68000000000000016</v>
      </c>
      <c r="BW83" s="611" t="str">
        <f>IF(BV83&lt;1%,"Sin iniciar",IF(BV83=100%,"Terminado","En gestión"))</f>
        <v>En gestión</v>
      </c>
      <c r="BX83" s="611" t="str">
        <f>IF(BU83&lt;1%,"Sin iniciar",IF(BU83=100%,"Terminado","En gestión"))</f>
        <v>En gestión</v>
      </c>
      <c r="BY83" s="578" t="s">
        <v>37</v>
      </c>
      <c r="BZ83" s="713" t="s">
        <v>364</v>
      </c>
      <c r="CA83" s="715">
        <v>24099730.199999999</v>
      </c>
      <c r="CB83" s="715">
        <v>24728735</v>
      </c>
      <c r="CC83" s="715">
        <v>18546551</v>
      </c>
      <c r="CD83" s="715">
        <v>27584000</v>
      </c>
      <c r="CE83" s="715">
        <v>0</v>
      </c>
      <c r="CF83" s="715">
        <v>0</v>
      </c>
      <c r="CG83" s="716" t="s">
        <v>2629</v>
      </c>
      <c r="CH83" s="716" t="s">
        <v>2629</v>
      </c>
      <c r="CI83" s="717" t="s">
        <v>2629</v>
      </c>
      <c r="CJ83" s="717" t="s">
        <v>2629</v>
      </c>
    </row>
    <row r="84" spans="2:88" ht="171.95" customHeight="1" x14ac:dyDescent="0.25">
      <c r="B84" s="1224"/>
      <c r="C84" s="710"/>
      <c r="D84" s="105" t="s">
        <v>159</v>
      </c>
      <c r="E84" s="105" t="s">
        <v>26</v>
      </c>
      <c r="F84" s="711"/>
      <c r="G84" s="105" t="s">
        <v>28</v>
      </c>
      <c r="H84" s="105" t="s">
        <v>28</v>
      </c>
      <c r="I84" s="105" t="s">
        <v>269</v>
      </c>
      <c r="J84" s="105" t="s">
        <v>47</v>
      </c>
      <c r="K84" s="712"/>
      <c r="L84" s="106" t="s">
        <v>164</v>
      </c>
      <c r="M84" s="107" t="s">
        <v>316</v>
      </c>
      <c r="N84" s="108" t="s">
        <v>308</v>
      </c>
      <c r="O84" s="105">
        <v>0.2</v>
      </c>
      <c r="P84" s="109" t="s">
        <v>305</v>
      </c>
      <c r="Q84" s="109" t="s">
        <v>279</v>
      </c>
      <c r="R84" s="110">
        <v>0.4</v>
      </c>
      <c r="S84" s="110">
        <v>1</v>
      </c>
      <c r="T84" s="110">
        <v>1</v>
      </c>
      <c r="U84" s="110">
        <v>1</v>
      </c>
      <c r="V84" s="90">
        <v>1</v>
      </c>
      <c r="W84" s="62" t="s">
        <v>317</v>
      </c>
      <c r="X84" s="111" t="s">
        <v>2941</v>
      </c>
      <c r="Y84" s="19" t="str">
        <f t="shared" si="10"/>
        <v>En gestión</v>
      </c>
      <c r="Z84" s="19" t="str">
        <f t="shared" si="11"/>
        <v>Terminado</v>
      </c>
      <c r="AA84" s="716"/>
      <c r="AB84" s="596"/>
      <c r="AC84" s="597"/>
      <c r="AD84" s="611"/>
      <c r="AE84" s="611"/>
      <c r="AF84" s="112"/>
      <c r="AG84" s="715"/>
      <c r="AH84" s="715"/>
      <c r="AI84" s="715"/>
      <c r="AJ84" s="715"/>
      <c r="AK84" s="715"/>
      <c r="AL84" s="715"/>
      <c r="AM84" s="716"/>
      <c r="AN84" s="716"/>
      <c r="AO84" s="716"/>
      <c r="AP84" s="717"/>
      <c r="AQ84" s="717"/>
      <c r="AR84" s="1163">
        <v>1</v>
      </c>
      <c r="AS84" s="62" t="s">
        <v>2434</v>
      </c>
      <c r="AT84" s="123" t="s">
        <v>2900</v>
      </c>
      <c r="AU84" s="66" t="str">
        <f t="shared" si="12"/>
        <v>Terminado</v>
      </c>
      <c r="AV84" s="66" t="str">
        <f t="shared" si="13"/>
        <v>Terminado</v>
      </c>
      <c r="AW84" s="716"/>
      <c r="AX84" s="599"/>
      <c r="AY84" s="600"/>
      <c r="AZ84" s="530"/>
      <c r="BA84" s="530"/>
      <c r="BB84" s="112"/>
      <c r="BC84" s="713"/>
      <c r="BD84" s="715"/>
      <c r="BE84" s="715"/>
      <c r="BF84" s="715"/>
      <c r="BG84" s="715"/>
      <c r="BH84" s="715"/>
      <c r="BI84" s="715"/>
      <c r="BJ84" s="716"/>
      <c r="BK84" s="719"/>
      <c r="BL84" s="716"/>
      <c r="BM84" s="717"/>
      <c r="BN84" s="713"/>
      <c r="BO84" s="347">
        <v>1</v>
      </c>
      <c r="BP84" s="62" t="s">
        <v>2434</v>
      </c>
      <c r="BQ84" s="62" t="s">
        <v>2434</v>
      </c>
      <c r="BR84" s="19" t="str">
        <f t="shared" si="16"/>
        <v>Terminado</v>
      </c>
      <c r="BS84" s="19" t="str">
        <f t="shared" si="15"/>
        <v>Terminado</v>
      </c>
      <c r="BT84" s="716"/>
      <c r="BU84" s="561"/>
      <c r="BV84" s="562"/>
      <c r="BW84" s="611"/>
      <c r="BX84" s="611"/>
      <c r="BY84" s="578"/>
      <c r="BZ84" s="713"/>
      <c r="CA84" s="715"/>
      <c r="CB84" s="715"/>
      <c r="CC84" s="715"/>
      <c r="CD84" s="715"/>
      <c r="CE84" s="715"/>
      <c r="CF84" s="715"/>
      <c r="CG84" s="716"/>
      <c r="CH84" s="716"/>
      <c r="CI84" s="717"/>
      <c r="CJ84" s="713"/>
    </row>
    <row r="85" spans="2:88" ht="171.95" customHeight="1" x14ac:dyDescent="0.25">
      <c r="B85" s="1224"/>
      <c r="C85" s="710"/>
      <c r="D85" s="105" t="s">
        <v>159</v>
      </c>
      <c r="E85" s="105" t="s">
        <v>26</v>
      </c>
      <c r="F85" s="711"/>
      <c r="G85" s="105" t="s">
        <v>28</v>
      </c>
      <c r="H85" s="105" t="s">
        <v>28</v>
      </c>
      <c r="I85" s="105" t="s">
        <v>269</v>
      </c>
      <c r="J85" s="105" t="s">
        <v>47</v>
      </c>
      <c r="K85" s="712"/>
      <c r="L85" s="106" t="s">
        <v>164</v>
      </c>
      <c r="M85" s="107" t="s">
        <v>318</v>
      </c>
      <c r="N85" s="108" t="s">
        <v>311</v>
      </c>
      <c r="O85" s="105">
        <v>0.4</v>
      </c>
      <c r="P85" s="109">
        <v>44378</v>
      </c>
      <c r="Q85" s="109">
        <v>44560</v>
      </c>
      <c r="R85" s="110">
        <v>0</v>
      </c>
      <c r="S85" s="110">
        <v>0</v>
      </c>
      <c r="T85" s="110">
        <v>0.2</v>
      </c>
      <c r="U85" s="110">
        <v>1</v>
      </c>
      <c r="V85" s="90">
        <v>0</v>
      </c>
      <c r="W85" s="66" t="s">
        <v>37</v>
      </c>
      <c r="X85" s="111" t="s">
        <v>37</v>
      </c>
      <c r="Y85" s="19" t="str">
        <f t="shared" si="10"/>
        <v>Sin iniciar</v>
      </c>
      <c r="Z85" s="19" t="str">
        <f t="shared" si="11"/>
        <v>Sin iniciar</v>
      </c>
      <c r="AA85" s="716"/>
      <c r="AB85" s="596"/>
      <c r="AC85" s="597"/>
      <c r="AD85" s="611"/>
      <c r="AE85" s="611"/>
      <c r="AF85" s="112"/>
      <c r="AG85" s="715"/>
      <c r="AH85" s="715"/>
      <c r="AI85" s="715"/>
      <c r="AJ85" s="715"/>
      <c r="AK85" s="715"/>
      <c r="AL85" s="715"/>
      <c r="AM85" s="716"/>
      <c r="AN85" s="716"/>
      <c r="AO85" s="716"/>
      <c r="AP85" s="717"/>
      <c r="AQ85" s="717"/>
      <c r="AR85" s="1163">
        <v>0</v>
      </c>
      <c r="AS85" s="62" t="s">
        <v>2437</v>
      </c>
      <c r="AT85" s="113"/>
      <c r="AU85" s="66" t="str">
        <f t="shared" si="12"/>
        <v>Sin iniciar</v>
      </c>
      <c r="AV85" s="66" t="str">
        <f t="shared" si="13"/>
        <v>Sin iniciar</v>
      </c>
      <c r="AW85" s="716"/>
      <c r="AX85" s="599"/>
      <c r="AY85" s="600"/>
      <c r="AZ85" s="530"/>
      <c r="BA85" s="530"/>
      <c r="BB85" s="112"/>
      <c r="BC85" s="713"/>
      <c r="BD85" s="715"/>
      <c r="BE85" s="715"/>
      <c r="BF85" s="715"/>
      <c r="BG85" s="715"/>
      <c r="BH85" s="715"/>
      <c r="BI85" s="715"/>
      <c r="BJ85" s="716"/>
      <c r="BK85" s="719"/>
      <c r="BL85" s="716"/>
      <c r="BM85" s="717"/>
      <c r="BN85" s="713"/>
      <c r="BO85" s="347">
        <v>0.5</v>
      </c>
      <c r="BP85" s="24" t="s">
        <v>2942</v>
      </c>
      <c r="BQ85" s="369" t="s">
        <v>5236</v>
      </c>
      <c r="BR85" s="19" t="str">
        <f t="shared" si="16"/>
        <v>En gestión</v>
      </c>
      <c r="BS85" s="19" t="str">
        <f t="shared" si="15"/>
        <v>En gestión</v>
      </c>
      <c r="BT85" s="716"/>
      <c r="BU85" s="561"/>
      <c r="BV85" s="562"/>
      <c r="BW85" s="611"/>
      <c r="BX85" s="611"/>
      <c r="BY85" s="578"/>
      <c r="BZ85" s="713"/>
      <c r="CA85" s="715"/>
      <c r="CB85" s="715"/>
      <c r="CC85" s="715"/>
      <c r="CD85" s="715"/>
      <c r="CE85" s="715"/>
      <c r="CF85" s="715"/>
      <c r="CG85" s="716"/>
      <c r="CH85" s="716"/>
      <c r="CI85" s="717"/>
      <c r="CJ85" s="713"/>
    </row>
    <row r="86" spans="2:88" ht="171.95" customHeight="1" x14ac:dyDescent="0.25">
      <c r="B86" s="1224"/>
      <c r="C86" s="700" t="s">
        <v>319</v>
      </c>
      <c r="D86" s="95" t="s">
        <v>159</v>
      </c>
      <c r="E86" s="95" t="s">
        <v>26</v>
      </c>
      <c r="F86" s="701" t="s">
        <v>292</v>
      </c>
      <c r="G86" s="95" t="s">
        <v>28</v>
      </c>
      <c r="H86" s="95" t="s">
        <v>28</v>
      </c>
      <c r="I86" s="95" t="s">
        <v>269</v>
      </c>
      <c r="J86" s="95" t="s">
        <v>47</v>
      </c>
      <c r="K86" s="702" t="s">
        <v>320</v>
      </c>
      <c r="L86" s="96" t="s">
        <v>164</v>
      </c>
      <c r="M86" s="97" t="s">
        <v>321</v>
      </c>
      <c r="N86" s="93" t="s">
        <v>304</v>
      </c>
      <c r="O86" s="95">
        <v>0.4</v>
      </c>
      <c r="P86" s="98" t="s">
        <v>305</v>
      </c>
      <c r="Q86" s="98" t="s">
        <v>279</v>
      </c>
      <c r="R86" s="99">
        <v>0</v>
      </c>
      <c r="S86" s="99">
        <v>0.4</v>
      </c>
      <c r="T86" s="99">
        <v>1</v>
      </c>
      <c r="U86" s="99">
        <v>1</v>
      </c>
      <c r="V86" s="90">
        <v>0</v>
      </c>
      <c r="W86" s="56" t="s">
        <v>37</v>
      </c>
      <c r="X86" s="100" t="s">
        <v>37</v>
      </c>
      <c r="Y86" s="5" t="str">
        <f t="shared" si="10"/>
        <v>Sin iniciar</v>
      </c>
      <c r="Z86" s="5" t="str">
        <f t="shared" si="11"/>
        <v>Sin iniciar</v>
      </c>
      <c r="AA86" s="703" t="s">
        <v>179</v>
      </c>
      <c r="AB86" s="596">
        <f>SUMPRODUCT(O86:O88,V86:V88)</f>
        <v>0</v>
      </c>
      <c r="AC86" s="597">
        <f>SUMPRODUCT(O86:O88,R86:R88)</f>
        <v>0</v>
      </c>
      <c r="AD86" s="610" t="str">
        <f>IF(AC86&lt;1%,"Sin iniciar",IF(AC86=100%,"Terminado","En gestión"))</f>
        <v>Sin iniciar</v>
      </c>
      <c r="AE86" s="610" t="str">
        <f>IF(AB86&lt;1%,"Sin iniciar",IF(AB86=100%,"Terminado","En gestión"))</f>
        <v>Sin iniciar</v>
      </c>
      <c r="AF86" s="101"/>
      <c r="AG86" s="704">
        <v>178304849.40000001</v>
      </c>
      <c r="AH86" s="704">
        <v>132484015.80000001</v>
      </c>
      <c r="AI86" s="704">
        <v>33121003.950000003</v>
      </c>
      <c r="AJ86" s="704">
        <v>39600000</v>
      </c>
      <c r="AK86" s="704">
        <v>0</v>
      </c>
      <c r="AL86" s="704">
        <v>0</v>
      </c>
      <c r="AM86" s="705" t="s">
        <v>2460</v>
      </c>
      <c r="AN86" s="705" t="s">
        <v>2461</v>
      </c>
      <c r="AO86" s="705" t="s">
        <v>2467</v>
      </c>
      <c r="AP86" s="709" t="s">
        <v>2468</v>
      </c>
      <c r="AQ86" s="709">
        <f>+AK86</f>
        <v>0</v>
      </c>
      <c r="AR86" s="1163">
        <v>0.4</v>
      </c>
      <c r="AS86" s="100" t="s">
        <v>353</v>
      </c>
      <c r="AT86" s="102" t="s">
        <v>2943</v>
      </c>
      <c r="AU86" s="56" t="str">
        <f t="shared" si="12"/>
        <v>En gestión</v>
      </c>
      <c r="AV86" s="56" t="str">
        <f t="shared" si="13"/>
        <v>En gestión</v>
      </c>
      <c r="AW86" s="705" t="s">
        <v>369</v>
      </c>
      <c r="AX86" s="599">
        <f>SUMPRODUCT(O86:O88,AR86:AR88)</f>
        <v>0.24000000000000005</v>
      </c>
      <c r="AY86" s="600">
        <f>SUMPRODUCT(S86:S88,O86:O88)</f>
        <v>0.24000000000000005</v>
      </c>
      <c r="AZ86" s="536" t="str">
        <f>IF(AY86&lt;1%,"Sin iniciar",IF(AY86=100%,"Terminado","En gestión"))</f>
        <v>En gestión</v>
      </c>
      <c r="BA86" s="536" t="str">
        <f>IF(AX86&lt;1%,"Sin iniciar",IF(AX86=100%,"Terminado","En gestión"))</f>
        <v>En gestión</v>
      </c>
      <c r="BB86" s="101"/>
      <c r="BC86" s="703" t="s">
        <v>364</v>
      </c>
      <c r="BD86" s="704">
        <v>132484015.80000001</v>
      </c>
      <c r="BE86" s="704">
        <v>117572130.60000001</v>
      </c>
      <c r="BF86" s="704">
        <v>58786065.300000004</v>
      </c>
      <c r="BG86" s="704">
        <v>39600000</v>
      </c>
      <c r="BH86" s="704">
        <v>3178000</v>
      </c>
      <c r="BI86" s="704">
        <v>0</v>
      </c>
      <c r="BJ86" s="705" t="s">
        <v>2460</v>
      </c>
      <c r="BK86" s="707" t="s">
        <v>2461</v>
      </c>
      <c r="BL86" s="705" t="s">
        <v>2467</v>
      </c>
      <c r="BM86" s="709" t="s">
        <v>2468</v>
      </c>
      <c r="BN86" s="709" t="s">
        <v>2532</v>
      </c>
      <c r="BO86" s="347">
        <v>1</v>
      </c>
      <c r="BP86" s="11" t="s">
        <v>2944</v>
      </c>
      <c r="BQ86" s="11" t="s">
        <v>2945</v>
      </c>
      <c r="BR86" s="5" t="str">
        <f t="shared" si="16"/>
        <v>Terminado</v>
      </c>
      <c r="BS86" s="5" t="str">
        <f t="shared" si="15"/>
        <v>Terminado</v>
      </c>
      <c r="BT86" s="705" t="s">
        <v>2946</v>
      </c>
      <c r="BU86" s="561">
        <f>SUMPRODUCT(O86:O88,BO86:BO88)</f>
        <v>0.68000000000000016</v>
      </c>
      <c r="BV86" s="562">
        <f>SUMPRODUCT(O86:O88,T86:T88)</f>
        <v>0.68000000000000016</v>
      </c>
      <c r="BW86" s="610" t="str">
        <f>IF(BV86&lt;1%,"Sin iniciar",IF(BV86=100%,"Terminado","En gestión"))</f>
        <v>En gestión</v>
      </c>
      <c r="BX86" s="610" t="str">
        <f>IF(BU86&lt;1%,"Sin iniciar",IF(BU86=100%,"Terminado","En gestión"))</f>
        <v>En gestión</v>
      </c>
      <c r="BY86" s="573" t="s">
        <v>37</v>
      </c>
      <c r="BZ86" s="703" t="s">
        <v>364</v>
      </c>
      <c r="CA86" s="704">
        <v>132484015.80000001</v>
      </c>
      <c r="CB86" s="704">
        <v>108343715</v>
      </c>
      <c r="CC86" s="704">
        <v>41139971</v>
      </c>
      <c r="CD86" s="704">
        <v>39600000</v>
      </c>
      <c r="CE86" s="704">
        <v>0</v>
      </c>
      <c r="CF86" s="704">
        <v>0</v>
      </c>
      <c r="CG86" s="705" t="s">
        <v>2629</v>
      </c>
      <c r="CH86" s="705" t="s">
        <v>2629</v>
      </c>
      <c r="CI86" s="709" t="s">
        <v>2629</v>
      </c>
      <c r="CJ86" s="709" t="s">
        <v>2629</v>
      </c>
    </row>
    <row r="87" spans="2:88" ht="171.95" customHeight="1" x14ac:dyDescent="0.25">
      <c r="B87" s="1224"/>
      <c r="C87" s="700"/>
      <c r="D87" s="95" t="s">
        <v>159</v>
      </c>
      <c r="E87" s="95" t="s">
        <v>26</v>
      </c>
      <c r="F87" s="701"/>
      <c r="G87" s="95" t="s">
        <v>28</v>
      </c>
      <c r="H87" s="95" t="s">
        <v>28</v>
      </c>
      <c r="I87" s="95" t="s">
        <v>269</v>
      </c>
      <c r="J87" s="95" t="s">
        <v>47</v>
      </c>
      <c r="K87" s="702"/>
      <c r="L87" s="96" t="s">
        <v>164</v>
      </c>
      <c r="M87" s="97" t="s">
        <v>322</v>
      </c>
      <c r="N87" s="93" t="s">
        <v>308</v>
      </c>
      <c r="O87" s="95">
        <v>0.2</v>
      </c>
      <c r="P87" s="98" t="s">
        <v>305</v>
      </c>
      <c r="Q87" s="98">
        <v>44469</v>
      </c>
      <c r="R87" s="99">
        <v>0</v>
      </c>
      <c r="S87" s="99">
        <v>0.4</v>
      </c>
      <c r="T87" s="99">
        <v>1</v>
      </c>
      <c r="U87" s="99">
        <v>1</v>
      </c>
      <c r="V87" s="90">
        <v>0</v>
      </c>
      <c r="W87" s="56" t="s">
        <v>37</v>
      </c>
      <c r="X87" s="100" t="s">
        <v>37</v>
      </c>
      <c r="Y87" s="5" t="str">
        <f t="shared" si="10"/>
        <v>Sin iniciar</v>
      </c>
      <c r="Z87" s="5" t="str">
        <f t="shared" si="11"/>
        <v>Sin iniciar</v>
      </c>
      <c r="AA87" s="703"/>
      <c r="AB87" s="596"/>
      <c r="AC87" s="597"/>
      <c r="AD87" s="610"/>
      <c r="AE87" s="610"/>
      <c r="AF87" s="101"/>
      <c r="AG87" s="704"/>
      <c r="AH87" s="704"/>
      <c r="AI87" s="704"/>
      <c r="AJ87" s="704"/>
      <c r="AK87" s="704"/>
      <c r="AL87" s="704"/>
      <c r="AM87" s="705"/>
      <c r="AN87" s="705"/>
      <c r="AO87" s="705"/>
      <c r="AP87" s="709"/>
      <c r="AQ87" s="709"/>
      <c r="AR87" s="1163">
        <v>0.4</v>
      </c>
      <c r="AS87" s="100" t="s">
        <v>354</v>
      </c>
      <c r="AT87" s="102" t="s">
        <v>2947</v>
      </c>
      <c r="AU87" s="56" t="str">
        <f t="shared" si="12"/>
        <v>En gestión</v>
      </c>
      <c r="AV87" s="56" t="str">
        <f t="shared" si="13"/>
        <v>En gestión</v>
      </c>
      <c r="AW87" s="705"/>
      <c r="AX87" s="599"/>
      <c r="AY87" s="600"/>
      <c r="AZ87" s="536"/>
      <c r="BA87" s="536"/>
      <c r="BB87" s="101"/>
      <c r="BC87" s="703"/>
      <c r="BD87" s="704"/>
      <c r="BE87" s="704"/>
      <c r="BF87" s="704"/>
      <c r="BG87" s="704"/>
      <c r="BH87" s="704"/>
      <c r="BI87" s="704"/>
      <c r="BJ87" s="705"/>
      <c r="BK87" s="707"/>
      <c r="BL87" s="705"/>
      <c r="BM87" s="709"/>
      <c r="BN87" s="703"/>
      <c r="BO87" s="347">
        <v>1</v>
      </c>
      <c r="BP87" s="11" t="s">
        <v>2948</v>
      </c>
      <c r="BQ87" s="11" t="s">
        <v>2949</v>
      </c>
      <c r="BR87" s="5" t="str">
        <f t="shared" si="16"/>
        <v>Terminado</v>
      </c>
      <c r="BS87" s="5" t="str">
        <f t="shared" si="15"/>
        <v>Terminado</v>
      </c>
      <c r="BT87" s="705"/>
      <c r="BU87" s="561"/>
      <c r="BV87" s="562"/>
      <c r="BW87" s="610"/>
      <c r="BX87" s="610"/>
      <c r="BY87" s="573"/>
      <c r="BZ87" s="703"/>
      <c r="CA87" s="704"/>
      <c r="CB87" s="704"/>
      <c r="CC87" s="704"/>
      <c r="CD87" s="704"/>
      <c r="CE87" s="704"/>
      <c r="CF87" s="704"/>
      <c r="CG87" s="705"/>
      <c r="CH87" s="705"/>
      <c r="CI87" s="709"/>
      <c r="CJ87" s="703"/>
    </row>
    <row r="88" spans="2:88" ht="171.95" customHeight="1" x14ac:dyDescent="0.25">
      <c r="B88" s="1224"/>
      <c r="C88" s="700"/>
      <c r="D88" s="95" t="s">
        <v>159</v>
      </c>
      <c r="E88" s="95" t="s">
        <v>26</v>
      </c>
      <c r="F88" s="701"/>
      <c r="G88" s="95" t="s">
        <v>28</v>
      </c>
      <c r="H88" s="95" t="s">
        <v>28</v>
      </c>
      <c r="I88" s="95" t="s">
        <v>269</v>
      </c>
      <c r="J88" s="95" t="s">
        <v>47</v>
      </c>
      <c r="K88" s="702"/>
      <c r="L88" s="96" t="s">
        <v>164</v>
      </c>
      <c r="M88" s="97" t="s">
        <v>323</v>
      </c>
      <c r="N88" s="93" t="s">
        <v>311</v>
      </c>
      <c r="O88" s="95">
        <v>0.4</v>
      </c>
      <c r="P88" s="98">
        <v>44378</v>
      </c>
      <c r="Q88" s="98">
        <v>44560</v>
      </c>
      <c r="R88" s="99">
        <v>0</v>
      </c>
      <c r="S88" s="99">
        <v>0</v>
      </c>
      <c r="T88" s="99">
        <v>0.2</v>
      </c>
      <c r="U88" s="99">
        <v>1</v>
      </c>
      <c r="V88" s="90">
        <v>0</v>
      </c>
      <c r="W88" s="56" t="s">
        <v>37</v>
      </c>
      <c r="X88" s="100" t="s">
        <v>37</v>
      </c>
      <c r="Y88" s="5" t="str">
        <f t="shared" si="10"/>
        <v>Sin iniciar</v>
      </c>
      <c r="Z88" s="5" t="str">
        <f t="shared" si="11"/>
        <v>Sin iniciar</v>
      </c>
      <c r="AA88" s="703"/>
      <c r="AB88" s="596"/>
      <c r="AC88" s="597"/>
      <c r="AD88" s="610"/>
      <c r="AE88" s="610"/>
      <c r="AF88" s="101"/>
      <c r="AG88" s="704"/>
      <c r="AH88" s="704"/>
      <c r="AI88" s="704"/>
      <c r="AJ88" s="704"/>
      <c r="AK88" s="704"/>
      <c r="AL88" s="704"/>
      <c r="AM88" s="705"/>
      <c r="AN88" s="705"/>
      <c r="AO88" s="705"/>
      <c r="AP88" s="709"/>
      <c r="AQ88" s="709"/>
      <c r="AR88" s="1163">
        <v>0</v>
      </c>
      <c r="AS88" s="13" t="s">
        <v>2437</v>
      </c>
      <c r="AT88" s="102"/>
      <c r="AU88" s="56" t="str">
        <f t="shared" si="12"/>
        <v>Sin iniciar</v>
      </c>
      <c r="AV88" s="56" t="str">
        <f t="shared" si="13"/>
        <v>Sin iniciar</v>
      </c>
      <c r="AW88" s="705"/>
      <c r="AX88" s="599"/>
      <c r="AY88" s="600"/>
      <c r="AZ88" s="536"/>
      <c r="BA88" s="536"/>
      <c r="BB88" s="101"/>
      <c r="BC88" s="703"/>
      <c r="BD88" s="704"/>
      <c r="BE88" s="704"/>
      <c r="BF88" s="704"/>
      <c r="BG88" s="704"/>
      <c r="BH88" s="704"/>
      <c r="BI88" s="704"/>
      <c r="BJ88" s="705"/>
      <c r="BK88" s="707"/>
      <c r="BL88" s="705"/>
      <c r="BM88" s="709"/>
      <c r="BN88" s="703"/>
      <c r="BO88" s="347">
        <v>0.2</v>
      </c>
      <c r="BP88" s="11" t="s">
        <v>2950</v>
      </c>
      <c r="BQ88" s="11" t="s">
        <v>2951</v>
      </c>
      <c r="BR88" s="5" t="str">
        <f t="shared" si="16"/>
        <v>En gestión</v>
      </c>
      <c r="BS88" s="5" t="str">
        <f t="shared" si="15"/>
        <v>En gestión</v>
      </c>
      <c r="BT88" s="705"/>
      <c r="BU88" s="561"/>
      <c r="BV88" s="562"/>
      <c r="BW88" s="610"/>
      <c r="BX88" s="610"/>
      <c r="BY88" s="573"/>
      <c r="BZ88" s="703"/>
      <c r="CA88" s="704"/>
      <c r="CB88" s="704"/>
      <c r="CC88" s="704"/>
      <c r="CD88" s="704"/>
      <c r="CE88" s="704"/>
      <c r="CF88" s="704"/>
      <c r="CG88" s="705"/>
      <c r="CH88" s="705"/>
      <c r="CI88" s="709"/>
      <c r="CJ88" s="703"/>
    </row>
    <row r="89" spans="2:88" ht="171.95" customHeight="1" x14ac:dyDescent="0.25">
      <c r="B89" s="1224"/>
      <c r="C89" s="710" t="s">
        <v>324</v>
      </c>
      <c r="D89" s="105" t="s">
        <v>159</v>
      </c>
      <c r="E89" s="105" t="s">
        <v>26</v>
      </c>
      <c r="F89" s="711" t="s">
        <v>325</v>
      </c>
      <c r="G89" s="105" t="s">
        <v>235</v>
      </c>
      <c r="H89" s="105" t="s">
        <v>28</v>
      </c>
      <c r="I89" s="105" t="s">
        <v>326</v>
      </c>
      <c r="J89" s="105" t="s">
        <v>47</v>
      </c>
      <c r="K89" s="712" t="s">
        <v>327</v>
      </c>
      <c r="L89" s="106" t="s">
        <v>164</v>
      </c>
      <c r="M89" s="107" t="s">
        <v>328</v>
      </c>
      <c r="N89" s="108" t="s">
        <v>329</v>
      </c>
      <c r="O89" s="105">
        <v>0.3</v>
      </c>
      <c r="P89" s="109">
        <v>44287</v>
      </c>
      <c r="Q89" s="109">
        <v>44377</v>
      </c>
      <c r="R89" s="110">
        <v>0</v>
      </c>
      <c r="S89" s="110">
        <v>1</v>
      </c>
      <c r="T89" s="110">
        <v>1</v>
      </c>
      <c r="U89" s="110">
        <v>1</v>
      </c>
      <c r="V89" s="90">
        <v>0</v>
      </c>
      <c r="W89" s="66" t="s">
        <v>37</v>
      </c>
      <c r="X89" s="111" t="s">
        <v>37</v>
      </c>
      <c r="Y89" s="19" t="str">
        <f t="shared" si="10"/>
        <v>Sin iniciar</v>
      </c>
      <c r="Z89" s="19" t="str">
        <f t="shared" si="11"/>
        <v>Sin iniciar</v>
      </c>
      <c r="AA89" s="713" t="s">
        <v>179</v>
      </c>
      <c r="AB89" s="596">
        <f>SUMPRODUCT(O89:O91,V89:V91)</f>
        <v>0</v>
      </c>
      <c r="AC89" s="597">
        <f>SUMPRODUCT(O89:O91,R89:R91)</f>
        <v>0</v>
      </c>
      <c r="AD89" s="611" t="str">
        <f>IF(AC89&lt;1%,"Sin iniciar",IF(AC89=100%,"Terminado","En gestión"))</f>
        <v>Sin iniciar</v>
      </c>
      <c r="AE89" s="611" t="str">
        <f>IF(AB89&lt;1%,"Sin iniciar",IF(AB89=100%,"Terminado","En gestión"))</f>
        <v>Sin iniciar</v>
      </c>
      <c r="AF89" s="112"/>
      <c r="AG89" s="715">
        <v>31562299.199999999</v>
      </c>
      <c r="AH89" s="715">
        <v>7862299.1999999993</v>
      </c>
      <c r="AI89" s="715">
        <v>1965574.7999999998</v>
      </c>
      <c r="AJ89" s="715">
        <v>7000000</v>
      </c>
      <c r="AK89" s="715">
        <v>0</v>
      </c>
      <c r="AL89" s="715">
        <v>0</v>
      </c>
      <c r="AM89" s="716" t="s">
        <v>2460</v>
      </c>
      <c r="AN89" s="716" t="s">
        <v>2461</v>
      </c>
      <c r="AO89" s="716" t="s">
        <v>2467</v>
      </c>
      <c r="AP89" s="717" t="s">
        <v>2468</v>
      </c>
      <c r="AQ89" s="717">
        <f>+AK89</f>
        <v>0</v>
      </c>
      <c r="AR89" s="1163">
        <v>1</v>
      </c>
      <c r="AS89" s="62" t="s">
        <v>355</v>
      </c>
      <c r="AT89" s="113" t="s">
        <v>2952</v>
      </c>
      <c r="AU89" s="66" t="str">
        <f t="shared" si="12"/>
        <v>Terminado</v>
      </c>
      <c r="AV89" s="66" t="str">
        <f t="shared" si="13"/>
        <v>Terminado</v>
      </c>
      <c r="AW89" s="716" t="s">
        <v>370</v>
      </c>
      <c r="AX89" s="599">
        <f>SUMPRODUCT(O89:O91,AR89:AR91)</f>
        <v>0.3</v>
      </c>
      <c r="AY89" s="600">
        <f>SUMPRODUCT(S89:S91,O89:O91)</f>
        <v>0.3</v>
      </c>
      <c r="AZ89" s="530" t="str">
        <f>IF(AY89&lt;1%,"Sin iniciar",IF(AY89=100%,"Terminado","En gestión"))</f>
        <v>En gestión</v>
      </c>
      <c r="BA89" s="530" t="str">
        <f>IF(AX89&lt;1%,"Sin iniciar",IF(AX89=100%,"Terminado","En gestión"))</f>
        <v>En gestión</v>
      </c>
      <c r="BB89" s="112"/>
      <c r="BC89" s="713" t="s">
        <v>364</v>
      </c>
      <c r="BD89" s="715">
        <v>7862299.1999999993</v>
      </c>
      <c r="BE89" s="715">
        <v>7862299.1999999993</v>
      </c>
      <c r="BF89" s="715">
        <v>3931149.5999999996</v>
      </c>
      <c r="BG89" s="715">
        <v>7000000</v>
      </c>
      <c r="BH89" s="715">
        <v>6000000</v>
      </c>
      <c r="BI89" s="715">
        <v>0</v>
      </c>
      <c r="BJ89" s="716" t="s">
        <v>2460</v>
      </c>
      <c r="BK89" s="719" t="s">
        <v>2461</v>
      </c>
      <c r="BL89" s="716" t="s">
        <v>2467</v>
      </c>
      <c r="BM89" s="717" t="s">
        <v>2468</v>
      </c>
      <c r="BN89" s="717" t="s">
        <v>2532</v>
      </c>
      <c r="BO89" s="347">
        <v>1</v>
      </c>
      <c r="BP89" s="24" t="s">
        <v>2923</v>
      </c>
      <c r="BQ89" s="24" t="s">
        <v>2923</v>
      </c>
      <c r="BR89" s="19" t="str">
        <f t="shared" si="16"/>
        <v>Terminado</v>
      </c>
      <c r="BS89" s="19" t="str">
        <f t="shared" si="15"/>
        <v>Terminado</v>
      </c>
      <c r="BT89" s="716" t="s">
        <v>2953</v>
      </c>
      <c r="BU89" s="561">
        <f>SUMPRODUCT(O89:O91,BO89:BO91)</f>
        <v>0.72</v>
      </c>
      <c r="BV89" s="562">
        <f>SUMPRODUCT(O89:O91,T89:T91)</f>
        <v>0.72</v>
      </c>
      <c r="BW89" s="611" t="str">
        <f>IF(BV89&lt;1%,"Sin iniciar",IF(BV89=100%,"Terminado","En gestión"))</f>
        <v>En gestión</v>
      </c>
      <c r="BX89" s="611" t="str">
        <f>IF(BU89&lt;1%,"Sin iniciar",IF(BU89=100%,"Terminado","En gestión"))</f>
        <v>En gestión</v>
      </c>
      <c r="BY89" s="578" t="s">
        <v>37</v>
      </c>
      <c r="BZ89" s="713" t="s">
        <v>364</v>
      </c>
      <c r="CA89" s="715">
        <v>7862299.1999999993</v>
      </c>
      <c r="CB89" s="715">
        <v>8067506</v>
      </c>
      <c r="CC89" s="715">
        <v>6050630</v>
      </c>
      <c r="CD89" s="715">
        <v>7000000</v>
      </c>
      <c r="CE89" s="715">
        <v>0</v>
      </c>
      <c r="CF89" s="715">
        <v>0</v>
      </c>
      <c r="CG89" s="716" t="s">
        <v>2629</v>
      </c>
      <c r="CH89" s="716" t="s">
        <v>2629</v>
      </c>
      <c r="CI89" s="717" t="s">
        <v>2629</v>
      </c>
      <c r="CJ89" s="717" t="s">
        <v>2629</v>
      </c>
    </row>
    <row r="90" spans="2:88" ht="171.95" customHeight="1" x14ac:dyDescent="0.25">
      <c r="B90" s="1224"/>
      <c r="C90" s="710"/>
      <c r="D90" s="105" t="s">
        <v>159</v>
      </c>
      <c r="E90" s="105" t="s">
        <v>26</v>
      </c>
      <c r="F90" s="711"/>
      <c r="G90" s="105" t="s">
        <v>235</v>
      </c>
      <c r="H90" s="105" t="s">
        <v>28</v>
      </c>
      <c r="I90" s="105" t="s">
        <v>326</v>
      </c>
      <c r="J90" s="105" t="s">
        <v>47</v>
      </c>
      <c r="K90" s="712"/>
      <c r="L90" s="106" t="s">
        <v>164</v>
      </c>
      <c r="M90" s="107" t="s">
        <v>330</v>
      </c>
      <c r="N90" s="108" t="s">
        <v>331</v>
      </c>
      <c r="O90" s="105">
        <v>0.3</v>
      </c>
      <c r="P90" s="109">
        <v>44378</v>
      </c>
      <c r="Q90" s="109">
        <v>44469</v>
      </c>
      <c r="R90" s="110">
        <v>0</v>
      </c>
      <c r="S90" s="110">
        <v>0</v>
      </c>
      <c r="T90" s="110">
        <v>1</v>
      </c>
      <c r="U90" s="110">
        <v>1</v>
      </c>
      <c r="V90" s="90">
        <v>0</v>
      </c>
      <c r="W90" s="66" t="s">
        <v>37</v>
      </c>
      <c r="X90" s="111" t="s">
        <v>37</v>
      </c>
      <c r="Y90" s="19" t="str">
        <f t="shared" si="10"/>
        <v>Sin iniciar</v>
      </c>
      <c r="Z90" s="19" t="str">
        <f t="shared" si="11"/>
        <v>Sin iniciar</v>
      </c>
      <c r="AA90" s="713"/>
      <c r="AB90" s="596"/>
      <c r="AC90" s="597"/>
      <c r="AD90" s="611"/>
      <c r="AE90" s="611"/>
      <c r="AF90" s="112"/>
      <c r="AG90" s="715"/>
      <c r="AH90" s="715"/>
      <c r="AI90" s="715"/>
      <c r="AJ90" s="715"/>
      <c r="AK90" s="715"/>
      <c r="AL90" s="715"/>
      <c r="AM90" s="716"/>
      <c r="AN90" s="716"/>
      <c r="AO90" s="716"/>
      <c r="AP90" s="717"/>
      <c r="AQ90" s="717"/>
      <c r="AR90" s="1163">
        <v>0</v>
      </c>
      <c r="AS90" s="62" t="s">
        <v>2437</v>
      </c>
      <c r="AT90" s="113"/>
      <c r="AU90" s="66" t="str">
        <f t="shared" si="12"/>
        <v>Sin iniciar</v>
      </c>
      <c r="AV90" s="66" t="str">
        <f t="shared" si="13"/>
        <v>Sin iniciar</v>
      </c>
      <c r="AW90" s="716"/>
      <c r="AX90" s="599"/>
      <c r="AY90" s="600"/>
      <c r="AZ90" s="530"/>
      <c r="BA90" s="530"/>
      <c r="BB90" s="112"/>
      <c r="BC90" s="713"/>
      <c r="BD90" s="715"/>
      <c r="BE90" s="715"/>
      <c r="BF90" s="715"/>
      <c r="BG90" s="715"/>
      <c r="BH90" s="715"/>
      <c r="BI90" s="715"/>
      <c r="BJ90" s="716"/>
      <c r="BK90" s="719"/>
      <c r="BL90" s="716"/>
      <c r="BM90" s="713"/>
      <c r="BN90" s="713"/>
      <c r="BO90" s="347">
        <v>1</v>
      </c>
      <c r="BP90" s="24" t="s">
        <v>2954</v>
      </c>
      <c r="BQ90" s="24" t="s">
        <v>2955</v>
      </c>
      <c r="BR90" s="19" t="str">
        <f t="shared" si="16"/>
        <v>Terminado</v>
      </c>
      <c r="BS90" s="19" t="str">
        <f t="shared" si="15"/>
        <v>Terminado</v>
      </c>
      <c r="BT90" s="716"/>
      <c r="BU90" s="561"/>
      <c r="BV90" s="562"/>
      <c r="BW90" s="611"/>
      <c r="BX90" s="611"/>
      <c r="BY90" s="578"/>
      <c r="BZ90" s="713"/>
      <c r="CA90" s="715"/>
      <c r="CB90" s="715"/>
      <c r="CC90" s="715"/>
      <c r="CD90" s="715"/>
      <c r="CE90" s="715"/>
      <c r="CF90" s="715"/>
      <c r="CG90" s="716"/>
      <c r="CH90" s="716"/>
      <c r="CI90" s="713"/>
      <c r="CJ90" s="713"/>
    </row>
    <row r="91" spans="2:88" ht="171.95" customHeight="1" x14ac:dyDescent="0.25">
      <c r="B91" s="1225"/>
      <c r="C91" s="710"/>
      <c r="D91" s="105" t="s">
        <v>159</v>
      </c>
      <c r="E91" s="105" t="s">
        <v>26</v>
      </c>
      <c r="F91" s="711"/>
      <c r="G91" s="105" t="s">
        <v>235</v>
      </c>
      <c r="H91" s="105" t="s">
        <v>28</v>
      </c>
      <c r="I91" s="105" t="s">
        <v>326</v>
      </c>
      <c r="J91" s="105" t="s">
        <v>47</v>
      </c>
      <c r="K91" s="712"/>
      <c r="L91" s="106" t="s">
        <v>164</v>
      </c>
      <c r="M91" s="107" t="s">
        <v>332</v>
      </c>
      <c r="N91" s="108" t="s">
        <v>333</v>
      </c>
      <c r="O91" s="105">
        <v>0.4</v>
      </c>
      <c r="P91" s="109">
        <v>44488</v>
      </c>
      <c r="Q91" s="109" t="s">
        <v>334</v>
      </c>
      <c r="R91" s="110">
        <v>0</v>
      </c>
      <c r="S91" s="110">
        <v>0</v>
      </c>
      <c r="T91" s="110">
        <v>0.3</v>
      </c>
      <c r="U91" s="110">
        <v>1</v>
      </c>
      <c r="V91" s="90">
        <v>0</v>
      </c>
      <c r="W91" s="66" t="s">
        <v>37</v>
      </c>
      <c r="X91" s="111" t="s">
        <v>37</v>
      </c>
      <c r="Y91" s="19" t="str">
        <f t="shared" si="10"/>
        <v>Sin iniciar</v>
      </c>
      <c r="Z91" s="19" t="str">
        <f t="shared" si="11"/>
        <v>Sin iniciar</v>
      </c>
      <c r="AA91" s="713"/>
      <c r="AB91" s="596"/>
      <c r="AC91" s="597"/>
      <c r="AD91" s="611"/>
      <c r="AE91" s="611"/>
      <c r="AF91" s="112"/>
      <c r="AG91" s="715"/>
      <c r="AH91" s="715"/>
      <c r="AI91" s="715"/>
      <c r="AJ91" s="715"/>
      <c r="AK91" s="715"/>
      <c r="AL91" s="715"/>
      <c r="AM91" s="716"/>
      <c r="AN91" s="716"/>
      <c r="AO91" s="716"/>
      <c r="AP91" s="717"/>
      <c r="AQ91" s="717"/>
      <c r="AR91" s="1163">
        <v>0</v>
      </c>
      <c r="AS91" s="62" t="s">
        <v>2437</v>
      </c>
      <c r="AT91" s="113"/>
      <c r="AU91" s="66" t="str">
        <f t="shared" si="12"/>
        <v>Sin iniciar</v>
      </c>
      <c r="AV91" s="66" t="str">
        <f t="shared" si="13"/>
        <v>Sin iniciar</v>
      </c>
      <c r="AW91" s="716"/>
      <c r="AX91" s="599"/>
      <c r="AY91" s="600"/>
      <c r="AZ91" s="530"/>
      <c r="BA91" s="530"/>
      <c r="BB91" s="112"/>
      <c r="BC91" s="713"/>
      <c r="BD91" s="715"/>
      <c r="BE91" s="715"/>
      <c r="BF91" s="715"/>
      <c r="BG91" s="715"/>
      <c r="BH91" s="715"/>
      <c r="BI91" s="715"/>
      <c r="BJ91" s="716"/>
      <c r="BK91" s="719"/>
      <c r="BL91" s="716"/>
      <c r="BM91" s="713"/>
      <c r="BN91" s="713"/>
      <c r="BO91" s="347">
        <v>0.3</v>
      </c>
      <c r="BP91" s="24" t="s">
        <v>2956</v>
      </c>
      <c r="BQ91" s="24" t="s">
        <v>2957</v>
      </c>
      <c r="BR91" s="19" t="str">
        <f t="shared" si="16"/>
        <v>En gestión</v>
      </c>
      <c r="BS91" s="19" t="str">
        <f t="shared" si="15"/>
        <v>En gestión</v>
      </c>
      <c r="BT91" s="716"/>
      <c r="BU91" s="561"/>
      <c r="BV91" s="562"/>
      <c r="BW91" s="611"/>
      <c r="BX91" s="611"/>
      <c r="BY91" s="578"/>
      <c r="BZ91" s="713"/>
      <c r="CA91" s="715"/>
      <c r="CB91" s="715"/>
      <c r="CC91" s="715"/>
      <c r="CD91" s="715"/>
      <c r="CE91" s="715"/>
      <c r="CF91" s="715"/>
      <c r="CG91" s="716"/>
      <c r="CH91" s="716"/>
      <c r="CI91" s="713"/>
      <c r="CJ91" s="713"/>
    </row>
    <row r="92" spans="2:88" ht="171.95" customHeight="1" x14ac:dyDescent="0.25">
      <c r="B92" s="1223" t="s">
        <v>5219</v>
      </c>
      <c r="C92" s="721" t="s">
        <v>371</v>
      </c>
      <c r="D92" s="722" t="s">
        <v>233</v>
      </c>
      <c r="E92" s="722" t="s">
        <v>26</v>
      </c>
      <c r="F92" s="722" t="s">
        <v>372</v>
      </c>
      <c r="G92" s="722" t="s">
        <v>373</v>
      </c>
      <c r="H92" s="722" t="s">
        <v>373</v>
      </c>
      <c r="I92" s="722" t="s">
        <v>374</v>
      </c>
      <c r="J92" s="722" t="s">
        <v>47</v>
      </c>
      <c r="K92" s="730" t="s">
        <v>375</v>
      </c>
      <c r="L92" s="731" t="s">
        <v>164</v>
      </c>
      <c r="M92" s="125" t="s">
        <v>376</v>
      </c>
      <c r="N92" s="126" t="s">
        <v>377</v>
      </c>
      <c r="O92" s="127">
        <v>0.5</v>
      </c>
      <c r="P92" s="128">
        <v>44200</v>
      </c>
      <c r="Q92" s="128">
        <v>44560</v>
      </c>
      <c r="R92" s="129">
        <v>0.4</v>
      </c>
      <c r="S92" s="130">
        <v>0.52</v>
      </c>
      <c r="T92" s="129">
        <v>0.8</v>
      </c>
      <c r="U92" s="129">
        <v>1</v>
      </c>
      <c r="V92" s="131">
        <v>0.05</v>
      </c>
      <c r="W92" s="132" t="s">
        <v>378</v>
      </c>
      <c r="X92" s="133" t="s">
        <v>2958</v>
      </c>
      <c r="Y92" s="5" t="str">
        <f>IF(R92&lt;1%,"Sin iniciar",IF(R92=100%,"Terminado","En gestión"))</f>
        <v>En gestión</v>
      </c>
      <c r="Z92" s="5" t="str">
        <f>IF(V92&lt;1%,"Sin iniciar",IF(V92=100%,"Terminado","En gestión"))</f>
        <v>En gestión</v>
      </c>
      <c r="AA92" s="732" t="s">
        <v>392</v>
      </c>
      <c r="AB92" s="596">
        <f>SUMPRODUCT(O92:O93,V92:V93)</f>
        <v>0.36500000000000005</v>
      </c>
      <c r="AC92" s="597">
        <f>SUMPRODUCT(O92:O93,R92:R93)</f>
        <v>0.4</v>
      </c>
      <c r="AD92" s="728" t="str">
        <f>IF(AC92&lt;1%,"Sin iniciar",IF(AC92=100%,"Terminado","En gestión"))</f>
        <v>En gestión</v>
      </c>
      <c r="AE92" s="728" t="str">
        <f>IF(AB92&lt;1%,"Sin iniciar",IF(AB92=100%,"Terminado","En gestión"))</f>
        <v>En gestión</v>
      </c>
      <c r="AF92" s="132" t="s">
        <v>393</v>
      </c>
      <c r="AG92" s="729">
        <v>391906855</v>
      </c>
      <c r="AH92" s="725"/>
      <c r="AI92" s="723">
        <v>106141440</v>
      </c>
      <c r="AJ92" s="724">
        <v>203195503</v>
      </c>
      <c r="AK92" s="725"/>
      <c r="AL92" s="723">
        <v>23870250</v>
      </c>
      <c r="AM92" s="726" t="s">
        <v>2460</v>
      </c>
      <c r="AN92" s="727" t="s">
        <v>2461</v>
      </c>
      <c r="AO92" s="726" t="s">
        <v>2462</v>
      </c>
      <c r="AP92" s="732" t="s">
        <v>2463</v>
      </c>
      <c r="AQ92" s="735">
        <v>203195503</v>
      </c>
      <c r="AR92" s="1164">
        <v>0.52</v>
      </c>
      <c r="AS92" s="132" t="s">
        <v>395</v>
      </c>
      <c r="AT92" s="133" t="s">
        <v>2959</v>
      </c>
      <c r="AU92" s="56" t="str">
        <f>IF(S92&lt;1%,"Sin iniciar",IF(S92=100%,"Terminado","En gestión"))</f>
        <v>En gestión</v>
      </c>
      <c r="AV92" s="56" t="str">
        <f>IF(AR92&lt;1%,"Sin iniciar",IF(AR92=100%,"Terminado","En gestión"))</f>
        <v>En gestión</v>
      </c>
      <c r="AW92" s="732" t="s">
        <v>397</v>
      </c>
      <c r="AX92" s="599">
        <v>0.52</v>
      </c>
      <c r="AY92" s="600">
        <f>SUMPRODUCT(S92:S93,O92:O93)</f>
        <v>0.52</v>
      </c>
      <c r="AZ92" s="734" t="str">
        <f>IF(AY92&lt;1%,"Sin iniciar",IF(AY92=100%,"Terminado","En gestión"))</f>
        <v>En gestión</v>
      </c>
      <c r="BA92" s="734" t="str">
        <f>IF(AX92&lt;1%,"Sin iniciar",IF(AX92=100%,"Terminado","En gestión"))</f>
        <v>En gestión</v>
      </c>
      <c r="BB92" s="134"/>
      <c r="BC92" s="732" t="s">
        <v>366</v>
      </c>
      <c r="BD92" s="729">
        <v>391906855</v>
      </c>
      <c r="BE92" s="729">
        <v>212282880</v>
      </c>
      <c r="BF92" s="733">
        <v>0</v>
      </c>
      <c r="BG92" s="724">
        <v>203195503</v>
      </c>
      <c r="BH92" s="729">
        <v>90706950</v>
      </c>
      <c r="BI92" s="733">
        <v>0</v>
      </c>
      <c r="BJ92" s="726" t="s">
        <v>2460</v>
      </c>
      <c r="BK92" s="727"/>
      <c r="BL92" s="726" t="s">
        <v>2462</v>
      </c>
      <c r="BM92" s="732" t="s">
        <v>2463</v>
      </c>
      <c r="BN92" s="735" t="s">
        <v>2651</v>
      </c>
      <c r="BO92" s="350">
        <v>0.7</v>
      </c>
      <c r="BP92" s="132" t="s">
        <v>2960</v>
      </c>
      <c r="BQ92" s="11" t="s">
        <v>2961</v>
      </c>
      <c r="BR92" s="5" t="str">
        <f>IF(T92&lt;1%,"Sin iniciar",IF(T92=100%,"Terminado","En gestión"))</f>
        <v>En gestión</v>
      </c>
      <c r="BS92" s="5" t="str">
        <f>IF(BO92&lt;1%,"Sin iniciar",IF(BO92=100%,"Terminado","En gestión"))</f>
        <v>En gestión</v>
      </c>
      <c r="BT92" s="581" t="s">
        <v>2962</v>
      </c>
      <c r="BU92" s="714">
        <v>0.7</v>
      </c>
      <c r="BV92" s="562">
        <f>SUMPRODUCT(O92:O93,T92:T93)</f>
        <v>0.8</v>
      </c>
      <c r="BW92" s="728" t="str">
        <f>IF(BV92&lt;1%,"Sin iniciar",IF(BV92=100%,"Terminado","En gestión"))</f>
        <v>En gestión</v>
      </c>
      <c r="BX92" s="728" t="str">
        <f>IF(BU92&lt;1%,"Sin iniciar",IF(BU92=100%,"Terminado","En gestión"))</f>
        <v>En gestión</v>
      </c>
      <c r="BY92" s="12" t="s">
        <v>37</v>
      </c>
      <c r="BZ92" s="732" t="s">
        <v>366</v>
      </c>
      <c r="CA92" s="729">
        <v>391906855</v>
      </c>
      <c r="CB92" s="729">
        <v>318424320</v>
      </c>
      <c r="CC92" s="729">
        <v>339652608</v>
      </c>
      <c r="CD92" s="724">
        <v>203195503</v>
      </c>
      <c r="CE92" s="724">
        <v>71610750</v>
      </c>
      <c r="CF92" s="724">
        <v>190962000</v>
      </c>
      <c r="CG92" s="726" t="s">
        <v>2460</v>
      </c>
      <c r="CH92" s="726" t="s">
        <v>2462</v>
      </c>
      <c r="CI92" s="732" t="s">
        <v>2463</v>
      </c>
      <c r="CJ92" s="735" t="s">
        <v>2651</v>
      </c>
    </row>
    <row r="93" spans="2:88" ht="171.95" customHeight="1" x14ac:dyDescent="0.25">
      <c r="B93" s="1224"/>
      <c r="C93" s="721"/>
      <c r="D93" s="722"/>
      <c r="E93" s="722"/>
      <c r="F93" s="722"/>
      <c r="G93" s="722"/>
      <c r="H93" s="722"/>
      <c r="I93" s="722"/>
      <c r="J93" s="722"/>
      <c r="K93" s="730"/>
      <c r="L93" s="731"/>
      <c r="M93" s="125" t="s">
        <v>379</v>
      </c>
      <c r="N93" s="126" t="s">
        <v>380</v>
      </c>
      <c r="O93" s="127">
        <v>0.5</v>
      </c>
      <c r="P93" s="128">
        <v>44200</v>
      </c>
      <c r="Q93" s="128">
        <v>44560</v>
      </c>
      <c r="R93" s="129">
        <v>0.4</v>
      </c>
      <c r="S93" s="130">
        <v>0.52</v>
      </c>
      <c r="T93" s="129">
        <v>0.8</v>
      </c>
      <c r="U93" s="129">
        <v>1</v>
      </c>
      <c r="V93" s="131">
        <v>0.68</v>
      </c>
      <c r="W93" s="132" t="s">
        <v>381</v>
      </c>
      <c r="X93" s="133" t="s">
        <v>2963</v>
      </c>
      <c r="Y93" s="5" t="str">
        <f>IF(R93&lt;1%,"Sin iniciar",IF(R93=100%,"Terminado","En gestión"))</f>
        <v>En gestión</v>
      </c>
      <c r="Z93" s="5" t="str">
        <f>IF(V93&lt;1%,"Sin iniciar",IF(V93=100%,"Terminado","En gestión"))</f>
        <v>En gestión</v>
      </c>
      <c r="AA93" s="732"/>
      <c r="AB93" s="596"/>
      <c r="AC93" s="597"/>
      <c r="AD93" s="728"/>
      <c r="AE93" s="728"/>
      <c r="AF93" s="132" t="s">
        <v>393</v>
      </c>
      <c r="AG93" s="729"/>
      <c r="AH93" s="725"/>
      <c r="AI93" s="723"/>
      <c r="AJ93" s="724"/>
      <c r="AK93" s="725"/>
      <c r="AL93" s="723"/>
      <c r="AM93" s="726"/>
      <c r="AN93" s="727"/>
      <c r="AO93" s="726"/>
      <c r="AP93" s="732"/>
      <c r="AQ93" s="735"/>
      <c r="AR93" s="1164">
        <v>0.52</v>
      </c>
      <c r="AS93" s="132" t="s">
        <v>396</v>
      </c>
      <c r="AT93" s="133" t="s">
        <v>2964</v>
      </c>
      <c r="AU93" s="56" t="str">
        <f>IF(S93&lt;1%,"Sin iniciar",IF(S93=100%,"Terminado","En gestión"))</f>
        <v>En gestión</v>
      </c>
      <c r="AV93" s="56" t="str">
        <f>IF(AR93&lt;1%,"Sin iniciar",IF(AR93=100%,"Terminado","En gestión"))</f>
        <v>En gestión</v>
      </c>
      <c r="AW93" s="732"/>
      <c r="AX93" s="599"/>
      <c r="AY93" s="600"/>
      <c r="AZ93" s="734"/>
      <c r="BA93" s="734"/>
      <c r="BB93" s="134"/>
      <c r="BC93" s="732"/>
      <c r="BD93" s="729"/>
      <c r="BE93" s="729"/>
      <c r="BF93" s="733"/>
      <c r="BG93" s="724"/>
      <c r="BH93" s="729"/>
      <c r="BI93" s="733"/>
      <c r="BJ93" s="726"/>
      <c r="BK93" s="727"/>
      <c r="BL93" s="726"/>
      <c r="BM93" s="732"/>
      <c r="BN93" s="735"/>
      <c r="BO93" s="350">
        <v>0.7</v>
      </c>
      <c r="BP93" s="132" t="s">
        <v>2965</v>
      </c>
      <c r="BQ93" s="11" t="s">
        <v>2966</v>
      </c>
      <c r="BR93" s="5" t="str">
        <f>IF(T93&lt;1%,"Sin iniciar",IF(T93=100%,"Terminado","En gestión"))</f>
        <v>En gestión</v>
      </c>
      <c r="BS93" s="5" t="str">
        <f>IF(BO93&lt;1%,"Sin iniciar",IF(BO93=100%,"Terminado","En gestión"))</f>
        <v>En gestión</v>
      </c>
      <c r="BT93" s="581"/>
      <c r="BU93" s="714"/>
      <c r="BV93" s="562"/>
      <c r="BW93" s="728"/>
      <c r="BX93" s="728"/>
      <c r="BY93" s="11" t="s">
        <v>2967</v>
      </c>
      <c r="BZ93" s="732"/>
      <c r="CA93" s="729"/>
      <c r="CB93" s="729"/>
      <c r="CC93" s="729"/>
      <c r="CD93" s="724"/>
      <c r="CE93" s="724"/>
      <c r="CF93" s="724"/>
      <c r="CG93" s="726"/>
      <c r="CH93" s="726"/>
      <c r="CI93" s="732"/>
      <c r="CJ93" s="735"/>
    </row>
    <row r="94" spans="2:88" ht="171.95" customHeight="1" x14ac:dyDescent="0.25">
      <c r="B94" s="1224"/>
      <c r="C94" s="742" t="s">
        <v>382</v>
      </c>
      <c r="D94" s="738" t="s">
        <v>383</v>
      </c>
      <c r="E94" s="738" t="s">
        <v>26</v>
      </c>
      <c r="F94" s="738" t="s">
        <v>384</v>
      </c>
      <c r="G94" s="738" t="s">
        <v>373</v>
      </c>
      <c r="H94" s="738" t="s">
        <v>373</v>
      </c>
      <c r="I94" s="738" t="s">
        <v>374</v>
      </c>
      <c r="J94" s="738" t="s">
        <v>47</v>
      </c>
      <c r="K94" s="739" t="s">
        <v>385</v>
      </c>
      <c r="L94" s="740" t="s">
        <v>164</v>
      </c>
      <c r="M94" s="135" t="s">
        <v>386</v>
      </c>
      <c r="N94" s="136" t="s">
        <v>387</v>
      </c>
      <c r="O94" s="137">
        <v>0.5</v>
      </c>
      <c r="P94" s="138">
        <v>44291</v>
      </c>
      <c r="Q94" s="138">
        <v>44499</v>
      </c>
      <c r="R94" s="139">
        <v>0</v>
      </c>
      <c r="S94" s="140">
        <v>0.38</v>
      </c>
      <c r="T94" s="139">
        <v>0.88</v>
      </c>
      <c r="U94" s="139">
        <v>1</v>
      </c>
      <c r="V94" s="141">
        <v>0.08</v>
      </c>
      <c r="W94" s="142" t="s">
        <v>388</v>
      </c>
      <c r="X94" s="143" t="s">
        <v>2968</v>
      </c>
      <c r="Y94" s="19" t="str">
        <f>IF(R94&lt;1%,"Sin iniciar",IF(R94=100%,"Terminado","En gestión"))</f>
        <v>Sin iniciar</v>
      </c>
      <c r="Z94" s="19" t="str">
        <f>IF(V94&lt;1%,"Sin iniciar",IF(V94=100%,"Terminado","En gestión"))</f>
        <v>En gestión</v>
      </c>
      <c r="AA94" s="741" t="s">
        <v>394</v>
      </c>
      <c r="AB94" s="596">
        <f>SUMPRODUCT(O94:O95,V94:V95)</f>
        <v>0.09</v>
      </c>
      <c r="AC94" s="597">
        <f>SUMPRODUCT(O94:O95,R94:R95)</f>
        <v>0</v>
      </c>
      <c r="AD94" s="736" t="str">
        <f>IF(AC94&lt;1%,"Sin iniciar",IF(AC94=100%,"Terminado","En gestión"))</f>
        <v>Sin iniciar</v>
      </c>
      <c r="AE94" s="736" t="str">
        <f>IF(AB94&lt;1%,"Sin iniciar",IF(AB94=100%,"Terminado","En gestión"))</f>
        <v>En gestión</v>
      </c>
      <c r="AF94" s="144"/>
      <c r="AG94" s="737"/>
      <c r="AH94" s="737"/>
      <c r="AI94" s="737"/>
      <c r="AJ94" s="737"/>
      <c r="AK94" s="737"/>
      <c r="AL94" s="737"/>
      <c r="AM94" s="737"/>
      <c r="AN94" s="737"/>
      <c r="AO94" s="737"/>
      <c r="AP94" s="737" t="s">
        <v>2466</v>
      </c>
      <c r="AQ94" s="144"/>
      <c r="AR94" s="1165">
        <v>0.38</v>
      </c>
      <c r="AS94" s="741" t="s">
        <v>2969</v>
      </c>
      <c r="AT94" s="143" t="s">
        <v>2970</v>
      </c>
      <c r="AU94" s="66" t="str">
        <f>IF(S94&lt;1%,"Sin iniciar",IF(S94=100%,"Terminado","En gestión"))</f>
        <v>En gestión</v>
      </c>
      <c r="AV94" s="66" t="str">
        <f>IF(AR94&lt;1%,"Sin iniciar",IF(AR94=100%,"Terminado","En gestión"))</f>
        <v>En gestión</v>
      </c>
      <c r="AW94" s="741" t="s">
        <v>398</v>
      </c>
      <c r="AX94" s="599">
        <f>SUMPRODUCT(O94:O95,AR94:AR95)</f>
        <v>0.38</v>
      </c>
      <c r="AY94" s="600">
        <f>SUMPRODUCT(S94:S95,O94:O95)</f>
        <v>0.38</v>
      </c>
      <c r="AZ94" s="743" t="str">
        <f>IF(AY94&lt;1%,"Sin iniciar",IF(AY94=100%,"Terminado","En gestión"))</f>
        <v>En gestión</v>
      </c>
      <c r="BA94" s="743" t="str">
        <f>IF(AX94&lt;1%,"Sin iniciar",IF(AX94=100%,"Terminado","En gestión"))</f>
        <v>En gestión</v>
      </c>
      <c r="BB94" s="144"/>
      <c r="BC94" s="144"/>
      <c r="BD94" s="744">
        <v>0</v>
      </c>
      <c r="BE94" s="744"/>
      <c r="BF94" s="744">
        <v>0</v>
      </c>
      <c r="BG94" s="744">
        <v>0</v>
      </c>
      <c r="BH94" s="744">
        <v>0</v>
      </c>
      <c r="BI94" s="737"/>
      <c r="BJ94" s="737"/>
      <c r="BK94" s="737"/>
      <c r="BL94" s="737"/>
      <c r="BM94" s="737"/>
      <c r="BN94" s="144"/>
      <c r="BO94" s="350">
        <v>0.88</v>
      </c>
      <c r="BP94" s="716" t="s">
        <v>2971</v>
      </c>
      <c r="BQ94" s="25" t="s">
        <v>2972</v>
      </c>
      <c r="BR94" s="19" t="str">
        <f>IF(T94&lt;1%,"Sin iniciar",IF(T94=100%,"Terminado","En gestión"))</f>
        <v>En gestión</v>
      </c>
      <c r="BS94" s="19" t="str">
        <f>IF(BO94&lt;1%,"Sin iniciar",IF(BO94=100%,"Terminado","En gestión"))</f>
        <v>En gestión</v>
      </c>
      <c r="BT94" s="716" t="s">
        <v>2973</v>
      </c>
      <c r="BU94" s="561">
        <f>SUMPRODUCT(O94:O95,BO94:BO95)</f>
        <v>0.88</v>
      </c>
      <c r="BV94" s="562">
        <f>SUMPRODUCT(O94:O95,T94:T95)</f>
        <v>0.88</v>
      </c>
      <c r="BW94" s="736" t="str">
        <f>IF(BV94&lt;1%,"Sin iniciar",IF(BV94=100%,"Terminado","En gestión"))</f>
        <v>En gestión</v>
      </c>
      <c r="BX94" s="736" t="str">
        <f>IF(BU94&lt;1%,"Sin iniciar",IF(BU94=100%,"Terminado","En gestión"))</f>
        <v>En gestión</v>
      </c>
      <c r="BY94" s="578" t="s">
        <v>37</v>
      </c>
      <c r="BZ94" s="741" t="s">
        <v>366</v>
      </c>
      <c r="CA94" s="748">
        <v>391906855</v>
      </c>
      <c r="CB94" s="748">
        <v>318424320</v>
      </c>
      <c r="CC94" s="748">
        <v>339652608</v>
      </c>
      <c r="CD94" s="745">
        <v>203195503</v>
      </c>
      <c r="CE94" s="745">
        <v>71610750</v>
      </c>
      <c r="CF94" s="745">
        <v>190962000</v>
      </c>
      <c r="CG94" s="746" t="s">
        <v>2460</v>
      </c>
      <c r="CH94" s="746" t="s">
        <v>2462</v>
      </c>
      <c r="CI94" s="741" t="s">
        <v>2463</v>
      </c>
      <c r="CJ94" s="747" t="s">
        <v>2651</v>
      </c>
    </row>
    <row r="95" spans="2:88" ht="171.95" customHeight="1" x14ac:dyDescent="0.25">
      <c r="B95" s="1225"/>
      <c r="C95" s="742"/>
      <c r="D95" s="738"/>
      <c r="E95" s="738"/>
      <c r="F95" s="738"/>
      <c r="G95" s="738"/>
      <c r="H95" s="738"/>
      <c r="I95" s="738"/>
      <c r="J95" s="738"/>
      <c r="K95" s="739"/>
      <c r="L95" s="740"/>
      <c r="M95" s="135" t="s">
        <v>389</v>
      </c>
      <c r="N95" s="136" t="s">
        <v>390</v>
      </c>
      <c r="O95" s="137">
        <v>0.5</v>
      </c>
      <c r="P95" s="138">
        <v>44291</v>
      </c>
      <c r="Q95" s="138">
        <v>44499</v>
      </c>
      <c r="R95" s="139">
        <v>0</v>
      </c>
      <c r="S95" s="140">
        <v>0.38</v>
      </c>
      <c r="T95" s="139">
        <v>0.88</v>
      </c>
      <c r="U95" s="139">
        <v>1</v>
      </c>
      <c r="V95" s="141">
        <v>0.1</v>
      </c>
      <c r="W95" s="142" t="s">
        <v>391</v>
      </c>
      <c r="X95" s="143" t="s">
        <v>2974</v>
      </c>
      <c r="Y95" s="19" t="str">
        <f>IF(R95&lt;1%,"Sin iniciar",IF(R95=100%,"Terminado","En gestión"))</f>
        <v>Sin iniciar</v>
      </c>
      <c r="Z95" s="19" t="str">
        <f>IF(V95&lt;1%,"Sin iniciar",IF(V95=100%,"Terminado","En gestión"))</f>
        <v>En gestión</v>
      </c>
      <c r="AA95" s="741"/>
      <c r="AB95" s="596"/>
      <c r="AC95" s="597"/>
      <c r="AD95" s="736"/>
      <c r="AE95" s="736"/>
      <c r="AF95" s="144"/>
      <c r="AG95" s="737"/>
      <c r="AH95" s="737"/>
      <c r="AI95" s="737"/>
      <c r="AJ95" s="737"/>
      <c r="AK95" s="737"/>
      <c r="AL95" s="737"/>
      <c r="AM95" s="737"/>
      <c r="AN95" s="737"/>
      <c r="AO95" s="737"/>
      <c r="AP95" s="737"/>
      <c r="AQ95" s="144"/>
      <c r="AR95" s="1165">
        <v>0.38</v>
      </c>
      <c r="AS95" s="741"/>
      <c r="AT95" s="143" t="s">
        <v>2975</v>
      </c>
      <c r="AU95" s="66" t="str">
        <f>IF(S95&lt;1%,"Sin iniciar",IF(S95=100%,"Terminado","En gestión"))</f>
        <v>En gestión</v>
      </c>
      <c r="AV95" s="66" t="str">
        <f>IF(AR95&lt;1%,"Sin iniciar",IF(AR95=100%,"Terminado","En gestión"))</f>
        <v>En gestión</v>
      </c>
      <c r="AW95" s="741"/>
      <c r="AX95" s="599"/>
      <c r="AY95" s="600"/>
      <c r="AZ95" s="743"/>
      <c r="BA95" s="743"/>
      <c r="BB95" s="144"/>
      <c r="BC95" s="144"/>
      <c r="BD95" s="744"/>
      <c r="BE95" s="744"/>
      <c r="BF95" s="744"/>
      <c r="BG95" s="744"/>
      <c r="BH95" s="744"/>
      <c r="BI95" s="737"/>
      <c r="BJ95" s="737"/>
      <c r="BK95" s="737"/>
      <c r="BL95" s="737"/>
      <c r="BM95" s="737"/>
      <c r="BN95" s="144"/>
      <c r="BO95" s="350">
        <v>0.88</v>
      </c>
      <c r="BP95" s="716"/>
      <c r="BQ95" s="25" t="s">
        <v>2976</v>
      </c>
      <c r="BR95" s="19" t="str">
        <f>IF(T95&lt;1%,"Sin iniciar",IF(T95=100%,"Terminado","En gestión"))</f>
        <v>En gestión</v>
      </c>
      <c r="BS95" s="19" t="str">
        <f>IF(BO95&lt;1%,"Sin iniciar",IF(BO95=100%,"Terminado","En gestión"))</f>
        <v>En gestión</v>
      </c>
      <c r="BT95" s="716"/>
      <c r="BU95" s="561"/>
      <c r="BV95" s="562"/>
      <c r="BW95" s="736"/>
      <c r="BX95" s="736"/>
      <c r="BY95" s="578"/>
      <c r="BZ95" s="741"/>
      <c r="CA95" s="748"/>
      <c r="CB95" s="748"/>
      <c r="CC95" s="748"/>
      <c r="CD95" s="745"/>
      <c r="CE95" s="745"/>
      <c r="CF95" s="745"/>
      <c r="CG95" s="746"/>
      <c r="CH95" s="746"/>
      <c r="CI95" s="741"/>
      <c r="CJ95" s="747"/>
    </row>
    <row r="96" spans="2:88" ht="171.95" customHeight="1" x14ac:dyDescent="0.25">
      <c r="B96" s="1223" t="s">
        <v>5220</v>
      </c>
      <c r="C96" s="632" t="s">
        <v>399</v>
      </c>
      <c r="D96" s="33" t="s">
        <v>233</v>
      </c>
      <c r="E96" s="33" t="s">
        <v>26</v>
      </c>
      <c r="F96" s="633" t="s">
        <v>400</v>
      </c>
      <c r="G96" s="33" t="s">
        <v>373</v>
      </c>
      <c r="H96" s="33" t="s">
        <v>28</v>
      </c>
      <c r="I96" s="33" t="s">
        <v>401</v>
      </c>
      <c r="J96" s="33" t="s">
        <v>47</v>
      </c>
      <c r="K96" s="634" t="s">
        <v>402</v>
      </c>
      <c r="L96" s="51" t="s">
        <v>164</v>
      </c>
      <c r="M96" s="34" t="s">
        <v>403</v>
      </c>
      <c r="N96" s="35" t="s">
        <v>404</v>
      </c>
      <c r="O96" s="145">
        <v>0.1</v>
      </c>
      <c r="P96" s="36">
        <v>44228</v>
      </c>
      <c r="Q96" s="36">
        <v>44286</v>
      </c>
      <c r="R96" s="37">
        <v>1</v>
      </c>
      <c r="S96" s="37">
        <v>1</v>
      </c>
      <c r="T96" s="37">
        <v>1</v>
      </c>
      <c r="U96" s="37">
        <v>1</v>
      </c>
      <c r="V96" s="90">
        <v>1</v>
      </c>
      <c r="W96" s="13" t="s">
        <v>405</v>
      </c>
      <c r="X96" s="55" t="s">
        <v>2977</v>
      </c>
      <c r="Y96" s="5" t="str">
        <f t="shared" ref="Y96:Y152" si="19">IF(R96&lt;1%,"Sin iniciar",IF(R96=100%,"Terminado","En gestión"))</f>
        <v>Terminado</v>
      </c>
      <c r="Z96" s="5" t="str">
        <f t="shared" ref="Z96:Z152" si="20">IF(V96&lt;1%,"Sin iniciar",IF(V96=100%,"Terminado","En gestión"))</f>
        <v>Terminado</v>
      </c>
      <c r="AA96" s="531" t="s">
        <v>457</v>
      </c>
      <c r="AB96" s="596">
        <f>SUMPRODUCT(O96:O101,V96:V101)</f>
        <v>0.12000000000000001</v>
      </c>
      <c r="AC96" s="597">
        <f>SUMPRODUCT(O96:O101,R96:R101)</f>
        <v>0.16600000000000001</v>
      </c>
      <c r="AD96" s="610" t="str">
        <f>IF(AC96&lt;1%,"Sin iniciar",IF(AC96=100%,"Terminado","En gestión"))</f>
        <v>En gestión</v>
      </c>
      <c r="AE96" s="610" t="str">
        <f>IF(AB96&lt;1%,"Sin iniciar",IF(AB96=100%,"Terminado","En gestión"))</f>
        <v>En gestión</v>
      </c>
      <c r="AF96" s="56"/>
      <c r="AG96" s="583">
        <v>83492410</v>
      </c>
      <c r="AH96" s="583">
        <v>0</v>
      </c>
      <c r="AI96" s="583">
        <f>+(AG96/12)*3</f>
        <v>20873102.5</v>
      </c>
      <c r="AJ96" s="583">
        <v>45177620</v>
      </c>
      <c r="AK96" s="583">
        <v>0</v>
      </c>
      <c r="AL96" s="583">
        <f>+(AJ96/12)*3</f>
        <v>11294405</v>
      </c>
      <c r="AM96" s="593" t="s">
        <v>2460</v>
      </c>
      <c r="AN96" s="603" t="s">
        <v>2461</v>
      </c>
      <c r="AO96" s="520" t="s">
        <v>2462</v>
      </c>
      <c r="AP96" s="531" t="s">
        <v>2463</v>
      </c>
      <c r="AQ96" s="583">
        <f>+AK96</f>
        <v>0</v>
      </c>
      <c r="AR96" s="1163">
        <v>1</v>
      </c>
      <c r="AS96" s="13" t="s">
        <v>2434</v>
      </c>
      <c r="AT96" s="55" t="s">
        <v>37</v>
      </c>
      <c r="AU96" s="56" t="str">
        <f t="shared" ref="AU96:AU152" si="21">IF(S96&lt;1%,"Sin iniciar",IF(S96=100%,"Terminado","En gestión"))</f>
        <v>Terminado</v>
      </c>
      <c r="AV96" s="56" t="str">
        <f t="shared" ref="AV96:AV152" si="22">IF(AR96&lt;1%,"Sin iniciar",IF(AR96=100%,"Terminado","En gestión"))</f>
        <v>Terminado</v>
      </c>
      <c r="AW96" s="531" t="s">
        <v>465</v>
      </c>
      <c r="AX96" s="599">
        <f>SUMPRODUCT(O96:O101,AR96:AR101)</f>
        <v>0.1</v>
      </c>
      <c r="AY96" s="600">
        <f>SUMPRODUCT(S96:S101,O96:O101)</f>
        <v>0.1</v>
      </c>
      <c r="AZ96" s="536" t="str">
        <f>IF(AY96&lt;1%,"Sin iniciar",IF(AY96=100%,"Terminado","En gestión"))</f>
        <v>En gestión</v>
      </c>
      <c r="BA96" s="536" t="str">
        <f>IF(AX96&lt;1%,"Sin iniciar",IF(AX96=100%,"Terminado","En gestión"))</f>
        <v>En gestión</v>
      </c>
      <c r="BB96" s="56"/>
      <c r="BC96" s="536" t="s">
        <v>466</v>
      </c>
      <c r="BD96" s="583">
        <v>83492410</v>
      </c>
      <c r="BE96" s="583">
        <v>83492410</v>
      </c>
      <c r="BF96" s="583">
        <v>41746205</v>
      </c>
      <c r="BG96" s="583">
        <v>45177620</v>
      </c>
      <c r="BH96" s="583">
        <v>45177620</v>
      </c>
      <c r="BI96" s="583">
        <v>22588810</v>
      </c>
      <c r="BJ96" s="593" t="s">
        <v>2563</v>
      </c>
      <c r="BK96" s="751">
        <v>2018011000430</v>
      </c>
      <c r="BL96" s="520" t="s">
        <v>2564</v>
      </c>
      <c r="BM96" s="531" t="s">
        <v>2565</v>
      </c>
      <c r="BN96" s="583" t="s">
        <v>2566</v>
      </c>
      <c r="BO96" s="347">
        <v>1</v>
      </c>
      <c r="BP96" s="12" t="s">
        <v>37</v>
      </c>
      <c r="BQ96" s="12" t="s">
        <v>37</v>
      </c>
      <c r="BR96" s="5" t="str">
        <f t="shared" ref="BR96:BR152" si="23">IF(T96&lt;1%,"Sin iniciar",IF(T96=100%,"Terminado","En gestión"))</f>
        <v>Terminado</v>
      </c>
      <c r="BS96" s="5" t="str">
        <f t="shared" ref="BS96:BS152" si="24">IF(BO96&lt;1%,"Sin iniciar",IF(BO96=100%,"Terminado","En gestión"))</f>
        <v>Terminado</v>
      </c>
      <c r="BT96" s="581" t="s">
        <v>2978</v>
      </c>
      <c r="BU96" s="561">
        <f>SUMPRODUCT(O96:O101,BO96:BO101)</f>
        <v>0.63200000000000001</v>
      </c>
      <c r="BV96" s="562">
        <f>SUMPRODUCT(O96:O101,T96:T101)</f>
        <v>0.63200000000000001</v>
      </c>
      <c r="BW96" s="610" t="str">
        <f>IF(BV96&lt;1%,"Sin iniciar",IF(BV96=100%,"Terminado","En gestión"))</f>
        <v>En gestión</v>
      </c>
      <c r="BX96" s="610" t="str">
        <f>IF(BU96&lt;1%,"Sin iniciar",IF(BU96=100%,"Terminado","En gestión"))</f>
        <v>En gestión</v>
      </c>
      <c r="BY96" s="573" t="s">
        <v>37</v>
      </c>
      <c r="BZ96" s="573" t="s">
        <v>2979</v>
      </c>
      <c r="CA96" s="750">
        <v>83492410</v>
      </c>
      <c r="CB96" s="750">
        <v>83492410</v>
      </c>
      <c r="CC96" s="750">
        <f>+CB96/12*9</f>
        <v>62619307.5</v>
      </c>
      <c r="CD96" s="750">
        <f>+BG96</f>
        <v>45177620</v>
      </c>
      <c r="CE96" s="750">
        <f>+CD96</f>
        <v>45177620</v>
      </c>
      <c r="CF96" s="750">
        <f>+CE96/12*9</f>
        <v>33883215</v>
      </c>
      <c r="CG96" s="749" t="s">
        <v>2563</v>
      </c>
      <c r="CH96" s="573" t="s">
        <v>2980</v>
      </c>
      <c r="CI96" s="573" t="s">
        <v>2565</v>
      </c>
      <c r="CJ96" s="573" t="s">
        <v>2566</v>
      </c>
    </row>
    <row r="97" spans="2:88" ht="171.95" customHeight="1" x14ac:dyDescent="0.25">
      <c r="B97" s="1224"/>
      <c r="C97" s="632"/>
      <c r="D97" s="33" t="s">
        <v>233</v>
      </c>
      <c r="E97" s="33" t="s">
        <v>26</v>
      </c>
      <c r="F97" s="633"/>
      <c r="G97" s="33" t="s">
        <v>373</v>
      </c>
      <c r="H97" s="33" t="s">
        <v>28</v>
      </c>
      <c r="I97" s="33" t="s">
        <v>401</v>
      </c>
      <c r="J97" s="33" t="s">
        <v>47</v>
      </c>
      <c r="K97" s="634"/>
      <c r="L97" s="51" t="s">
        <v>164</v>
      </c>
      <c r="M97" s="34" t="s">
        <v>406</v>
      </c>
      <c r="N97" s="35" t="s">
        <v>407</v>
      </c>
      <c r="O97" s="33">
        <v>0.2</v>
      </c>
      <c r="P97" s="36">
        <v>44378</v>
      </c>
      <c r="Q97" s="36">
        <v>44469</v>
      </c>
      <c r="R97" s="37">
        <v>0</v>
      </c>
      <c r="S97" s="37">
        <v>0</v>
      </c>
      <c r="T97" s="37">
        <v>1</v>
      </c>
      <c r="U97" s="37">
        <v>1</v>
      </c>
      <c r="V97" s="90">
        <v>0</v>
      </c>
      <c r="W97" s="56" t="s">
        <v>37</v>
      </c>
      <c r="X97" s="94" t="s">
        <v>37</v>
      </c>
      <c r="Y97" s="5" t="str">
        <f t="shared" si="19"/>
        <v>Sin iniciar</v>
      </c>
      <c r="Z97" s="5" t="str">
        <f t="shared" si="20"/>
        <v>Sin iniciar</v>
      </c>
      <c r="AA97" s="531"/>
      <c r="AB97" s="596"/>
      <c r="AC97" s="597"/>
      <c r="AD97" s="610"/>
      <c r="AE97" s="610"/>
      <c r="AF97" s="56"/>
      <c r="AG97" s="583"/>
      <c r="AH97" s="583"/>
      <c r="AI97" s="583"/>
      <c r="AJ97" s="583"/>
      <c r="AK97" s="583"/>
      <c r="AL97" s="583"/>
      <c r="AM97" s="593"/>
      <c r="AN97" s="603"/>
      <c r="AO97" s="520"/>
      <c r="AP97" s="531"/>
      <c r="AQ97" s="583"/>
      <c r="AR97" s="1163">
        <v>0</v>
      </c>
      <c r="AS97" s="13" t="s">
        <v>2437</v>
      </c>
      <c r="AT97" s="55" t="s">
        <v>37</v>
      </c>
      <c r="AU97" s="56" t="str">
        <f t="shared" si="21"/>
        <v>Sin iniciar</v>
      </c>
      <c r="AV97" s="56" t="str">
        <f t="shared" si="22"/>
        <v>Sin iniciar</v>
      </c>
      <c r="AW97" s="531"/>
      <c r="AX97" s="599"/>
      <c r="AY97" s="600"/>
      <c r="AZ97" s="536"/>
      <c r="BA97" s="536"/>
      <c r="BB97" s="56"/>
      <c r="BC97" s="536"/>
      <c r="BD97" s="583"/>
      <c r="BE97" s="583"/>
      <c r="BF97" s="583"/>
      <c r="BG97" s="583"/>
      <c r="BH97" s="583"/>
      <c r="BI97" s="583"/>
      <c r="BJ97" s="593"/>
      <c r="BK97" s="751"/>
      <c r="BL97" s="520"/>
      <c r="BM97" s="531"/>
      <c r="BN97" s="583"/>
      <c r="BO97" s="347">
        <v>1</v>
      </c>
      <c r="BP97" s="11" t="s">
        <v>2981</v>
      </c>
      <c r="BQ97" s="11" t="s">
        <v>2982</v>
      </c>
      <c r="BR97" s="5" t="str">
        <f t="shared" si="23"/>
        <v>Terminado</v>
      </c>
      <c r="BS97" s="5" t="str">
        <f t="shared" si="24"/>
        <v>Terminado</v>
      </c>
      <c r="BT97" s="581"/>
      <c r="BU97" s="561"/>
      <c r="BV97" s="562"/>
      <c r="BW97" s="610"/>
      <c r="BX97" s="610"/>
      <c r="BY97" s="573"/>
      <c r="BZ97" s="573"/>
      <c r="CA97" s="750"/>
      <c r="CB97" s="750"/>
      <c r="CC97" s="750"/>
      <c r="CD97" s="750"/>
      <c r="CE97" s="750"/>
      <c r="CF97" s="750"/>
      <c r="CG97" s="749"/>
      <c r="CH97" s="573"/>
      <c r="CI97" s="573"/>
      <c r="CJ97" s="573"/>
    </row>
    <row r="98" spans="2:88" ht="171.95" customHeight="1" x14ac:dyDescent="0.25">
      <c r="B98" s="1224"/>
      <c r="C98" s="632"/>
      <c r="D98" s="33" t="s">
        <v>233</v>
      </c>
      <c r="E98" s="33" t="s">
        <v>26</v>
      </c>
      <c r="F98" s="633"/>
      <c r="G98" s="33" t="s">
        <v>373</v>
      </c>
      <c r="H98" s="33" t="s">
        <v>28</v>
      </c>
      <c r="I98" s="33" t="s">
        <v>401</v>
      </c>
      <c r="J98" s="33" t="s">
        <v>47</v>
      </c>
      <c r="K98" s="634"/>
      <c r="L98" s="51" t="s">
        <v>164</v>
      </c>
      <c r="M98" s="34" t="s">
        <v>408</v>
      </c>
      <c r="N98" s="35" t="s">
        <v>409</v>
      </c>
      <c r="O98" s="33">
        <v>0.2</v>
      </c>
      <c r="P98" s="36">
        <v>44378</v>
      </c>
      <c r="Q98" s="36">
        <v>44469</v>
      </c>
      <c r="R98" s="37">
        <v>0</v>
      </c>
      <c r="S98" s="37">
        <v>0</v>
      </c>
      <c r="T98" s="37">
        <v>1</v>
      </c>
      <c r="U98" s="37">
        <v>1</v>
      </c>
      <c r="V98" s="90">
        <v>0</v>
      </c>
      <c r="W98" s="56" t="s">
        <v>37</v>
      </c>
      <c r="X98" s="94" t="s">
        <v>37</v>
      </c>
      <c r="Y98" s="5" t="str">
        <f t="shared" si="19"/>
        <v>Sin iniciar</v>
      </c>
      <c r="Z98" s="5" t="str">
        <f t="shared" si="20"/>
        <v>Sin iniciar</v>
      </c>
      <c r="AA98" s="531"/>
      <c r="AB98" s="596"/>
      <c r="AC98" s="597"/>
      <c r="AD98" s="610"/>
      <c r="AE98" s="610"/>
      <c r="AF98" s="56"/>
      <c r="AG98" s="583"/>
      <c r="AH98" s="583"/>
      <c r="AI98" s="583"/>
      <c r="AJ98" s="583"/>
      <c r="AK98" s="583"/>
      <c r="AL98" s="583"/>
      <c r="AM98" s="593"/>
      <c r="AN98" s="603"/>
      <c r="AO98" s="520"/>
      <c r="AP98" s="531"/>
      <c r="AQ98" s="583"/>
      <c r="AR98" s="1163">
        <v>0</v>
      </c>
      <c r="AS98" s="13" t="s">
        <v>2437</v>
      </c>
      <c r="AT98" s="55" t="s">
        <v>37</v>
      </c>
      <c r="AU98" s="56" t="str">
        <f t="shared" si="21"/>
        <v>Sin iniciar</v>
      </c>
      <c r="AV98" s="56" t="str">
        <f t="shared" si="22"/>
        <v>Sin iniciar</v>
      </c>
      <c r="AW98" s="531"/>
      <c r="AX98" s="599"/>
      <c r="AY98" s="600"/>
      <c r="AZ98" s="536"/>
      <c r="BA98" s="536"/>
      <c r="BB98" s="56"/>
      <c r="BC98" s="536"/>
      <c r="BD98" s="583"/>
      <c r="BE98" s="583"/>
      <c r="BF98" s="583"/>
      <c r="BG98" s="583"/>
      <c r="BH98" s="583"/>
      <c r="BI98" s="583"/>
      <c r="BJ98" s="593"/>
      <c r="BK98" s="751"/>
      <c r="BL98" s="520"/>
      <c r="BM98" s="531"/>
      <c r="BN98" s="583"/>
      <c r="BO98" s="347">
        <v>1</v>
      </c>
      <c r="BP98" s="11" t="s">
        <v>2983</v>
      </c>
      <c r="BQ98" s="11" t="s">
        <v>2984</v>
      </c>
      <c r="BR98" s="5" t="str">
        <f t="shared" si="23"/>
        <v>Terminado</v>
      </c>
      <c r="BS98" s="5" t="str">
        <f t="shared" si="24"/>
        <v>Terminado</v>
      </c>
      <c r="BT98" s="581"/>
      <c r="BU98" s="561"/>
      <c r="BV98" s="562"/>
      <c r="BW98" s="610"/>
      <c r="BX98" s="610"/>
      <c r="BY98" s="573"/>
      <c r="BZ98" s="573"/>
      <c r="CA98" s="750"/>
      <c r="CB98" s="750"/>
      <c r="CC98" s="750"/>
      <c r="CD98" s="750"/>
      <c r="CE98" s="750"/>
      <c r="CF98" s="750"/>
      <c r="CG98" s="749"/>
      <c r="CH98" s="573"/>
      <c r="CI98" s="573"/>
      <c r="CJ98" s="573"/>
    </row>
    <row r="99" spans="2:88" ht="171.95" customHeight="1" x14ac:dyDescent="0.25">
      <c r="B99" s="1224"/>
      <c r="C99" s="632"/>
      <c r="D99" s="33" t="s">
        <v>233</v>
      </c>
      <c r="E99" s="33" t="s">
        <v>26</v>
      </c>
      <c r="F99" s="633"/>
      <c r="G99" s="33" t="s">
        <v>373</v>
      </c>
      <c r="H99" s="33" t="s">
        <v>28</v>
      </c>
      <c r="I99" s="33" t="s">
        <v>401</v>
      </c>
      <c r="J99" s="33" t="s">
        <v>47</v>
      </c>
      <c r="K99" s="634"/>
      <c r="L99" s="51" t="s">
        <v>164</v>
      </c>
      <c r="M99" s="34" t="s">
        <v>410</v>
      </c>
      <c r="N99" s="35" t="s">
        <v>411</v>
      </c>
      <c r="O99" s="33">
        <v>0.2</v>
      </c>
      <c r="P99" s="36">
        <v>44470</v>
      </c>
      <c r="Q99" s="36">
        <v>44560</v>
      </c>
      <c r="R99" s="37">
        <v>0</v>
      </c>
      <c r="S99" s="37">
        <v>0</v>
      </c>
      <c r="T99" s="37">
        <v>0</v>
      </c>
      <c r="U99" s="37">
        <v>1</v>
      </c>
      <c r="V99" s="90">
        <v>0</v>
      </c>
      <c r="W99" s="56" t="s">
        <v>37</v>
      </c>
      <c r="X99" s="94" t="s">
        <v>37</v>
      </c>
      <c r="Y99" s="5" t="str">
        <f t="shared" si="19"/>
        <v>Sin iniciar</v>
      </c>
      <c r="Z99" s="5" t="str">
        <f t="shared" si="20"/>
        <v>Sin iniciar</v>
      </c>
      <c r="AA99" s="531"/>
      <c r="AB99" s="596"/>
      <c r="AC99" s="597"/>
      <c r="AD99" s="610"/>
      <c r="AE99" s="610"/>
      <c r="AF99" s="56"/>
      <c r="AG99" s="583"/>
      <c r="AH99" s="583"/>
      <c r="AI99" s="583"/>
      <c r="AJ99" s="583"/>
      <c r="AK99" s="583"/>
      <c r="AL99" s="583"/>
      <c r="AM99" s="593"/>
      <c r="AN99" s="603"/>
      <c r="AO99" s="520"/>
      <c r="AP99" s="531"/>
      <c r="AQ99" s="583"/>
      <c r="AR99" s="1163">
        <v>0</v>
      </c>
      <c r="AS99" s="13" t="s">
        <v>2437</v>
      </c>
      <c r="AT99" s="55" t="s">
        <v>37</v>
      </c>
      <c r="AU99" s="56" t="str">
        <f t="shared" si="21"/>
        <v>Sin iniciar</v>
      </c>
      <c r="AV99" s="56" t="str">
        <f t="shared" si="22"/>
        <v>Sin iniciar</v>
      </c>
      <c r="AW99" s="531"/>
      <c r="AX99" s="599"/>
      <c r="AY99" s="600"/>
      <c r="AZ99" s="536"/>
      <c r="BA99" s="536"/>
      <c r="BB99" s="56"/>
      <c r="BC99" s="536"/>
      <c r="BD99" s="583"/>
      <c r="BE99" s="583"/>
      <c r="BF99" s="583"/>
      <c r="BG99" s="583"/>
      <c r="BH99" s="583"/>
      <c r="BI99" s="583"/>
      <c r="BJ99" s="593"/>
      <c r="BK99" s="751"/>
      <c r="BL99" s="520"/>
      <c r="BM99" s="531"/>
      <c r="BN99" s="583"/>
      <c r="BO99" s="347">
        <v>0</v>
      </c>
      <c r="BP99" s="12" t="s">
        <v>37</v>
      </c>
      <c r="BQ99" s="12" t="s">
        <v>37</v>
      </c>
      <c r="BR99" s="5" t="str">
        <f t="shared" si="23"/>
        <v>Sin iniciar</v>
      </c>
      <c r="BS99" s="5" t="str">
        <f t="shared" si="24"/>
        <v>Sin iniciar</v>
      </c>
      <c r="BT99" s="581"/>
      <c r="BU99" s="561"/>
      <c r="BV99" s="562"/>
      <c r="BW99" s="610"/>
      <c r="BX99" s="610"/>
      <c r="BY99" s="573"/>
      <c r="BZ99" s="573"/>
      <c r="CA99" s="750"/>
      <c r="CB99" s="750"/>
      <c r="CC99" s="750"/>
      <c r="CD99" s="750"/>
      <c r="CE99" s="750"/>
      <c r="CF99" s="750"/>
      <c r="CG99" s="749"/>
      <c r="CH99" s="573"/>
      <c r="CI99" s="573"/>
      <c r="CJ99" s="573"/>
    </row>
    <row r="100" spans="2:88" ht="171.95" customHeight="1" x14ac:dyDescent="0.25">
      <c r="B100" s="1224"/>
      <c r="C100" s="632"/>
      <c r="D100" s="33" t="s">
        <v>233</v>
      </c>
      <c r="E100" s="33" t="s">
        <v>26</v>
      </c>
      <c r="F100" s="633"/>
      <c r="G100" s="33" t="s">
        <v>373</v>
      </c>
      <c r="H100" s="33" t="s">
        <v>28</v>
      </c>
      <c r="I100" s="33" t="s">
        <v>401</v>
      </c>
      <c r="J100" s="33" t="s">
        <v>47</v>
      </c>
      <c r="K100" s="634"/>
      <c r="L100" s="51" t="s">
        <v>164</v>
      </c>
      <c r="M100" s="34" t="s">
        <v>412</v>
      </c>
      <c r="N100" s="146" t="s">
        <v>413</v>
      </c>
      <c r="O100" s="33">
        <v>0.2</v>
      </c>
      <c r="P100" s="36">
        <v>44228</v>
      </c>
      <c r="Q100" s="36">
        <v>44560</v>
      </c>
      <c r="R100" s="37">
        <v>0.33</v>
      </c>
      <c r="S100" s="37">
        <v>0</v>
      </c>
      <c r="T100" s="37">
        <v>0.66</v>
      </c>
      <c r="U100" s="37">
        <v>1</v>
      </c>
      <c r="V100" s="90">
        <v>0.1</v>
      </c>
      <c r="W100" s="13" t="s">
        <v>414</v>
      </c>
      <c r="X100" s="55" t="s">
        <v>2985</v>
      </c>
      <c r="Y100" s="5" t="str">
        <f t="shared" si="19"/>
        <v>En gestión</v>
      </c>
      <c r="Z100" s="5" t="str">
        <f t="shared" si="20"/>
        <v>En gestión</v>
      </c>
      <c r="AA100" s="531"/>
      <c r="AB100" s="596"/>
      <c r="AC100" s="597"/>
      <c r="AD100" s="610"/>
      <c r="AE100" s="610"/>
      <c r="AF100" s="56"/>
      <c r="AG100" s="583"/>
      <c r="AH100" s="583"/>
      <c r="AI100" s="583"/>
      <c r="AJ100" s="583"/>
      <c r="AK100" s="583"/>
      <c r="AL100" s="583"/>
      <c r="AM100" s="593"/>
      <c r="AN100" s="603"/>
      <c r="AO100" s="520"/>
      <c r="AP100" s="531"/>
      <c r="AQ100" s="583"/>
      <c r="AR100" s="1163">
        <v>0</v>
      </c>
      <c r="AS100" s="13" t="s">
        <v>461</v>
      </c>
      <c r="AT100" s="55" t="s">
        <v>2986</v>
      </c>
      <c r="AU100" s="56" t="str">
        <f t="shared" si="21"/>
        <v>Sin iniciar</v>
      </c>
      <c r="AV100" s="56" t="str">
        <f t="shared" si="22"/>
        <v>Sin iniciar</v>
      </c>
      <c r="AW100" s="531"/>
      <c r="AX100" s="599"/>
      <c r="AY100" s="600"/>
      <c r="AZ100" s="536"/>
      <c r="BA100" s="536"/>
      <c r="BB100" s="56"/>
      <c r="BC100" s="536"/>
      <c r="BD100" s="583"/>
      <c r="BE100" s="583"/>
      <c r="BF100" s="583"/>
      <c r="BG100" s="583"/>
      <c r="BH100" s="583"/>
      <c r="BI100" s="583"/>
      <c r="BJ100" s="593"/>
      <c r="BK100" s="751"/>
      <c r="BL100" s="520"/>
      <c r="BM100" s="531"/>
      <c r="BN100" s="583"/>
      <c r="BO100" s="347">
        <v>0.66</v>
      </c>
      <c r="BP100" s="11" t="s">
        <v>2987</v>
      </c>
      <c r="BQ100" s="11" t="s">
        <v>2988</v>
      </c>
      <c r="BR100" s="5" t="str">
        <f t="shared" si="23"/>
        <v>En gestión</v>
      </c>
      <c r="BS100" s="5" t="str">
        <f t="shared" si="24"/>
        <v>En gestión</v>
      </c>
      <c r="BT100" s="581"/>
      <c r="BU100" s="561"/>
      <c r="BV100" s="562"/>
      <c r="BW100" s="610"/>
      <c r="BX100" s="610"/>
      <c r="BY100" s="573"/>
      <c r="BZ100" s="573"/>
      <c r="CA100" s="750"/>
      <c r="CB100" s="750"/>
      <c r="CC100" s="750"/>
      <c r="CD100" s="750"/>
      <c r="CE100" s="750"/>
      <c r="CF100" s="750"/>
      <c r="CG100" s="749"/>
      <c r="CH100" s="573"/>
      <c r="CI100" s="573"/>
      <c r="CJ100" s="573"/>
    </row>
    <row r="101" spans="2:88" ht="171.95" customHeight="1" x14ac:dyDescent="0.25">
      <c r="B101" s="1224"/>
      <c r="C101" s="632"/>
      <c r="D101" s="33" t="s">
        <v>233</v>
      </c>
      <c r="E101" s="33" t="s">
        <v>26</v>
      </c>
      <c r="F101" s="633"/>
      <c r="G101" s="33" t="s">
        <v>373</v>
      </c>
      <c r="H101" s="33" t="s">
        <v>28</v>
      </c>
      <c r="I101" s="33" t="s">
        <v>401</v>
      </c>
      <c r="J101" s="33" t="s">
        <v>47</v>
      </c>
      <c r="K101" s="634"/>
      <c r="L101" s="51" t="s">
        <v>164</v>
      </c>
      <c r="M101" s="34" t="s">
        <v>415</v>
      </c>
      <c r="N101" s="35" t="s">
        <v>416</v>
      </c>
      <c r="O101" s="145">
        <v>0.1</v>
      </c>
      <c r="P101" s="36">
        <v>44470</v>
      </c>
      <c r="Q101" s="36">
        <v>44560</v>
      </c>
      <c r="R101" s="37">
        <v>0</v>
      </c>
      <c r="S101" s="37">
        <v>0</v>
      </c>
      <c r="T101" s="37">
        <v>0</v>
      </c>
      <c r="U101" s="37">
        <v>1</v>
      </c>
      <c r="V101" s="90">
        <v>0</v>
      </c>
      <c r="W101" s="56" t="s">
        <v>37</v>
      </c>
      <c r="X101" s="94" t="s">
        <v>37</v>
      </c>
      <c r="Y101" s="5" t="str">
        <f t="shared" si="19"/>
        <v>Sin iniciar</v>
      </c>
      <c r="Z101" s="5" t="str">
        <f t="shared" si="20"/>
        <v>Sin iniciar</v>
      </c>
      <c r="AA101" s="531"/>
      <c r="AB101" s="596"/>
      <c r="AC101" s="597"/>
      <c r="AD101" s="610"/>
      <c r="AE101" s="610"/>
      <c r="AF101" s="56"/>
      <c r="AG101" s="583"/>
      <c r="AH101" s="583"/>
      <c r="AI101" s="583"/>
      <c r="AJ101" s="583"/>
      <c r="AK101" s="583"/>
      <c r="AL101" s="583"/>
      <c r="AM101" s="593"/>
      <c r="AN101" s="603"/>
      <c r="AO101" s="520"/>
      <c r="AP101" s="531"/>
      <c r="AQ101" s="583"/>
      <c r="AR101" s="1163">
        <v>0</v>
      </c>
      <c r="AS101" s="13" t="s">
        <v>2437</v>
      </c>
      <c r="AT101" s="55" t="s">
        <v>37</v>
      </c>
      <c r="AU101" s="56" t="str">
        <f t="shared" si="21"/>
        <v>Sin iniciar</v>
      </c>
      <c r="AV101" s="56" t="str">
        <f t="shared" si="22"/>
        <v>Sin iniciar</v>
      </c>
      <c r="AW101" s="531"/>
      <c r="AX101" s="599"/>
      <c r="AY101" s="600"/>
      <c r="AZ101" s="536"/>
      <c r="BA101" s="536"/>
      <c r="BB101" s="56"/>
      <c r="BC101" s="536"/>
      <c r="BD101" s="583"/>
      <c r="BE101" s="583"/>
      <c r="BF101" s="583"/>
      <c r="BG101" s="583"/>
      <c r="BH101" s="583"/>
      <c r="BI101" s="583"/>
      <c r="BJ101" s="593"/>
      <c r="BK101" s="751"/>
      <c r="BL101" s="520"/>
      <c r="BM101" s="531"/>
      <c r="BN101" s="583"/>
      <c r="BO101" s="347">
        <v>0</v>
      </c>
      <c r="BP101" s="12" t="s">
        <v>37</v>
      </c>
      <c r="BQ101" s="12" t="s">
        <v>37</v>
      </c>
      <c r="BR101" s="5" t="str">
        <f t="shared" si="23"/>
        <v>Sin iniciar</v>
      </c>
      <c r="BS101" s="5" t="str">
        <f t="shared" si="24"/>
        <v>Sin iniciar</v>
      </c>
      <c r="BT101" s="581"/>
      <c r="BU101" s="561"/>
      <c r="BV101" s="562"/>
      <c r="BW101" s="610"/>
      <c r="BX101" s="610"/>
      <c r="BY101" s="573"/>
      <c r="BZ101" s="573"/>
      <c r="CA101" s="750"/>
      <c r="CB101" s="750"/>
      <c r="CC101" s="750"/>
      <c r="CD101" s="750"/>
      <c r="CE101" s="750"/>
      <c r="CF101" s="750"/>
      <c r="CG101" s="749"/>
      <c r="CH101" s="573"/>
      <c r="CI101" s="573"/>
      <c r="CJ101" s="573"/>
    </row>
    <row r="102" spans="2:88" ht="171.95" customHeight="1" x14ac:dyDescent="0.25">
      <c r="B102" s="1224"/>
      <c r="C102" s="639" t="s">
        <v>417</v>
      </c>
      <c r="D102" s="41" t="s">
        <v>233</v>
      </c>
      <c r="E102" s="41" t="s">
        <v>26</v>
      </c>
      <c r="F102" s="640" t="s">
        <v>418</v>
      </c>
      <c r="G102" s="41" t="s">
        <v>373</v>
      </c>
      <c r="H102" s="41" t="s">
        <v>28</v>
      </c>
      <c r="I102" s="41" t="s">
        <v>401</v>
      </c>
      <c r="J102" s="41" t="s">
        <v>47</v>
      </c>
      <c r="K102" s="641" t="s">
        <v>419</v>
      </c>
      <c r="L102" s="52" t="s">
        <v>164</v>
      </c>
      <c r="M102" s="42" t="s">
        <v>420</v>
      </c>
      <c r="N102" s="43" t="s">
        <v>404</v>
      </c>
      <c r="O102" s="147">
        <v>0.2</v>
      </c>
      <c r="P102" s="44">
        <v>44228</v>
      </c>
      <c r="Q102" s="44">
        <v>44286</v>
      </c>
      <c r="R102" s="45">
        <v>1</v>
      </c>
      <c r="S102" s="45">
        <v>1</v>
      </c>
      <c r="T102" s="45">
        <v>1</v>
      </c>
      <c r="U102" s="45">
        <v>1</v>
      </c>
      <c r="V102" s="90">
        <v>1</v>
      </c>
      <c r="W102" s="62" t="s">
        <v>421</v>
      </c>
      <c r="X102" s="63" t="s">
        <v>2989</v>
      </c>
      <c r="Y102" s="19" t="str">
        <f t="shared" si="19"/>
        <v>Terminado</v>
      </c>
      <c r="Z102" s="19" t="str">
        <f t="shared" si="20"/>
        <v>Terminado</v>
      </c>
      <c r="AA102" s="532" t="s">
        <v>457</v>
      </c>
      <c r="AB102" s="596">
        <f>SUMPRODUCT(O102:O103,V102:V103)</f>
        <v>0.2</v>
      </c>
      <c r="AC102" s="597">
        <f>SUMPRODUCT(O102:O103,R102:R103)</f>
        <v>0.2</v>
      </c>
      <c r="AD102" s="611" t="str">
        <f>IF(AC102&lt;1%,"Sin iniciar",IF(AC102=100%,"Terminado","En gestión"))</f>
        <v>En gestión</v>
      </c>
      <c r="AE102" s="611" t="str">
        <f>IF(AB102&lt;1%,"Sin iniciar",IF(AB102=100%,"Terminado","En gestión"))</f>
        <v>En gestión</v>
      </c>
      <c r="AF102" s="66"/>
      <c r="AG102" s="579">
        <v>83492410</v>
      </c>
      <c r="AH102" s="579">
        <v>0</v>
      </c>
      <c r="AI102" s="579">
        <f>+(AG102/12)*3</f>
        <v>20873102.5</v>
      </c>
      <c r="AJ102" s="579">
        <v>63977420</v>
      </c>
      <c r="AK102" s="579">
        <v>0</v>
      </c>
      <c r="AL102" s="579">
        <f>+(AJ102/12)*3</f>
        <v>15994355</v>
      </c>
      <c r="AM102" s="592" t="s">
        <v>2460</v>
      </c>
      <c r="AN102" s="598" t="s">
        <v>2461</v>
      </c>
      <c r="AO102" s="521" t="s">
        <v>2462</v>
      </c>
      <c r="AP102" s="532" t="s">
        <v>2463</v>
      </c>
      <c r="AQ102" s="579">
        <f>+AK102</f>
        <v>0</v>
      </c>
      <c r="AR102" s="1163">
        <v>1</v>
      </c>
      <c r="AS102" s="62" t="s">
        <v>2434</v>
      </c>
      <c r="AT102" s="63" t="s">
        <v>37</v>
      </c>
      <c r="AU102" s="66" t="str">
        <f t="shared" si="21"/>
        <v>Terminado</v>
      </c>
      <c r="AV102" s="66" t="str">
        <f t="shared" si="22"/>
        <v>Terminado</v>
      </c>
      <c r="AW102" s="532" t="s">
        <v>467</v>
      </c>
      <c r="AX102" s="599">
        <f>SUMPRODUCT(O102:O103,AR102:AR103)</f>
        <v>0.2</v>
      </c>
      <c r="AY102" s="600">
        <f>SUMPRODUCT(S102:S103,O102:O103)</f>
        <v>0.2</v>
      </c>
      <c r="AZ102" s="530" t="str">
        <f>IF(AY102&lt;1%,"Sin iniciar",IF(AY102=100%,"Terminado","En gestión"))</f>
        <v>En gestión</v>
      </c>
      <c r="BA102" s="530" t="str">
        <f>IF(AX102&lt;1%,"Sin iniciar",IF(AX102=100%,"Terminado","En gestión"))</f>
        <v>En gestión</v>
      </c>
      <c r="BB102" s="66"/>
      <c r="BC102" s="532" t="s">
        <v>466</v>
      </c>
      <c r="BD102" s="579">
        <v>83492410</v>
      </c>
      <c r="BE102" s="579">
        <v>83492410</v>
      </c>
      <c r="BF102" s="579">
        <v>41746205</v>
      </c>
      <c r="BG102" s="579">
        <v>63977420</v>
      </c>
      <c r="BH102" s="579">
        <v>63977420</v>
      </c>
      <c r="BI102" s="579">
        <v>31988710</v>
      </c>
      <c r="BJ102" s="592" t="s">
        <v>2563</v>
      </c>
      <c r="BK102" s="753">
        <v>2018011000430</v>
      </c>
      <c r="BL102" s="521" t="s">
        <v>2564</v>
      </c>
      <c r="BM102" s="532" t="s">
        <v>2565</v>
      </c>
      <c r="BN102" s="579" t="s">
        <v>2566</v>
      </c>
      <c r="BO102" s="347">
        <v>1</v>
      </c>
      <c r="BP102" s="25" t="s">
        <v>37</v>
      </c>
      <c r="BQ102" s="25" t="s">
        <v>37</v>
      </c>
      <c r="BR102" s="19" t="str">
        <f t="shared" si="23"/>
        <v>Terminado</v>
      </c>
      <c r="BS102" s="19" t="str">
        <f t="shared" si="24"/>
        <v>Terminado</v>
      </c>
      <c r="BT102" s="560" t="s">
        <v>2990</v>
      </c>
      <c r="BU102" s="561">
        <f>SUMPRODUCT(O102:O103,BO102:BO103)</f>
        <v>0.60000000000000009</v>
      </c>
      <c r="BV102" s="562">
        <f>SUMPRODUCT(O102:O103,T102:T103)</f>
        <v>0.60000000000000009</v>
      </c>
      <c r="BW102" s="611" t="str">
        <f>IF(BV102&lt;1%,"Sin iniciar",IF(BV102=100%,"Terminado","En gestión"))</f>
        <v>En gestión</v>
      </c>
      <c r="BX102" s="611" t="str">
        <f>IF(BU102&lt;1%,"Sin iniciar",IF(BU102=100%,"Terminado","En gestión"))</f>
        <v>En gestión</v>
      </c>
      <c r="BY102" s="578" t="s">
        <v>37</v>
      </c>
      <c r="BZ102" s="578" t="s">
        <v>2979</v>
      </c>
      <c r="CA102" s="591">
        <f>+BD102</f>
        <v>83492410</v>
      </c>
      <c r="CB102" s="591">
        <f>+BE102</f>
        <v>83492410</v>
      </c>
      <c r="CC102" s="560">
        <f>+CB102/12*9</f>
        <v>62619307.5</v>
      </c>
      <c r="CD102" s="591">
        <f>+BG102</f>
        <v>63977420</v>
      </c>
      <c r="CE102" s="591">
        <f>+BH102</f>
        <v>63977420</v>
      </c>
      <c r="CF102" s="591">
        <f>+CE102/12*9</f>
        <v>47983065</v>
      </c>
      <c r="CG102" s="752" t="s">
        <v>2563</v>
      </c>
      <c r="CH102" s="578" t="s">
        <v>2564</v>
      </c>
      <c r="CI102" s="578" t="s">
        <v>2565</v>
      </c>
      <c r="CJ102" s="578" t="s">
        <v>2566</v>
      </c>
    </row>
    <row r="103" spans="2:88" ht="171.95" customHeight="1" x14ac:dyDescent="0.25">
      <c r="B103" s="1224"/>
      <c r="C103" s="639"/>
      <c r="D103" s="41" t="s">
        <v>233</v>
      </c>
      <c r="E103" s="41" t="s">
        <v>26</v>
      </c>
      <c r="F103" s="640"/>
      <c r="G103" s="41" t="s">
        <v>373</v>
      </c>
      <c r="H103" s="41" t="s">
        <v>28</v>
      </c>
      <c r="I103" s="41" t="s">
        <v>401</v>
      </c>
      <c r="J103" s="41" t="s">
        <v>47</v>
      </c>
      <c r="K103" s="641"/>
      <c r="L103" s="52" t="s">
        <v>164</v>
      </c>
      <c r="M103" s="42" t="s">
        <v>422</v>
      </c>
      <c r="N103" s="43" t="s">
        <v>423</v>
      </c>
      <c r="O103" s="147">
        <v>0.8</v>
      </c>
      <c r="P103" s="44">
        <v>44378</v>
      </c>
      <c r="Q103" s="44">
        <v>44560</v>
      </c>
      <c r="R103" s="45">
        <v>0</v>
      </c>
      <c r="S103" s="45">
        <v>0</v>
      </c>
      <c r="T103" s="45">
        <v>0.5</v>
      </c>
      <c r="U103" s="45">
        <v>1</v>
      </c>
      <c r="V103" s="90">
        <v>0</v>
      </c>
      <c r="W103" s="66" t="s">
        <v>37</v>
      </c>
      <c r="X103" s="91" t="s">
        <v>37</v>
      </c>
      <c r="Y103" s="19" t="str">
        <f t="shared" si="19"/>
        <v>Sin iniciar</v>
      </c>
      <c r="Z103" s="19" t="str">
        <f t="shared" si="20"/>
        <v>Sin iniciar</v>
      </c>
      <c r="AA103" s="532"/>
      <c r="AB103" s="596"/>
      <c r="AC103" s="597"/>
      <c r="AD103" s="611"/>
      <c r="AE103" s="611"/>
      <c r="AF103" s="66"/>
      <c r="AG103" s="579"/>
      <c r="AH103" s="579"/>
      <c r="AI103" s="579"/>
      <c r="AJ103" s="579"/>
      <c r="AK103" s="579"/>
      <c r="AL103" s="579"/>
      <c r="AM103" s="592"/>
      <c r="AN103" s="598"/>
      <c r="AO103" s="521"/>
      <c r="AP103" s="532"/>
      <c r="AQ103" s="579"/>
      <c r="AR103" s="1163">
        <v>0</v>
      </c>
      <c r="AS103" s="62" t="s">
        <v>2437</v>
      </c>
      <c r="AT103" s="91" t="s">
        <v>37</v>
      </c>
      <c r="AU103" s="66" t="str">
        <f t="shared" si="21"/>
        <v>Sin iniciar</v>
      </c>
      <c r="AV103" s="66" t="str">
        <f t="shared" si="22"/>
        <v>Sin iniciar</v>
      </c>
      <c r="AW103" s="532"/>
      <c r="AX103" s="599"/>
      <c r="AY103" s="600"/>
      <c r="AZ103" s="530"/>
      <c r="BA103" s="530"/>
      <c r="BB103" s="66"/>
      <c r="BC103" s="532"/>
      <c r="BD103" s="579"/>
      <c r="BE103" s="579"/>
      <c r="BF103" s="579"/>
      <c r="BG103" s="579"/>
      <c r="BH103" s="579"/>
      <c r="BI103" s="579"/>
      <c r="BJ103" s="592"/>
      <c r="BK103" s="753"/>
      <c r="BL103" s="521"/>
      <c r="BM103" s="532"/>
      <c r="BN103" s="579"/>
      <c r="BO103" s="347">
        <v>0.5</v>
      </c>
      <c r="BP103" s="24" t="s">
        <v>2991</v>
      </c>
      <c r="BQ103" s="24" t="s">
        <v>2992</v>
      </c>
      <c r="BR103" s="19" t="str">
        <f t="shared" si="23"/>
        <v>En gestión</v>
      </c>
      <c r="BS103" s="19" t="str">
        <f t="shared" si="24"/>
        <v>En gestión</v>
      </c>
      <c r="BT103" s="560"/>
      <c r="BU103" s="561"/>
      <c r="BV103" s="562"/>
      <c r="BW103" s="611"/>
      <c r="BX103" s="611"/>
      <c r="BY103" s="578"/>
      <c r="BZ103" s="578"/>
      <c r="CA103" s="560"/>
      <c r="CB103" s="560"/>
      <c r="CC103" s="560"/>
      <c r="CD103" s="591"/>
      <c r="CE103" s="591"/>
      <c r="CF103" s="591"/>
      <c r="CG103" s="752"/>
      <c r="CH103" s="578"/>
      <c r="CI103" s="578"/>
      <c r="CJ103" s="578"/>
    </row>
    <row r="104" spans="2:88" ht="171.95" customHeight="1" x14ac:dyDescent="0.25">
      <c r="B104" s="1224"/>
      <c r="C104" s="632" t="s">
        <v>424</v>
      </c>
      <c r="D104" s="33" t="s">
        <v>159</v>
      </c>
      <c r="E104" s="33" t="s">
        <v>26</v>
      </c>
      <c r="F104" s="633" t="s">
        <v>425</v>
      </c>
      <c r="G104" s="33" t="s">
        <v>373</v>
      </c>
      <c r="H104" s="33" t="s">
        <v>28</v>
      </c>
      <c r="I104" s="33" t="s">
        <v>269</v>
      </c>
      <c r="J104" s="33" t="s">
        <v>47</v>
      </c>
      <c r="K104" s="634" t="s">
        <v>426</v>
      </c>
      <c r="L104" s="51" t="s">
        <v>164</v>
      </c>
      <c r="M104" s="34" t="s">
        <v>427</v>
      </c>
      <c r="N104" s="35" t="s">
        <v>428</v>
      </c>
      <c r="O104" s="145">
        <v>0.25</v>
      </c>
      <c r="P104" s="36">
        <v>44200</v>
      </c>
      <c r="Q104" s="36">
        <v>44286</v>
      </c>
      <c r="R104" s="37">
        <v>1</v>
      </c>
      <c r="S104" s="37">
        <v>1</v>
      </c>
      <c r="T104" s="37">
        <v>1</v>
      </c>
      <c r="U104" s="37">
        <v>1</v>
      </c>
      <c r="V104" s="90">
        <v>1</v>
      </c>
      <c r="W104" s="13" t="s">
        <v>429</v>
      </c>
      <c r="X104" s="55" t="s">
        <v>2993</v>
      </c>
      <c r="Y104" s="5" t="str">
        <f t="shared" si="19"/>
        <v>Terminado</v>
      </c>
      <c r="Z104" s="5" t="str">
        <f t="shared" si="20"/>
        <v>Terminado</v>
      </c>
      <c r="AA104" s="531" t="s">
        <v>458</v>
      </c>
      <c r="AB104" s="604">
        <f>SUMPRODUCT(O104:O107,V104:V107)</f>
        <v>0.25</v>
      </c>
      <c r="AC104" s="597">
        <f>SUMPRODUCT(O104:O107,R104:R107)</f>
        <v>0.25</v>
      </c>
      <c r="AD104" s="610" t="str">
        <f>IF(AC104&lt;1%,"Sin iniciar",IF(AC104=100%,"Terminado","En gestión"))</f>
        <v>En gestión</v>
      </c>
      <c r="AE104" s="610" t="str">
        <f>IF(AB104&lt;1%,"Sin iniciar",IF(AB104=100%,"Terminado","En gestión"))</f>
        <v>En gestión</v>
      </c>
      <c r="AF104" s="56"/>
      <c r="AG104" s="583">
        <v>26056946</v>
      </c>
      <c r="AH104" s="583">
        <v>0</v>
      </c>
      <c r="AI104" s="583">
        <f>+(AG104/12)*3</f>
        <v>6514236.5</v>
      </c>
      <c r="AJ104" s="583">
        <v>59752875</v>
      </c>
      <c r="AK104" s="583">
        <v>0</v>
      </c>
      <c r="AL104" s="583">
        <f>+(AJ104/12)*3</f>
        <v>14938218.75</v>
      </c>
      <c r="AM104" s="593" t="s">
        <v>2460</v>
      </c>
      <c r="AN104" s="603" t="s">
        <v>2461</v>
      </c>
      <c r="AO104" s="520" t="s">
        <v>2462</v>
      </c>
      <c r="AP104" s="531" t="s">
        <v>2463</v>
      </c>
      <c r="AQ104" s="583">
        <f>+AK104</f>
        <v>0</v>
      </c>
      <c r="AR104" s="1163">
        <v>1</v>
      </c>
      <c r="AS104" s="13" t="s">
        <v>2434</v>
      </c>
      <c r="AT104" s="55" t="s">
        <v>37</v>
      </c>
      <c r="AU104" s="56" t="str">
        <f t="shared" si="21"/>
        <v>Terminado</v>
      </c>
      <c r="AV104" s="56" t="str">
        <f t="shared" si="22"/>
        <v>Terminado</v>
      </c>
      <c r="AW104" s="531" t="s">
        <v>468</v>
      </c>
      <c r="AX104" s="706">
        <f>SUMPRODUCT(O104:O107,AR104:AR107)</f>
        <v>0.58250000000000002</v>
      </c>
      <c r="AY104" s="600">
        <f>SUMPRODUCT(S104:S107,O104:O107)</f>
        <v>0.58250000000000002</v>
      </c>
      <c r="AZ104" s="536" t="str">
        <f>IF(AY104&lt;1%,"Sin iniciar",IF(AY104=100%,"Terminado","En gestión"))</f>
        <v>En gestión</v>
      </c>
      <c r="BA104" s="536" t="str">
        <f>IF(AX104&lt;1%,"Sin iniciar",IF(AX104=100%,"Terminado","En gestión"))</f>
        <v>En gestión</v>
      </c>
      <c r="BB104" s="56"/>
      <c r="BC104" s="531" t="s">
        <v>466</v>
      </c>
      <c r="BD104" s="583">
        <v>26056946</v>
      </c>
      <c r="BE104" s="583">
        <v>26056946</v>
      </c>
      <c r="BF104" s="583">
        <v>13028473</v>
      </c>
      <c r="BG104" s="583">
        <v>59752875</v>
      </c>
      <c r="BH104" s="583">
        <v>59752875</v>
      </c>
      <c r="BI104" s="583">
        <v>29876437.5</v>
      </c>
      <c r="BJ104" s="593" t="s">
        <v>2563</v>
      </c>
      <c r="BK104" s="751">
        <v>2018011000430</v>
      </c>
      <c r="BL104" s="520" t="s">
        <v>2564</v>
      </c>
      <c r="BM104" s="531" t="s">
        <v>2565</v>
      </c>
      <c r="BN104" s="583" t="s">
        <v>2566</v>
      </c>
      <c r="BO104" s="347">
        <v>1</v>
      </c>
      <c r="BP104" s="12" t="s">
        <v>37</v>
      </c>
      <c r="BQ104" s="12" t="s">
        <v>37</v>
      </c>
      <c r="BR104" s="5" t="str">
        <f t="shared" si="23"/>
        <v>Terminado</v>
      </c>
      <c r="BS104" s="5" t="str">
        <f t="shared" si="24"/>
        <v>Terminado</v>
      </c>
      <c r="BT104" s="581" t="s">
        <v>2994</v>
      </c>
      <c r="BU104" s="714">
        <f>SUMPRODUCT(O104:O107,BO104:BO107)</f>
        <v>0.70750000000000002</v>
      </c>
      <c r="BV104" s="562">
        <f>SUMPRODUCT(O104:O107,T104:T107)</f>
        <v>0.70750000000000002</v>
      </c>
      <c r="BW104" s="610" t="str">
        <f>IF(BV104&lt;1%,"Sin iniciar",IF(BV104=100%,"Terminado","En gestión"))</f>
        <v>En gestión</v>
      </c>
      <c r="BX104" s="610" t="str">
        <f>IF(BU104&lt;1%,"Sin iniciar",IF(BU104=100%,"Terminado","En gestión"))</f>
        <v>En gestión</v>
      </c>
      <c r="BY104" s="573" t="s">
        <v>37</v>
      </c>
      <c r="BZ104" s="573" t="s">
        <v>666</v>
      </c>
      <c r="CA104" s="754">
        <f>+BD104</f>
        <v>26056946</v>
      </c>
      <c r="CB104" s="754">
        <f>+BE104</f>
        <v>26056946</v>
      </c>
      <c r="CC104" s="754">
        <f>+CB104/12*9</f>
        <v>19542709.5</v>
      </c>
      <c r="CD104" s="754">
        <f>+BG104</f>
        <v>59752875</v>
      </c>
      <c r="CE104" s="754">
        <f>+BG104</f>
        <v>59752875</v>
      </c>
      <c r="CF104" s="754">
        <f>+CE104/12*9</f>
        <v>44814656.25</v>
      </c>
      <c r="CG104" s="749" t="s">
        <v>2563</v>
      </c>
      <c r="CH104" s="573" t="s">
        <v>2564</v>
      </c>
      <c r="CI104" s="573" t="s">
        <v>2565</v>
      </c>
      <c r="CJ104" s="573" t="s">
        <v>2566</v>
      </c>
    </row>
    <row r="105" spans="2:88" ht="171.95" customHeight="1" x14ac:dyDescent="0.25">
      <c r="B105" s="1224"/>
      <c r="C105" s="632"/>
      <c r="D105" s="33" t="s">
        <v>159</v>
      </c>
      <c r="E105" s="33" t="s">
        <v>26</v>
      </c>
      <c r="F105" s="633"/>
      <c r="G105" s="33" t="s">
        <v>373</v>
      </c>
      <c r="H105" s="33" t="s">
        <v>28</v>
      </c>
      <c r="I105" s="33" t="s">
        <v>269</v>
      </c>
      <c r="J105" s="33" t="s">
        <v>47</v>
      </c>
      <c r="K105" s="634"/>
      <c r="L105" s="51" t="s">
        <v>164</v>
      </c>
      <c r="M105" s="34" t="s">
        <v>430</v>
      </c>
      <c r="N105" s="35" t="s">
        <v>431</v>
      </c>
      <c r="O105" s="145">
        <v>0.25</v>
      </c>
      <c r="P105" s="36">
        <v>44287</v>
      </c>
      <c r="Q105" s="36" t="s">
        <v>432</v>
      </c>
      <c r="R105" s="37">
        <v>0</v>
      </c>
      <c r="S105" s="37">
        <v>1</v>
      </c>
      <c r="T105" s="37">
        <v>1</v>
      </c>
      <c r="U105" s="37">
        <v>1</v>
      </c>
      <c r="V105" s="90">
        <v>0</v>
      </c>
      <c r="W105" s="56" t="s">
        <v>37</v>
      </c>
      <c r="X105" s="94" t="s">
        <v>37</v>
      </c>
      <c r="Y105" s="5" t="str">
        <f t="shared" si="19"/>
        <v>Sin iniciar</v>
      </c>
      <c r="Z105" s="5" t="str">
        <f t="shared" si="20"/>
        <v>Sin iniciar</v>
      </c>
      <c r="AA105" s="531"/>
      <c r="AB105" s="604"/>
      <c r="AC105" s="597"/>
      <c r="AD105" s="610"/>
      <c r="AE105" s="610"/>
      <c r="AF105" s="56"/>
      <c r="AG105" s="583"/>
      <c r="AH105" s="583"/>
      <c r="AI105" s="583"/>
      <c r="AJ105" s="583"/>
      <c r="AK105" s="583"/>
      <c r="AL105" s="583"/>
      <c r="AM105" s="593"/>
      <c r="AN105" s="603"/>
      <c r="AO105" s="520"/>
      <c r="AP105" s="531"/>
      <c r="AQ105" s="583"/>
      <c r="AR105" s="1163">
        <v>1</v>
      </c>
      <c r="AS105" s="13" t="s">
        <v>462</v>
      </c>
      <c r="AT105" s="55" t="s">
        <v>2995</v>
      </c>
      <c r="AU105" s="56" t="str">
        <f t="shared" si="21"/>
        <v>Terminado</v>
      </c>
      <c r="AV105" s="56" t="str">
        <f t="shared" si="22"/>
        <v>Terminado</v>
      </c>
      <c r="AW105" s="531"/>
      <c r="AX105" s="706"/>
      <c r="AY105" s="600"/>
      <c r="AZ105" s="536"/>
      <c r="BA105" s="536"/>
      <c r="BB105" s="56"/>
      <c r="BC105" s="531"/>
      <c r="BD105" s="583"/>
      <c r="BE105" s="583"/>
      <c r="BF105" s="583"/>
      <c r="BG105" s="583"/>
      <c r="BH105" s="583"/>
      <c r="BI105" s="583"/>
      <c r="BJ105" s="593"/>
      <c r="BK105" s="751"/>
      <c r="BL105" s="520"/>
      <c r="BM105" s="531"/>
      <c r="BN105" s="583"/>
      <c r="BO105" s="347">
        <v>1</v>
      </c>
      <c r="BP105" s="12" t="s">
        <v>37</v>
      </c>
      <c r="BQ105" s="12" t="s">
        <v>37</v>
      </c>
      <c r="BR105" s="5" t="str">
        <f t="shared" si="23"/>
        <v>Terminado</v>
      </c>
      <c r="BS105" s="5" t="str">
        <f t="shared" si="24"/>
        <v>Terminado</v>
      </c>
      <c r="BT105" s="581"/>
      <c r="BU105" s="714"/>
      <c r="BV105" s="562"/>
      <c r="BW105" s="610"/>
      <c r="BX105" s="610"/>
      <c r="BY105" s="573"/>
      <c r="BZ105" s="573"/>
      <c r="CA105" s="581"/>
      <c r="CB105" s="581"/>
      <c r="CC105" s="581"/>
      <c r="CD105" s="581"/>
      <c r="CE105" s="581"/>
      <c r="CF105" s="581"/>
      <c r="CG105" s="749"/>
      <c r="CH105" s="573"/>
      <c r="CI105" s="573"/>
      <c r="CJ105" s="573"/>
    </row>
    <row r="106" spans="2:88" ht="171.95" customHeight="1" x14ac:dyDescent="0.25">
      <c r="B106" s="1224"/>
      <c r="C106" s="632"/>
      <c r="D106" s="33" t="s">
        <v>159</v>
      </c>
      <c r="E106" s="33" t="s">
        <v>26</v>
      </c>
      <c r="F106" s="633"/>
      <c r="G106" s="33" t="s">
        <v>373</v>
      </c>
      <c r="H106" s="33" t="s">
        <v>28</v>
      </c>
      <c r="I106" s="33" t="s">
        <v>269</v>
      </c>
      <c r="J106" s="33" t="s">
        <v>47</v>
      </c>
      <c r="K106" s="634"/>
      <c r="L106" s="51" t="s">
        <v>164</v>
      </c>
      <c r="M106" s="34" t="s">
        <v>433</v>
      </c>
      <c r="N106" s="35" t="s">
        <v>434</v>
      </c>
      <c r="O106" s="145">
        <v>0.25</v>
      </c>
      <c r="P106" s="36">
        <v>44317</v>
      </c>
      <c r="Q106" s="36">
        <v>44500</v>
      </c>
      <c r="R106" s="37">
        <v>0</v>
      </c>
      <c r="S106" s="37">
        <v>0.33</v>
      </c>
      <c r="T106" s="37">
        <v>0.83</v>
      </c>
      <c r="U106" s="37">
        <v>1</v>
      </c>
      <c r="V106" s="90">
        <v>0</v>
      </c>
      <c r="W106" s="56" t="s">
        <v>37</v>
      </c>
      <c r="X106" s="94" t="s">
        <v>37</v>
      </c>
      <c r="Y106" s="5" t="str">
        <f t="shared" si="19"/>
        <v>Sin iniciar</v>
      </c>
      <c r="Z106" s="5" t="str">
        <f t="shared" si="20"/>
        <v>Sin iniciar</v>
      </c>
      <c r="AA106" s="531"/>
      <c r="AB106" s="604"/>
      <c r="AC106" s="597"/>
      <c r="AD106" s="610"/>
      <c r="AE106" s="610"/>
      <c r="AF106" s="56"/>
      <c r="AG106" s="583"/>
      <c r="AH106" s="583"/>
      <c r="AI106" s="583"/>
      <c r="AJ106" s="583"/>
      <c r="AK106" s="583"/>
      <c r="AL106" s="583"/>
      <c r="AM106" s="593"/>
      <c r="AN106" s="603"/>
      <c r="AO106" s="520"/>
      <c r="AP106" s="531"/>
      <c r="AQ106" s="583"/>
      <c r="AR106" s="1163">
        <v>0.33</v>
      </c>
      <c r="AS106" s="13" t="s">
        <v>463</v>
      </c>
      <c r="AT106" s="55" t="s">
        <v>2996</v>
      </c>
      <c r="AU106" s="56" t="str">
        <f t="shared" si="21"/>
        <v>En gestión</v>
      </c>
      <c r="AV106" s="56" t="str">
        <f t="shared" si="22"/>
        <v>En gestión</v>
      </c>
      <c r="AW106" s="531"/>
      <c r="AX106" s="706"/>
      <c r="AY106" s="600"/>
      <c r="AZ106" s="536"/>
      <c r="BA106" s="536"/>
      <c r="BB106" s="56"/>
      <c r="BC106" s="531"/>
      <c r="BD106" s="583"/>
      <c r="BE106" s="583"/>
      <c r="BF106" s="583"/>
      <c r="BG106" s="583"/>
      <c r="BH106" s="583"/>
      <c r="BI106" s="583"/>
      <c r="BJ106" s="593"/>
      <c r="BK106" s="751"/>
      <c r="BL106" s="520"/>
      <c r="BM106" s="531"/>
      <c r="BN106" s="583"/>
      <c r="BO106" s="347">
        <v>0.83</v>
      </c>
      <c r="BP106" s="11" t="s">
        <v>2997</v>
      </c>
      <c r="BQ106" s="11" t="s">
        <v>2998</v>
      </c>
      <c r="BR106" s="5" t="str">
        <f t="shared" si="23"/>
        <v>En gestión</v>
      </c>
      <c r="BS106" s="5" t="str">
        <f t="shared" si="24"/>
        <v>En gestión</v>
      </c>
      <c r="BT106" s="581"/>
      <c r="BU106" s="714"/>
      <c r="BV106" s="562"/>
      <c r="BW106" s="610"/>
      <c r="BX106" s="610"/>
      <c r="BY106" s="573"/>
      <c r="BZ106" s="573"/>
      <c r="CA106" s="581"/>
      <c r="CB106" s="581"/>
      <c r="CC106" s="581"/>
      <c r="CD106" s="581"/>
      <c r="CE106" s="581"/>
      <c r="CF106" s="581"/>
      <c r="CG106" s="749"/>
      <c r="CH106" s="573"/>
      <c r="CI106" s="573"/>
      <c r="CJ106" s="573"/>
    </row>
    <row r="107" spans="2:88" ht="171.95" customHeight="1" x14ac:dyDescent="0.25">
      <c r="B107" s="1224"/>
      <c r="C107" s="632"/>
      <c r="D107" s="33" t="s">
        <v>159</v>
      </c>
      <c r="E107" s="33" t="s">
        <v>26</v>
      </c>
      <c r="F107" s="633"/>
      <c r="G107" s="33" t="s">
        <v>373</v>
      </c>
      <c r="H107" s="33" t="s">
        <v>28</v>
      </c>
      <c r="I107" s="33" t="s">
        <v>269</v>
      </c>
      <c r="J107" s="33" t="s">
        <v>47</v>
      </c>
      <c r="K107" s="634"/>
      <c r="L107" s="51" t="s">
        <v>164</v>
      </c>
      <c r="M107" s="34" t="s">
        <v>435</v>
      </c>
      <c r="N107" s="35" t="s">
        <v>436</v>
      </c>
      <c r="O107" s="145">
        <v>0.25</v>
      </c>
      <c r="P107" s="36">
        <v>44501</v>
      </c>
      <c r="Q107" s="36">
        <v>44560</v>
      </c>
      <c r="R107" s="37">
        <v>0</v>
      </c>
      <c r="S107" s="37">
        <v>0</v>
      </c>
      <c r="T107" s="37">
        <v>0</v>
      </c>
      <c r="U107" s="37">
        <v>1</v>
      </c>
      <c r="V107" s="90">
        <v>0</v>
      </c>
      <c r="W107" s="56" t="s">
        <v>37</v>
      </c>
      <c r="X107" s="94" t="s">
        <v>37</v>
      </c>
      <c r="Y107" s="5" t="str">
        <f t="shared" si="19"/>
        <v>Sin iniciar</v>
      </c>
      <c r="Z107" s="5" t="str">
        <f t="shared" si="20"/>
        <v>Sin iniciar</v>
      </c>
      <c r="AA107" s="13"/>
      <c r="AB107" s="604"/>
      <c r="AC107" s="597"/>
      <c r="AD107" s="610"/>
      <c r="AE107" s="610"/>
      <c r="AF107" s="56"/>
      <c r="AG107" s="583"/>
      <c r="AH107" s="583"/>
      <c r="AI107" s="583"/>
      <c r="AJ107" s="583"/>
      <c r="AK107" s="583"/>
      <c r="AL107" s="583"/>
      <c r="AM107" s="593"/>
      <c r="AN107" s="603"/>
      <c r="AO107" s="520"/>
      <c r="AP107" s="531"/>
      <c r="AQ107" s="583"/>
      <c r="AR107" s="1163">
        <v>0</v>
      </c>
      <c r="AS107" s="13" t="s">
        <v>2437</v>
      </c>
      <c r="AT107" s="94" t="s">
        <v>37</v>
      </c>
      <c r="AU107" s="56" t="str">
        <f t="shared" si="21"/>
        <v>Sin iniciar</v>
      </c>
      <c r="AV107" s="56" t="str">
        <f t="shared" si="22"/>
        <v>Sin iniciar</v>
      </c>
      <c r="AW107" s="13"/>
      <c r="AX107" s="706"/>
      <c r="AY107" s="600"/>
      <c r="AZ107" s="536"/>
      <c r="BA107" s="536"/>
      <c r="BB107" s="56"/>
      <c r="BC107" s="531"/>
      <c r="BD107" s="583"/>
      <c r="BE107" s="583"/>
      <c r="BF107" s="583"/>
      <c r="BG107" s="583"/>
      <c r="BH107" s="583"/>
      <c r="BI107" s="583"/>
      <c r="BJ107" s="593"/>
      <c r="BK107" s="751"/>
      <c r="BL107" s="520"/>
      <c r="BM107" s="531"/>
      <c r="BN107" s="583"/>
      <c r="BO107" s="347">
        <v>0</v>
      </c>
      <c r="BP107" s="12" t="s">
        <v>37</v>
      </c>
      <c r="BQ107" s="12" t="s">
        <v>37</v>
      </c>
      <c r="BR107" s="5" t="str">
        <f t="shared" si="23"/>
        <v>Sin iniciar</v>
      </c>
      <c r="BS107" s="5" t="str">
        <f t="shared" si="24"/>
        <v>Sin iniciar</v>
      </c>
      <c r="BT107" s="581"/>
      <c r="BU107" s="714"/>
      <c r="BV107" s="562"/>
      <c r="BW107" s="610"/>
      <c r="BX107" s="610"/>
      <c r="BY107" s="573"/>
      <c r="BZ107" s="573"/>
      <c r="CA107" s="581"/>
      <c r="CB107" s="581"/>
      <c r="CC107" s="581"/>
      <c r="CD107" s="581"/>
      <c r="CE107" s="581"/>
      <c r="CF107" s="581"/>
      <c r="CG107" s="749"/>
      <c r="CH107" s="573"/>
      <c r="CI107" s="573"/>
      <c r="CJ107" s="573"/>
    </row>
    <row r="108" spans="2:88" ht="171.95" customHeight="1" x14ac:dyDescent="0.25">
      <c r="B108" s="1224"/>
      <c r="C108" s="639" t="s">
        <v>437</v>
      </c>
      <c r="D108" s="41" t="s">
        <v>45</v>
      </c>
      <c r="E108" s="41" t="s">
        <v>26</v>
      </c>
      <c r="F108" s="640" t="s">
        <v>438</v>
      </c>
      <c r="G108" s="41" t="s">
        <v>373</v>
      </c>
      <c r="H108" s="41" t="s">
        <v>28</v>
      </c>
      <c r="I108" s="41" t="s">
        <v>269</v>
      </c>
      <c r="J108" s="41" t="s">
        <v>47</v>
      </c>
      <c r="K108" s="641" t="s">
        <v>439</v>
      </c>
      <c r="L108" s="52" t="s">
        <v>164</v>
      </c>
      <c r="M108" s="42" t="s">
        <v>440</v>
      </c>
      <c r="N108" s="43" t="s">
        <v>404</v>
      </c>
      <c r="O108" s="147">
        <v>0.1</v>
      </c>
      <c r="P108" s="44">
        <v>44228</v>
      </c>
      <c r="Q108" s="44">
        <v>44286</v>
      </c>
      <c r="R108" s="45">
        <v>1</v>
      </c>
      <c r="S108" s="45">
        <v>1</v>
      </c>
      <c r="T108" s="45">
        <v>1</v>
      </c>
      <c r="U108" s="45">
        <v>1</v>
      </c>
      <c r="V108" s="90">
        <v>1</v>
      </c>
      <c r="W108" s="62" t="s">
        <v>421</v>
      </c>
      <c r="X108" s="63" t="s">
        <v>2999</v>
      </c>
      <c r="Y108" s="19" t="str">
        <f t="shared" si="19"/>
        <v>Terminado</v>
      </c>
      <c r="Z108" s="19" t="str">
        <f t="shared" si="20"/>
        <v>Terminado</v>
      </c>
      <c r="AA108" s="532" t="s">
        <v>459</v>
      </c>
      <c r="AB108" s="596">
        <f>SUMPRODUCT(O108:O110,V108:V110)</f>
        <v>0.1</v>
      </c>
      <c r="AC108" s="597">
        <f>SUMPRODUCT(O108:O110,R108:R110)</f>
        <v>0.1</v>
      </c>
      <c r="AD108" s="611" t="str">
        <f>IF(AC108&lt;1%,"Sin iniciar",IF(AC108=100%,"Terminado","En gestión"))</f>
        <v>En gestión</v>
      </c>
      <c r="AE108" s="611" t="str">
        <f>IF(AB108&lt;1%,"Sin iniciar",IF(AB108=100%,"Terminado","En gestión"))</f>
        <v>En gestión</v>
      </c>
      <c r="AF108" s="66"/>
      <c r="AG108" s="579">
        <v>83492410</v>
      </c>
      <c r="AH108" s="579">
        <v>0</v>
      </c>
      <c r="AI108" s="579">
        <f>+(AG108/12)*3</f>
        <v>20873102.5</v>
      </c>
      <c r="AJ108" s="579">
        <v>85886035</v>
      </c>
      <c r="AK108" s="579">
        <v>0</v>
      </c>
      <c r="AL108" s="579">
        <f>+(AJ108/12)*3</f>
        <v>21471508.75</v>
      </c>
      <c r="AM108" s="592" t="s">
        <v>2460</v>
      </c>
      <c r="AN108" s="598" t="s">
        <v>2461</v>
      </c>
      <c r="AO108" s="521" t="s">
        <v>2462</v>
      </c>
      <c r="AP108" s="532" t="s">
        <v>2463</v>
      </c>
      <c r="AQ108" s="579">
        <f>+AK108</f>
        <v>0</v>
      </c>
      <c r="AR108" s="1163">
        <v>1</v>
      </c>
      <c r="AS108" s="62" t="s">
        <v>2434</v>
      </c>
      <c r="AT108" s="63" t="s">
        <v>37</v>
      </c>
      <c r="AU108" s="66" t="str">
        <f t="shared" si="21"/>
        <v>Terminado</v>
      </c>
      <c r="AV108" s="66" t="str">
        <f t="shared" si="22"/>
        <v>Terminado</v>
      </c>
      <c r="AW108" s="532" t="s">
        <v>469</v>
      </c>
      <c r="AX108" s="599">
        <f>SUMPRODUCT(O108:O110,AR108:AR110)</f>
        <v>0.1</v>
      </c>
      <c r="AY108" s="600">
        <f>SUMPRODUCT(S108:S110,O108:O110)</f>
        <v>0.1</v>
      </c>
      <c r="AZ108" s="530" t="str">
        <f>IF(AY108&lt;1%,"Sin iniciar",IF(AY108=100%,"Terminado","En gestión"))</f>
        <v>En gestión</v>
      </c>
      <c r="BA108" s="530" t="str">
        <f>IF(AX108&lt;1%,"Sin iniciar",IF(AX108=100%,"Terminado","En gestión"))</f>
        <v>En gestión</v>
      </c>
      <c r="BB108" s="66"/>
      <c r="BC108" s="532" t="s">
        <v>466</v>
      </c>
      <c r="BD108" s="579">
        <v>83492410</v>
      </c>
      <c r="BE108" s="579">
        <v>83492410</v>
      </c>
      <c r="BF108" s="579">
        <v>41746205</v>
      </c>
      <c r="BG108" s="579">
        <v>85886035</v>
      </c>
      <c r="BH108" s="579">
        <v>85886035</v>
      </c>
      <c r="BI108" s="579">
        <v>42943017.5</v>
      </c>
      <c r="BJ108" s="592" t="s">
        <v>2563</v>
      </c>
      <c r="BK108" s="753">
        <v>2018011000430</v>
      </c>
      <c r="BL108" s="521" t="s">
        <v>2564</v>
      </c>
      <c r="BM108" s="532" t="s">
        <v>2565</v>
      </c>
      <c r="BN108" s="579" t="s">
        <v>2566</v>
      </c>
      <c r="BO108" s="347">
        <v>1</v>
      </c>
      <c r="BP108" s="25" t="s">
        <v>37</v>
      </c>
      <c r="BQ108" s="25" t="s">
        <v>37</v>
      </c>
      <c r="BR108" s="19" t="str">
        <f t="shared" si="23"/>
        <v>Terminado</v>
      </c>
      <c r="BS108" s="19" t="str">
        <f t="shared" si="24"/>
        <v>Terminado</v>
      </c>
      <c r="BT108" s="560" t="s">
        <v>3000</v>
      </c>
      <c r="BU108" s="561">
        <f>SUMPRODUCT(O108:O110,BO108:BO110)</f>
        <v>0.55000000000000004</v>
      </c>
      <c r="BV108" s="562">
        <f>SUMPRODUCT(O108:O110,T108:T110)</f>
        <v>0.55000000000000004</v>
      </c>
      <c r="BW108" s="611" t="str">
        <f>IF(BV108&lt;1%,"Sin iniciar",IF(BV108=100%,"Terminado","En gestión"))</f>
        <v>En gestión</v>
      </c>
      <c r="BX108" s="611" t="str">
        <f>IF(BU108&lt;1%,"Sin iniciar",IF(BU108=100%,"Terminado","En gestión"))</f>
        <v>En gestión</v>
      </c>
      <c r="BY108" s="578" t="s">
        <v>37</v>
      </c>
      <c r="BZ108" s="578" t="s">
        <v>2979</v>
      </c>
      <c r="CA108" s="591">
        <f>+BD108</f>
        <v>83492410</v>
      </c>
      <c r="CB108" s="591">
        <f>+BE108</f>
        <v>83492410</v>
      </c>
      <c r="CC108" s="591">
        <f>+CB108/12*9</f>
        <v>62619307.5</v>
      </c>
      <c r="CD108" s="591">
        <f>+BG108</f>
        <v>85886035</v>
      </c>
      <c r="CE108" s="591">
        <f>+CD108</f>
        <v>85886035</v>
      </c>
      <c r="CF108" s="591">
        <f>+CE108/12*9</f>
        <v>64414526.25</v>
      </c>
      <c r="CG108" s="752" t="s">
        <v>2563</v>
      </c>
      <c r="CH108" s="578" t="s">
        <v>2564</v>
      </c>
      <c r="CI108" s="578" t="s">
        <v>2565</v>
      </c>
      <c r="CJ108" s="578" t="s">
        <v>2566</v>
      </c>
    </row>
    <row r="109" spans="2:88" ht="171.95" customHeight="1" x14ac:dyDescent="0.25">
      <c r="B109" s="1224"/>
      <c r="C109" s="639"/>
      <c r="D109" s="41" t="s">
        <v>45</v>
      </c>
      <c r="E109" s="41" t="s">
        <v>26</v>
      </c>
      <c r="F109" s="640"/>
      <c r="G109" s="41" t="s">
        <v>373</v>
      </c>
      <c r="H109" s="41" t="s">
        <v>28</v>
      </c>
      <c r="I109" s="41" t="s">
        <v>269</v>
      </c>
      <c r="J109" s="41" t="s">
        <v>47</v>
      </c>
      <c r="K109" s="641"/>
      <c r="L109" s="52" t="s">
        <v>164</v>
      </c>
      <c r="M109" s="42" t="s">
        <v>441</v>
      </c>
      <c r="N109" s="43" t="s">
        <v>442</v>
      </c>
      <c r="O109" s="147">
        <v>0.45</v>
      </c>
      <c r="P109" s="44">
        <v>44378</v>
      </c>
      <c r="Q109" s="44">
        <v>44469</v>
      </c>
      <c r="R109" s="45">
        <v>0</v>
      </c>
      <c r="S109" s="45">
        <v>0</v>
      </c>
      <c r="T109" s="45">
        <v>1</v>
      </c>
      <c r="U109" s="45">
        <v>1</v>
      </c>
      <c r="V109" s="90">
        <v>0</v>
      </c>
      <c r="W109" s="66" t="s">
        <v>37</v>
      </c>
      <c r="X109" s="91" t="s">
        <v>37</v>
      </c>
      <c r="Y109" s="19" t="str">
        <f t="shared" si="19"/>
        <v>Sin iniciar</v>
      </c>
      <c r="Z109" s="19" t="str">
        <f t="shared" si="20"/>
        <v>Sin iniciar</v>
      </c>
      <c r="AA109" s="532"/>
      <c r="AB109" s="596"/>
      <c r="AC109" s="597"/>
      <c r="AD109" s="611"/>
      <c r="AE109" s="611"/>
      <c r="AF109" s="66"/>
      <c r="AG109" s="579"/>
      <c r="AH109" s="579"/>
      <c r="AI109" s="579"/>
      <c r="AJ109" s="579"/>
      <c r="AK109" s="579"/>
      <c r="AL109" s="579"/>
      <c r="AM109" s="592"/>
      <c r="AN109" s="598"/>
      <c r="AO109" s="521"/>
      <c r="AP109" s="532"/>
      <c r="AQ109" s="579"/>
      <c r="AR109" s="1163">
        <v>0</v>
      </c>
      <c r="AS109" s="62" t="s">
        <v>2437</v>
      </c>
      <c r="AT109" s="91" t="s">
        <v>37</v>
      </c>
      <c r="AU109" s="66" t="str">
        <f t="shared" si="21"/>
        <v>Sin iniciar</v>
      </c>
      <c r="AV109" s="66" t="str">
        <f t="shared" si="22"/>
        <v>Sin iniciar</v>
      </c>
      <c r="AW109" s="532"/>
      <c r="AX109" s="599"/>
      <c r="AY109" s="600"/>
      <c r="AZ109" s="530"/>
      <c r="BA109" s="530"/>
      <c r="BB109" s="66"/>
      <c r="BC109" s="532"/>
      <c r="BD109" s="579"/>
      <c r="BE109" s="579"/>
      <c r="BF109" s="579"/>
      <c r="BG109" s="579"/>
      <c r="BH109" s="579"/>
      <c r="BI109" s="579"/>
      <c r="BJ109" s="592"/>
      <c r="BK109" s="753"/>
      <c r="BL109" s="521"/>
      <c r="BM109" s="532"/>
      <c r="BN109" s="579"/>
      <c r="BO109" s="347">
        <v>1</v>
      </c>
      <c r="BP109" s="24" t="s">
        <v>3001</v>
      </c>
      <c r="BQ109" s="24" t="s">
        <v>3002</v>
      </c>
      <c r="BR109" s="19" t="str">
        <f t="shared" si="23"/>
        <v>Terminado</v>
      </c>
      <c r="BS109" s="19" t="str">
        <f t="shared" si="24"/>
        <v>Terminado</v>
      </c>
      <c r="BT109" s="578"/>
      <c r="BU109" s="561"/>
      <c r="BV109" s="562"/>
      <c r="BW109" s="611"/>
      <c r="BX109" s="611"/>
      <c r="BY109" s="578"/>
      <c r="BZ109" s="578"/>
      <c r="CA109" s="560"/>
      <c r="CB109" s="560"/>
      <c r="CC109" s="560"/>
      <c r="CD109" s="560"/>
      <c r="CE109" s="560"/>
      <c r="CF109" s="560"/>
      <c r="CG109" s="752"/>
      <c r="CH109" s="578"/>
      <c r="CI109" s="578"/>
      <c r="CJ109" s="578"/>
    </row>
    <row r="110" spans="2:88" ht="171.95" customHeight="1" x14ac:dyDescent="0.25">
      <c r="B110" s="1224"/>
      <c r="C110" s="639"/>
      <c r="D110" s="41" t="s">
        <v>45</v>
      </c>
      <c r="E110" s="41" t="s">
        <v>26</v>
      </c>
      <c r="F110" s="640"/>
      <c r="G110" s="41" t="s">
        <v>373</v>
      </c>
      <c r="H110" s="41" t="s">
        <v>28</v>
      </c>
      <c r="I110" s="41" t="s">
        <v>269</v>
      </c>
      <c r="J110" s="41" t="s">
        <v>47</v>
      </c>
      <c r="K110" s="641"/>
      <c r="L110" s="52" t="s">
        <v>164</v>
      </c>
      <c r="M110" s="42" t="s">
        <v>443</v>
      </c>
      <c r="N110" s="43" t="s">
        <v>444</v>
      </c>
      <c r="O110" s="147">
        <v>0.45</v>
      </c>
      <c r="P110" s="44">
        <v>44470</v>
      </c>
      <c r="Q110" s="44">
        <v>44560</v>
      </c>
      <c r="R110" s="45">
        <v>0</v>
      </c>
      <c r="S110" s="45">
        <v>0</v>
      </c>
      <c r="T110" s="45">
        <v>0</v>
      </c>
      <c r="U110" s="45">
        <v>1</v>
      </c>
      <c r="V110" s="90">
        <v>0</v>
      </c>
      <c r="W110" s="66" t="s">
        <v>37</v>
      </c>
      <c r="X110" s="91" t="s">
        <v>37</v>
      </c>
      <c r="Y110" s="19" t="str">
        <f t="shared" si="19"/>
        <v>Sin iniciar</v>
      </c>
      <c r="Z110" s="19" t="str">
        <f t="shared" si="20"/>
        <v>Sin iniciar</v>
      </c>
      <c r="AA110" s="532"/>
      <c r="AB110" s="596"/>
      <c r="AC110" s="597"/>
      <c r="AD110" s="611"/>
      <c r="AE110" s="611"/>
      <c r="AF110" s="66"/>
      <c r="AG110" s="579"/>
      <c r="AH110" s="579"/>
      <c r="AI110" s="579"/>
      <c r="AJ110" s="579"/>
      <c r="AK110" s="579"/>
      <c r="AL110" s="579"/>
      <c r="AM110" s="592"/>
      <c r="AN110" s="598"/>
      <c r="AO110" s="521"/>
      <c r="AP110" s="532"/>
      <c r="AQ110" s="579"/>
      <c r="AR110" s="1163">
        <v>0</v>
      </c>
      <c r="AS110" s="62" t="s">
        <v>2437</v>
      </c>
      <c r="AT110" s="91" t="s">
        <v>37</v>
      </c>
      <c r="AU110" s="66" t="str">
        <f t="shared" si="21"/>
        <v>Sin iniciar</v>
      </c>
      <c r="AV110" s="66" t="str">
        <f t="shared" si="22"/>
        <v>Sin iniciar</v>
      </c>
      <c r="AW110" s="532"/>
      <c r="AX110" s="599"/>
      <c r="AY110" s="600"/>
      <c r="AZ110" s="530"/>
      <c r="BA110" s="530"/>
      <c r="BB110" s="66"/>
      <c r="BC110" s="532"/>
      <c r="BD110" s="579"/>
      <c r="BE110" s="579"/>
      <c r="BF110" s="579"/>
      <c r="BG110" s="579"/>
      <c r="BH110" s="579"/>
      <c r="BI110" s="579"/>
      <c r="BJ110" s="592"/>
      <c r="BK110" s="753"/>
      <c r="BL110" s="521"/>
      <c r="BM110" s="532"/>
      <c r="BN110" s="579"/>
      <c r="BO110" s="347">
        <v>0</v>
      </c>
      <c r="BP110" s="25" t="s">
        <v>37</v>
      </c>
      <c r="BQ110" s="25" t="s">
        <v>37</v>
      </c>
      <c r="BR110" s="19" t="str">
        <f t="shared" si="23"/>
        <v>Sin iniciar</v>
      </c>
      <c r="BS110" s="19" t="str">
        <f t="shared" si="24"/>
        <v>Sin iniciar</v>
      </c>
      <c r="BT110" s="578"/>
      <c r="BU110" s="561"/>
      <c r="BV110" s="562"/>
      <c r="BW110" s="611"/>
      <c r="BX110" s="611"/>
      <c r="BY110" s="578"/>
      <c r="BZ110" s="578"/>
      <c r="CA110" s="560"/>
      <c r="CB110" s="560"/>
      <c r="CC110" s="560"/>
      <c r="CD110" s="560"/>
      <c r="CE110" s="560"/>
      <c r="CF110" s="560"/>
      <c r="CG110" s="752"/>
      <c r="CH110" s="578"/>
      <c r="CI110" s="578"/>
      <c r="CJ110" s="578"/>
    </row>
    <row r="111" spans="2:88" ht="171.95" customHeight="1" x14ac:dyDescent="0.25">
      <c r="B111" s="1224"/>
      <c r="C111" s="632" t="s">
        <v>445</v>
      </c>
      <c r="D111" s="33" t="s">
        <v>45</v>
      </c>
      <c r="E111" s="33" t="s">
        <v>26</v>
      </c>
      <c r="F111" s="755" t="s">
        <v>446</v>
      </c>
      <c r="G111" s="33" t="s">
        <v>373</v>
      </c>
      <c r="H111" s="33" t="s">
        <v>28</v>
      </c>
      <c r="I111" s="33" t="s">
        <v>269</v>
      </c>
      <c r="J111" s="33" t="s">
        <v>47</v>
      </c>
      <c r="K111" s="634" t="s">
        <v>447</v>
      </c>
      <c r="L111" s="51" t="s">
        <v>164</v>
      </c>
      <c r="M111" s="34" t="s">
        <v>448</v>
      </c>
      <c r="N111" s="35" t="s">
        <v>449</v>
      </c>
      <c r="O111" s="145">
        <v>0.25</v>
      </c>
      <c r="P111" s="36">
        <v>44214</v>
      </c>
      <c r="Q111" s="36">
        <v>44255</v>
      </c>
      <c r="R111" s="37">
        <v>1</v>
      </c>
      <c r="S111" s="37">
        <v>1</v>
      </c>
      <c r="T111" s="37">
        <v>1</v>
      </c>
      <c r="U111" s="37">
        <v>1</v>
      </c>
      <c r="V111" s="90">
        <v>1</v>
      </c>
      <c r="W111" s="13" t="s">
        <v>450</v>
      </c>
      <c r="X111" s="55" t="s">
        <v>3003</v>
      </c>
      <c r="Y111" s="5" t="str">
        <f t="shared" si="19"/>
        <v>Terminado</v>
      </c>
      <c r="Z111" s="5" t="str">
        <f t="shared" si="20"/>
        <v>Terminado</v>
      </c>
      <c r="AA111" s="531" t="s">
        <v>460</v>
      </c>
      <c r="AB111" s="596">
        <f>SUMPRODUCT(O111:O113,V111:V113)</f>
        <v>0.28000000000000003</v>
      </c>
      <c r="AC111" s="597">
        <f>SUMPRODUCT(O111:O113,R111:R113)</f>
        <v>0.33999999999999997</v>
      </c>
      <c r="AD111" s="610" t="str">
        <f>IF(AC111&lt;1%,"Sin iniciar",IF(AC111=100%,"Terminado","En gestión"))</f>
        <v>En gestión</v>
      </c>
      <c r="AE111" s="610" t="str">
        <f>IF(AB111&lt;1%,"Sin iniciar",IF(AB111=100%,"Terminado","En gestión"))</f>
        <v>En gestión</v>
      </c>
      <c r="AF111" s="56"/>
      <c r="AG111" s="583">
        <v>26056946</v>
      </c>
      <c r="AH111" s="583">
        <v>0</v>
      </c>
      <c r="AI111" s="583">
        <f>+(AG111/12)*3</f>
        <v>6514236.5</v>
      </c>
      <c r="AJ111" s="583">
        <v>40206050</v>
      </c>
      <c r="AK111" s="583">
        <v>0</v>
      </c>
      <c r="AL111" s="583">
        <f>+(AJ111/12)*3</f>
        <v>10051512.5</v>
      </c>
      <c r="AM111" s="593" t="s">
        <v>2460</v>
      </c>
      <c r="AN111" s="603" t="s">
        <v>2461</v>
      </c>
      <c r="AO111" s="520" t="s">
        <v>2462</v>
      </c>
      <c r="AP111" s="531" t="s">
        <v>2463</v>
      </c>
      <c r="AQ111" s="583">
        <f>+AK111</f>
        <v>0</v>
      </c>
      <c r="AR111" s="1163">
        <v>1</v>
      </c>
      <c r="AS111" s="13" t="s">
        <v>2434</v>
      </c>
      <c r="AT111" s="55" t="s">
        <v>37</v>
      </c>
      <c r="AU111" s="56" t="str">
        <f t="shared" si="21"/>
        <v>Terminado</v>
      </c>
      <c r="AV111" s="56" t="str">
        <f t="shared" si="22"/>
        <v>Terminado</v>
      </c>
      <c r="AW111" s="531" t="s">
        <v>470</v>
      </c>
      <c r="AX111" s="599">
        <f>SUMPRODUCT(O111:O113,AR111:AR113)</f>
        <v>0.37</v>
      </c>
      <c r="AY111" s="600">
        <f>SUMPRODUCT(S111:S113,O111:O113)</f>
        <v>0.37</v>
      </c>
      <c r="AZ111" s="536" t="str">
        <f>IF(AY111&lt;1%,"Sin iniciar",IF(AY111=100%,"Terminado","En gestión"))</f>
        <v>En gestión</v>
      </c>
      <c r="BA111" s="536" t="str">
        <f>IF(AX111&lt;1%,"Sin iniciar",IF(AX111=100%,"Terminado","En gestión"))</f>
        <v>En gestión</v>
      </c>
      <c r="BB111" s="56"/>
      <c r="BC111" s="531" t="s">
        <v>466</v>
      </c>
      <c r="BD111" s="583">
        <v>26056946</v>
      </c>
      <c r="BE111" s="583">
        <v>26056946</v>
      </c>
      <c r="BF111" s="583">
        <v>13028473</v>
      </c>
      <c r="BG111" s="583">
        <v>40206050</v>
      </c>
      <c r="BH111" s="583">
        <v>40206050</v>
      </c>
      <c r="BI111" s="583">
        <v>20103025</v>
      </c>
      <c r="BJ111" s="593" t="s">
        <v>2563</v>
      </c>
      <c r="BK111" s="751">
        <v>2018011000430</v>
      </c>
      <c r="BL111" s="520" t="s">
        <v>2564</v>
      </c>
      <c r="BM111" s="531" t="s">
        <v>2565</v>
      </c>
      <c r="BN111" s="583" t="s">
        <v>2566</v>
      </c>
      <c r="BO111" s="347">
        <v>1</v>
      </c>
      <c r="BP111" s="12" t="s">
        <v>37</v>
      </c>
      <c r="BQ111" s="12" t="s">
        <v>37</v>
      </c>
      <c r="BR111" s="5" t="str">
        <f t="shared" si="23"/>
        <v>Terminado</v>
      </c>
      <c r="BS111" s="5" t="str">
        <f t="shared" si="24"/>
        <v>Terminado</v>
      </c>
      <c r="BT111" s="581" t="s">
        <v>3004</v>
      </c>
      <c r="BU111" s="561">
        <f>SUMPRODUCT(O111:O113,BO111:BO113)</f>
        <v>0.73000000000000009</v>
      </c>
      <c r="BV111" s="562">
        <f>SUMPRODUCT(O111:O113,T111:T113)</f>
        <v>0.73000000000000009</v>
      </c>
      <c r="BW111" s="610" t="str">
        <f>IF(BV111&lt;1%,"Sin iniciar",IF(BV111=100%,"Terminado","En gestión"))</f>
        <v>En gestión</v>
      </c>
      <c r="BX111" s="610" t="str">
        <f>IF(BU111&lt;1%,"Sin iniciar",IF(BU111=100%,"Terminado","En gestión"))</f>
        <v>En gestión</v>
      </c>
      <c r="BY111" s="573" t="s">
        <v>37</v>
      </c>
      <c r="BZ111" s="573" t="s">
        <v>2979</v>
      </c>
      <c r="CA111" s="754">
        <f>+BD111</f>
        <v>26056946</v>
      </c>
      <c r="CB111" s="754">
        <f>+CA111</f>
        <v>26056946</v>
      </c>
      <c r="CC111" s="754">
        <f>+CB111/12*9</f>
        <v>19542709.5</v>
      </c>
      <c r="CD111" s="754">
        <f>+BG111</f>
        <v>40206050</v>
      </c>
      <c r="CE111" s="754">
        <f>+BG111</f>
        <v>40206050</v>
      </c>
      <c r="CF111" s="754">
        <f>+CE111/12*9</f>
        <v>30154537.5</v>
      </c>
      <c r="CG111" s="749" t="s">
        <v>2563</v>
      </c>
      <c r="CH111" s="573" t="s">
        <v>2564</v>
      </c>
      <c r="CI111" s="573" t="s">
        <v>2565</v>
      </c>
      <c r="CJ111" s="573" t="s">
        <v>2566</v>
      </c>
    </row>
    <row r="112" spans="2:88" ht="171.95" customHeight="1" x14ac:dyDescent="0.25">
      <c r="B112" s="1224"/>
      <c r="C112" s="632"/>
      <c r="D112" s="33" t="s">
        <v>45</v>
      </c>
      <c r="E112" s="33" t="s">
        <v>26</v>
      </c>
      <c r="F112" s="755"/>
      <c r="G112" s="33" t="s">
        <v>373</v>
      </c>
      <c r="H112" s="33" t="s">
        <v>28</v>
      </c>
      <c r="I112" s="33" t="s">
        <v>269</v>
      </c>
      <c r="J112" s="33" t="s">
        <v>47</v>
      </c>
      <c r="K112" s="634"/>
      <c r="L112" s="51" t="s">
        <v>164</v>
      </c>
      <c r="M112" s="34" t="s">
        <v>451</v>
      </c>
      <c r="N112" s="35" t="s">
        <v>452</v>
      </c>
      <c r="O112" s="145">
        <v>0.3</v>
      </c>
      <c r="P112" s="36">
        <v>44256</v>
      </c>
      <c r="Q112" s="36" t="s">
        <v>453</v>
      </c>
      <c r="R112" s="37">
        <v>0.3</v>
      </c>
      <c r="S112" s="37">
        <v>0.4</v>
      </c>
      <c r="T112" s="37">
        <v>1</v>
      </c>
      <c r="U112" s="37">
        <v>1</v>
      </c>
      <c r="V112" s="90">
        <v>0.1</v>
      </c>
      <c r="W112" s="13" t="s">
        <v>454</v>
      </c>
      <c r="X112" s="55" t="s">
        <v>3005</v>
      </c>
      <c r="Y112" s="5" t="str">
        <f t="shared" si="19"/>
        <v>En gestión</v>
      </c>
      <c r="Z112" s="5" t="str">
        <f t="shared" si="20"/>
        <v>En gestión</v>
      </c>
      <c r="AA112" s="531"/>
      <c r="AB112" s="596"/>
      <c r="AC112" s="597"/>
      <c r="AD112" s="610"/>
      <c r="AE112" s="610"/>
      <c r="AF112" s="56"/>
      <c r="AG112" s="583"/>
      <c r="AH112" s="583"/>
      <c r="AI112" s="583"/>
      <c r="AJ112" s="583"/>
      <c r="AK112" s="583"/>
      <c r="AL112" s="583"/>
      <c r="AM112" s="593"/>
      <c r="AN112" s="603"/>
      <c r="AO112" s="520"/>
      <c r="AP112" s="531"/>
      <c r="AQ112" s="583"/>
      <c r="AR112" s="1163">
        <v>0.4</v>
      </c>
      <c r="AS112" s="13" t="s">
        <v>464</v>
      </c>
      <c r="AT112" s="55" t="s">
        <v>3006</v>
      </c>
      <c r="AU112" s="56" t="str">
        <f t="shared" si="21"/>
        <v>En gestión</v>
      </c>
      <c r="AV112" s="56" t="str">
        <f t="shared" si="22"/>
        <v>En gestión</v>
      </c>
      <c r="AW112" s="531"/>
      <c r="AX112" s="599"/>
      <c r="AY112" s="600"/>
      <c r="AZ112" s="536"/>
      <c r="BA112" s="536"/>
      <c r="BB112" s="56"/>
      <c r="BC112" s="531"/>
      <c r="BD112" s="583"/>
      <c r="BE112" s="583"/>
      <c r="BF112" s="583"/>
      <c r="BG112" s="583"/>
      <c r="BH112" s="583"/>
      <c r="BI112" s="583"/>
      <c r="BJ112" s="593"/>
      <c r="BK112" s="751"/>
      <c r="BL112" s="520"/>
      <c r="BM112" s="531"/>
      <c r="BN112" s="583"/>
      <c r="BO112" s="347">
        <v>1</v>
      </c>
      <c r="BP112" s="11" t="s">
        <v>3007</v>
      </c>
      <c r="BQ112" s="11" t="s">
        <v>3005</v>
      </c>
      <c r="BR112" s="5" t="str">
        <f t="shared" si="23"/>
        <v>Terminado</v>
      </c>
      <c r="BS112" s="5" t="str">
        <f t="shared" si="24"/>
        <v>Terminado</v>
      </c>
      <c r="BT112" s="573"/>
      <c r="BU112" s="561"/>
      <c r="BV112" s="562"/>
      <c r="BW112" s="610"/>
      <c r="BX112" s="610"/>
      <c r="BY112" s="573"/>
      <c r="BZ112" s="573"/>
      <c r="CA112" s="581"/>
      <c r="CB112" s="581"/>
      <c r="CC112" s="581"/>
      <c r="CD112" s="581"/>
      <c r="CE112" s="581"/>
      <c r="CF112" s="581"/>
      <c r="CG112" s="749"/>
      <c r="CH112" s="573"/>
      <c r="CI112" s="573"/>
      <c r="CJ112" s="573"/>
    </row>
    <row r="113" spans="2:88" ht="171.95" customHeight="1" x14ac:dyDescent="0.25">
      <c r="B113" s="1225"/>
      <c r="C113" s="632"/>
      <c r="D113" s="33" t="s">
        <v>45</v>
      </c>
      <c r="E113" s="33" t="s">
        <v>26</v>
      </c>
      <c r="F113" s="755"/>
      <c r="G113" s="33" t="s">
        <v>373</v>
      </c>
      <c r="H113" s="33" t="s">
        <v>28</v>
      </c>
      <c r="I113" s="33" t="s">
        <v>269</v>
      </c>
      <c r="J113" s="33" t="s">
        <v>47</v>
      </c>
      <c r="K113" s="634"/>
      <c r="L113" s="51" t="s">
        <v>164</v>
      </c>
      <c r="M113" s="34" t="s">
        <v>455</v>
      </c>
      <c r="N113" s="35" t="s">
        <v>456</v>
      </c>
      <c r="O113" s="145">
        <v>0.45</v>
      </c>
      <c r="P113" s="36">
        <v>44470</v>
      </c>
      <c r="Q113" s="36">
        <v>44530</v>
      </c>
      <c r="R113" s="37">
        <v>0</v>
      </c>
      <c r="S113" s="37">
        <v>0</v>
      </c>
      <c r="T113" s="37">
        <v>0.4</v>
      </c>
      <c r="U113" s="37">
        <v>1</v>
      </c>
      <c r="V113" s="90">
        <v>0</v>
      </c>
      <c r="W113" s="56" t="s">
        <v>37</v>
      </c>
      <c r="X113" s="94" t="s">
        <v>37</v>
      </c>
      <c r="Y113" s="5" t="str">
        <f t="shared" si="19"/>
        <v>Sin iniciar</v>
      </c>
      <c r="Z113" s="5" t="str">
        <f t="shared" si="20"/>
        <v>Sin iniciar</v>
      </c>
      <c r="AA113" s="531"/>
      <c r="AB113" s="596"/>
      <c r="AC113" s="597"/>
      <c r="AD113" s="610"/>
      <c r="AE113" s="610"/>
      <c r="AF113" s="56"/>
      <c r="AG113" s="583"/>
      <c r="AH113" s="583"/>
      <c r="AI113" s="583"/>
      <c r="AJ113" s="583"/>
      <c r="AK113" s="583"/>
      <c r="AL113" s="583"/>
      <c r="AM113" s="593"/>
      <c r="AN113" s="603"/>
      <c r="AO113" s="520"/>
      <c r="AP113" s="531"/>
      <c r="AQ113" s="583"/>
      <c r="AR113" s="1163">
        <v>0</v>
      </c>
      <c r="AS113" s="13" t="s">
        <v>2437</v>
      </c>
      <c r="AT113" s="94" t="s">
        <v>37</v>
      </c>
      <c r="AU113" s="56" t="str">
        <f t="shared" si="21"/>
        <v>Sin iniciar</v>
      </c>
      <c r="AV113" s="56" t="str">
        <f t="shared" si="22"/>
        <v>Sin iniciar</v>
      </c>
      <c r="AW113" s="531"/>
      <c r="AX113" s="599"/>
      <c r="AY113" s="600"/>
      <c r="AZ113" s="536"/>
      <c r="BA113" s="536"/>
      <c r="BB113" s="56"/>
      <c r="BC113" s="531"/>
      <c r="BD113" s="583"/>
      <c r="BE113" s="583"/>
      <c r="BF113" s="583"/>
      <c r="BG113" s="583"/>
      <c r="BH113" s="583"/>
      <c r="BI113" s="583"/>
      <c r="BJ113" s="593"/>
      <c r="BK113" s="751"/>
      <c r="BL113" s="520"/>
      <c r="BM113" s="531"/>
      <c r="BN113" s="583"/>
      <c r="BO113" s="347">
        <v>0.4</v>
      </c>
      <c r="BP113" s="11" t="s">
        <v>3008</v>
      </c>
      <c r="BQ113" s="11" t="s">
        <v>3009</v>
      </c>
      <c r="BR113" s="5" t="str">
        <f t="shared" si="23"/>
        <v>En gestión</v>
      </c>
      <c r="BS113" s="5" t="str">
        <f t="shared" si="24"/>
        <v>En gestión</v>
      </c>
      <c r="BT113" s="573"/>
      <c r="BU113" s="561"/>
      <c r="BV113" s="562"/>
      <c r="BW113" s="610"/>
      <c r="BX113" s="610"/>
      <c r="BY113" s="573"/>
      <c r="BZ113" s="573"/>
      <c r="CA113" s="581"/>
      <c r="CB113" s="581"/>
      <c r="CC113" s="581"/>
      <c r="CD113" s="581"/>
      <c r="CE113" s="581"/>
      <c r="CF113" s="581"/>
      <c r="CG113" s="749"/>
      <c r="CH113" s="573"/>
      <c r="CI113" s="573"/>
      <c r="CJ113" s="573"/>
    </row>
    <row r="114" spans="2:88" ht="171.95" customHeight="1" x14ac:dyDescent="0.25">
      <c r="B114" s="1226" t="s">
        <v>5221</v>
      </c>
      <c r="C114" s="756" t="s">
        <v>471</v>
      </c>
      <c r="D114" s="105" t="s">
        <v>25</v>
      </c>
      <c r="E114" s="105" t="s">
        <v>26</v>
      </c>
      <c r="F114" s="757" t="s">
        <v>472</v>
      </c>
      <c r="G114" s="105" t="s">
        <v>473</v>
      </c>
      <c r="H114" s="105" t="s">
        <v>28</v>
      </c>
      <c r="I114" s="105" t="s">
        <v>474</v>
      </c>
      <c r="J114" s="105" t="s">
        <v>47</v>
      </c>
      <c r="K114" s="712" t="s">
        <v>475</v>
      </c>
      <c r="L114" s="106" t="s">
        <v>164</v>
      </c>
      <c r="M114" s="107" t="s">
        <v>476</v>
      </c>
      <c r="N114" s="108" t="s">
        <v>3010</v>
      </c>
      <c r="O114" s="148">
        <v>0.5</v>
      </c>
      <c r="P114" s="109">
        <v>44197</v>
      </c>
      <c r="Q114" s="109" t="s">
        <v>477</v>
      </c>
      <c r="R114" s="110">
        <v>0.125</v>
      </c>
      <c r="S114" s="110">
        <v>0.46</v>
      </c>
      <c r="T114" s="110">
        <v>0.86</v>
      </c>
      <c r="U114" s="110">
        <v>1</v>
      </c>
      <c r="V114" s="149">
        <v>0.125</v>
      </c>
      <c r="W114" s="117" t="s">
        <v>478</v>
      </c>
      <c r="X114" s="150" t="s">
        <v>3011</v>
      </c>
      <c r="Y114" s="19" t="str">
        <f t="shared" si="19"/>
        <v>En gestión</v>
      </c>
      <c r="Z114" s="19" t="str">
        <f t="shared" si="20"/>
        <v>En gestión</v>
      </c>
      <c r="AA114" s="758" t="s">
        <v>509</v>
      </c>
      <c r="AB114" s="596">
        <f>SUMPRODUCT(O114:O115,V114:V115)</f>
        <v>0.203125</v>
      </c>
      <c r="AC114" s="597">
        <f>SUMPRODUCT(O114:O115,R114:R115)</f>
        <v>0.203125</v>
      </c>
      <c r="AD114" s="764" t="str">
        <f>IF(AC114&lt;1%,"Sin iniciar",IF(AC114=100%,"Terminado","En gestión"))</f>
        <v>En gestión</v>
      </c>
      <c r="AE114" s="764" t="str">
        <f>IF(AB114&lt;1%,"Sin iniciar",IF(AB114=100%,"Terminado","En gestión"))</f>
        <v>En gestión</v>
      </c>
      <c r="AF114" s="151"/>
      <c r="AG114" s="760">
        <v>341986728</v>
      </c>
      <c r="AH114" s="760">
        <v>341986728</v>
      </c>
      <c r="AI114" s="760">
        <v>85496682</v>
      </c>
      <c r="AJ114" s="760">
        <v>839390000</v>
      </c>
      <c r="AK114" s="760">
        <v>667907500</v>
      </c>
      <c r="AL114" s="760">
        <v>64332500</v>
      </c>
      <c r="AM114" s="761" t="s">
        <v>2469</v>
      </c>
      <c r="AN114" s="762" t="s">
        <v>2470</v>
      </c>
      <c r="AO114" s="761" t="s">
        <v>2471</v>
      </c>
      <c r="AP114" s="763">
        <f>AK114</f>
        <v>667907500</v>
      </c>
      <c r="AQ114" s="152"/>
      <c r="AR114" s="1166">
        <v>0.46</v>
      </c>
      <c r="AS114" s="153" t="s">
        <v>514</v>
      </c>
      <c r="AT114" s="154" t="s">
        <v>3012</v>
      </c>
      <c r="AU114" s="66" t="str">
        <f t="shared" si="21"/>
        <v>En gestión</v>
      </c>
      <c r="AV114" s="66" t="str">
        <f t="shared" si="22"/>
        <v>En gestión</v>
      </c>
      <c r="AW114" s="758" t="s">
        <v>523</v>
      </c>
      <c r="AX114" s="599">
        <f>SUMPRODUCT(O114:O115,AR114:AR115)</f>
        <v>0.51</v>
      </c>
      <c r="AY114" s="600">
        <f>SUMPRODUCT(S114:S115,O114:O115)</f>
        <v>0.51</v>
      </c>
      <c r="AZ114" s="759" t="str">
        <f>IF(AY114&lt;1%,"Sin iniciar",IF(AY114=100%,"Terminado","En gestión"))</f>
        <v>En gestión</v>
      </c>
      <c r="BA114" s="759" t="str">
        <f>IF(AX114&lt;1%,"Sin iniciar",IF(AX114=100%,"Terminado","En gestión"))</f>
        <v>En gestión</v>
      </c>
      <c r="BB114" s="151"/>
      <c r="BC114" s="759"/>
      <c r="BD114" s="760">
        <v>341986728</v>
      </c>
      <c r="BE114" s="760">
        <v>341986728</v>
      </c>
      <c r="BF114" s="760">
        <v>170993364</v>
      </c>
      <c r="BG114" s="760">
        <v>839390000</v>
      </c>
      <c r="BH114" s="760">
        <v>839390000</v>
      </c>
      <c r="BI114" s="760">
        <v>242830000</v>
      </c>
      <c r="BJ114" s="761" t="s">
        <v>2469</v>
      </c>
      <c r="BK114" s="762">
        <v>2017011000199</v>
      </c>
      <c r="BL114" s="761" t="s">
        <v>2567</v>
      </c>
      <c r="BM114" s="761" t="s">
        <v>2652</v>
      </c>
      <c r="BN114" s="761" t="s">
        <v>2529</v>
      </c>
      <c r="BO114" s="351">
        <v>0.86</v>
      </c>
      <c r="BP114" s="155" t="s">
        <v>3013</v>
      </c>
      <c r="BQ114" s="370" t="s">
        <v>3014</v>
      </c>
      <c r="BR114" s="19" t="str">
        <f t="shared" si="23"/>
        <v>En gestión</v>
      </c>
      <c r="BS114" s="19" t="str">
        <f t="shared" si="24"/>
        <v>En gestión</v>
      </c>
      <c r="BT114" s="769" t="s">
        <v>3015</v>
      </c>
      <c r="BU114" s="561">
        <f>SUMPRODUCT(O114:O115,BO114:BO115)</f>
        <v>0.88500000000000001</v>
      </c>
      <c r="BV114" s="562">
        <f>SUMPRODUCT(O114:O115,T114:T115)</f>
        <v>0.88500000000000001</v>
      </c>
      <c r="BW114" s="764" t="str">
        <f>IF(BV114&lt;1%,"Sin iniciar",IF(BV114=100%,"Terminado","En gestión"))</f>
        <v>En gestión</v>
      </c>
      <c r="BX114" s="764" t="str">
        <f>IF(BU114&lt;1%,"Sin iniciar",IF(BU114=100%,"Terminado","En gestión"))</f>
        <v>En gestión</v>
      </c>
      <c r="BY114" s="578" t="s">
        <v>37</v>
      </c>
      <c r="BZ114" s="578" t="s">
        <v>3016</v>
      </c>
      <c r="CA114" s="715">
        <v>341986728</v>
      </c>
      <c r="CB114" s="715">
        <v>341986728</v>
      </c>
      <c r="CC114" s="715">
        <v>256490046</v>
      </c>
      <c r="CD114" s="715">
        <v>839390000</v>
      </c>
      <c r="CE114" s="715">
        <v>839390000</v>
      </c>
      <c r="CF114" s="715">
        <v>435827500</v>
      </c>
      <c r="CG114" s="765" t="s">
        <v>2469</v>
      </c>
      <c r="CH114" s="765" t="s">
        <v>2567</v>
      </c>
      <c r="CI114" s="765" t="s">
        <v>2652</v>
      </c>
      <c r="CJ114" s="765" t="s">
        <v>2529</v>
      </c>
    </row>
    <row r="115" spans="2:88" ht="171.95" customHeight="1" x14ac:dyDescent="0.25">
      <c r="B115" s="1227"/>
      <c r="C115" s="756"/>
      <c r="D115" s="105" t="s">
        <v>25</v>
      </c>
      <c r="E115" s="105" t="s">
        <v>26</v>
      </c>
      <c r="F115" s="757"/>
      <c r="G115" s="105" t="s">
        <v>473</v>
      </c>
      <c r="H115" s="105" t="s">
        <v>28</v>
      </c>
      <c r="I115" s="105" t="s">
        <v>474</v>
      </c>
      <c r="J115" s="105" t="s">
        <v>47</v>
      </c>
      <c r="K115" s="712"/>
      <c r="L115" s="106" t="s">
        <v>164</v>
      </c>
      <c r="M115" s="107" t="s">
        <v>479</v>
      </c>
      <c r="N115" s="108" t="s">
        <v>3017</v>
      </c>
      <c r="O115" s="148">
        <v>0.5</v>
      </c>
      <c r="P115" s="109">
        <v>44197</v>
      </c>
      <c r="Q115" s="109" t="s">
        <v>477</v>
      </c>
      <c r="R115" s="110">
        <v>0.28125</v>
      </c>
      <c r="S115" s="110">
        <v>0.56000000000000005</v>
      </c>
      <c r="T115" s="110">
        <v>0.91</v>
      </c>
      <c r="U115" s="110">
        <v>1</v>
      </c>
      <c r="V115" s="149">
        <v>0.28125</v>
      </c>
      <c r="W115" s="117" t="s">
        <v>480</v>
      </c>
      <c r="X115" s="150" t="s">
        <v>3018</v>
      </c>
      <c r="Y115" s="19" t="str">
        <f t="shared" si="19"/>
        <v>En gestión</v>
      </c>
      <c r="Z115" s="19" t="str">
        <f t="shared" si="20"/>
        <v>En gestión</v>
      </c>
      <c r="AA115" s="758"/>
      <c r="AB115" s="596"/>
      <c r="AC115" s="597"/>
      <c r="AD115" s="764"/>
      <c r="AE115" s="764"/>
      <c r="AF115" s="151"/>
      <c r="AG115" s="760"/>
      <c r="AH115" s="760"/>
      <c r="AI115" s="760"/>
      <c r="AJ115" s="760"/>
      <c r="AK115" s="760"/>
      <c r="AL115" s="760"/>
      <c r="AM115" s="761"/>
      <c r="AN115" s="762"/>
      <c r="AO115" s="761"/>
      <c r="AP115" s="763"/>
      <c r="AQ115" s="152"/>
      <c r="AR115" s="1166">
        <v>0.56000000000000005</v>
      </c>
      <c r="AS115" s="153" t="s">
        <v>515</v>
      </c>
      <c r="AT115" s="154" t="s">
        <v>3019</v>
      </c>
      <c r="AU115" s="66" t="str">
        <f t="shared" si="21"/>
        <v>En gestión</v>
      </c>
      <c r="AV115" s="66" t="str">
        <f t="shared" si="22"/>
        <v>En gestión</v>
      </c>
      <c r="AW115" s="758"/>
      <c r="AX115" s="599"/>
      <c r="AY115" s="600"/>
      <c r="AZ115" s="759"/>
      <c r="BA115" s="759"/>
      <c r="BB115" s="151"/>
      <c r="BC115" s="759"/>
      <c r="BD115" s="760"/>
      <c r="BE115" s="760"/>
      <c r="BF115" s="760"/>
      <c r="BG115" s="760"/>
      <c r="BH115" s="760"/>
      <c r="BI115" s="760"/>
      <c r="BJ115" s="761"/>
      <c r="BK115" s="762"/>
      <c r="BL115" s="761"/>
      <c r="BM115" s="761"/>
      <c r="BN115" s="761"/>
      <c r="BO115" s="351">
        <v>0.91</v>
      </c>
      <c r="BP115" s="155" t="s">
        <v>3020</v>
      </c>
      <c r="BQ115" s="370" t="s">
        <v>3021</v>
      </c>
      <c r="BR115" s="19" t="str">
        <f t="shared" si="23"/>
        <v>En gestión</v>
      </c>
      <c r="BS115" s="19" t="str">
        <f t="shared" si="24"/>
        <v>En gestión</v>
      </c>
      <c r="BT115" s="769"/>
      <c r="BU115" s="561"/>
      <c r="BV115" s="562"/>
      <c r="BW115" s="764"/>
      <c r="BX115" s="764"/>
      <c r="BY115" s="578"/>
      <c r="BZ115" s="578"/>
      <c r="CA115" s="715"/>
      <c r="CB115" s="715"/>
      <c r="CC115" s="715"/>
      <c r="CD115" s="715"/>
      <c r="CE115" s="715"/>
      <c r="CF115" s="715"/>
      <c r="CG115" s="765"/>
      <c r="CH115" s="765"/>
      <c r="CI115" s="765"/>
      <c r="CJ115" s="765"/>
    </row>
    <row r="116" spans="2:88" ht="171.95" customHeight="1" x14ac:dyDescent="0.25">
      <c r="B116" s="1227"/>
      <c r="C116" s="766" t="s">
        <v>481</v>
      </c>
      <c r="D116" s="95" t="s">
        <v>25</v>
      </c>
      <c r="E116" s="95" t="s">
        <v>26</v>
      </c>
      <c r="F116" s="767" t="s">
        <v>482</v>
      </c>
      <c r="G116" s="95" t="s">
        <v>473</v>
      </c>
      <c r="H116" s="95" t="s">
        <v>28</v>
      </c>
      <c r="I116" s="95" t="s">
        <v>474</v>
      </c>
      <c r="J116" s="95" t="s">
        <v>191</v>
      </c>
      <c r="K116" s="702" t="s">
        <v>483</v>
      </c>
      <c r="L116" s="96" t="s">
        <v>164</v>
      </c>
      <c r="M116" s="97" t="s">
        <v>484</v>
      </c>
      <c r="N116" s="93" t="s">
        <v>485</v>
      </c>
      <c r="O116" s="156">
        <v>0.4</v>
      </c>
      <c r="P116" s="98">
        <v>44197</v>
      </c>
      <c r="Q116" s="98" t="s">
        <v>477</v>
      </c>
      <c r="R116" s="99">
        <v>0.25</v>
      </c>
      <c r="S116" s="99">
        <v>0.5</v>
      </c>
      <c r="T116" s="99">
        <v>0.75</v>
      </c>
      <c r="U116" s="99">
        <v>1</v>
      </c>
      <c r="V116" s="149">
        <v>0.25</v>
      </c>
      <c r="W116" s="157" t="s">
        <v>486</v>
      </c>
      <c r="X116" s="158" t="s">
        <v>3022</v>
      </c>
      <c r="Y116" s="5" t="str">
        <f t="shared" si="19"/>
        <v>En gestión</v>
      </c>
      <c r="Z116" s="5" t="str">
        <f t="shared" si="20"/>
        <v>En gestión</v>
      </c>
      <c r="AA116" s="768" t="s">
        <v>510</v>
      </c>
      <c r="AB116" s="596">
        <f>SUMPRODUCT(O116:O118,V116:V118)</f>
        <v>0.25</v>
      </c>
      <c r="AC116" s="597">
        <f>SUMPRODUCT(O116:O118,R116:R118)</f>
        <v>0.25</v>
      </c>
      <c r="AD116" s="776" t="str">
        <f>IF(AC116&lt;1%,"Sin iniciar",IF(AC116=100%,"Terminado","En gestión"))</f>
        <v>En gestión</v>
      </c>
      <c r="AE116" s="776" t="str">
        <f>IF(AB116&lt;1%,"Sin iniciar",IF(AB116=100%,"Terminado","En gestión"))</f>
        <v>En gestión</v>
      </c>
      <c r="AF116" s="159"/>
      <c r="AG116" s="771">
        <v>0</v>
      </c>
      <c r="AH116" s="771">
        <v>43509162</v>
      </c>
      <c r="AI116" s="771">
        <v>10877290</v>
      </c>
      <c r="AJ116" s="771">
        <v>464565000</v>
      </c>
      <c r="AK116" s="771">
        <v>464565000</v>
      </c>
      <c r="AL116" s="771">
        <v>105600000</v>
      </c>
      <c r="AM116" s="772" t="s">
        <v>2469</v>
      </c>
      <c r="AN116" s="773" t="s">
        <v>2470</v>
      </c>
      <c r="AO116" s="774" t="s">
        <v>2471</v>
      </c>
      <c r="AP116" s="775">
        <f>AK116</f>
        <v>464565000</v>
      </c>
      <c r="AQ116" s="160"/>
      <c r="AR116" s="1167">
        <v>0.5</v>
      </c>
      <c r="AS116" s="161" t="s">
        <v>516</v>
      </c>
      <c r="AT116" s="162" t="s">
        <v>3023</v>
      </c>
      <c r="AU116" s="56" t="str">
        <f t="shared" si="21"/>
        <v>En gestión</v>
      </c>
      <c r="AV116" s="56" t="str">
        <f t="shared" si="22"/>
        <v>En gestión</v>
      </c>
      <c r="AW116" s="768" t="s">
        <v>524</v>
      </c>
      <c r="AX116" s="599">
        <f>SUMPRODUCT(O116:O118,AR116:AR118)</f>
        <v>0.42499999999999999</v>
      </c>
      <c r="AY116" s="600">
        <f>SUMPRODUCT(S116:S118,O116:O118)</f>
        <v>0.42499999999999999</v>
      </c>
      <c r="AZ116" s="770" t="str">
        <f>IF(AY116&lt;1%,"Sin iniciar",IF(AY116=100%,"Terminado","En gestión"))</f>
        <v>En gestión</v>
      </c>
      <c r="BA116" s="770" t="str">
        <f>IF(AX116&lt;1%,"Sin iniciar",IF(AX116=100%,"Terminado","En gestión"))</f>
        <v>En gestión</v>
      </c>
      <c r="BB116" s="159"/>
      <c r="BC116" s="770"/>
      <c r="BD116" s="771">
        <v>43509162</v>
      </c>
      <c r="BE116" s="771">
        <v>43509162</v>
      </c>
      <c r="BF116" s="771">
        <v>10877290</v>
      </c>
      <c r="BG116" s="771">
        <v>464565000</v>
      </c>
      <c r="BH116" s="771">
        <v>464565000</v>
      </c>
      <c r="BI116" s="771">
        <v>229530000</v>
      </c>
      <c r="BJ116" s="772" t="s">
        <v>2469</v>
      </c>
      <c r="BK116" s="773">
        <v>2017011000199</v>
      </c>
      <c r="BL116" s="774" t="s">
        <v>2567</v>
      </c>
      <c r="BM116" s="774" t="s">
        <v>2652</v>
      </c>
      <c r="BN116" s="774" t="s">
        <v>2529</v>
      </c>
      <c r="BO116" s="352">
        <v>0.75</v>
      </c>
      <c r="BP116" s="163" t="s">
        <v>3024</v>
      </c>
      <c r="BQ116" s="163" t="s">
        <v>3025</v>
      </c>
      <c r="BR116" s="5" t="str">
        <f t="shared" si="23"/>
        <v>En gestión</v>
      </c>
      <c r="BS116" s="5" t="str">
        <f t="shared" si="24"/>
        <v>En gestión</v>
      </c>
      <c r="BT116" s="576" t="s">
        <v>3026</v>
      </c>
      <c r="BU116" s="561">
        <f>SUMPRODUCT(O116:O118,BO116:BO118)</f>
        <v>0.78</v>
      </c>
      <c r="BV116" s="562">
        <f>SUMPRODUCT(O116:O118,T116:T118)</f>
        <v>0.78</v>
      </c>
      <c r="BW116" s="776" t="str">
        <f>IF(BV116&lt;1%,"Sin iniciar",IF(BV116=100%,"Terminado","En gestión"))</f>
        <v>En gestión</v>
      </c>
      <c r="BX116" s="776" t="str">
        <f>IF(BU116&lt;1%,"Sin iniciar",IF(BU116=100%,"Terminado","En gestión"))</f>
        <v>En gestión</v>
      </c>
      <c r="BY116" s="573" t="s">
        <v>37</v>
      </c>
      <c r="BZ116" s="573" t="s">
        <v>3016</v>
      </c>
      <c r="CA116" s="704">
        <v>43509162</v>
      </c>
      <c r="CB116" s="704">
        <v>43509162</v>
      </c>
      <c r="CC116" s="704">
        <v>32631872</v>
      </c>
      <c r="CD116" s="704">
        <v>464565000</v>
      </c>
      <c r="CE116" s="704">
        <v>464565000</v>
      </c>
      <c r="CF116" s="704">
        <v>353460000</v>
      </c>
      <c r="CG116" s="794" t="s">
        <v>2469</v>
      </c>
      <c r="CH116" s="777" t="s">
        <v>2567</v>
      </c>
      <c r="CI116" s="777" t="s">
        <v>2652</v>
      </c>
      <c r="CJ116" s="777" t="s">
        <v>2529</v>
      </c>
    </row>
    <row r="117" spans="2:88" ht="171.95" customHeight="1" x14ac:dyDescent="0.25">
      <c r="B117" s="1227"/>
      <c r="C117" s="766"/>
      <c r="D117" s="95" t="s">
        <v>25</v>
      </c>
      <c r="E117" s="95" t="s">
        <v>26</v>
      </c>
      <c r="F117" s="767"/>
      <c r="G117" s="95" t="s">
        <v>473</v>
      </c>
      <c r="H117" s="95" t="s">
        <v>28</v>
      </c>
      <c r="I117" s="95" t="s">
        <v>474</v>
      </c>
      <c r="J117" s="95" t="s">
        <v>191</v>
      </c>
      <c r="K117" s="702"/>
      <c r="L117" s="96" t="s">
        <v>164</v>
      </c>
      <c r="M117" s="97" t="s">
        <v>487</v>
      </c>
      <c r="N117" s="93" t="s">
        <v>488</v>
      </c>
      <c r="O117" s="156">
        <v>0.3</v>
      </c>
      <c r="P117" s="98">
        <v>44197</v>
      </c>
      <c r="Q117" s="98" t="s">
        <v>477</v>
      </c>
      <c r="R117" s="99">
        <v>0.25</v>
      </c>
      <c r="S117" s="99">
        <v>0.4</v>
      </c>
      <c r="T117" s="99">
        <v>0.75</v>
      </c>
      <c r="U117" s="99">
        <v>1</v>
      </c>
      <c r="V117" s="149">
        <v>0.25</v>
      </c>
      <c r="W117" s="103" t="s">
        <v>489</v>
      </c>
      <c r="X117" s="158" t="s">
        <v>3027</v>
      </c>
      <c r="Y117" s="5" t="str">
        <f t="shared" si="19"/>
        <v>En gestión</v>
      </c>
      <c r="Z117" s="5" t="str">
        <f t="shared" si="20"/>
        <v>En gestión</v>
      </c>
      <c r="AA117" s="768"/>
      <c r="AB117" s="596"/>
      <c r="AC117" s="597"/>
      <c r="AD117" s="776"/>
      <c r="AE117" s="776"/>
      <c r="AF117" s="159"/>
      <c r="AG117" s="771"/>
      <c r="AH117" s="771"/>
      <c r="AI117" s="771"/>
      <c r="AJ117" s="771"/>
      <c r="AK117" s="771"/>
      <c r="AL117" s="771"/>
      <c r="AM117" s="772"/>
      <c r="AN117" s="773"/>
      <c r="AO117" s="774"/>
      <c r="AP117" s="775"/>
      <c r="AQ117" s="160"/>
      <c r="AR117" s="1167">
        <v>0.4</v>
      </c>
      <c r="AS117" s="161" t="s">
        <v>517</v>
      </c>
      <c r="AT117" s="162" t="s">
        <v>3028</v>
      </c>
      <c r="AU117" s="56" t="str">
        <f t="shared" si="21"/>
        <v>En gestión</v>
      </c>
      <c r="AV117" s="56" t="str">
        <f t="shared" si="22"/>
        <v>En gestión</v>
      </c>
      <c r="AW117" s="768"/>
      <c r="AX117" s="599"/>
      <c r="AY117" s="600"/>
      <c r="AZ117" s="770"/>
      <c r="BA117" s="770"/>
      <c r="BB117" s="159"/>
      <c r="BC117" s="770"/>
      <c r="BD117" s="771"/>
      <c r="BE117" s="771"/>
      <c r="BF117" s="771"/>
      <c r="BG117" s="771"/>
      <c r="BH117" s="771"/>
      <c r="BI117" s="771"/>
      <c r="BJ117" s="772"/>
      <c r="BK117" s="773"/>
      <c r="BL117" s="774"/>
      <c r="BM117" s="774"/>
      <c r="BN117" s="774"/>
      <c r="BO117" s="352">
        <v>0.75</v>
      </c>
      <c r="BP117" s="163" t="s">
        <v>3029</v>
      </c>
      <c r="BQ117" s="164" t="s">
        <v>3030</v>
      </c>
      <c r="BR117" s="5" t="str">
        <f t="shared" si="23"/>
        <v>En gestión</v>
      </c>
      <c r="BS117" s="5" t="str">
        <f t="shared" si="24"/>
        <v>En gestión</v>
      </c>
      <c r="BT117" s="576"/>
      <c r="BU117" s="561"/>
      <c r="BV117" s="562"/>
      <c r="BW117" s="776"/>
      <c r="BX117" s="776"/>
      <c r="BY117" s="573"/>
      <c r="BZ117" s="573"/>
      <c r="CA117" s="704"/>
      <c r="CB117" s="704"/>
      <c r="CC117" s="704"/>
      <c r="CD117" s="704"/>
      <c r="CE117" s="704"/>
      <c r="CF117" s="704"/>
      <c r="CG117" s="794"/>
      <c r="CH117" s="777"/>
      <c r="CI117" s="777"/>
      <c r="CJ117" s="777"/>
    </row>
    <row r="118" spans="2:88" ht="171.95" customHeight="1" x14ac:dyDescent="0.25">
      <c r="B118" s="1227"/>
      <c r="C118" s="766"/>
      <c r="D118" s="95" t="s">
        <v>25</v>
      </c>
      <c r="E118" s="95" t="s">
        <v>26</v>
      </c>
      <c r="F118" s="767"/>
      <c r="G118" s="95" t="s">
        <v>473</v>
      </c>
      <c r="H118" s="95" t="s">
        <v>28</v>
      </c>
      <c r="I118" s="95" t="s">
        <v>474</v>
      </c>
      <c r="J118" s="95" t="s">
        <v>191</v>
      </c>
      <c r="K118" s="702"/>
      <c r="L118" s="96" t="s">
        <v>164</v>
      </c>
      <c r="M118" s="97" t="s">
        <v>490</v>
      </c>
      <c r="N118" s="93" t="s">
        <v>491</v>
      </c>
      <c r="O118" s="156">
        <v>0.3</v>
      </c>
      <c r="P118" s="98">
        <v>44197</v>
      </c>
      <c r="Q118" s="98" t="s">
        <v>477</v>
      </c>
      <c r="R118" s="99">
        <v>0.25</v>
      </c>
      <c r="S118" s="99">
        <v>0.35</v>
      </c>
      <c r="T118" s="99">
        <v>0.85</v>
      </c>
      <c r="U118" s="99">
        <v>1</v>
      </c>
      <c r="V118" s="149">
        <v>0.25</v>
      </c>
      <c r="W118" s="103" t="s">
        <v>492</v>
      </c>
      <c r="X118" s="158" t="s">
        <v>3031</v>
      </c>
      <c r="Y118" s="5" t="str">
        <f t="shared" si="19"/>
        <v>En gestión</v>
      </c>
      <c r="Z118" s="5" t="str">
        <f t="shared" si="20"/>
        <v>En gestión</v>
      </c>
      <c r="AA118" s="768"/>
      <c r="AB118" s="596"/>
      <c r="AC118" s="597"/>
      <c r="AD118" s="776"/>
      <c r="AE118" s="776"/>
      <c r="AF118" s="159"/>
      <c r="AG118" s="771"/>
      <c r="AH118" s="771"/>
      <c r="AI118" s="771"/>
      <c r="AJ118" s="771"/>
      <c r="AK118" s="771"/>
      <c r="AL118" s="771"/>
      <c r="AM118" s="772"/>
      <c r="AN118" s="773"/>
      <c r="AO118" s="774"/>
      <c r="AP118" s="775"/>
      <c r="AQ118" s="160"/>
      <c r="AR118" s="1167">
        <v>0.35</v>
      </c>
      <c r="AS118" s="161" t="s">
        <v>518</v>
      </c>
      <c r="AT118" s="162" t="s">
        <v>3032</v>
      </c>
      <c r="AU118" s="56" t="str">
        <f t="shared" si="21"/>
        <v>En gestión</v>
      </c>
      <c r="AV118" s="56" t="str">
        <f t="shared" si="22"/>
        <v>En gestión</v>
      </c>
      <c r="AW118" s="768"/>
      <c r="AX118" s="599"/>
      <c r="AY118" s="600"/>
      <c r="AZ118" s="770"/>
      <c r="BA118" s="770"/>
      <c r="BB118" s="159"/>
      <c r="BC118" s="770"/>
      <c r="BD118" s="771"/>
      <c r="BE118" s="771"/>
      <c r="BF118" s="771"/>
      <c r="BG118" s="771"/>
      <c r="BH118" s="771"/>
      <c r="BI118" s="771"/>
      <c r="BJ118" s="772"/>
      <c r="BK118" s="773"/>
      <c r="BL118" s="774"/>
      <c r="BM118" s="774"/>
      <c r="BN118" s="774"/>
      <c r="BO118" s="352">
        <v>0.85</v>
      </c>
      <c r="BP118" s="163" t="s">
        <v>3033</v>
      </c>
      <c r="BQ118" s="163" t="s">
        <v>3034</v>
      </c>
      <c r="BR118" s="5" t="str">
        <f t="shared" si="23"/>
        <v>En gestión</v>
      </c>
      <c r="BS118" s="5" t="str">
        <f t="shared" si="24"/>
        <v>En gestión</v>
      </c>
      <c r="BT118" s="576"/>
      <c r="BU118" s="561"/>
      <c r="BV118" s="562"/>
      <c r="BW118" s="776"/>
      <c r="BX118" s="776"/>
      <c r="BY118" s="573"/>
      <c r="BZ118" s="573"/>
      <c r="CA118" s="704"/>
      <c r="CB118" s="704"/>
      <c r="CC118" s="704"/>
      <c r="CD118" s="704"/>
      <c r="CE118" s="704"/>
      <c r="CF118" s="704"/>
      <c r="CG118" s="794"/>
      <c r="CH118" s="777"/>
      <c r="CI118" s="777"/>
      <c r="CJ118" s="777"/>
    </row>
    <row r="119" spans="2:88" ht="171.95" customHeight="1" x14ac:dyDescent="0.25">
      <c r="B119" s="1227"/>
      <c r="C119" s="756" t="s">
        <v>493</v>
      </c>
      <c r="D119" s="105" t="s">
        <v>25</v>
      </c>
      <c r="E119" s="105" t="s">
        <v>26</v>
      </c>
      <c r="F119" s="757" t="s">
        <v>494</v>
      </c>
      <c r="G119" s="105" t="s">
        <v>473</v>
      </c>
      <c r="H119" s="105" t="s">
        <v>28</v>
      </c>
      <c r="I119" s="105" t="s">
        <v>474</v>
      </c>
      <c r="J119" s="105" t="s">
        <v>47</v>
      </c>
      <c r="K119" s="712" t="s">
        <v>3035</v>
      </c>
      <c r="L119" s="106" t="s">
        <v>164</v>
      </c>
      <c r="M119" s="107" t="s">
        <v>495</v>
      </c>
      <c r="N119" s="108" t="s">
        <v>496</v>
      </c>
      <c r="O119" s="148">
        <v>0.5</v>
      </c>
      <c r="P119" s="109">
        <v>44197</v>
      </c>
      <c r="Q119" s="109" t="s">
        <v>477</v>
      </c>
      <c r="R119" s="110">
        <v>0.25</v>
      </c>
      <c r="S119" s="110">
        <v>0.5</v>
      </c>
      <c r="T119" s="110">
        <v>0.75</v>
      </c>
      <c r="U119" s="110">
        <v>1</v>
      </c>
      <c r="V119" s="149">
        <v>0.25</v>
      </c>
      <c r="W119" s="117" t="s">
        <v>497</v>
      </c>
      <c r="X119" s="150" t="s">
        <v>3036</v>
      </c>
      <c r="Y119" s="19" t="str">
        <f t="shared" si="19"/>
        <v>En gestión</v>
      </c>
      <c r="Z119" s="19" t="str">
        <f t="shared" si="20"/>
        <v>En gestión</v>
      </c>
      <c r="AA119" s="758" t="s">
        <v>511</v>
      </c>
      <c r="AB119" s="596">
        <f>SUMPRODUCT(O119:O120,V119:V120)</f>
        <v>0.17499999999999999</v>
      </c>
      <c r="AC119" s="597">
        <f>SUMPRODUCT(O119:O120,R119:R120)</f>
        <v>0.17499999999999999</v>
      </c>
      <c r="AD119" s="764" t="str">
        <f>IF(AC119&lt;1%,"Sin iniciar",IF(AC119=100%,"Terminado","En gestión"))</f>
        <v>En gestión</v>
      </c>
      <c r="AE119" s="764" t="str">
        <f>IF(AB119&lt;1%,"Sin iniciar",IF(AB119=100%,"Terminado","En gestión"))</f>
        <v>En gestión</v>
      </c>
      <c r="AF119" s="151"/>
      <c r="AG119" s="760">
        <v>171416880</v>
      </c>
      <c r="AH119" s="760">
        <v>171416880</v>
      </c>
      <c r="AI119" s="760">
        <v>42854220</v>
      </c>
      <c r="AJ119" s="760">
        <v>8008627000</v>
      </c>
      <c r="AK119" s="760">
        <v>8008627000</v>
      </c>
      <c r="AL119" s="760">
        <v>573046477</v>
      </c>
      <c r="AM119" s="761" t="s">
        <v>2469</v>
      </c>
      <c r="AN119" s="762" t="s">
        <v>2470</v>
      </c>
      <c r="AO119" s="778" t="s">
        <v>2471</v>
      </c>
      <c r="AP119" s="763">
        <f>AK119</f>
        <v>8008627000</v>
      </c>
      <c r="AQ119" s="152"/>
      <c r="AR119" s="1167">
        <v>0.5</v>
      </c>
      <c r="AS119" s="153" t="s">
        <v>519</v>
      </c>
      <c r="AT119" s="154" t="s">
        <v>3037</v>
      </c>
      <c r="AU119" s="66" t="str">
        <f t="shared" si="21"/>
        <v>En gestión</v>
      </c>
      <c r="AV119" s="66" t="str">
        <f t="shared" si="22"/>
        <v>En gestión</v>
      </c>
      <c r="AW119" s="758" t="s">
        <v>525</v>
      </c>
      <c r="AX119" s="599">
        <f>SUMPRODUCT(O119:O120,AR119:AR120)</f>
        <v>0.4</v>
      </c>
      <c r="AY119" s="600">
        <f>SUMPRODUCT(S119:S120,O119:O120)</f>
        <v>0.4</v>
      </c>
      <c r="AZ119" s="759" t="str">
        <f>IF(AY119&lt;1%,"Sin iniciar",IF(AY119=100%,"Terminado","En gestión"))</f>
        <v>En gestión</v>
      </c>
      <c r="BA119" s="759" t="str">
        <f>IF(AX119&lt;1%,"Sin iniciar",IF(AX119=100%,"Terminado","En gestión"))</f>
        <v>En gestión</v>
      </c>
      <c r="BB119" s="151"/>
      <c r="BC119" s="759"/>
      <c r="BD119" s="760">
        <v>171416880</v>
      </c>
      <c r="BE119" s="760">
        <v>171416880</v>
      </c>
      <c r="BF119" s="760">
        <v>72489262.799999997</v>
      </c>
      <c r="BG119" s="760">
        <v>8008627000</v>
      </c>
      <c r="BH119" s="760">
        <v>8008627000</v>
      </c>
      <c r="BI119" s="760">
        <v>2137200253</v>
      </c>
      <c r="BJ119" s="761" t="s">
        <v>2469</v>
      </c>
      <c r="BK119" s="762">
        <v>2017011000199</v>
      </c>
      <c r="BL119" s="761" t="s">
        <v>2567</v>
      </c>
      <c r="BM119" s="761" t="s">
        <v>2652</v>
      </c>
      <c r="BN119" s="761" t="s">
        <v>2568</v>
      </c>
      <c r="BO119" s="353">
        <v>0.75</v>
      </c>
      <c r="BP119" s="165" t="s">
        <v>3038</v>
      </c>
      <c r="BQ119" s="165" t="s">
        <v>3039</v>
      </c>
      <c r="BR119" s="19" t="str">
        <f t="shared" si="23"/>
        <v>En gestión</v>
      </c>
      <c r="BS119" s="19" t="str">
        <f t="shared" si="24"/>
        <v>En gestión</v>
      </c>
      <c r="BT119" s="585" t="s">
        <v>3040</v>
      </c>
      <c r="BU119" s="561">
        <f>SUMPRODUCT(O119:O120,BO119:BO120)</f>
        <v>0.67500000000000004</v>
      </c>
      <c r="BV119" s="562">
        <f>SUMPRODUCT(O119:O120,T119:T120)</f>
        <v>0.67500000000000004</v>
      </c>
      <c r="BW119" s="764" t="str">
        <f>IF(BV119&lt;1%,"Sin iniciar",IF(BV119=100%,"Terminado","En gestión"))</f>
        <v>En gestión</v>
      </c>
      <c r="BX119" s="764" t="str">
        <f>IF(BU119&lt;1%,"Sin iniciar",IF(BU119=100%,"Terminado","En gestión"))</f>
        <v>En gestión</v>
      </c>
      <c r="BY119" s="578" t="s">
        <v>37</v>
      </c>
      <c r="BZ119" s="578" t="s">
        <v>3016</v>
      </c>
      <c r="CA119" s="715">
        <v>171416880</v>
      </c>
      <c r="CB119" s="715">
        <v>171416880</v>
      </c>
      <c r="CC119" s="715">
        <v>116146238</v>
      </c>
      <c r="CD119" s="715">
        <v>8008627000</v>
      </c>
      <c r="CE119" s="715">
        <v>8008627000</v>
      </c>
      <c r="CF119" s="715">
        <v>3197224078</v>
      </c>
      <c r="CG119" s="765" t="s">
        <v>2469</v>
      </c>
      <c r="CH119" s="765" t="s">
        <v>2567</v>
      </c>
      <c r="CI119" s="765" t="s">
        <v>2652</v>
      </c>
      <c r="CJ119" s="765" t="s">
        <v>2568</v>
      </c>
    </row>
    <row r="120" spans="2:88" ht="171.95" customHeight="1" x14ac:dyDescent="0.25">
      <c r="B120" s="1227"/>
      <c r="C120" s="756"/>
      <c r="D120" s="105" t="s">
        <v>25</v>
      </c>
      <c r="E120" s="105" t="s">
        <v>26</v>
      </c>
      <c r="F120" s="757"/>
      <c r="G120" s="105" t="s">
        <v>473</v>
      </c>
      <c r="H120" s="105" t="s">
        <v>28</v>
      </c>
      <c r="I120" s="105" t="s">
        <v>474</v>
      </c>
      <c r="J120" s="105" t="s">
        <v>47</v>
      </c>
      <c r="K120" s="712"/>
      <c r="L120" s="106" t="s">
        <v>164</v>
      </c>
      <c r="M120" s="107" t="s">
        <v>498</v>
      </c>
      <c r="N120" s="108" t="s">
        <v>499</v>
      </c>
      <c r="O120" s="148">
        <v>0.5</v>
      </c>
      <c r="P120" s="109">
        <v>44197</v>
      </c>
      <c r="Q120" s="109" t="s">
        <v>477</v>
      </c>
      <c r="R120" s="110">
        <v>0.1</v>
      </c>
      <c r="S120" s="110">
        <v>0.3</v>
      </c>
      <c r="T120" s="110">
        <v>0.6</v>
      </c>
      <c r="U120" s="110">
        <v>1</v>
      </c>
      <c r="V120" s="149">
        <v>0.1</v>
      </c>
      <c r="W120" s="117" t="s">
        <v>500</v>
      </c>
      <c r="X120" s="166" t="s">
        <v>3041</v>
      </c>
      <c r="Y120" s="19" t="str">
        <f t="shared" si="19"/>
        <v>En gestión</v>
      </c>
      <c r="Z120" s="19" t="str">
        <f t="shared" si="20"/>
        <v>En gestión</v>
      </c>
      <c r="AA120" s="758"/>
      <c r="AB120" s="596"/>
      <c r="AC120" s="597"/>
      <c r="AD120" s="764"/>
      <c r="AE120" s="764"/>
      <c r="AF120" s="151"/>
      <c r="AG120" s="760"/>
      <c r="AH120" s="760"/>
      <c r="AI120" s="760"/>
      <c r="AJ120" s="760"/>
      <c r="AK120" s="760"/>
      <c r="AL120" s="760"/>
      <c r="AM120" s="761"/>
      <c r="AN120" s="762"/>
      <c r="AO120" s="778"/>
      <c r="AP120" s="763"/>
      <c r="AQ120" s="152"/>
      <c r="AR120" s="1167">
        <v>0.3</v>
      </c>
      <c r="AS120" s="153" t="s">
        <v>520</v>
      </c>
      <c r="AT120" s="167" t="s">
        <v>3042</v>
      </c>
      <c r="AU120" s="66" t="str">
        <f t="shared" si="21"/>
        <v>En gestión</v>
      </c>
      <c r="AV120" s="66" t="str">
        <f t="shared" si="22"/>
        <v>En gestión</v>
      </c>
      <c r="AW120" s="758"/>
      <c r="AX120" s="599"/>
      <c r="AY120" s="600"/>
      <c r="AZ120" s="759"/>
      <c r="BA120" s="759"/>
      <c r="BB120" s="151"/>
      <c r="BC120" s="759"/>
      <c r="BD120" s="760"/>
      <c r="BE120" s="760"/>
      <c r="BF120" s="760"/>
      <c r="BG120" s="760"/>
      <c r="BH120" s="760"/>
      <c r="BI120" s="760"/>
      <c r="BJ120" s="761"/>
      <c r="BK120" s="762"/>
      <c r="BL120" s="761"/>
      <c r="BM120" s="761"/>
      <c r="BN120" s="761"/>
      <c r="BO120" s="353">
        <v>0.6</v>
      </c>
      <c r="BP120" s="165" t="s">
        <v>3043</v>
      </c>
      <c r="BQ120" s="165" t="s">
        <v>3044</v>
      </c>
      <c r="BR120" s="19" t="str">
        <f t="shared" si="23"/>
        <v>En gestión</v>
      </c>
      <c r="BS120" s="19" t="str">
        <f t="shared" si="24"/>
        <v>En gestión</v>
      </c>
      <c r="BT120" s="585"/>
      <c r="BU120" s="561"/>
      <c r="BV120" s="562"/>
      <c r="BW120" s="764"/>
      <c r="BX120" s="764"/>
      <c r="BY120" s="578"/>
      <c r="BZ120" s="578"/>
      <c r="CA120" s="715"/>
      <c r="CB120" s="715"/>
      <c r="CC120" s="715"/>
      <c r="CD120" s="715"/>
      <c r="CE120" s="715"/>
      <c r="CF120" s="715"/>
      <c r="CG120" s="765"/>
      <c r="CH120" s="765"/>
      <c r="CI120" s="765"/>
      <c r="CJ120" s="765"/>
    </row>
    <row r="121" spans="2:88" ht="171.95" customHeight="1" x14ac:dyDescent="0.25">
      <c r="B121" s="1227"/>
      <c r="C121" s="766" t="s">
        <v>501</v>
      </c>
      <c r="D121" s="95" t="s">
        <v>25</v>
      </c>
      <c r="E121" s="95" t="s">
        <v>26</v>
      </c>
      <c r="F121" s="767" t="s">
        <v>494</v>
      </c>
      <c r="G121" s="95" t="s">
        <v>473</v>
      </c>
      <c r="H121" s="95" t="s">
        <v>28</v>
      </c>
      <c r="I121" s="95" t="s">
        <v>474</v>
      </c>
      <c r="J121" s="95" t="s">
        <v>47</v>
      </c>
      <c r="K121" s="702" t="s">
        <v>502</v>
      </c>
      <c r="L121" s="96" t="s">
        <v>164</v>
      </c>
      <c r="M121" s="97" t="s">
        <v>503</v>
      </c>
      <c r="N121" s="93" t="s">
        <v>504</v>
      </c>
      <c r="O121" s="156">
        <v>0.5</v>
      </c>
      <c r="P121" s="98">
        <v>44348</v>
      </c>
      <c r="Q121" s="98" t="s">
        <v>477</v>
      </c>
      <c r="R121" s="99">
        <v>0</v>
      </c>
      <c r="S121" s="99">
        <v>0.1</v>
      </c>
      <c r="T121" s="99">
        <v>0.4</v>
      </c>
      <c r="U121" s="99">
        <v>1</v>
      </c>
      <c r="V121" s="149">
        <v>0</v>
      </c>
      <c r="W121" s="103" t="s">
        <v>505</v>
      </c>
      <c r="X121" s="168" t="s">
        <v>37</v>
      </c>
      <c r="Y121" s="5" t="str">
        <f t="shared" si="19"/>
        <v>Sin iniciar</v>
      </c>
      <c r="Z121" s="5" t="str">
        <f t="shared" si="20"/>
        <v>Sin iniciar</v>
      </c>
      <c r="AA121" s="770"/>
      <c r="AB121" s="596">
        <f>SUMPRODUCT(O121:O122,V121:V122)</f>
        <v>0.05</v>
      </c>
      <c r="AC121" s="597">
        <f>SUMPRODUCT(O121:O122,R121:R122)</f>
        <v>0.125</v>
      </c>
      <c r="AD121" s="776" t="str">
        <f>IF(AC121&lt;1%,"Sin iniciar",IF(AC121=100%,"Terminado","En gestión"))</f>
        <v>En gestión</v>
      </c>
      <c r="AE121" s="776" t="str">
        <f>IF(AB121&lt;1%,"Sin iniciar",IF(AB121=100%,"Terminado","En gestión"))</f>
        <v>En gestión</v>
      </c>
      <c r="AF121" s="161" t="s">
        <v>512</v>
      </c>
      <c r="AG121" s="771">
        <v>0</v>
      </c>
      <c r="AH121" s="771"/>
      <c r="AI121" s="771"/>
      <c r="AJ121" s="771">
        <v>1128705500</v>
      </c>
      <c r="AK121" s="771">
        <v>1128705500</v>
      </c>
      <c r="AL121" s="771">
        <v>0</v>
      </c>
      <c r="AM121" s="772" t="s">
        <v>2469</v>
      </c>
      <c r="AN121" s="773" t="s">
        <v>2470</v>
      </c>
      <c r="AO121" s="774" t="s">
        <v>2471</v>
      </c>
      <c r="AP121" s="775">
        <f>AK121</f>
        <v>1128705500</v>
      </c>
      <c r="AQ121" s="160"/>
      <c r="AR121" s="1167">
        <v>0.1</v>
      </c>
      <c r="AS121" s="161" t="s">
        <v>521</v>
      </c>
      <c r="AT121" s="162" t="s">
        <v>3045</v>
      </c>
      <c r="AU121" s="56" t="str">
        <f t="shared" si="21"/>
        <v>En gestión</v>
      </c>
      <c r="AV121" s="56" t="str">
        <f t="shared" si="22"/>
        <v>En gestión</v>
      </c>
      <c r="AW121" s="768" t="s">
        <v>526</v>
      </c>
      <c r="AX121" s="599">
        <f>SUMPRODUCT(O121:O122,AR121:AR122)</f>
        <v>0.2</v>
      </c>
      <c r="AY121" s="600">
        <f>SUMPRODUCT(S121:S122,O121:O122)</f>
        <v>0.2</v>
      </c>
      <c r="AZ121" s="770" t="str">
        <f>IF(AY121&lt;1%,"Sin iniciar",IF(AY121=100%,"Terminado","En gestión"))</f>
        <v>En gestión</v>
      </c>
      <c r="BA121" s="770" t="str">
        <f>IF(AX121&lt;1%,"Sin iniciar",IF(AX121=100%,"Terminado","En gestión"))</f>
        <v>En gestión</v>
      </c>
      <c r="BB121" s="161"/>
      <c r="BC121" s="768"/>
      <c r="BD121" s="771">
        <v>0</v>
      </c>
      <c r="BE121" s="771">
        <v>0</v>
      </c>
      <c r="BF121" s="771">
        <v>0</v>
      </c>
      <c r="BG121" s="771">
        <v>1128705500</v>
      </c>
      <c r="BH121" s="771">
        <v>1128705500</v>
      </c>
      <c r="BI121" s="771">
        <v>64770000</v>
      </c>
      <c r="BJ121" s="772" t="s">
        <v>2469</v>
      </c>
      <c r="BK121" s="773">
        <v>2017011000199</v>
      </c>
      <c r="BL121" s="774" t="s">
        <v>2567</v>
      </c>
      <c r="BM121" s="774" t="s">
        <v>2652</v>
      </c>
      <c r="BN121" s="774" t="s">
        <v>2568</v>
      </c>
      <c r="BO121" s="353">
        <v>0.4</v>
      </c>
      <c r="BP121" s="164" t="s">
        <v>3046</v>
      </c>
      <c r="BQ121" s="164" t="s">
        <v>3047</v>
      </c>
      <c r="BR121" s="5" t="str">
        <f t="shared" si="23"/>
        <v>En gestión</v>
      </c>
      <c r="BS121" s="5" t="str">
        <f t="shared" si="24"/>
        <v>En gestión</v>
      </c>
      <c r="BT121" s="576" t="s">
        <v>3048</v>
      </c>
      <c r="BU121" s="561">
        <f>SUMPRODUCT(O121:O122,BO121:BO122)</f>
        <v>0.5</v>
      </c>
      <c r="BV121" s="562">
        <f>SUMPRODUCT(O121:O122,T121:T122)</f>
        <v>0.5</v>
      </c>
      <c r="BW121" s="776" t="str">
        <f>IF(BV121&lt;1%,"Sin iniciar",IF(BV121=100%,"Terminado","En gestión"))</f>
        <v>En gestión</v>
      </c>
      <c r="BX121" s="776" t="str">
        <f>IF(BU121&lt;1%,"Sin iniciar",IF(BU121=100%,"Terminado","En gestión"))</f>
        <v>En gestión</v>
      </c>
      <c r="BY121" s="573" t="s">
        <v>37</v>
      </c>
      <c r="BZ121" s="573" t="s">
        <v>3016</v>
      </c>
      <c r="CA121" s="704">
        <v>0</v>
      </c>
      <c r="CB121" s="704">
        <v>0</v>
      </c>
      <c r="CC121" s="704">
        <v>0</v>
      </c>
      <c r="CD121" s="704">
        <v>1128705500</v>
      </c>
      <c r="CE121" s="704">
        <v>1128705500</v>
      </c>
      <c r="CF121" s="704">
        <v>467230000</v>
      </c>
      <c r="CG121" s="794" t="s">
        <v>2469</v>
      </c>
      <c r="CH121" s="777" t="s">
        <v>2567</v>
      </c>
      <c r="CI121" s="777" t="s">
        <v>2652</v>
      </c>
      <c r="CJ121" s="777" t="s">
        <v>2568</v>
      </c>
    </row>
    <row r="122" spans="2:88" ht="171.95" customHeight="1" x14ac:dyDescent="0.25">
      <c r="B122" s="1227"/>
      <c r="C122" s="766"/>
      <c r="D122" s="95" t="s">
        <v>25</v>
      </c>
      <c r="E122" s="95" t="s">
        <v>26</v>
      </c>
      <c r="F122" s="767"/>
      <c r="G122" s="95" t="s">
        <v>473</v>
      </c>
      <c r="H122" s="95" t="s">
        <v>28</v>
      </c>
      <c r="I122" s="95" t="s">
        <v>474</v>
      </c>
      <c r="J122" s="95" t="s">
        <v>47</v>
      </c>
      <c r="K122" s="702"/>
      <c r="L122" s="96" t="s">
        <v>164</v>
      </c>
      <c r="M122" s="97" t="s">
        <v>506</v>
      </c>
      <c r="N122" s="93" t="s">
        <v>507</v>
      </c>
      <c r="O122" s="156">
        <v>0.5</v>
      </c>
      <c r="P122" s="98">
        <v>44197</v>
      </c>
      <c r="Q122" s="98" t="s">
        <v>477</v>
      </c>
      <c r="R122" s="99">
        <v>0.25</v>
      </c>
      <c r="S122" s="99">
        <v>0.3</v>
      </c>
      <c r="T122" s="99">
        <v>0.6</v>
      </c>
      <c r="U122" s="99">
        <v>1</v>
      </c>
      <c r="V122" s="149">
        <v>0.1</v>
      </c>
      <c r="W122" s="103" t="s">
        <v>508</v>
      </c>
      <c r="X122" s="158" t="s">
        <v>3049</v>
      </c>
      <c r="Y122" s="5" t="str">
        <f t="shared" si="19"/>
        <v>En gestión</v>
      </c>
      <c r="Z122" s="5" t="str">
        <f t="shared" si="20"/>
        <v>En gestión</v>
      </c>
      <c r="AA122" s="770"/>
      <c r="AB122" s="596"/>
      <c r="AC122" s="597"/>
      <c r="AD122" s="776"/>
      <c r="AE122" s="776"/>
      <c r="AF122" s="161" t="s">
        <v>513</v>
      </c>
      <c r="AG122" s="771"/>
      <c r="AH122" s="771"/>
      <c r="AI122" s="771"/>
      <c r="AJ122" s="771"/>
      <c r="AK122" s="771"/>
      <c r="AL122" s="771"/>
      <c r="AM122" s="772"/>
      <c r="AN122" s="773"/>
      <c r="AO122" s="774"/>
      <c r="AP122" s="775"/>
      <c r="AQ122" s="160"/>
      <c r="AR122" s="1167">
        <v>0.3</v>
      </c>
      <c r="AS122" s="161" t="s">
        <v>522</v>
      </c>
      <c r="AT122" s="162" t="s">
        <v>3050</v>
      </c>
      <c r="AU122" s="56" t="str">
        <f t="shared" si="21"/>
        <v>En gestión</v>
      </c>
      <c r="AV122" s="56" t="str">
        <f t="shared" si="22"/>
        <v>En gestión</v>
      </c>
      <c r="AW122" s="768"/>
      <c r="AX122" s="599"/>
      <c r="AY122" s="600"/>
      <c r="AZ122" s="770"/>
      <c r="BA122" s="770"/>
      <c r="BB122" s="161"/>
      <c r="BC122" s="768"/>
      <c r="BD122" s="771"/>
      <c r="BE122" s="771"/>
      <c r="BF122" s="771"/>
      <c r="BG122" s="771"/>
      <c r="BH122" s="771"/>
      <c r="BI122" s="771"/>
      <c r="BJ122" s="772"/>
      <c r="BK122" s="773"/>
      <c r="BL122" s="774"/>
      <c r="BM122" s="774"/>
      <c r="BN122" s="774"/>
      <c r="BO122" s="352">
        <v>0.6</v>
      </c>
      <c r="BP122" s="169" t="s">
        <v>3051</v>
      </c>
      <c r="BQ122" s="371" t="s">
        <v>3052</v>
      </c>
      <c r="BR122" s="5" t="str">
        <f t="shared" si="23"/>
        <v>En gestión</v>
      </c>
      <c r="BS122" s="5" t="str">
        <f t="shared" si="24"/>
        <v>En gestión</v>
      </c>
      <c r="BT122" s="576"/>
      <c r="BU122" s="561"/>
      <c r="BV122" s="562"/>
      <c r="BW122" s="776"/>
      <c r="BX122" s="776"/>
      <c r="BY122" s="573"/>
      <c r="BZ122" s="573"/>
      <c r="CA122" s="704"/>
      <c r="CB122" s="704"/>
      <c r="CC122" s="704"/>
      <c r="CD122" s="704"/>
      <c r="CE122" s="704"/>
      <c r="CF122" s="704"/>
      <c r="CG122" s="794"/>
      <c r="CH122" s="777"/>
      <c r="CI122" s="777"/>
      <c r="CJ122" s="777"/>
    </row>
    <row r="123" spans="2:88" ht="171.95" customHeight="1" x14ac:dyDescent="0.25">
      <c r="B123" s="1227" t="s">
        <v>5222</v>
      </c>
      <c r="C123" s="639" t="s">
        <v>527</v>
      </c>
      <c r="D123" s="41" t="s">
        <v>45</v>
      </c>
      <c r="E123" s="41" t="s">
        <v>26</v>
      </c>
      <c r="F123" s="640" t="s">
        <v>528</v>
      </c>
      <c r="G123" s="41" t="s">
        <v>529</v>
      </c>
      <c r="H123" s="41" t="s">
        <v>373</v>
      </c>
      <c r="I123" s="41" t="s">
        <v>269</v>
      </c>
      <c r="J123" s="41" t="s">
        <v>47</v>
      </c>
      <c r="K123" s="641" t="s">
        <v>530</v>
      </c>
      <c r="L123" s="52" t="s">
        <v>531</v>
      </c>
      <c r="M123" s="42" t="s">
        <v>532</v>
      </c>
      <c r="N123" s="43" t="s">
        <v>533</v>
      </c>
      <c r="O123" s="41">
        <v>0.25</v>
      </c>
      <c r="P123" s="44">
        <v>44200</v>
      </c>
      <c r="Q123" s="44">
        <v>44285</v>
      </c>
      <c r="R123" s="45">
        <v>1</v>
      </c>
      <c r="S123" s="45">
        <v>1</v>
      </c>
      <c r="T123" s="45">
        <v>1</v>
      </c>
      <c r="U123" s="45">
        <v>1</v>
      </c>
      <c r="V123" s="90">
        <v>1</v>
      </c>
      <c r="W123" s="62" t="s">
        <v>534</v>
      </c>
      <c r="X123" s="63" t="s">
        <v>3053</v>
      </c>
      <c r="Y123" s="19" t="str">
        <f t="shared" si="19"/>
        <v>Terminado</v>
      </c>
      <c r="Z123" s="19" t="str">
        <f t="shared" si="20"/>
        <v>Terminado</v>
      </c>
      <c r="AA123" s="532" t="s">
        <v>540</v>
      </c>
      <c r="AB123" s="596">
        <f>SUMPRODUCT(O123:O125,V123:V125)</f>
        <v>0.5</v>
      </c>
      <c r="AC123" s="597">
        <f>SUMPRODUCT(O123:O125,R123:R125)</f>
        <v>0.25</v>
      </c>
      <c r="AD123" s="611" t="str">
        <f>IF(AC123&lt;1%,"Sin iniciar",IF(AC123=100%,"Terminado","En gestión"))</f>
        <v>En gestión</v>
      </c>
      <c r="AE123" s="611" t="str">
        <f>IF(AB123&lt;1%,"Sin iniciar",IF(AB123=100%,"Terminado","En gestión"))</f>
        <v>En gestión</v>
      </c>
      <c r="AF123" s="66" t="s">
        <v>37</v>
      </c>
      <c r="AG123" s="579">
        <v>0</v>
      </c>
      <c r="AH123" s="530"/>
      <c r="AI123" s="530"/>
      <c r="AJ123" s="579">
        <f>AQ123</f>
        <v>800000000</v>
      </c>
      <c r="AK123" s="779"/>
      <c r="AL123" s="779">
        <v>20863044</v>
      </c>
      <c r="AM123" s="592" t="s">
        <v>2569</v>
      </c>
      <c r="AN123" s="598" t="s">
        <v>2556</v>
      </c>
      <c r="AO123" s="521" t="s">
        <v>2570</v>
      </c>
      <c r="AP123" s="532" t="s">
        <v>2556</v>
      </c>
      <c r="AQ123" s="567">
        <v>800000000</v>
      </c>
      <c r="AR123" s="1163">
        <v>1</v>
      </c>
      <c r="AS123" s="62" t="s">
        <v>2434</v>
      </c>
      <c r="AT123" s="62"/>
      <c r="AU123" s="66" t="str">
        <f t="shared" si="21"/>
        <v>Terminado</v>
      </c>
      <c r="AV123" s="66" t="str">
        <f t="shared" si="22"/>
        <v>Terminado</v>
      </c>
      <c r="AW123" s="532" t="s">
        <v>542</v>
      </c>
      <c r="AX123" s="599">
        <f>SUMPRODUCT(O123:O125,AR123:AR125)</f>
        <v>0.5</v>
      </c>
      <c r="AY123" s="600">
        <f>SUMPRODUCT(S123:S125,O123:O125)</f>
        <v>0.5</v>
      </c>
      <c r="AZ123" s="530" t="str">
        <f>IF(AY123&lt;1%,"Sin iniciar",IF(AY123=100%,"Terminado","En gestión"))</f>
        <v>En gestión</v>
      </c>
      <c r="BA123" s="530" t="str">
        <f>IF(AX123&lt;1%,"Sin iniciar",IF(AX123=100%,"Terminado","En gestión"))</f>
        <v>En gestión</v>
      </c>
      <c r="BB123" s="66"/>
      <c r="BC123" s="532" t="s">
        <v>543</v>
      </c>
      <c r="BD123" s="579">
        <v>0</v>
      </c>
      <c r="BE123" s="565">
        <v>0</v>
      </c>
      <c r="BF123" s="565">
        <v>0</v>
      </c>
      <c r="BG123" s="579">
        <v>800000000</v>
      </c>
      <c r="BH123" s="579">
        <v>800000000</v>
      </c>
      <c r="BI123" s="779">
        <v>289389902</v>
      </c>
      <c r="BJ123" s="592" t="s">
        <v>2569</v>
      </c>
      <c r="BK123" s="598"/>
      <c r="BL123" s="521" t="s">
        <v>2570</v>
      </c>
      <c r="BM123" s="532" t="s">
        <v>2653</v>
      </c>
      <c r="BN123" s="567" t="s">
        <v>2654</v>
      </c>
      <c r="BO123" s="347">
        <v>1</v>
      </c>
      <c r="BP123" s="25" t="s">
        <v>541</v>
      </c>
      <c r="BQ123" s="25" t="s">
        <v>541</v>
      </c>
      <c r="BR123" s="19" t="str">
        <f t="shared" si="23"/>
        <v>Terminado</v>
      </c>
      <c r="BS123" s="19" t="str">
        <f t="shared" si="24"/>
        <v>Terminado</v>
      </c>
      <c r="BT123" s="560" t="s">
        <v>3054</v>
      </c>
      <c r="BU123" s="561">
        <f>SUMPRODUCT(O123:O125,BO123:BO125)</f>
        <v>0.75</v>
      </c>
      <c r="BV123" s="562">
        <f>SUMPRODUCT(O123:O125,T123:T125)</f>
        <v>0.75</v>
      </c>
      <c r="BW123" s="611" t="str">
        <f>IF(BV123&lt;1%,"Sin iniciar",IF(BV123=100%,"Terminado","En gestión"))</f>
        <v>En gestión</v>
      </c>
      <c r="BX123" s="611" t="str">
        <f>IF(BU123&lt;1%,"Sin iniciar",IF(BU123=100%,"Terminado","En gestión"))</f>
        <v>En gestión</v>
      </c>
      <c r="BY123" s="578" t="s">
        <v>37</v>
      </c>
      <c r="BZ123" s="560" t="s">
        <v>543</v>
      </c>
      <c r="CA123" s="578"/>
      <c r="CB123" s="578"/>
      <c r="CC123" s="578"/>
      <c r="CD123" s="780">
        <v>800000000</v>
      </c>
      <c r="CE123" s="780">
        <v>800000000</v>
      </c>
      <c r="CF123" s="780">
        <v>381548648.39999998</v>
      </c>
      <c r="CG123" s="560" t="s">
        <v>2569</v>
      </c>
      <c r="CH123" s="560" t="s">
        <v>3055</v>
      </c>
      <c r="CI123" s="560" t="s">
        <v>2653</v>
      </c>
      <c r="CJ123" s="560" t="s">
        <v>2654</v>
      </c>
    </row>
    <row r="124" spans="2:88" ht="171.95" customHeight="1" x14ac:dyDescent="0.25">
      <c r="B124" s="1227"/>
      <c r="C124" s="639"/>
      <c r="D124" s="41" t="s">
        <v>45</v>
      </c>
      <c r="E124" s="41" t="s">
        <v>26</v>
      </c>
      <c r="F124" s="640"/>
      <c r="G124" s="41" t="s">
        <v>529</v>
      </c>
      <c r="H124" s="41" t="s">
        <v>373</v>
      </c>
      <c r="I124" s="41" t="s">
        <v>269</v>
      </c>
      <c r="J124" s="41" t="s">
        <v>47</v>
      </c>
      <c r="K124" s="641"/>
      <c r="L124" s="52" t="s">
        <v>531</v>
      </c>
      <c r="M124" s="42" t="s">
        <v>535</v>
      </c>
      <c r="N124" s="43" t="s">
        <v>536</v>
      </c>
      <c r="O124" s="41">
        <v>0.25</v>
      </c>
      <c r="P124" s="44">
        <v>44287</v>
      </c>
      <c r="Q124" s="44">
        <v>44377</v>
      </c>
      <c r="R124" s="45">
        <v>0</v>
      </c>
      <c r="S124" s="45">
        <v>1</v>
      </c>
      <c r="T124" s="45">
        <v>1</v>
      </c>
      <c r="U124" s="45">
        <v>1</v>
      </c>
      <c r="V124" s="90">
        <v>1</v>
      </c>
      <c r="W124" s="62" t="s">
        <v>537</v>
      </c>
      <c r="X124" s="63" t="s">
        <v>3056</v>
      </c>
      <c r="Y124" s="19" t="str">
        <f t="shared" si="19"/>
        <v>Sin iniciar</v>
      </c>
      <c r="Z124" s="19" t="str">
        <f t="shared" si="20"/>
        <v>Terminado</v>
      </c>
      <c r="AA124" s="532"/>
      <c r="AB124" s="596"/>
      <c r="AC124" s="597"/>
      <c r="AD124" s="611"/>
      <c r="AE124" s="611"/>
      <c r="AF124" s="66" t="s">
        <v>37</v>
      </c>
      <c r="AG124" s="579"/>
      <c r="AH124" s="530"/>
      <c r="AI124" s="530"/>
      <c r="AJ124" s="579"/>
      <c r="AK124" s="779"/>
      <c r="AL124" s="779"/>
      <c r="AM124" s="592"/>
      <c r="AN124" s="598"/>
      <c r="AO124" s="521"/>
      <c r="AP124" s="532"/>
      <c r="AQ124" s="567"/>
      <c r="AR124" s="1163">
        <v>1</v>
      </c>
      <c r="AS124" s="62" t="s">
        <v>2434</v>
      </c>
      <c r="AT124" s="62"/>
      <c r="AU124" s="66" t="str">
        <f t="shared" si="21"/>
        <v>Terminado</v>
      </c>
      <c r="AV124" s="66" t="str">
        <f t="shared" si="22"/>
        <v>Terminado</v>
      </c>
      <c r="AW124" s="532"/>
      <c r="AX124" s="599"/>
      <c r="AY124" s="600"/>
      <c r="AZ124" s="530"/>
      <c r="BA124" s="530"/>
      <c r="BB124" s="66"/>
      <c r="BC124" s="532"/>
      <c r="BD124" s="579"/>
      <c r="BE124" s="565"/>
      <c r="BF124" s="565"/>
      <c r="BG124" s="579"/>
      <c r="BH124" s="579"/>
      <c r="BI124" s="779"/>
      <c r="BJ124" s="592"/>
      <c r="BK124" s="598"/>
      <c r="BL124" s="521"/>
      <c r="BM124" s="532"/>
      <c r="BN124" s="567"/>
      <c r="BO124" s="347">
        <v>1</v>
      </c>
      <c r="BP124" s="25" t="s">
        <v>541</v>
      </c>
      <c r="BQ124" s="25" t="s">
        <v>541</v>
      </c>
      <c r="BR124" s="19" t="str">
        <f t="shared" si="23"/>
        <v>Terminado</v>
      </c>
      <c r="BS124" s="19" t="str">
        <f t="shared" si="24"/>
        <v>Terminado</v>
      </c>
      <c r="BT124" s="560"/>
      <c r="BU124" s="561"/>
      <c r="BV124" s="562"/>
      <c r="BW124" s="611"/>
      <c r="BX124" s="611"/>
      <c r="BY124" s="578"/>
      <c r="BZ124" s="560"/>
      <c r="CA124" s="578"/>
      <c r="CB124" s="578"/>
      <c r="CC124" s="578"/>
      <c r="CD124" s="780"/>
      <c r="CE124" s="780"/>
      <c r="CF124" s="780"/>
      <c r="CG124" s="560"/>
      <c r="CH124" s="560"/>
      <c r="CI124" s="560"/>
      <c r="CJ124" s="560"/>
    </row>
    <row r="125" spans="2:88" ht="171.95" customHeight="1" x14ac:dyDescent="0.25">
      <c r="B125" s="1227"/>
      <c r="C125" s="639"/>
      <c r="D125" s="41" t="s">
        <v>45</v>
      </c>
      <c r="E125" s="41" t="s">
        <v>26</v>
      </c>
      <c r="F125" s="640"/>
      <c r="G125" s="41" t="s">
        <v>529</v>
      </c>
      <c r="H125" s="41" t="s">
        <v>373</v>
      </c>
      <c r="I125" s="41" t="s">
        <v>269</v>
      </c>
      <c r="J125" s="41" t="s">
        <v>47</v>
      </c>
      <c r="K125" s="641"/>
      <c r="L125" s="52" t="s">
        <v>531</v>
      </c>
      <c r="M125" s="42" t="s">
        <v>538</v>
      </c>
      <c r="N125" s="43" t="s">
        <v>539</v>
      </c>
      <c r="O125" s="41">
        <v>0.5</v>
      </c>
      <c r="P125" s="44">
        <v>44378</v>
      </c>
      <c r="Q125" s="44">
        <v>44550</v>
      </c>
      <c r="R125" s="45">
        <v>0</v>
      </c>
      <c r="S125" s="45">
        <v>0</v>
      </c>
      <c r="T125" s="45">
        <v>0.5</v>
      </c>
      <c r="U125" s="45">
        <v>1</v>
      </c>
      <c r="V125" s="90">
        <v>0</v>
      </c>
      <c r="W125" s="66" t="s">
        <v>37</v>
      </c>
      <c r="X125" s="91" t="s">
        <v>37</v>
      </c>
      <c r="Y125" s="19" t="str">
        <f t="shared" si="19"/>
        <v>Sin iniciar</v>
      </c>
      <c r="Z125" s="19" t="str">
        <f t="shared" si="20"/>
        <v>Sin iniciar</v>
      </c>
      <c r="AA125" s="532"/>
      <c r="AB125" s="596"/>
      <c r="AC125" s="597"/>
      <c r="AD125" s="611"/>
      <c r="AE125" s="611"/>
      <c r="AF125" s="66" t="s">
        <v>37</v>
      </c>
      <c r="AG125" s="579"/>
      <c r="AH125" s="530"/>
      <c r="AI125" s="530"/>
      <c r="AJ125" s="579"/>
      <c r="AK125" s="779"/>
      <c r="AL125" s="779"/>
      <c r="AM125" s="592"/>
      <c r="AN125" s="598"/>
      <c r="AO125" s="521"/>
      <c r="AP125" s="532"/>
      <c r="AQ125" s="567"/>
      <c r="AR125" s="1163">
        <v>0</v>
      </c>
      <c r="AS125" s="62" t="s">
        <v>2437</v>
      </c>
      <c r="AT125" s="91" t="s">
        <v>541</v>
      </c>
      <c r="AU125" s="66" t="str">
        <f t="shared" si="21"/>
        <v>Sin iniciar</v>
      </c>
      <c r="AV125" s="66" t="str">
        <f t="shared" si="22"/>
        <v>Sin iniciar</v>
      </c>
      <c r="AW125" s="532"/>
      <c r="AX125" s="599"/>
      <c r="AY125" s="600"/>
      <c r="AZ125" s="530"/>
      <c r="BA125" s="530"/>
      <c r="BB125" s="66"/>
      <c r="BC125" s="532"/>
      <c r="BD125" s="579"/>
      <c r="BE125" s="565"/>
      <c r="BF125" s="565"/>
      <c r="BG125" s="579"/>
      <c r="BH125" s="579"/>
      <c r="BI125" s="779"/>
      <c r="BJ125" s="592"/>
      <c r="BK125" s="598"/>
      <c r="BL125" s="521"/>
      <c r="BM125" s="532"/>
      <c r="BN125" s="567"/>
      <c r="BO125" s="347">
        <v>0.5</v>
      </c>
      <c r="BP125" s="24" t="s">
        <v>3057</v>
      </c>
      <c r="BQ125" s="24" t="s">
        <v>3058</v>
      </c>
      <c r="BR125" s="19" t="str">
        <f t="shared" si="23"/>
        <v>En gestión</v>
      </c>
      <c r="BS125" s="19" t="str">
        <f t="shared" si="24"/>
        <v>En gestión</v>
      </c>
      <c r="BT125" s="560"/>
      <c r="BU125" s="561"/>
      <c r="BV125" s="562"/>
      <c r="BW125" s="611"/>
      <c r="BX125" s="611"/>
      <c r="BY125" s="578"/>
      <c r="BZ125" s="560"/>
      <c r="CA125" s="578"/>
      <c r="CB125" s="578"/>
      <c r="CC125" s="578"/>
      <c r="CD125" s="780"/>
      <c r="CE125" s="780"/>
      <c r="CF125" s="780"/>
      <c r="CG125" s="560"/>
      <c r="CH125" s="560"/>
      <c r="CI125" s="560"/>
      <c r="CJ125" s="560"/>
    </row>
    <row r="126" spans="2:88" ht="171.95" customHeight="1" x14ac:dyDescent="0.25">
      <c r="B126" s="1227"/>
      <c r="C126" s="632" t="s">
        <v>544</v>
      </c>
      <c r="D126" s="33" t="s">
        <v>45</v>
      </c>
      <c r="E126" s="33" t="s">
        <v>26</v>
      </c>
      <c r="F126" s="633" t="s">
        <v>545</v>
      </c>
      <c r="G126" s="33" t="s">
        <v>373</v>
      </c>
      <c r="H126" s="33" t="s">
        <v>28</v>
      </c>
      <c r="I126" s="33" t="s">
        <v>546</v>
      </c>
      <c r="J126" s="33" t="s">
        <v>47</v>
      </c>
      <c r="K126" s="634" t="s">
        <v>547</v>
      </c>
      <c r="L126" s="51" t="s">
        <v>164</v>
      </c>
      <c r="M126" s="34" t="s">
        <v>548</v>
      </c>
      <c r="N126" s="35" t="s">
        <v>549</v>
      </c>
      <c r="O126" s="33">
        <v>0.5</v>
      </c>
      <c r="P126" s="36">
        <v>44301</v>
      </c>
      <c r="Q126" s="36">
        <v>44560</v>
      </c>
      <c r="R126" s="37">
        <v>0</v>
      </c>
      <c r="S126" s="37">
        <v>0.33329999999999999</v>
      </c>
      <c r="T126" s="37">
        <v>0.66659999999999997</v>
      </c>
      <c r="U126" s="37">
        <v>1</v>
      </c>
      <c r="V126" s="90">
        <v>0</v>
      </c>
      <c r="W126" s="56" t="s">
        <v>37</v>
      </c>
      <c r="X126" s="94" t="s">
        <v>37</v>
      </c>
      <c r="Y126" s="5" t="str">
        <f t="shared" si="19"/>
        <v>Sin iniciar</v>
      </c>
      <c r="Z126" s="5" t="str">
        <f t="shared" si="20"/>
        <v>Sin iniciar</v>
      </c>
      <c r="AA126" s="531" t="s">
        <v>552</v>
      </c>
      <c r="AB126" s="596">
        <f>SUMPRODUCT(O126:O127,V126:V127)</f>
        <v>0</v>
      </c>
      <c r="AC126" s="597">
        <f>SUMPRODUCT(O126:O127,R126:R127)</f>
        <v>0</v>
      </c>
      <c r="AD126" s="610" t="str">
        <f>IF(AC126&lt;1%,"Sin iniciar",IF(AC126=100%,"Terminado","En gestión"))</f>
        <v>Sin iniciar</v>
      </c>
      <c r="AE126" s="610" t="str">
        <f>IF(AB126&lt;1%,"Sin iniciar",IF(AB126=100%,"Terminado","En gestión"))</f>
        <v>Sin iniciar</v>
      </c>
      <c r="AF126" s="56" t="s">
        <v>37</v>
      </c>
      <c r="AG126" s="583">
        <v>127750633</v>
      </c>
      <c r="AH126" s="536"/>
      <c r="AI126" s="536"/>
      <c r="AJ126" s="583">
        <f>AQ126</f>
        <v>46361330</v>
      </c>
      <c r="AK126" s="536"/>
      <c r="AL126" s="536"/>
      <c r="AM126" s="593" t="s">
        <v>2460</v>
      </c>
      <c r="AN126" s="603" t="s">
        <v>2556</v>
      </c>
      <c r="AO126" s="520" t="s">
        <v>2462</v>
      </c>
      <c r="AP126" s="531" t="s">
        <v>2556</v>
      </c>
      <c r="AQ126" s="568">
        <v>46361330</v>
      </c>
      <c r="AR126" s="1163">
        <v>0.33</v>
      </c>
      <c r="AS126" s="13" t="s">
        <v>553</v>
      </c>
      <c r="AT126" s="55" t="s">
        <v>3059</v>
      </c>
      <c r="AU126" s="56" t="str">
        <f t="shared" si="21"/>
        <v>En gestión</v>
      </c>
      <c r="AV126" s="56" t="str">
        <f t="shared" si="22"/>
        <v>En gestión</v>
      </c>
      <c r="AW126" s="531" t="s">
        <v>555</v>
      </c>
      <c r="AX126" s="599">
        <f>SUMPRODUCT(O126:O127,AR126:AR127)</f>
        <v>0.33</v>
      </c>
      <c r="AY126" s="600">
        <f>SUMPRODUCT(S126:S127,O126:O127)</f>
        <v>0.33329999999999999</v>
      </c>
      <c r="AZ126" s="536" t="str">
        <f>IF(AY126&lt;1%,"Sin iniciar",IF(AY126=100%,"Terminado","En gestión"))</f>
        <v>En gestión</v>
      </c>
      <c r="BA126" s="536" t="str">
        <f>IF(AX126&lt;1%,"Sin iniciar",IF(AX126=100%,"Terminado","En gestión"))</f>
        <v>En gestión</v>
      </c>
      <c r="BB126" s="56"/>
      <c r="BC126" s="531" t="s">
        <v>556</v>
      </c>
      <c r="BD126" s="583">
        <v>127750633</v>
      </c>
      <c r="BE126" s="583">
        <v>127750633</v>
      </c>
      <c r="BF126" s="583">
        <v>42583544</v>
      </c>
      <c r="BG126" s="583">
        <v>46361330</v>
      </c>
      <c r="BH126" s="583">
        <v>46361330</v>
      </c>
      <c r="BI126" s="583">
        <v>15453777</v>
      </c>
      <c r="BJ126" s="593" t="s">
        <v>2460</v>
      </c>
      <c r="BK126" s="603" t="s">
        <v>2461</v>
      </c>
      <c r="BL126" s="520" t="s">
        <v>2462</v>
      </c>
      <c r="BM126" s="531" t="s">
        <v>2463</v>
      </c>
      <c r="BN126" s="568" t="s">
        <v>2654</v>
      </c>
      <c r="BO126" s="347">
        <v>0.67</v>
      </c>
      <c r="BP126" s="11" t="s">
        <v>553</v>
      </c>
      <c r="BQ126" s="11" t="s">
        <v>3059</v>
      </c>
      <c r="BR126" s="5" t="str">
        <f t="shared" si="23"/>
        <v>En gestión</v>
      </c>
      <c r="BS126" s="5" t="str">
        <f t="shared" si="24"/>
        <v>En gestión</v>
      </c>
      <c r="BT126" s="581" t="s">
        <v>3060</v>
      </c>
      <c r="BU126" s="561">
        <f>SUMPRODUCT(O126:O127,BO126:BO127)</f>
        <v>0.67</v>
      </c>
      <c r="BV126" s="562">
        <f>SUMPRODUCT(O126:O127,T126:T127)</f>
        <v>0.66659999999999997</v>
      </c>
      <c r="BW126" s="610" t="str">
        <f>IF(BV126&lt;1%,"Sin iniciar",IF(BV126=100%,"Terminado","En gestión"))</f>
        <v>En gestión</v>
      </c>
      <c r="BX126" s="610" t="str">
        <f>IF(BU126&lt;1%,"Sin iniciar",IF(BU126=100%,"Terminado","En gestión"))</f>
        <v>En gestión</v>
      </c>
      <c r="BY126" s="573" t="s">
        <v>37</v>
      </c>
      <c r="BZ126" s="581" t="s">
        <v>556</v>
      </c>
      <c r="CA126" s="781">
        <v>127750633</v>
      </c>
      <c r="CB126" s="781">
        <v>127750633</v>
      </c>
      <c r="CC126" s="781">
        <v>85167088</v>
      </c>
      <c r="CD126" s="781">
        <v>46361330</v>
      </c>
      <c r="CE126" s="781">
        <v>46361330</v>
      </c>
      <c r="CF126" s="781">
        <v>30907553</v>
      </c>
      <c r="CG126" s="581" t="s">
        <v>2460</v>
      </c>
      <c r="CH126" s="573" t="s">
        <v>2462</v>
      </c>
      <c r="CI126" s="573" t="s">
        <v>2463</v>
      </c>
      <c r="CJ126" s="573" t="s">
        <v>2654</v>
      </c>
    </row>
    <row r="127" spans="2:88" ht="171.95" customHeight="1" x14ac:dyDescent="0.25">
      <c r="B127" s="1227"/>
      <c r="C127" s="632"/>
      <c r="D127" s="33" t="s">
        <v>45</v>
      </c>
      <c r="E127" s="33" t="s">
        <v>26</v>
      </c>
      <c r="F127" s="633"/>
      <c r="G127" s="33" t="s">
        <v>373</v>
      </c>
      <c r="H127" s="33" t="s">
        <v>28</v>
      </c>
      <c r="I127" s="33" t="s">
        <v>546</v>
      </c>
      <c r="J127" s="33" t="s">
        <v>47</v>
      </c>
      <c r="K127" s="634"/>
      <c r="L127" s="51" t="s">
        <v>164</v>
      </c>
      <c r="M127" s="34" t="s">
        <v>550</v>
      </c>
      <c r="N127" s="35" t="s">
        <v>551</v>
      </c>
      <c r="O127" s="33">
        <v>0.5</v>
      </c>
      <c r="P127" s="36">
        <v>44301</v>
      </c>
      <c r="Q127" s="36">
        <v>44560</v>
      </c>
      <c r="R127" s="37">
        <v>0</v>
      </c>
      <c r="S127" s="37">
        <v>0.33329999999999999</v>
      </c>
      <c r="T127" s="37">
        <v>0.66659999999999997</v>
      </c>
      <c r="U127" s="37">
        <v>1</v>
      </c>
      <c r="V127" s="90">
        <v>0</v>
      </c>
      <c r="W127" s="56" t="s">
        <v>37</v>
      </c>
      <c r="X127" s="94" t="s">
        <v>37</v>
      </c>
      <c r="Y127" s="5" t="str">
        <f t="shared" si="19"/>
        <v>Sin iniciar</v>
      </c>
      <c r="Z127" s="5" t="str">
        <f t="shared" si="20"/>
        <v>Sin iniciar</v>
      </c>
      <c r="AA127" s="531"/>
      <c r="AB127" s="596"/>
      <c r="AC127" s="597"/>
      <c r="AD127" s="610"/>
      <c r="AE127" s="610"/>
      <c r="AF127" s="56" t="s">
        <v>37</v>
      </c>
      <c r="AG127" s="583"/>
      <c r="AH127" s="536"/>
      <c r="AI127" s="536"/>
      <c r="AJ127" s="583"/>
      <c r="AK127" s="536"/>
      <c r="AL127" s="536"/>
      <c r="AM127" s="593"/>
      <c r="AN127" s="603"/>
      <c r="AO127" s="520"/>
      <c r="AP127" s="531"/>
      <c r="AQ127" s="568"/>
      <c r="AR127" s="1163">
        <v>0.33</v>
      </c>
      <c r="AS127" s="13" t="s">
        <v>554</v>
      </c>
      <c r="AT127" s="55" t="s">
        <v>3061</v>
      </c>
      <c r="AU127" s="56" t="str">
        <f t="shared" si="21"/>
        <v>En gestión</v>
      </c>
      <c r="AV127" s="56" t="str">
        <f t="shared" si="22"/>
        <v>En gestión</v>
      </c>
      <c r="AW127" s="531"/>
      <c r="AX127" s="599"/>
      <c r="AY127" s="600"/>
      <c r="AZ127" s="536"/>
      <c r="BA127" s="536"/>
      <c r="BB127" s="56"/>
      <c r="BC127" s="531"/>
      <c r="BD127" s="583"/>
      <c r="BE127" s="583"/>
      <c r="BF127" s="583"/>
      <c r="BG127" s="583"/>
      <c r="BH127" s="583"/>
      <c r="BI127" s="583"/>
      <c r="BJ127" s="593"/>
      <c r="BK127" s="603"/>
      <c r="BL127" s="520"/>
      <c r="BM127" s="531"/>
      <c r="BN127" s="568"/>
      <c r="BO127" s="347">
        <v>0.67</v>
      </c>
      <c r="BP127" s="11" t="s">
        <v>3062</v>
      </c>
      <c r="BQ127" s="11" t="s">
        <v>3063</v>
      </c>
      <c r="BR127" s="5" t="str">
        <f>IF(T127&lt;1%,"Sin iniciar",IF(T127=100%,"Terminado","En gestión"))</f>
        <v>En gestión</v>
      </c>
      <c r="BS127" s="5" t="str">
        <f t="shared" si="24"/>
        <v>En gestión</v>
      </c>
      <c r="BT127" s="581"/>
      <c r="BU127" s="561"/>
      <c r="BV127" s="562"/>
      <c r="BW127" s="610"/>
      <c r="BX127" s="610"/>
      <c r="BY127" s="573"/>
      <c r="BZ127" s="581"/>
      <c r="CA127" s="781"/>
      <c r="CB127" s="781"/>
      <c r="CC127" s="781"/>
      <c r="CD127" s="781"/>
      <c r="CE127" s="781"/>
      <c r="CF127" s="781"/>
      <c r="CG127" s="581"/>
      <c r="CH127" s="573"/>
      <c r="CI127" s="573"/>
      <c r="CJ127" s="573"/>
    </row>
    <row r="128" spans="2:88" ht="171.95" customHeight="1" x14ac:dyDescent="0.25">
      <c r="B128" s="1227"/>
      <c r="C128" s="639" t="s">
        <v>557</v>
      </c>
      <c r="D128" s="41" t="s">
        <v>45</v>
      </c>
      <c r="E128" s="41" t="s">
        <v>26</v>
      </c>
      <c r="F128" s="640" t="s">
        <v>558</v>
      </c>
      <c r="G128" s="41" t="s">
        <v>373</v>
      </c>
      <c r="H128" s="41" t="s">
        <v>28</v>
      </c>
      <c r="I128" s="41" t="s">
        <v>559</v>
      </c>
      <c r="J128" s="41" t="s">
        <v>47</v>
      </c>
      <c r="K128" s="641" t="s">
        <v>560</v>
      </c>
      <c r="L128" s="52" t="s">
        <v>48</v>
      </c>
      <c r="M128" s="42" t="s">
        <v>561</v>
      </c>
      <c r="N128" s="43" t="s">
        <v>562</v>
      </c>
      <c r="O128" s="41">
        <v>0.3</v>
      </c>
      <c r="P128" s="44">
        <v>44200</v>
      </c>
      <c r="Q128" s="44">
        <v>44316</v>
      </c>
      <c r="R128" s="45">
        <v>0.75</v>
      </c>
      <c r="S128" s="45">
        <v>1</v>
      </c>
      <c r="T128" s="45">
        <v>1</v>
      </c>
      <c r="U128" s="45">
        <v>1</v>
      </c>
      <c r="V128" s="90">
        <v>0.75</v>
      </c>
      <c r="W128" s="62" t="s">
        <v>563</v>
      </c>
      <c r="X128" s="63" t="s">
        <v>3064</v>
      </c>
      <c r="Y128" s="19" t="str">
        <f t="shared" si="19"/>
        <v>En gestión</v>
      </c>
      <c r="Z128" s="19" t="str">
        <f t="shared" si="20"/>
        <v>En gestión</v>
      </c>
      <c r="AA128" s="532" t="s">
        <v>645</v>
      </c>
      <c r="AB128" s="596">
        <f>SUMPRODUCT(O128:O130,V128:V130)</f>
        <v>0.22499999999999998</v>
      </c>
      <c r="AC128" s="597">
        <f>SUMPRODUCT(O128:O130,R128:R130)</f>
        <v>0.22499999999999998</v>
      </c>
      <c r="AD128" s="611" t="str">
        <f>IF(AC128&lt;1%,"Sin iniciar",IF(AC128=100%,"Terminado","En gestión"))</f>
        <v>En gestión</v>
      </c>
      <c r="AE128" s="611" t="str">
        <f>IF(AB128&lt;1%,"Sin iniciar",IF(AB128=100%,"Terminado","En gestión"))</f>
        <v>En gestión</v>
      </c>
      <c r="AF128" s="66" t="s">
        <v>37</v>
      </c>
      <c r="AG128" s="579">
        <v>0</v>
      </c>
      <c r="AH128" s="530"/>
      <c r="AI128" s="530"/>
      <c r="AJ128" s="590">
        <f>AQ128</f>
        <v>525866098.66250002</v>
      </c>
      <c r="AK128" s="530"/>
      <c r="AL128" s="579">
        <v>90996445</v>
      </c>
      <c r="AM128" s="592" t="s">
        <v>2460</v>
      </c>
      <c r="AN128" s="598" t="s">
        <v>2461</v>
      </c>
      <c r="AO128" s="521" t="s">
        <v>2462</v>
      </c>
      <c r="AP128" s="532" t="s">
        <v>2463</v>
      </c>
      <c r="AQ128" s="567">
        <f>438940625+44180820+42744653.6625</f>
        <v>525866098.66250002</v>
      </c>
      <c r="AR128" s="1163">
        <v>1</v>
      </c>
      <c r="AS128" s="62" t="s">
        <v>652</v>
      </c>
      <c r="AT128" s="63" t="s">
        <v>3065</v>
      </c>
      <c r="AU128" s="66" t="str">
        <f t="shared" si="21"/>
        <v>Terminado</v>
      </c>
      <c r="AV128" s="66" t="str">
        <f t="shared" si="22"/>
        <v>Terminado</v>
      </c>
      <c r="AW128" s="532" t="s">
        <v>665</v>
      </c>
      <c r="AX128" s="599">
        <f>SUMPRODUCT(O128:O130,AR128:AR130)</f>
        <v>0.6</v>
      </c>
      <c r="AY128" s="600">
        <f>SUMPRODUCT(S128:S130,O128:O130)</f>
        <v>0.6</v>
      </c>
      <c r="AZ128" s="530" t="str">
        <f>IF(AY128&lt;1%,"Sin iniciar",IF(AY128=100%,"Terminado","En gestión"))</f>
        <v>En gestión</v>
      </c>
      <c r="BA128" s="530" t="str">
        <f>IF(AX128&lt;1%,"Sin iniciar",IF(AX128=100%,"Terminado","En gestión"))</f>
        <v>En gestión</v>
      </c>
      <c r="BB128" s="66"/>
      <c r="BC128" s="532" t="s">
        <v>666</v>
      </c>
      <c r="BD128" s="579">
        <v>0</v>
      </c>
      <c r="BE128" s="565">
        <v>0</v>
      </c>
      <c r="BF128" s="565">
        <v>0</v>
      </c>
      <c r="BG128" s="590">
        <v>525866098.66250002</v>
      </c>
      <c r="BH128" s="590">
        <v>525866099</v>
      </c>
      <c r="BI128" s="579">
        <v>244877825</v>
      </c>
      <c r="BJ128" s="592" t="s">
        <v>2571</v>
      </c>
      <c r="BK128" s="598" t="s">
        <v>3066</v>
      </c>
      <c r="BL128" s="521" t="s">
        <v>2572</v>
      </c>
      <c r="BM128" s="532" t="s">
        <v>2463</v>
      </c>
      <c r="BN128" s="567" t="s">
        <v>2655</v>
      </c>
      <c r="BO128" s="347">
        <v>1</v>
      </c>
      <c r="BP128" s="24" t="s">
        <v>541</v>
      </c>
      <c r="BQ128" s="24" t="s">
        <v>541</v>
      </c>
      <c r="BR128" s="19" t="str">
        <f t="shared" si="23"/>
        <v>Terminado</v>
      </c>
      <c r="BS128" s="19" t="str">
        <f t="shared" si="24"/>
        <v>Terminado</v>
      </c>
      <c r="BT128" s="560" t="s">
        <v>3067</v>
      </c>
      <c r="BU128" s="561">
        <f>SUMPRODUCT(O128:O130,BO128:BO130)</f>
        <v>0.8</v>
      </c>
      <c r="BV128" s="562">
        <f>SUMPRODUCT(O128:O130,T128:T130)</f>
        <v>0.8</v>
      </c>
      <c r="BW128" s="611" t="str">
        <f>IF(BV128&lt;1%,"Sin iniciar",IF(BV128=100%,"Terminado","En gestión"))</f>
        <v>En gestión</v>
      </c>
      <c r="BX128" s="611" t="str">
        <f>IF(BU128&lt;1%,"Sin iniciar",IF(BU128=100%,"Terminado","En gestión"))</f>
        <v>En gestión</v>
      </c>
      <c r="BY128" s="578" t="s">
        <v>37</v>
      </c>
      <c r="BZ128" s="560" t="s">
        <v>3068</v>
      </c>
      <c r="CA128" s="578"/>
      <c r="CB128" s="578"/>
      <c r="CC128" s="578"/>
      <c r="CD128" s="782">
        <v>525866099</v>
      </c>
      <c r="CE128" s="782">
        <v>525866099</v>
      </c>
      <c r="CF128" s="782">
        <v>394399575</v>
      </c>
      <c r="CG128" s="560" t="s">
        <v>2571</v>
      </c>
      <c r="CH128" s="578" t="s">
        <v>2572</v>
      </c>
      <c r="CI128" s="578" t="s">
        <v>2463</v>
      </c>
      <c r="CJ128" s="578" t="s">
        <v>2655</v>
      </c>
    </row>
    <row r="129" spans="2:88" ht="171.95" customHeight="1" x14ac:dyDescent="0.25">
      <c r="B129" s="1227"/>
      <c r="C129" s="639"/>
      <c r="D129" s="41" t="s">
        <v>45</v>
      </c>
      <c r="E129" s="41" t="s">
        <v>26</v>
      </c>
      <c r="F129" s="640"/>
      <c r="G129" s="41" t="s">
        <v>373</v>
      </c>
      <c r="H129" s="41" t="s">
        <v>28</v>
      </c>
      <c r="I129" s="41" t="s">
        <v>559</v>
      </c>
      <c r="J129" s="41" t="s">
        <v>47</v>
      </c>
      <c r="K129" s="641"/>
      <c r="L129" s="52" t="s">
        <v>48</v>
      </c>
      <c r="M129" s="42" t="s">
        <v>564</v>
      </c>
      <c r="N129" s="43" t="s">
        <v>565</v>
      </c>
      <c r="O129" s="41">
        <v>0.3</v>
      </c>
      <c r="P129" s="44">
        <v>44317</v>
      </c>
      <c r="Q129" s="44">
        <v>44439</v>
      </c>
      <c r="R129" s="45">
        <v>0</v>
      </c>
      <c r="S129" s="45">
        <v>1</v>
      </c>
      <c r="T129" s="45">
        <v>1</v>
      </c>
      <c r="U129" s="45">
        <v>1</v>
      </c>
      <c r="V129" s="90">
        <v>0</v>
      </c>
      <c r="W129" s="66" t="s">
        <v>37</v>
      </c>
      <c r="X129" s="91" t="s">
        <v>37</v>
      </c>
      <c r="Y129" s="19" t="str">
        <f t="shared" si="19"/>
        <v>Sin iniciar</v>
      </c>
      <c r="Z129" s="19" t="str">
        <f t="shared" si="20"/>
        <v>Sin iniciar</v>
      </c>
      <c r="AA129" s="532"/>
      <c r="AB129" s="596"/>
      <c r="AC129" s="597"/>
      <c r="AD129" s="611"/>
      <c r="AE129" s="611"/>
      <c r="AF129" s="66" t="s">
        <v>37</v>
      </c>
      <c r="AG129" s="579"/>
      <c r="AH129" s="530"/>
      <c r="AI129" s="530"/>
      <c r="AJ129" s="530"/>
      <c r="AK129" s="530"/>
      <c r="AL129" s="579"/>
      <c r="AM129" s="592"/>
      <c r="AN129" s="598"/>
      <c r="AO129" s="521"/>
      <c r="AP129" s="532"/>
      <c r="AQ129" s="567"/>
      <c r="AR129" s="1163">
        <v>1</v>
      </c>
      <c r="AS129" s="62" t="s">
        <v>653</v>
      </c>
      <c r="AT129" s="63" t="s">
        <v>3069</v>
      </c>
      <c r="AU129" s="66" t="str">
        <f t="shared" si="21"/>
        <v>Terminado</v>
      </c>
      <c r="AV129" s="66" t="str">
        <f t="shared" si="22"/>
        <v>Terminado</v>
      </c>
      <c r="AW129" s="532"/>
      <c r="AX129" s="599"/>
      <c r="AY129" s="600"/>
      <c r="AZ129" s="530"/>
      <c r="BA129" s="530"/>
      <c r="BB129" s="66"/>
      <c r="BC129" s="532"/>
      <c r="BD129" s="579"/>
      <c r="BE129" s="565"/>
      <c r="BF129" s="565"/>
      <c r="BG129" s="530"/>
      <c r="BH129" s="530"/>
      <c r="BI129" s="579"/>
      <c r="BJ129" s="592"/>
      <c r="BK129" s="598"/>
      <c r="BL129" s="521"/>
      <c r="BM129" s="532"/>
      <c r="BN129" s="567"/>
      <c r="BO129" s="347">
        <v>1</v>
      </c>
      <c r="BP129" s="24" t="s">
        <v>541</v>
      </c>
      <c r="BQ129" s="24" t="s">
        <v>541</v>
      </c>
      <c r="BR129" s="19" t="str">
        <f>IF(T129&lt;1%,"Sin iniciar",IF(T129=100%,"Terminado","En gestión"))</f>
        <v>Terminado</v>
      </c>
      <c r="BS129" s="19" t="str">
        <f t="shared" si="24"/>
        <v>Terminado</v>
      </c>
      <c r="BT129" s="560"/>
      <c r="BU129" s="561"/>
      <c r="BV129" s="562"/>
      <c r="BW129" s="611"/>
      <c r="BX129" s="611"/>
      <c r="BY129" s="578"/>
      <c r="BZ129" s="560"/>
      <c r="CA129" s="578"/>
      <c r="CB129" s="578"/>
      <c r="CC129" s="578"/>
      <c r="CD129" s="782"/>
      <c r="CE129" s="782"/>
      <c r="CF129" s="782"/>
      <c r="CG129" s="560"/>
      <c r="CH129" s="578"/>
      <c r="CI129" s="578"/>
      <c r="CJ129" s="578"/>
    </row>
    <row r="130" spans="2:88" ht="171.95" customHeight="1" x14ac:dyDescent="0.25">
      <c r="B130" s="1227"/>
      <c r="C130" s="639"/>
      <c r="D130" s="41" t="s">
        <v>45</v>
      </c>
      <c r="E130" s="41" t="s">
        <v>26</v>
      </c>
      <c r="F130" s="640"/>
      <c r="G130" s="41" t="s">
        <v>373</v>
      </c>
      <c r="H130" s="41" t="s">
        <v>28</v>
      </c>
      <c r="I130" s="41" t="s">
        <v>559</v>
      </c>
      <c r="J130" s="41" t="s">
        <v>47</v>
      </c>
      <c r="K130" s="641"/>
      <c r="L130" s="52" t="s">
        <v>48</v>
      </c>
      <c r="M130" s="42" t="s">
        <v>566</v>
      </c>
      <c r="N130" s="43" t="s">
        <v>567</v>
      </c>
      <c r="O130" s="41">
        <v>0.4</v>
      </c>
      <c r="P130" s="44">
        <v>44440</v>
      </c>
      <c r="Q130" s="44">
        <v>44530</v>
      </c>
      <c r="R130" s="45">
        <v>0</v>
      </c>
      <c r="S130" s="45">
        <v>0</v>
      </c>
      <c r="T130" s="45">
        <v>0.5</v>
      </c>
      <c r="U130" s="45">
        <v>1</v>
      </c>
      <c r="V130" s="90">
        <v>0</v>
      </c>
      <c r="W130" s="66" t="s">
        <v>37</v>
      </c>
      <c r="X130" s="91" t="s">
        <v>37</v>
      </c>
      <c r="Y130" s="19" t="str">
        <f t="shared" si="19"/>
        <v>Sin iniciar</v>
      </c>
      <c r="Z130" s="19" t="str">
        <f t="shared" si="20"/>
        <v>Sin iniciar</v>
      </c>
      <c r="AA130" s="532"/>
      <c r="AB130" s="596"/>
      <c r="AC130" s="597"/>
      <c r="AD130" s="611"/>
      <c r="AE130" s="611"/>
      <c r="AF130" s="66" t="s">
        <v>37</v>
      </c>
      <c r="AG130" s="579"/>
      <c r="AH130" s="530"/>
      <c r="AI130" s="530"/>
      <c r="AJ130" s="530"/>
      <c r="AK130" s="530"/>
      <c r="AL130" s="579"/>
      <c r="AM130" s="592"/>
      <c r="AN130" s="598"/>
      <c r="AO130" s="521"/>
      <c r="AP130" s="532"/>
      <c r="AQ130" s="567"/>
      <c r="AR130" s="1163">
        <v>0</v>
      </c>
      <c r="AS130" s="62" t="s">
        <v>2437</v>
      </c>
      <c r="AT130" s="91" t="s">
        <v>541</v>
      </c>
      <c r="AU130" s="66" t="str">
        <f t="shared" si="21"/>
        <v>Sin iniciar</v>
      </c>
      <c r="AV130" s="66" t="str">
        <f t="shared" si="22"/>
        <v>Sin iniciar</v>
      </c>
      <c r="AW130" s="532"/>
      <c r="AX130" s="599"/>
      <c r="AY130" s="600"/>
      <c r="AZ130" s="530"/>
      <c r="BA130" s="530"/>
      <c r="BB130" s="66"/>
      <c r="BC130" s="532"/>
      <c r="BD130" s="579"/>
      <c r="BE130" s="565"/>
      <c r="BF130" s="565"/>
      <c r="BG130" s="530"/>
      <c r="BH130" s="530"/>
      <c r="BI130" s="579"/>
      <c r="BJ130" s="592"/>
      <c r="BK130" s="598"/>
      <c r="BL130" s="521"/>
      <c r="BM130" s="532"/>
      <c r="BN130" s="567"/>
      <c r="BO130" s="347">
        <v>0.5</v>
      </c>
      <c r="BP130" s="24" t="s">
        <v>3070</v>
      </c>
      <c r="BQ130" s="24" t="s">
        <v>3071</v>
      </c>
      <c r="BR130" s="19" t="str">
        <f t="shared" si="23"/>
        <v>En gestión</v>
      </c>
      <c r="BS130" s="19" t="str">
        <f t="shared" si="24"/>
        <v>En gestión</v>
      </c>
      <c r="BT130" s="560"/>
      <c r="BU130" s="561"/>
      <c r="BV130" s="562"/>
      <c r="BW130" s="611"/>
      <c r="BX130" s="611"/>
      <c r="BY130" s="578"/>
      <c r="BZ130" s="560"/>
      <c r="CA130" s="578"/>
      <c r="CB130" s="578"/>
      <c r="CC130" s="578"/>
      <c r="CD130" s="782"/>
      <c r="CE130" s="782"/>
      <c r="CF130" s="782"/>
      <c r="CG130" s="560"/>
      <c r="CH130" s="578"/>
      <c r="CI130" s="578"/>
      <c r="CJ130" s="578"/>
    </row>
    <row r="131" spans="2:88" ht="171.95" customHeight="1" x14ac:dyDescent="0.25">
      <c r="B131" s="1227"/>
      <c r="C131" s="632" t="s">
        <v>568</v>
      </c>
      <c r="D131" s="33" t="s">
        <v>45</v>
      </c>
      <c r="E131" s="33" t="s">
        <v>26</v>
      </c>
      <c r="F131" s="633" t="s">
        <v>569</v>
      </c>
      <c r="G131" s="33" t="s">
        <v>373</v>
      </c>
      <c r="H131" s="33" t="s">
        <v>28</v>
      </c>
      <c r="I131" s="33" t="s">
        <v>546</v>
      </c>
      <c r="J131" s="33" t="s">
        <v>47</v>
      </c>
      <c r="K131" s="634" t="s">
        <v>570</v>
      </c>
      <c r="L131" s="51" t="s">
        <v>164</v>
      </c>
      <c r="M131" s="34" t="s">
        <v>571</v>
      </c>
      <c r="N131" s="35" t="s">
        <v>572</v>
      </c>
      <c r="O131" s="33">
        <v>0.1</v>
      </c>
      <c r="P131" s="36">
        <v>44200</v>
      </c>
      <c r="Q131" s="36">
        <v>44283</v>
      </c>
      <c r="R131" s="37">
        <v>1</v>
      </c>
      <c r="S131" s="37">
        <v>1</v>
      </c>
      <c r="T131" s="37">
        <v>1</v>
      </c>
      <c r="U131" s="37">
        <v>1</v>
      </c>
      <c r="V131" s="90">
        <v>1</v>
      </c>
      <c r="W131" s="13" t="s">
        <v>573</v>
      </c>
      <c r="X131" s="55" t="s">
        <v>3072</v>
      </c>
      <c r="Y131" s="5" t="str">
        <f t="shared" si="19"/>
        <v>Terminado</v>
      </c>
      <c r="Z131" s="5" t="str">
        <f t="shared" si="20"/>
        <v>Terminado</v>
      </c>
      <c r="AA131" s="531" t="s">
        <v>646</v>
      </c>
      <c r="AB131" s="596">
        <f>SUMPRODUCT(O131:O135,V131:V135)</f>
        <v>0.1</v>
      </c>
      <c r="AC131" s="597">
        <f>SUMPRODUCT(O131:O135,R131:R135)</f>
        <v>0.1</v>
      </c>
      <c r="AD131" s="610" t="str">
        <f>IF(AC131&lt;1%,"Sin iniciar",IF(AC131=100%,"Terminado","En gestión"))</f>
        <v>En gestión</v>
      </c>
      <c r="AE131" s="610" t="str">
        <f>IF(AB131&lt;1%,"Sin iniciar",IF(AB131=100%,"Terminado","En gestión"))</f>
        <v>En gestión</v>
      </c>
      <c r="AF131" s="56" t="s">
        <v>37</v>
      </c>
      <c r="AG131" s="583">
        <v>0</v>
      </c>
      <c r="AH131" s="536"/>
      <c r="AI131" s="536"/>
      <c r="AJ131" s="660">
        <v>312325326</v>
      </c>
      <c r="AK131" s="536"/>
      <c r="AL131" s="583">
        <v>54098350</v>
      </c>
      <c r="AM131" s="593" t="s">
        <v>2460</v>
      </c>
      <c r="AN131" s="603" t="s">
        <v>2461</v>
      </c>
      <c r="AO131" s="520" t="s">
        <v>2462</v>
      </c>
      <c r="AP131" s="531" t="s">
        <v>2463</v>
      </c>
      <c r="AQ131" s="568">
        <f>167891913+27938403.6625+64706515.5137339+58987070+29600000+45400000-30244203+27219810</f>
        <v>391499509.17623389</v>
      </c>
      <c r="AR131" s="1163">
        <v>1</v>
      </c>
      <c r="AS131" s="13" t="s">
        <v>2434</v>
      </c>
      <c r="AT131" s="94"/>
      <c r="AU131" s="56" t="str">
        <f t="shared" si="21"/>
        <v>Terminado</v>
      </c>
      <c r="AV131" s="56" t="str">
        <f t="shared" si="22"/>
        <v>Terminado</v>
      </c>
      <c r="AW131" s="531" t="s">
        <v>667</v>
      </c>
      <c r="AX131" s="599">
        <f>SUMPRODUCT(O131:O135,AR131:AR135)</f>
        <v>0.30000000000000004</v>
      </c>
      <c r="AY131" s="600">
        <f>SUMPRODUCT(S131:S135,O131:O135)</f>
        <v>0.30000000000000004</v>
      </c>
      <c r="AZ131" s="536" t="str">
        <f>IF(AY131&lt;1%,"Sin iniciar",IF(AY131=100%,"Terminado","En gestión"))</f>
        <v>En gestión</v>
      </c>
      <c r="BA131" s="536" t="str">
        <f>IF(AX131&lt;1%,"Sin iniciar",IF(AX131=100%,"Terminado","En gestión"))</f>
        <v>En gestión</v>
      </c>
      <c r="BB131" s="56"/>
      <c r="BC131" s="56"/>
      <c r="BD131" s="583">
        <v>0</v>
      </c>
      <c r="BE131" s="574">
        <v>0</v>
      </c>
      <c r="BF131" s="574">
        <v>0</v>
      </c>
      <c r="BG131" s="660">
        <v>312325326</v>
      </c>
      <c r="BH131" s="660">
        <v>312325326</v>
      </c>
      <c r="BI131" s="583">
        <v>80787535</v>
      </c>
      <c r="BJ131" s="593" t="s">
        <v>2573</v>
      </c>
      <c r="BK131" s="603" t="s">
        <v>3066</v>
      </c>
      <c r="BL131" s="520" t="s">
        <v>2572</v>
      </c>
      <c r="BM131" s="531" t="s">
        <v>2463</v>
      </c>
      <c r="BN131" s="568" t="s">
        <v>2655</v>
      </c>
      <c r="BO131" s="347">
        <v>1</v>
      </c>
      <c r="BP131" s="11" t="s">
        <v>541</v>
      </c>
      <c r="BQ131" s="11" t="s">
        <v>541</v>
      </c>
      <c r="BR131" s="5" t="str">
        <f t="shared" si="23"/>
        <v>Terminado</v>
      </c>
      <c r="BS131" s="5" t="str">
        <f t="shared" si="24"/>
        <v>Terminado</v>
      </c>
      <c r="BT131" s="581" t="s">
        <v>3073</v>
      </c>
      <c r="BU131" s="561">
        <f>SUMPRODUCT(O131:O135,BO131:BO135)</f>
        <v>0.70000000000000007</v>
      </c>
      <c r="BV131" s="562">
        <f>SUMPRODUCT(O131:O135,T131:T135)</f>
        <v>0.70000000000000007</v>
      </c>
      <c r="BW131" s="610" t="str">
        <f>IF(BV131&lt;1%,"Sin iniciar",IF(BV131=100%,"Terminado","En gestión"))</f>
        <v>En gestión</v>
      </c>
      <c r="BX131" s="610" t="str">
        <f>IF(BU131&lt;1%,"Sin iniciar",IF(BU131=100%,"Terminado","En gestión"))</f>
        <v>En gestión</v>
      </c>
      <c r="BY131" s="573" t="s">
        <v>37</v>
      </c>
      <c r="BZ131" s="581" t="s">
        <v>3068</v>
      </c>
      <c r="CA131" s="573"/>
      <c r="CB131" s="573"/>
      <c r="CC131" s="573"/>
      <c r="CD131" s="784">
        <v>312325326</v>
      </c>
      <c r="CE131" s="784">
        <v>312325326</v>
      </c>
      <c r="CF131" s="784">
        <v>234243995</v>
      </c>
      <c r="CG131" s="581" t="s">
        <v>2573</v>
      </c>
      <c r="CH131" s="573" t="s">
        <v>2572</v>
      </c>
      <c r="CI131" s="573" t="s">
        <v>2463</v>
      </c>
      <c r="CJ131" s="573" t="s">
        <v>2655</v>
      </c>
    </row>
    <row r="132" spans="2:88" ht="171.95" customHeight="1" x14ac:dyDescent="0.25">
      <c r="B132" s="1227"/>
      <c r="C132" s="632"/>
      <c r="D132" s="33" t="s">
        <v>45</v>
      </c>
      <c r="E132" s="33" t="s">
        <v>26</v>
      </c>
      <c r="F132" s="633"/>
      <c r="G132" s="33" t="s">
        <v>373</v>
      </c>
      <c r="H132" s="33" t="s">
        <v>28</v>
      </c>
      <c r="I132" s="33" t="s">
        <v>546</v>
      </c>
      <c r="J132" s="33" t="s">
        <v>47</v>
      </c>
      <c r="K132" s="634"/>
      <c r="L132" s="51" t="s">
        <v>164</v>
      </c>
      <c r="M132" s="34" t="s">
        <v>574</v>
      </c>
      <c r="N132" s="35" t="s">
        <v>575</v>
      </c>
      <c r="O132" s="33">
        <v>0.2</v>
      </c>
      <c r="P132" s="36">
        <v>44316</v>
      </c>
      <c r="Q132" s="36">
        <v>44377</v>
      </c>
      <c r="R132" s="37">
        <v>0</v>
      </c>
      <c r="S132" s="37">
        <v>1</v>
      </c>
      <c r="T132" s="37">
        <v>1</v>
      </c>
      <c r="U132" s="37">
        <v>1</v>
      </c>
      <c r="V132" s="90">
        <v>0</v>
      </c>
      <c r="W132" s="56" t="s">
        <v>37</v>
      </c>
      <c r="X132" s="94" t="s">
        <v>37</v>
      </c>
      <c r="Y132" s="5" t="str">
        <f t="shared" si="19"/>
        <v>Sin iniciar</v>
      </c>
      <c r="Z132" s="5" t="str">
        <f t="shared" si="20"/>
        <v>Sin iniciar</v>
      </c>
      <c r="AA132" s="531"/>
      <c r="AB132" s="596"/>
      <c r="AC132" s="597"/>
      <c r="AD132" s="610"/>
      <c r="AE132" s="610"/>
      <c r="AF132" s="56" t="s">
        <v>37</v>
      </c>
      <c r="AG132" s="583"/>
      <c r="AH132" s="536"/>
      <c r="AI132" s="536"/>
      <c r="AJ132" s="536"/>
      <c r="AK132" s="536"/>
      <c r="AL132" s="583"/>
      <c r="AM132" s="593"/>
      <c r="AN132" s="603"/>
      <c r="AO132" s="520"/>
      <c r="AP132" s="531"/>
      <c r="AQ132" s="568"/>
      <c r="AR132" s="1163">
        <v>1</v>
      </c>
      <c r="AS132" s="13" t="s">
        <v>654</v>
      </c>
      <c r="AT132" s="13" t="s">
        <v>3074</v>
      </c>
      <c r="AU132" s="56" t="str">
        <f t="shared" si="21"/>
        <v>Terminado</v>
      </c>
      <c r="AV132" s="56" t="str">
        <f t="shared" si="22"/>
        <v>Terminado</v>
      </c>
      <c r="AW132" s="531"/>
      <c r="AX132" s="599"/>
      <c r="AY132" s="600"/>
      <c r="AZ132" s="536"/>
      <c r="BA132" s="536"/>
      <c r="BB132" s="56"/>
      <c r="BC132" s="56"/>
      <c r="BD132" s="583"/>
      <c r="BE132" s="574"/>
      <c r="BF132" s="574"/>
      <c r="BG132" s="660"/>
      <c r="BH132" s="660"/>
      <c r="BI132" s="583"/>
      <c r="BJ132" s="593"/>
      <c r="BK132" s="603"/>
      <c r="BL132" s="520"/>
      <c r="BM132" s="531"/>
      <c r="BN132" s="568"/>
      <c r="BO132" s="347">
        <v>1</v>
      </c>
      <c r="BP132" s="11" t="s">
        <v>541</v>
      </c>
      <c r="BQ132" s="11" t="s">
        <v>541</v>
      </c>
      <c r="BR132" s="5" t="str">
        <f t="shared" si="23"/>
        <v>Terminado</v>
      </c>
      <c r="BS132" s="5" t="str">
        <f t="shared" si="24"/>
        <v>Terminado</v>
      </c>
      <c r="BT132" s="581"/>
      <c r="BU132" s="561"/>
      <c r="BV132" s="562"/>
      <c r="BW132" s="610"/>
      <c r="BX132" s="610"/>
      <c r="BY132" s="573"/>
      <c r="BZ132" s="581"/>
      <c r="CA132" s="573"/>
      <c r="CB132" s="573"/>
      <c r="CC132" s="573"/>
      <c r="CD132" s="784"/>
      <c r="CE132" s="784"/>
      <c r="CF132" s="784"/>
      <c r="CG132" s="581"/>
      <c r="CH132" s="573"/>
      <c r="CI132" s="573"/>
      <c r="CJ132" s="573"/>
    </row>
    <row r="133" spans="2:88" ht="171.95" customHeight="1" x14ac:dyDescent="0.25">
      <c r="B133" s="1227"/>
      <c r="C133" s="632"/>
      <c r="D133" s="33" t="s">
        <v>45</v>
      </c>
      <c r="E133" s="33" t="s">
        <v>26</v>
      </c>
      <c r="F133" s="633"/>
      <c r="G133" s="33" t="s">
        <v>373</v>
      </c>
      <c r="H133" s="33" t="s">
        <v>28</v>
      </c>
      <c r="I133" s="33" t="s">
        <v>546</v>
      </c>
      <c r="J133" s="33" t="s">
        <v>47</v>
      </c>
      <c r="K133" s="634"/>
      <c r="L133" s="51" t="s">
        <v>164</v>
      </c>
      <c r="M133" s="34" t="s">
        <v>576</v>
      </c>
      <c r="N133" s="35" t="s">
        <v>577</v>
      </c>
      <c r="O133" s="33">
        <v>0.1</v>
      </c>
      <c r="P133" s="36">
        <v>44378</v>
      </c>
      <c r="Q133" s="36">
        <v>44439</v>
      </c>
      <c r="R133" s="37">
        <v>0</v>
      </c>
      <c r="S133" s="37">
        <v>0</v>
      </c>
      <c r="T133" s="37">
        <v>1</v>
      </c>
      <c r="U133" s="37">
        <v>1</v>
      </c>
      <c r="V133" s="90">
        <v>0</v>
      </c>
      <c r="W133" s="56" t="s">
        <v>37</v>
      </c>
      <c r="X133" s="94" t="s">
        <v>37</v>
      </c>
      <c r="Y133" s="5" t="str">
        <f t="shared" si="19"/>
        <v>Sin iniciar</v>
      </c>
      <c r="Z133" s="5" t="str">
        <f t="shared" si="20"/>
        <v>Sin iniciar</v>
      </c>
      <c r="AA133" s="531"/>
      <c r="AB133" s="596"/>
      <c r="AC133" s="597"/>
      <c r="AD133" s="610"/>
      <c r="AE133" s="610"/>
      <c r="AF133" s="56" t="s">
        <v>37</v>
      </c>
      <c r="AG133" s="583"/>
      <c r="AH133" s="536"/>
      <c r="AI133" s="536"/>
      <c r="AJ133" s="536"/>
      <c r="AK133" s="536"/>
      <c r="AL133" s="583"/>
      <c r="AM133" s="593"/>
      <c r="AN133" s="603"/>
      <c r="AO133" s="520"/>
      <c r="AP133" s="531"/>
      <c r="AQ133" s="568"/>
      <c r="AR133" s="1163">
        <v>0</v>
      </c>
      <c r="AS133" s="13" t="s">
        <v>2437</v>
      </c>
      <c r="AT133" s="13" t="s">
        <v>541</v>
      </c>
      <c r="AU133" s="56" t="str">
        <f t="shared" si="21"/>
        <v>Sin iniciar</v>
      </c>
      <c r="AV133" s="56" t="str">
        <f t="shared" si="22"/>
        <v>Sin iniciar</v>
      </c>
      <c r="AW133" s="531"/>
      <c r="AX133" s="599"/>
      <c r="AY133" s="600"/>
      <c r="AZ133" s="536"/>
      <c r="BA133" s="536"/>
      <c r="BB133" s="56"/>
      <c r="BC133" s="56"/>
      <c r="BD133" s="583"/>
      <c r="BE133" s="574"/>
      <c r="BF133" s="574"/>
      <c r="BG133" s="660"/>
      <c r="BH133" s="660"/>
      <c r="BI133" s="583"/>
      <c r="BJ133" s="593"/>
      <c r="BK133" s="603"/>
      <c r="BL133" s="520"/>
      <c r="BM133" s="531"/>
      <c r="BN133" s="568"/>
      <c r="BO133" s="347">
        <v>1</v>
      </c>
      <c r="BP133" s="11" t="s">
        <v>541</v>
      </c>
      <c r="BQ133" s="11" t="s">
        <v>541</v>
      </c>
      <c r="BR133" s="5" t="str">
        <f t="shared" si="23"/>
        <v>Terminado</v>
      </c>
      <c r="BS133" s="5" t="str">
        <f t="shared" si="24"/>
        <v>Terminado</v>
      </c>
      <c r="BT133" s="581"/>
      <c r="BU133" s="561"/>
      <c r="BV133" s="562"/>
      <c r="BW133" s="610"/>
      <c r="BX133" s="610"/>
      <c r="BY133" s="573"/>
      <c r="BZ133" s="581"/>
      <c r="CA133" s="573"/>
      <c r="CB133" s="573"/>
      <c r="CC133" s="573"/>
      <c r="CD133" s="784"/>
      <c r="CE133" s="784"/>
      <c r="CF133" s="784"/>
      <c r="CG133" s="581"/>
      <c r="CH133" s="573"/>
      <c r="CI133" s="573"/>
      <c r="CJ133" s="573"/>
    </row>
    <row r="134" spans="2:88" ht="171.95" customHeight="1" x14ac:dyDescent="0.25">
      <c r="B134" s="1227"/>
      <c r="C134" s="632"/>
      <c r="D134" s="33" t="s">
        <v>45</v>
      </c>
      <c r="E134" s="33" t="s">
        <v>26</v>
      </c>
      <c r="F134" s="633"/>
      <c r="G134" s="33" t="s">
        <v>373</v>
      </c>
      <c r="H134" s="33" t="s">
        <v>28</v>
      </c>
      <c r="I134" s="33" t="s">
        <v>546</v>
      </c>
      <c r="J134" s="33" t="s">
        <v>47</v>
      </c>
      <c r="K134" s="634"/>
      <c r="L134" s="51" t="s">
        <v>164</v>
      </c>
      <c r="M134" s="34" t="s">
        <v>578</v>
      </c>
      <c r="N134" s="35" t="s">
        <v>579</v>
      </c>
      <c r="O134" s="33">
        <v>0.3</v>
      </c>
      <c r="P134" s="36">
        <v>44440</v>
      </c>
      <c r="Q134" s="36">
        <v>44561</v>
      </c>
      <c r="R134" s="37">
        <v>0</v>
      </c>
      <c r="S134" s="37">
        <v>0</v>
      </c>
      <c r="T134" s="37">
        <v>0.5</v>
      </c>
      <c r="U134" s="37">
        <v>1</v>
      </c>
      <c r="V134" s="90">
        <v>0</v>
      </c>
      <c r="W134" s="56" t="s">
        <v>37</v>
      </c>
      <c r="X134" s="94" t="s">
        <v>37</v>
      </c>
      <c r="Y134" s="5" t="str">
        <f t="shared" si="19"/>
        <v>Sin iniciar</v>
      </c>
      <c r="Z134" s="5" t="str">
        <f t="shared" si="20"/>
        <v>Sin iniciar</v>
      </c>
      <c r="AA134" s="531"/>
      <c r="AB134" s="596"/>
      <c r="AC134" s="597"/>
      <c r="AD134" s="610"/>
      <c r="AE134" s="610"/>
      <c r="AF134" s="56" t="s">
        <v>37</v>
      </c>
      <c r="AG134" s="583"/>
      <c r="AH134" s="536"/>
      <c r="AI134" s="536"/>
      <c r="AJ134" s="536"/>
      <c r="AK134" s="536"/>
      <c r="AL134" s="583"/>
      <c r="AM134" s="593"/>
      <c r="AN134" s="603"/>
      <c r="AO134" s="520"/>
      <c r="AP134" s="531"/>
      <c r="AQ134" s="568"/>
      <c r="AR134" s="1163">
        <v>0</v>
      </c>
      <c r="AS134" s="13" t="s">
        <v>2437</v>
      </c>
      <c r="AT134" s="13" t="s">
        <v>541</v>
      </c>
      <c r="AU134" s="56" t="str">
        <f t="shared" si="21"/>
        <v>Sin iniciar</v>
      </c>
      <c r="AV134" s="56" t="str">
        <f t="shared" si="22"/>
        <v>Sin iniciar</v>
      </c>
      <c r="AW134" s="531"/>
      <c r="AX134" s="599"/>
      <c r="AY134" s="600"/>
      <c r="AZ134" s="536"/>
      <c r="BA134" s="536"/>
      <c r="BB134" s="56"/>
      <c r="BC134" s="56"/>
      <c r="BD134" s="583"/>
      <c r="BE134" s="574"/>
      <c r="BF134" s="574"/>
      <c r="BG134" s="660"/>
      <c r="BH134" s="660"/>
      <c r="BI134" s="583"/>
      <c r="BJ134" s="593"/>
      <c r="BK134" s="603"/>
      <c r="BL134" s="520"/>
      <c r="BM134" s="531"/>
      <c r="BN134" s="568"/>
      <c r="BO134" s="347">
        <v>0.5</v>
      </c>
      <c r="BP134" s="11" t="s">
        <v>3075</v>
      </c>
      <c r="BQ134" s="11" t="s">
        <v>3076</v>
      </c>
      <c r="BR134" s="5" t="str">
        <f t="shared" si="23"/>
        <v>En gestión</v>
      </c>
      <c r="BS134" s="5" t="str">
        <f t="shared" si="24"/>
        <v>En gestión</v>
      </c>
      <c r="BT134" s="581"/>
      <c r="BU134" s="561"/>
      <c r="BV134" s="562"/>
      <c r="BW134" s="610"/>
      <c r="BX134" s="610"/>
      <c r="BY134" s="573"/>
      <c r="BZ134" s="581"/>
      <c r="CA134" s="573"/>
      <c r="CB134" s="573"/>
      <c r="CC134" s="573"/>
      <c r="CD134" s="784"/>
      <c r="CE134" s="784"/>
      <c r="CF134" s="784"/>
      <c r="CG134" s="581"/>
      <c r="CH134" s="573"/>
      <c r="CI134" s="573"/>
      <c r="CJ134" s="573"/>
    </row>
    <row r="135" spans="2:88" ht="171.95" customHeight="1" x14ac:dyDescent="0.25">
      <c r="B135" s="1227"/>
      <c r="C135" s="632"/>
      <c r="D135" s="33" t="s">
        <v>45</v>
      </c>
      <c r="E135" s="33" t="s">
        <v>26</v>
      </c>
      <c r="F135" s="633"/>
      <c r="G135" s="33" t="s">
        <v>373</v>
      </c>
      <c r="H135" s="33" t="s">
        <v>28</v>
      </c>
      <c r="I135" s="33" t="s">
        <v>546</v>
      </c>
      <c r="J135" s="33" t="s">
        <v>47</v>
      </c>
      <c r="K135" s="634"/>
      <c r="L135" s="51" t="s">
        <v>164</v>
      </c>
      <c r="M135" s="34" t="s">
        <v>580</v>
      </c>
      <c r="N135" s="35" t="s">
        <v>581</v>
      </c>
      <c r="O135" s="33">
        <v>0.3</v>
      </c>
      <c r="P135" s="36">
        <v>44440</v>
      </c>
      <c r="Q135" s="36">
        <v>44561</v>
      </c>
      <c r="R135" s="37">
        <v>0</v>
      </c>
      <c r="S135" s="37">
        <v>0</v>
      </c>
      <c r="T135" s="37">
        <v>0.5</v>
      </c>
      <c r="U135" s="37">
        <v>1</v>
      </c>
      <c r="V135" s="90">
        <v>0</v>
      </c>
      <c r="W135" s="56" t="s">
        <v>37</v>
      </c>
      <c r="X135" s="94" t="s">
        <v>37</v>
      </c>
      <c r="Y135" s="5" t="str">
        <f t="shared" si="19"/>
        <v>Sin iniciar</v>
      </c>
      <c r="Z135" s="5" t="str">
        <f t="shared" si="20"/>
        <v>Sin iniciar</v>
      </c>
      <c r="AA135" s="531"/>
      <c r="AB135" s="596"/>
      <c r="AC135" s="597"/>
      <c r="AD135" s="610"/>
      <c r="AE135" s="610"/>
      <c r="AF135" s="56" t="s">
        <v>37</v>
      </c>
      <c r="AG135" s="583"/>
      <c r="AH135" s="536"/>
      <c r="AI135" s="536"/>
      <c r="AJ135" s="536"/>
      <c r="AK135" s="536"/>
      <c r="AL135" s="583"/>
      <c r="AM135" s="593"/>
      <c r="AN135" s="603"/>
      <c r="AO135" s="520"/>
      <c r="AP135" s="531"/>
      <c r="AQ135" s="568"/>
      <c r="AR135" s="1163">
        <v>0</v>
      </c>
      <c r="AS135" s="13" t="s">
        <v>2437</v>
      </c>
      <c r="AT135" s="13" t="s">
        <v>541</v>
      </c>
      <c r="AU135" s="56" t="str">
        <f t="shared" si="21"/>
        <v>Sin iniciar</v>
      </c>
      <c r="AV135" s="56" t="str">
        <f t="shared" si="22"/>
        <v>Sin iniciar</v>
      </c>
      <c r="AW135" s="531"/>
      <c r="AX135" s="599"/>
      <c r="AY135" s="600"/>
      <c r="AZ135" s="536"/>
      <c r="BA135" s="536"/>
      <c r="BB135" s="56"/>
      <c r="BC135" s="56"/>
      <c r="BD135" s="583"/>
      <c r="BE135" s="574"/>
      <c r="BF135" s="574"/>
      <c r="BG135" s="660"/>
      <c r="BH135" s="660"/>
      <c r="BI135" s="583"/>
      <c r="BJ135" s="593"/>
      <c r="BK135" s="603"/>
      <c r="BL135" s="520"/>
      <c r="BM135" s="531"/>
      <c r="BN135" s="568"/>
      <c r="BO135" s="347">
        <v>0.5</v>
      </c>
      <c r="BP135" s="11" t="s">
        <v>3077</v>
      </c>
      <c r="BQ135" s="11" t="s">
        <v>3078</v>
      </c>
      <c r="BR135" s="5" t="str">
        <f t="shared" si="23"/>
        <v>En gestión</v>
      </c>
      <c r="BS135" s="5" t="str">
        <f t="shared" si="24"/>
        <v>En gestión</v>
      </c>
      <c r="BT135" s="581"/>
      <c r="BU135" s="561"/>
      <c r="BV135" s="562"/>
      <c r="BW135" s="610"/>
      <c r="BX135" s="610"/>
      <c r="BY135" s="573"/>
      <c r="BZ135" s="581"/>
      <c r="CA135" s="573"/>
      <c r="CB135" s="573"/>
      <c r="CC135" s="573"/>
      <c r="CD135" s="784"/>
      <c r="CE135" s="784"/>
      <c r="CF135" s="784"/>
      <c r="CG135" s="581"/>
      <c r="CH135" s="573"/>
      <c r="CI135" s="573"/>
      <c r="CJ135" s="573"/>
    </row>
    <row r="136" spans="2:88" ht="171.95" customHeight="1" x14ac:dyDescent="0.25">
      <c r="B136" s="1227"/>
      <c r="C136" s="639" t="s">
        <v>582</v>
      </c>
      <c r="D136" s="41" t="s">
        <v>45</v>
      </c>
      <c r="E136" s="41" t="s">
        <v>160</v>
      </c>
      <c r="F136" s="640" t="s">
        <v>583</v>
      </c>
      <c r="G136" s="41" t="s">
        <v>584</v>
      </c>
      <c r="H136" s="41" t="s">
        <v>585</v>
      </c>
      <c r="I136" s="41" t="s">
        <v>546</v>
      </c>
      <c r="J136" s="41" t="s">
        <v>47</v>
      </c>
      <c r="K136" s="641" t="s">
        <v>586</v>
      </c>
      <c r="L136" s="52" t="s">
        <v>164</v>
      </c>
      <c r="M136" s="42" t="s">
        <v>587</v>
      </c>
      <c r="N136" s="43" t="s">
        <v>588</v>
      </c>
      <c r="O136" s="147">
        <v>0.04</v>
      </c>
      <c r="P136" s="44">
        <v>44200</v>
      </c>
      <c r="Q136" s="44">
        <v>44226</v>
      </c>
      <c r="R136" s="170">
        <v>1</v>
      </c>
      <c r="S136" s="170">
        <v>1</v>
      </c>
      <c r="T136" s="170">
        <v>1</v>
      </c>
      <c r="U136" s="170">
        <v>1</v>
      </c>
      <c r="V136" s="90">
        <v>1</v>
      </c>
      <c r="W136" s="62" t="s">
        <v>589</v>
      </c>
      <c r="X136" s="91" t="s">
        <v>3079</v>
      </c>
      <c r="Y136" s="19" t="str">
        <f t="shared" si="19"/>
        <v>Terminado</v>
      </c>
      <c r="Z136" s="19" t="str">
        <f t="shared" si="20"/>
        <v>Terminado</v>
      </c>
      <c r="AA136" s="532" t="s">
        <v>647</v>
      </c>
      <c r="AB136" s="596">
        <f>SUMPRODUCT(O136:O138,V136:V138)</f>
        <v>0.21279999999999999</v>
      </c>
      <c r="AC136" s="597">
        <f>SUMPRODUCT(O136:O138,R136:R138)</f>
        <v>0.21279999999999999</v>
      </c>
      <c r="AD136" s="611" t="str">
        <f>IF(AC136&lt;1%,"Sin iniciar",IF(AC136=100%,"Terminado","En gestión"))</f>
        <v>En gestión</v>
      </c>
      <c r="AE136" s="611" t="str">
        <f>IF(AB136&lt;1%,"Sin iniciar",IF(AB136=100%,"Terminado","En gestión"))</f>
        <v>En gestión</v>
      </c>
      <c r="AF136" s="66" t="s">
        <v>37</v>
      </c>
      <c r="AG136" s="579"/>
      <c r="AH136" s="783">
        <v>25884431</v>
      </c>
      <c r="AI136" s="783">
        <v>6471107</v>
      </c>
      <c r="AJ136" s="579">
        <v>67656486</v>
      </c>
      <c r="AK136" s="785">
        <v>75220900</v>
      </c>
      <c r="AL136" s="786">
        <v>19400508</v>
      </c>
      <c r="AM136" s="592" t="s">
        <v>2460</v>
      </c>
      <c r="AN136" s="598" t="s">
        <v>2461</v>
      </c>
      <c r="AO136" s="521" t="s">
        <v>2462</v>
      </c>
      <c r="AP136" s="532" t="s">
        <v>2463</v>
      </c>
      <c r="AQ136" s="567">
        <f>26840770+40815716.38948</f>
        <v>67656486.389479995</v>
      </c>
      <c r="AR136" s="1163">
        <v>1</v>
      </c>
      <c r="AS136" s="62" t="s">
        <v>2434</v>
      </c>
      <c r="AT136" s="62"/>
      <c r="AU136" s="66" t="str">
        <f t="shared" si="21"/>
        <v>Terminado</v>
      </c>
      <c r="AV136" s="66" t="str">
        <f t="shared" si="22"/>
        <v>Terminado</v>
      </c>
      <c r="AW136" s="532" t="s">
        <v>668</v>
      </c>
      <c r="AX136" s="599">
        <f>SUMPRODUCT(O136:O138,AR136:AR138)</f>
        <v>0.47199999999999998</v>
      </c>
      <c r="AY136" s="600">
        <f>SUMPRODUCT(S136:S138,O136:O138)</f>
        <v>0.47199999999999998</v>
      </c>
      <c r="AZ136" s="530" t="str">
        <f>IF(AY136&lt;1%,"Sin iniciar",IF(AY136=100%,"Terminado","En gestión"))</f>
        <v>En gestión</v>
      </c>
      <c r="BA136" s="530" t="str">
        <f>IF(AX136&lt;1%,"Sin iniciar",IF(AX136=100%,"Terminado","En gestión"))</f>
        <v>En gestión</v>
      </c>
      <c r="BB136" s="66"/>
      <c r="BC136" s="66"/>
      <c r="BD136" s="579">
        <v>0</v>
      </c>
      <c r="BE136" s="783">
        <v>25884431</v>
      </c>
      <c r="BF136" s="783" t="s">
        <v>2574</v>
      </c>
      <c r="BG136" s="579">
        <v>67656486</v>
      </c>
      <c r="BH136" s="785">
        <v>75220900</v>
      </c>
      <c r="BI136" s="786">
        <v>42303026</v>
      </c>
      <c r="BJ136" s="592" t="s">
        <v>2460</v>
      </c>
      <c r="BK136" s="598" t="s">
        <v>2461</v>
      </c>
      <c r="BL136" s="521" t="s">
        <v>2462</v>
      </c>
      <c r="BM136" s="532" t="s">
        <v>2463</v>
      </c>
      <c r="BN136" s="567" t="s">
        <v>2533</v>
      </c>
      <c r="BO136" s="347">
        <v>1</v>
      </c>
      <c r="BP136" s="24" t="s">
        <v>541</v>
      </c>
      <c r="BQ136" s="24" t="s">
        <v>541</v>
      </c>
      <c r="BR136" s="19" t="str">
        <f t="shared" si="23"/>
        <v>Terminado</v>
      </c>
      <c r="BS136" s="19" t="str">
        <f t="shared" si="24"/>
        <v>Terminado</v>
      </c>
      <c r="BT136" s="560" t="s">
        <v>3080</v>
      </c>
      <c r="BU136" s="561">
        <f>SUMPRODUCT(O136:O138,BO136:BO138)</f>
        <v>0.73119999999999996</v>
      </c>
      <c r="BV136" s="562">
        <f>SUMPRODUCT(O136:O138,T136:T138)</f>
        <v>0.73119999999999996</v>
      </c>
      <c r="BW136" s="611" t="str">
        <f>IF(BV136&lt;1%,"Sin iniciar",IF(BV136=100%,"Terminado","En gestión"))</f>
        <v>En gestión</v>
      </c>
      <c r="BX136" s="611" t="str">
        <f>IF(BU136&lt;1%,"Sin iniciar",IF(BU136=100%,"Terminado","En gestión"))</f>
        <v>En gestión</v>
      </c>
      <c r="BY136" s="578" t="s">
        <v>37</v>
      </c>
      <c r="BZ136" s="560" t="s">
        <v>3081</v>
      </c>
      <c r="CA136" s="578"/>
      <c r="CB136" s="788">
        <v>25884431</v>
      </c>
      <c r="CC136" s="789">
        <v>19413323</v>
      </c>
      <c r="CD136" s="790">
        <v>75220900</v>
      </c>
      <c r="CE136" s="788">
        <v>75220900</v>
      </c>
      <c r="CF136" s="788">
        <v>63454544</v>
      </c>
      <c r="CG136" s="560" t="s">
        <v>2571</v>
      </c>
      <c r="CH136" s="578" t="s">
        <v>2462</v>
      </c>
      <c r="CI136" s="578" t="s">
        <v>2463</v>
      </c>
      <c r="CJ136" s="578" t="s">
        <v>3082</v>
      </c>
    </row>
    <row r="137" spans="2:88" ht="171.95" customHeight="1" x14ac:dyDescent="0.25">
      <c r="B137" s="1227"/>
      <c r="C137" s="639"/>
      <c r="D137" s="41" t="s">
        <v>45</v>
      </c>
      <c r="E137" s="41" t="s">
        <v>160</v>
      </c>
      <c r="F137" s="640"/>
      <c r="G137" s="41" t="s">
        <v>584</v>
      </c>
      <c r="H137" s="41" t="s">
        <v>585</v>
      </c>
      <c r="I137" s="41" t="s">
        <v>546</v>
      </c>
      <c r="J137" s="41" t="s">
        <v>47</v>
      </c>
      <c r="K137" s="641"/>
      <c r="L137" s="52" t="s">
        <v>164</v>
      </c>
      <c r="M137" s="42" t="s">
        <v>590</v>
      </c>
      <c r="N137" s="43" t="s">
        <v>591</v>
      </c>
      <c r="O137" s="147">
        <v>0.6</v>
      </c>
      <c r="P137" s="44">
        <v>44228</v>
      </c>
      <c r="Q137" s="44">
        <v>44560</v>
      </c>
      <c r="R137" s="170">
        <v>0.18</v>
      </c>
      <c r="S137" s="170">
        <v>0.45</v>
      </c>
      <c r="T137" s="170">
        <v>0.72</v>
      </c>
      <c r="U137" s="170">
        <v>1</v>
      </c>
      <c r="V137" s="90">
        <v>0.18</v>
      </c>
      <c r="W137" s="62" t="s">
        <v>592</v>
      </c>
      <c r="X137" s="63" t="s">
        <v>3083</v>
      </c>
      <c r="Y137" s="19" t="str">
        <f t="shared" si="19"/>
        <v>En gestión</v>
      </c>
      <c r="Z137" s="19" t="str">
        <f t="shared" si="20"/>
        <v>En gestión</v>
      </c>
      <c r="AA137" s="530"/>
      <c r="AB137" s="596"/>
      <c r="AC137" s="597"/>
      <c r="AD137" s="611"/>
      <c r="AE137" s="611"/>
      <c r="AF137" s="66" t="s">
        <v>37</v>
      </c>
      <c r="AG137" s="579"/>
      <c r="AH137" s="783"/>
      <c r="AI137" s="783"/>
      <c r="AJ137" s="579"/>
      <c r="AK137" s="785"/>
      <c r="AL137" s="530"/>
      <c r="AM137" s="592"/>
      <c r="AN137" s="598"/>
      <c r="AO137" s="521"/>
      <c r="AP137" s="532"/>
      <c r="AQ137" s="567"/>
      <c r="AR137" s="1163">
        <v>0.45</v>
      </c>
      <c r="AS137" s="62" t="s">
        <v>655</v>
      </c>
      <c r="AT137" s="62" t="s">
        <v>3083</v>
      </c>
      <c r="AU137" s="66" t="str">
        <f t="shared" si="21"/>
        <v>En gestión</v>
      </c>
      <c r="AV137" s="66" t="str">
        <f t="shared" si="22"/>
        <v>En gestión</v>
      </c>
      <c r="AW137" s="530"/>
      <c r="AX137" s="599"/>
      <c r="AY137" s="600"/>
      <c r="AZ137" s="530"/>
      <c r="BA137" s="530"/>
      <c r="BB137" s="66"/>
      <c r="BC137" s="66"/>
      <c r="BD137" s="579"/>
      <c r="BE137" s="783"/>
      <c r="BF137" s="783"/>
      <c r="BG137" s="579"/>
      <c r="BH137" s="785"/>
      <c r="BI137" s="530"/>
      <c r="BJ137" s="592"/>
      <c r="BK137" s="598"/>
      <c r="BL137" s="521"/>
      <c r="BM137" s="532"/>
      <c r="BN137" s="567"/>
      <c r="BO137" s="347">
        <v>0.72</v>
      </c>
      <c r="BP137" s="24" t="s">
        <v>3084</v>
      </c>
      <c r="BQ137" s="24" t="s">
        <v>3085</v>
      </c>
      <c r="BR137" s="19" t="str">
        <f t="shared" si="23"/>
        <v>En gestión</v>
      </c>
      <c r="BS137" s="19" t="str">
        <f t="shared" si="24"/>
        <v>En gestión</v>
      </c>
      <c r="BT137" s="560"/>
      <c r="BU137" s="561"/>
      <c r="BV137" s="562"/>
      <c r="BW137" s="611"/>
      <c r="BX137" s="611"/>
      <c r="BY137" s="578"/>
      <c r="BZ137" s="560"/>
      <c r="CA137" s="578"/>
      <c r="CB137" s="788"/>
      <c r="CC137" s="789"/>
      <c r="CD137" s="790"/>
      <c r="CE137" s="788"/>
      <c r="CF137" s="788"/>
      <c r="CG137" s="560"/>
      <c r="CH137" s="578"/>
      <c r="CI137" s="578"/>
      <c r="CJ137" s="578"/>
    </row>
    <row r="138" spans="2:88" ht="171.95" customHeight="1" x14ac:dyDescent="0.25">
      <c r="B138" s="1227"/>
      <c r="C138" s="639"/>
      <c r="D138" s="41" t="s">
        <v>45</v>
      </c>
      <c r="E138" s="41" t="s">
        <v>160</v>
      </c>
      <c r="F138" s="640"/>
      <c r="G138" s="41" t="s">
        <v>584</v>
      </c>
      <c r="H138" s="41" t="s">
        <v>585</v>
      </c>
      <c r="I138" s="41" t="s">
        <v>546</v>
      </c>
      <c r="J138" s="41" t="s">
        <v>47</v>
      </c>
      <c r="K138" s="641"/>
      <c r="L138" s="52" t="s">
        <v>164</v>
      </c>
      <c r="M138" s="42" t="s">
        <v>593</v>
      </c>
      <c r="N138" s="43" t="s">
        <v>594</v>
      </c>
      <c r="O138" s="147">
        <v>0.36</v>
      </c>
      <c r="P138" s="44">
        <v>44228</v>
      </c>
      <c r="Q138" s="44">
        <v>44560</v>
      </c>
      <c r="R138" s="170">
        <v>0.18</v>
      </c>
      <c r="S138" s="170">
        <v>0.45</v>
      </c>
      <c r="T138" s="170">
        <v>0.72</v>
      </c>
      <c r="U138" s="170">
        <v>1</v>
      </c>
      <c r="V138" s="90">
        <v>0.18</v>
      </c>
      <c r="W138" s="62" t="s">
        <v>595</v>
      </c>
      <c r="X138" s="63" t="s">
        <v>3086</v>
      </c>
      <c r="Y138" s="19" t="str">
        <f t="shared" si="19"/>
        <v>En gestión</v>
      </c>
      <c r="Z138" s="19" t="str">
        <f t="shared" si="20"/>
        <v>En gestión</v>
      </c>
      <c r="AA138" s="530"/>
      <c r="AB138" s="596"/>
      <c r="AC138" s="597"/>
      <c r="AD138" s="611"/>
      <c r="AE138" s="611"/>
      <c r="AF138" s="66" t="s">
        <v>37</v>
      </c>
      <c r="AG138" s="579"/>
      <c r="AH138" s="783"/>
      <c r="AI138" s="783"/>
      <c r="AJ138" s="579"/>
      <c r="AK138" s="785"/>
      <c r="AL138" s="530"/>
      <c r="AM138" s="592"/>
      <c r="AN138" s="598"/>
      <c r="AO138" s="521"/>
      <c r="AP138" s="532"/>
      <c r="AQ138" s="567"/>
      <c r="AR138" s="1163">
        <v>0.45</v>
      </c>
      <c r="AS138" s="62" t="s">
        <v>656</v>
      </c>
      <c r="AT138" s="62" t="s">
        <v>3086</v>
      </c>
      <c r="AU138" s="66" t="str">
        <f t="shared" si="21"/>
        <v>En gestión</v>
      </c>
      <c r="AV138" s="66" t="str">
        <f t="shared" si="22"/>
        <v>En gestión</v>
      </c>
      <c r="AW138" s="530"/>
      <c r="AX138" s="599"/>
      <c r="AY138" s="600"/>
      <c r="AZ138" s="530"/>
      <c r="BA138" s="530"/>
      <c r="BB138" s="66"/>
      <c r="BC138" s="66"/>
      <c r="BD138" s="579"/>
      <c r="BE138" s="783"/>
      <c r="BF138" s="783"/>
      <c r="BG138" s="579"/>
      <c r="BH138" s="785"/>
      <c r="BI138" s="530"/>
      <c r="BJ138" s="592"/>
      <c r="BK138" s="598"/>
      <c r="BL138" s="521"/>
      <c r="BM138" s="532"/>
      <c r="BN138" s="567"/>
      <c r="BO138" s="347">
        <v>0.72</v>
      </c>
      <c r="BP138" s="24" t="s">
        <v>3087</v>
      </c>
      <c r="BQ138" s="24" t="s">
        <v>3086</v>
      </c>
      <c r="BR138" s="19" t="str">
        <f t="shared" si="23"/>
        <v>En gestión</v>
      </c>
      <c r="BS138" s="19" t="str">
        <f t="shared" si="24"/>
        <v>En gestión</v>
      </c>
      <c r="BT138" s="560"/>
      <c r="BU138" s="561"/>
      <c r="BV138" s="562"/>
      <c r="BW138" s="611"/>
      <c r="BX138" s="611"/>
      <c r="BY138" s="578"/>
      <c r="BZ138" s="560"/>
      <c r="CA138" s="578"/>
      <c r="CB138" s="788"/>
      <c r="CC138" s="789"/>
      <c r="CD138" s="790"/>
      <c r="CE138" s="788"/>
      <c r="CF138" s="788"/>
      <c r="CG138" s="560"/>
      <c r="CH138" s="578"/>
      <c r="CI138" s="578"/>
      <c r="CJ138" s="578"/>
    </row>
    <row r="139" spans="2:88" ht="171.95" customHeight="1" x14ac:dyDescent="0.25">
      <c r="B139" s="1227"/>
      <c r="C139" s="632" t="s">
        <v>596</v>
      </c>
      <c r="D139" s="33" t="s">
        <v>45</v>
      </c>
      <c r="E139" s="33" t="s">
        <v>160</v>
      </c>
      <c r="F139" s="633" t="s">
        <v>597</v>
      </c>
      <c r="G139" s="33" t="s">
        <v>584</v>
      </c>
      <c r="H139" s="33" t="s">
        <v>598</v>
      </c>
      <c r="I139" s="33" t="s">
        <v>546</v>
      </c>
      <c r="J139" s="33" t="s">
        <v>47</v>
      </c>
      <c r="K139" s="634" t="s">
        <v>599</v>
      </c>
      <c r="L139" s="51" t="s">
        <v>164</v>
      </c>
      <c r="M139" s="34" t="s">
        <v>600</v>
      </c>
      <c r="N139" s="35" t="s">
        <v>601</v>
      </c>
      <c r="O139" s="33">
        <v>0.5</v>
      </c>
      <c r="P139" s="36">
        <v>44198</v>
      </c>
      <c r="Q139" s="36">
        <v>44500</v>
      </c>
      <c r="R139" s="37">
        <v>0.22</v>
      </c>
      <c r="S139" s="37">
        <v>0.68</v>
      </c>
      <c r="T139" s="37">
        <v>0.9</v>
      </c>
      <c r="U139" s="37">
        <v>1</v>
      </c>
      <c r="V139" s="90">
        <v>0.22</v>
      </c>
      <c r="W139" s="13" t="s">
        <v>602</v>
      </c>
      <c r="X139" s="55" t="s">
        <v>3088</v>
      </c>
      <c r="Y139" s="5" t="str">
        <f t="shared" si="19"/>
        <v>En gestión</v>
      </c>
      <c r="Z139" s="5" t="str">
        <f t="shared" si="20"/>
        <v>En gestión</v>
      </c>
      <c r="AA139" s="531" t="s">
        <v>648</v>
      </c>
      <c r="AB139" s="604">
        <f>SUMPRODUCT(O139:O142,V139:V142)</f>
        <v>0.11</v>
      </c>
      <c r="AC139" s="597">
        <f>SUMPRODUCT(O139:O142,R139:R142)</f>
        <v>0.11</v>
      </c>
      <c r="AD139" s="610" t="str">
        <f>IF(AC139&lt;1%,"Sin iniciar",IF(AC139=100%,"Terminado","En gestión"))</f>
        <v>En gestión</v>
      </c>
      <c r="AE139" s="610" t="str">
        <f>IF(AB139&lt;1%,"Sin iniciar",IF(AB139=100%,"Terminado","En gestión"))</f>
        <v>En gestión</v>
      </c>
      <c r="AF139" s="56" t="s">
        <v>37</v>
      </c>
      <c r="AG139" s="787">
        <v>90000000</v>
      </c>
      <c r="AH139" s="787">
        <v>115010780</v>
      </c>
      <c r="AI139" s="787">
        <v>28752695</v>
      </c>
      <c r="AJ139" s="583">
        <f>AQ139</f>
        <v>83003122.21431601</v>
      </c>
      <c r="AK139" s="787">
        <v>106888000</v>
      </c>
      <c r="AL139" s="791">
        <v>13766000</v>
      </c>
      <c r="AM139" s="593" t="s">
        <v>2460</v>
      </c>
      <c r="AN139" s="603" t="s">
        <v>2461</v>
      </c>
      <c r="AO139" s="520" t="s">
        <v>2462</v>
      </c>
      <c r="AP139" s="531" t="s">
        <v>2463</v>
      </c>
      <c r="AQ139" s="568">
        <f>21321000+64706515.214316-30244203+27219810</f>
        <v>83003122.21431601</v>
      </c>
      <c r="AR139" s="1163">
        <v>0.68</v>
      </c>
      <c r="AS139" s="13" t="s">
        <v>657</v>
      </c>
      <c r="AT139" s="55" t="s">
        <v>5205</v>
      </c>
      <c r="AU139" s="56" t="str">
        <f t="shared" si="21"/>
        <v>En gestión</v>
      </c>
      <c r="AV139" s="56" t="str">
        <f t="shared" si="22"/>
        <v>En gestión</v>
      </c>
      <c r="AW139" s="531" t="s">
        <v>669</v>
      </c>
      <c r="AX139" s="706">
        <f>SUMPRODUCT(O139:O142,AR139:AR142)</f>
        <v>0.34</v>
      </c>
      <c r="AY139" s="600">
        <f>SUMPRODUCT(S139:S142,O139:O142)</f>
        <v>0.34</v>
      </c>
      <c r="AZ139" s="536" t="str">
        <f>IF(AY139&lt;1%,"Sin iniciar",IF(AY139=100%,"Terminado","En gestión"))</f>
        <v>En gestión</v>
      </c>
      <c r="BA139" s="536" t="str">
        <f>IF(AX139&lt;1%,"Sin iniciar",IF(AX139=100%,"Terminado","En gestión"))</f>
        <v>En gestión</v>
      </c>
      <c r="BB139" s="56"/>
      <c r="BC139" s="536"/>
      <c r="BD139" s="787">
        <v>90000000</v>
      </c>
      <c r="BE139" s="787">
        <v>115010780</v>
      </c>
      <c r="BF139" s="787">
        <v>28752695</v>
      </c>
      <c r="BG139" s="583">
        <v>83003122</v>
      </c>
      <c r="BH139" s="787">
        <v>106888000</v>
      </c>
      <c r="BI139" s="791">
        <v>49490000</v>
      </c>
      <c r="BJ139" s="593" t="s">
        <v>2460</v>
      </c>
      <c r="BK139" s="603" t="s">
        <v>2461</v>
      </c>
      <c r="BL139" s="520" t="s">
        <v>2462</v>
      </c>
      <c r="BM139" s="531" t="s">
        <v>2463</v>
      </c>
      <c r="BN139" s="568" t="s">
        <v>2533</v>
      </c>
      <c r="BO139" s="348">
        <v>1</v>
      </c>
      <c r="BP139" s="11" t="s">
        <v>3089</v>
      </c>
      <c r="BQ139" s="11" t="s">
        <v>3090</v>
      </c>
      <c r="BR139" s="5" t="str">
        <f>IF(T139&lt;1%,"Sin iniciar",IF(T139=100%,"Terminado","En gestión"))</f>
        <v>En gestión</v>
      </c>
      <c r="BS139" s="5" t="str">
        <f t="shared" si="24"/>
        <v>Terminado</v>
      </c>
      <c r="BT139" s="581" t="s">
        <v>3091</v>
      </c>
      <c r="BU139" s="714">
        <f>SUMPRODUCT(O139:O142,BO139:BO142)</f>
        <v>1</v>
      </c>
      <c r="BV139" s="562">
        <f>SUMPRODUCT(O139:O142,T139:T142)</f>
        <v>0.65100000000000002</v>
      </c>
      <c r="BW139" s="610" t="str">
        <f>IF(BV139&lt;1%,"Sin iniciar",IF(BV139=100%,"Terminado","En gestión"))</f>
        <v>En gestión</v>
      </c>
      <c r="BX139" s="610" t="str">
        <f>IF(BU139&lt;1%,"Sin iniciar",IF(BU139=100%,"Terminado","En gestión"))</f>
        <v>Terminado</v>
      </c>
      <c r="BY139" s="573" t="s">
        <v>37</v>
      </c>
      <c r="BZ139" s="581" t="s">
        <v>3081</v>
      </c>
      <c r="CA139" s="781">
        <v>90000000</v>
      </c>
      <c r="CB139" s="781">
        <v>86258085</v>
      </c>
      <c r="CC139" s="781">
        <v>86258085</v>
      </c>
      <c r="CD139" s="781">
        <v>85194000</v>
      </c>
      <c r="CE139" s="781">
        <v>85194000</v>
      </c>
      <c r="CF139" s="781">
        <v>85194000</v>
      </c>
      <c r="CG139" s="581" t="s">
        <v>2571</v>
      </c>
      <c r="CH139" s="573" t="s">
        <v>2462</v>
      </c>
      <c r="CI139" s="573" t="s">
        <v>2463</v>
      </c>
      <c r="CJ139" s="573" t="s">
        <v>3082</v>
      </c>
    </row>
    <row r="140" spans="2:88" ht="171.95" customHeight="1" x14ac:dyDescent="0.25">
      <c r="B140" s="1227"/>
      <c r="C140" s="632"/>
      <c r="D140" s="33" t="s">
        <v>45</v>
      </c>
      <c r="E140" s="33" t="s">
        <v>160</v>
      </c>
      <c r="F140" s="633"/>
      <c r="G140" s="33" t="s">
        <v>584</v>
      </c>
      <c r="H140" s="33" t="s">
        <v>598</v>
      </c>
      <c r="I140" s="33" t="s">
        <v>546</v>
      </c>
      <c r="J140" s="33" t="s">
        <v>47</v>
      </c>
      <c r="K140" s="634"/>
      <c r="L140" s="51" t="s">
        <v>164</v>
      </c>
      <c r="M140" s="34" t="s">
        <v>603</v>
      </c>
      <c r="N140" s="35" t="s">
        <v>604</v>
      </c>
      <c r="O140" s="33">
        <v>0.3</v>
      </c>
      <c r="P140" s="36">
        <v>44409</v>
      </c>
      <c r="Q140" s="36">
        <v>44500</v>
      </c>
      <c r="R140" s="37">
        <v>0</v>
      </c>
      <c r="S140" s="37">
        <v>0</v>
      </c>
      <c r="T140" s="37">
        <v>0.67</v>
      </c>
      <c r="U140" s="37">
        <v>1</v>
      </c>
      <c r="V140" s="90">
        <v>0</v>
      </c>
      <c r="W140" s="56" t="s">
        <v>37</v>
      </c>
      <c r="X140" s="94" t="s">
        <v>37</v>
      </c>
      <c r="Y140" s="5" t="str">
        <f t="shared" si="19"/>
        <v>Sin iniciar</v>
      </c>
      <c r="Z140" s="5" t="str">
        <f t="shared" si="20"/>
        <v>Sin iniciar</v>
      </c>
      <c r="AA140" s="531"/>
      <c r="AB140" s="604"/>
      <c r="AC140" s="597"/>
      <c r="AD140" s="610"/>
      <c r="AE140" s="610"/>
      <c r="AF140" s="56" t="s">
        <v>37</v>
      </c>
      <c r="AG140" s="787"/>
      <c r="AH140" s="787"/>
      <c r="AI140" s="787"/>
      <c r="AJ140" s="583"/>
      <c r="AK140" s="787"/>
      <c r="AL140" s="791"/>
      <c r="AM140" s="593"/>
      <c r="AN140" s="603"/>
      <c r="AO140" s="520"/>
      <c r="AP140" s="531"/>
      <c r="AQ140" s="568"/>
      <c r="AR140" s="1163">
        <v>0</v>
      </c>
      <c r="AS140" s="56" t="s">
        <v>2437</v>
      </c>
      <c r="AT140" s="94" t="s">
        <v>541</v>
      </c>
      <c r="AU140" s="56" t="str">
        <f t="shared" si="21"/>
        <v>Sin iniciar</v>
      </c>
      <c r="AV140" s="56" t="str">
        <f t="shared" si="22"/>
        <v>Sin iniciar</v>
      </c>
      <c r="AW140" s="531"/>
      <c r="AX140" s="706"/>
      <c r="AY140" s="600"/>
      <c r="AZ140" s="536"/>
      <c r="BA140" s="536"/>
      <c r="BB140" s="56"/>
      <c r="BC140" s="536"/>
      <c r="BD140" s="787"/>
      <c r="BE140" s="787"/>
      <c r="BF140" s="787"/>
      <c r="BG140" s="583"/>
      <c r="BH140" s="787"/>
      <c r="BI140" s="791"/>
      <c r="BJ140" s="593"/>
      <c r="BK140" s="603"/>
      <c r="BL140" s="520"/>
      <c r="BM140" s="531"/>
      <c r="BN140" s="568"/>
      <c r="BO140" s="348">
        <v>1</v>
      </c>
      <c r="BP140" s="11" t="s">
        <v>3092</v>
      </c>
      <c r="BQ140" s="11" t="s">
        <v>3093</v>
      </c>
      <c r="BR140" s="5" t="str">
        <f t="shared" si="23"/>
        <v>En gestión</v>
      </c>
      <c r="BS140" s="5" t="str">
        <f t="shared" si="24"/>
        <v>Terminado</v>
      </c>
      <c r="BT140" s="581"/>
      <c r="BU140" s="714"/>
      <c r="BV140" s="562"/>
      <c r="BW140" s="610"/>
      <c r="BX140" s="610"/>
      <c r="BY140" s="573"/>
      <c r="BZ140" s="581"/>
      <c r="CA140" s="781"/>
      <c r="CB140" s="781"/>
      <c r="CC140" s="781"/>
      <c r="CD140" s="781"/>
      <c r="CE140" s="781"/>
      <c r="CF140" s="781"/>
      <c r="CG140" s="581"/>
      <c r="CH140" s="573"/>
      <c r="CI140" s="573"/>
      <c r="CJ140" s="573"/>
    </row>
    <row r="141" spans="2:88" ht="171.95" customHeight="1" x14ac:dyDescent="0.25">
      <c r="B141" s="1227"/>
      <c r="C141" s="632"/>
      <c r="D141" s="33" t="s">
        <v>45</v>
      </c>
      <c r="E141" s="33" t="s">
        <v>160</v>
      </c>
      <c r="F141" s="633"/>
      <c r="G141" s="33" t="s">
        <v>584</v>
      </c>
      <c r="H141" s="33" t="s">
        <v>598</v>
      </c>
      <c r="I141" s="33" t="s">
        <v>546</v>
      </c>
      <c r="J141" s="33" t="s">
        <v>47</v>
      </c>
      <c r="K141" s="634"/>
      <c r="L141" s="51" t="s">
        <v>164</v>
      </c>
      <c r="M141" s="34" t="s">
        <v>605</v>
      </c>
      <c r="N141" s="35" t="s">
        <v>606</v>
      </c>
      <c r="O141" s="33">
        <v>0.1</v>
      </c>
      <c r="P141" s="36">
        <v>44501</v>
      </c>
      <c r="Q141" s="36" t="s">
        <v>607</v>
      </c>
      <c r="R141" s="37">
        <v>0</v>
      </c>
      <c r="S141" s="37">
        <v>0</v>
      </c>
      <c r="T141" s="37">
        <v>0</v>
      </c>
      <c r="U141" s="37">
        <v>1</v>
      </c>
      <c r="V141" s="90">
        <v>0</v>
      </c>
      <c r="W141" s="56" t="s">
        <v>37</v>
      </c>
      <c r="X141" s="94" t="s">
        <v>37</v>
      </c>
      <c r="Y141" s="5" t="str">
        <f t="shared" si="19"/>
        <v>Sin iniciar</v>
      </c>
      <c r="Z141" s="5" t="str">
        <f t="shared" si="20"/>
        <v>Sin iniciar</v>
      </c>
      <c r="AA141" s="531"/>
      <c r="AB141" s="604"/>
      <c r="AC141" s="597"/>
      <c r="AD141" s="610"/>
      <c r="AE141" s="610"/>
      <c r="AF141" s="56" t="s">
        <v>37</v>
      </c>
      <c r="AG141" s="787"/>
      <c r="AH141" s="787"/>
      <c r="AI141" s="787"/>
      <c r="AJ141" s="583"/>
      <c r="AK141" s="787"/>
      <c r="AL141" s="791"/>
      <c r="AM141" s="593"/>
      <c r="AN141" s="603"/>
      <c r="AO141" s="520"/>
      <c r="AP141" s="531"/>
      <c r="AQ141" s="568"/>
      <c r="AR141" s="1163">
        <v>0</v>
      </c>
      <c r="AS141" s="56" t="s">
        <v>2437</v>
      </c>
      <c r="AT141" s="94" t="s">
        <v>541</v>
      </c>
      <c r="AU141" s="56" t="str">
        <f t="shared" si="21"/>
        <v>Sin iniciar</v>
      </c>
      <c r="AV141" s="56" t="str">
        <f t="shared" si="22"/>
        <v>Sin iniciar</v>
      </c>
      <c r="AW141" s="531"/>
      <c r="AX141" s="706"/>
      <c r="AY141" s="600"/>
      <c r="AZ141" s="536"/>
      <c r="BA141" s="536"/>
      <c r="BB141" s="56"/>
      <c r="BC141" s="536"/>
      <c r="BD141" s="787"/>
      <c r="BE141" s="787"/>
      <c r="BF141" s="787"/>
      <c r="BG141" s="583"/>
      <c r="BH141" s="787"/>
      <c r="BI141" s="791"/>
      <c r="BJ141" s="593"/>
      <c r="BK141" s="603"/>
      <c r="BL141" s="520"/>
      <c r="BM141" s="531"/>
      <c r="BN141" s="568"/>
      <c r="BO141" s="348">
        <v>1</v>
      </c>
      <c r="BP141" s="11" t="s">
        <v>3094</v>
      </c>
      <c r="BQ141" s="11" t="s">
        <v>3095</v>
      </c>
      <c r="BR141" s="5" t="str">
        <f t="shared" si="23"/>
        <v>Sin iniciar</v>
      </c>
      <c r="BS141" s="5" t="str">
        <f t="shared" si="24"/>
        <v>Terminado</v>
      </c>
      <c r="BT141" s="581"/>
      <c r="BU141" s="714"/>
      <c r="BV141" s="562"/>
      <c r="BW141" s="610"/>
      <c r="BX141" s="610"/>
      <c r="BY141" s="573"/>
      <c r="BZ141" s="581"/>
      <c r="CA141" s="781"/>
      <c r="CB141" s="781"/>
      <c r="CC141" s="781"/>
      <c r="CD141" s="781"/>
      <c r="CE141" s="781"/>
      <c r="CF141" s="781"/>
      <c r="CG141" s="581"/>
      <c r="CH141" s="573"/>
      <c r="CI141" s="573"/>
      <c r="CJ141" s="573"/>
    </row>
    <row r="142" spans="2:88" ht="171.95" customHeight="1" x14ac:dyDescent="0.25">
      <c r="B142" s="1227"/>
      <c r="C142" s="632"/>
      <c r="D142" s="33" t="s">
        <v>45</v>
      </c>
      <c r="E142" s="33" t="s">
        <v>160</v>
      </c>
      <c r="F142" s="633"/>
      <c r="G142" s="33" t="s">
        <v>584</v>
      </c>
      <c r="H142" s="33" t="s">
        <v>598</v>
      </c>
      <c r="I142" s="33" t="s">
        <v>546</v>
      </c>
      <c r="J142" s="33" t="s">
        <v>47</v>
      </c>
      <c r="K142" s="634"/>
      <c r="L142" s="51" t="s">
        <v>164</v>
      </c>
      <c r="M142" s="34" t="s">
        <v>608</v>
      </c>
      <c r="N142" s="35" t="s">
        <v>609</v>
      </c>
      <c r="O142" s="33">
        <v>0.1</v>
      </c>
      <c r="P142" s="36">
        <v>44531</v>
      </c>
      <c r="Q142" s="36">
        <v>44561</v>
      </c>
      <c r="R142" s="37">
        <v>0</v>
      </c>
      <c r="S142" s="37">
        <v>0</v>
      </c>
      <c r="T142" s="37">
        <v>0</v>
      </c>
      <c r="U142" s="37">
        <v>1</v>
      </c>
      <c r="V142" s="90">
        <v>0</v>
      </c>
      <c r="W142" s="56" t="s">
        <v>37</v>
      </c>
      <c r="X142" s="94" t="s">
        <v>37</v>
      </c>
      <c r="Y142" s="5" t="str">
        <f t="shared" si="19"/>
        <v>Sin iniciar</v>
      </c>
      <c r="Z142" s="5" t="str">
        <f t="shared" si="20"/>
        <v>Sin iniciar</v>
      </c>
      <c r="AA142" s="531"/>
      <c r="AB142" s="604"/>
      <c r="AC142" s="597"/>
      <c r="AD142" s="610"/>
      <c r="AE142" s="610"/>
      <c r="AF142" s="56" t="s">
        <v>37</v>
      </c>
      <c r="AG142" s="787"/>
      <c r="AH142" s="787"/>
      <c r="AI142" s="787"/>
      <c r="AJ142" s="583"/>
      <c r="AK142" s="787"/>
      <c r="AL142" s="791"/>
      <c r="AM142" s="593"/>
      <c r="AN142" s="603"/>
      <c r="AO142" s="520"/>
      <c r="AP142" s="531"/>
      <c r="AQ142" s="568"/>
      <c r="AR142" s="1163">
        <v>0</v>
      </c>
      <c r="AS142" s="56" t="s">
        <v>2437</v>
      </c>
      <c r="AT142" s="94" t="s">
        <v>541</v>
      </c>
      <c r="AU142" s="56" t="str">
        <f t="shared" si="21"/>
        <v>Sin iniciar</v>
      </c>
      <c r="AV142" s="56" t="str">
        <f t="shared" si="22"/>
        <v>Sin iniciar</v>
      </c>
      <c r="AW142" s="531"/>
      <c r="AX142" s="706"/>
      <c r="AY142" s="600"/>
      <c r="AZ142" s="536"/>
      <c r="BA142" s="536"/>
      <c r="BB142" s="56"/>
      <c r="BC142" s="536"/>
      <c r="BD142" s="787"/>
      <c r="BE142" s="787"/>
      <c r="BF142" s="787"/>
      <c r="BG142" s="583"/>
      <c r="BH142" s="787"/>
      <c r="BI142" s="791"/>
      <c r="BJ142" s="593"/>
      <c r="BK142" s="603"/>
      <c r="BL142" s="520"/>
      <c r="BM142" s="531"/>
      <c r="BN142" s="568"/>
      <c r="BO142" s="348">
        <v>1</v>
      </c>
      <c r="BP142" s="11" t="s">
        <v>3096</v>
      </c>
      <c r="BQ142" s="11" t="s">
        <v>3097</v>
      </c>
      <c r="BR142" s="5" t="str">
        <f t="shared" si="23"/>
        <v>Sin iniciar</v>
      </c>
      <c r="BS142" s="5" t="str">
        <f t="shared" si="24"/>
        <v>Terminado</v>
      </c>
      <c r="BT142" s="581"/>
      <c r="BU142" s="714"/>
      <c r="BV142" s="562"/>
      <c r="BW142" s="610"/>
      <c r="BX142" s="610"/>
      <c r="BY142" s="573"/>
      <c r="BZ142" s="581"/>
      <c r="CA142" s="781"/>
      <c r="CB142" s="781"/>
      <c r="CC142" s="781"/>
      <c r="CD142" s="781"/>
      <c r="CE142" s="781"/>
      <c r="CF142" s="781"/>
      <c r="CG142" s="581"/>
      <c r="CH142" s="573"/>
      <c r="CI142" s="573"/>
      <c r="CJ142" s="573"/>
    </row>
    <row r="143" spans="2:88" ht="171.95" customHeight="1" x14ac:dyDescent="0.25">
      <c r="B143" s="1227"/>
      <c r="C143" s="639" t="s">
        <v>610</v>
      </c>
      <c r="D143" s="41" t="s">
        <v>45</v>
      </c>
      <c r="E143" s="41" t="s">
        <v>160</v>
      </c>
      <c r="F143" s="640" t="s">
        <v>611</v>
      </c>
      <c r="G143" s="41" t="s">
        <v>584</v>
      </c>
      <c r="H143" s="41" t="s">
        <v>612</v>
      </c>
      <c r="I143" s="41" t="s">
        <v>546</v>
      </c>
      <c r="J143" s="41" t="s">
        <v>47</v>
      </c>
      <c r="K143" s="641" t="s">
        <v>613</v>
      </c>
      <c r="L143" s="52" t="s">
        <v>164</v>
      </c>
      <c r="M143" s="42" t="s">
        <v>614</v>
      </c>
      <c r="N143" s="43" t="s">
        <v>615</v>
      </c>
      <c r="O143" s="41">
        <v>0.3</v>
      </c>
      <c r="P143" s="44">
        <v>44229</v>
      </c>
      <c r="Q143" s="44">
        <v>44560</v>
      </c>
      <c r="R143" s="45">
        <v>0.18</v>
      </c>
      <c r="S143" s="45">
        <v>0.46</v>
      </c>
      <c r="T143" s="45">
        <v>0.73</v>
      </c>
      <c r="U143" s="45">
        <v>1</v>
      </c>
      <c r="V143" s="90">
        <v>0.18</v>
      </c>
      <c r="W143" s="62" t="s">
        <v>616</v>
      </c>
      <c r="X143" s="63" t="s">
        <v>3098</v>
      </c>
      <c r="Y143" s="19" t="str">
        <f t="shared" si="19"/>
        <v>En gestión</v>
      </c>
      <c r="Z143" s="19" t="str">
        <f t="shared" si="20"/>
        <v>En gestión</v>
      </c>
      <c r="AA143" s="532" t="s">
        <v>649</v>
      </c>
      <c r="AB143" s="596">
        <f>SUMPRODUCT(O143:O145,V143:V145)</f>
        <v>5.3999999999999999E-2</v>
      </c>
      <c r="AC143" s="597">
        <f>SUMPRODUCT(O143:O145,R143:R145)</f>
        <v>5.3999999999999999E-2</v>
      </c>
      <c r="AD143" s="611" t="str">
        <f>IF(AC143&lt;1%,"Sin iniciar",IF(AC143=100%,"Terminado","En gestión"))</f>
        <v>En gestión</v>
      </c>
      <c r="AE143" s="611" t="str">
        <f>IF(AB143&lt;1%,"Sin iniciar",IF(AB143=100%,"Terminado","En gestión"))</f>
        <v>En gestión</v>
      </c>
      <c r="AF143" s="66" t="s">
        <v>37</v>
      </c>
      <c r="AG143" s="783">
        <v>155000000</v>
      </c>
      <c r="AH143" s="783">
        <v>87864050</v>
      </c>
      <c r="AI143" s="783">
        <v>23962923</v>
      </c>
      <c r="AJ143" s="579">
        <f>AQ143</f>
        <v>31981500</v>
      </c>
      <c r="AK143" s="783">
        <v>117107000</v>
      </c>
      <c r="AL143" s="783">
        <v>15624000</v>
      </c>
      <c r="AM143" s="592" t="s">
        <v>2460</v>
      </c>
      <c r="AN143" s="598" t="s">
        <v>2461</v>
      </c>
      <c r="AO143" s="521" t="s">
        <v>2462</v>
      </c>
      <c r="AP143" s="532" t="s">
        <v>2463</v>
      </c>
      <c r="AQ143" s="567">
        <v>31981500</v>
      </c>
      <c r="AR143" s="1163">
        <v>0.46</v>
      </c>
      <c r="AS143" s="62" t="s">
        <v>658</v>
      </c>
      <c r="AT143" s="62" t="s">
        <v>3099</v>
      </c>
      <c r="AU143" s="66" t="str">
        <f t="shared" si="21"/>
        <v>En gestión</v>
      </c>
      <c r="AV143" s="66" t="str">
        <f t="shared" si="22"/>
        <v>En gestión</v>
      </c>
      <c r="AW143" s="532" t="s">
        <v>670</v>
      </c>
      <c r="AX143" s="599">
        <f>SUMPRODUCT(O143:O145,AR143:AR145)</f>
        <v>0.48799999999999999</v>
      </c>
      <c r="AY143" s="600">
        <f>SUMPRODUCT(S143:S145,O143:O145)</f>
        <v>0.48799999999999999</v>
      </c>
      <c r="AZ143" s="530" t="str">
        <f>IF(AY143&lt;1%,"Sin iniciar",IF(AY143=100%,"Terminado","En gestión"))</f>
        <v>En gestión</v>
      </c>
      <c r="BA143" s="530" t="str">
        <f>IF(AX143&lt;1%,"Sin iniciar",IF(AX143=100%,"Terminado","En gestión"))</f>
        <v>En gestión</v>
      </c>
      <c r="BB143" s="66"/>
      <c r="BC143" s="66"/>
      <c r="BD143" s="783">
        <v>155000000</v>
      </c>
      <c r="BE143" s="783">
        <v>155000000</v>
      </c>
      <c r="BF143" s="783">
        <v>47925923</v>
      </c>
      <c r="BG143" s="579">
        <v>31981500</v>
      </c>
      <c r="BH143" s="783">
        <v>117107000</v>
      </c>
      <c r="BI143" s="783">
        <v>54135000</v>
      </c>
      <c r="BJ143" s="592" t="s">
        <v>2460</v>
      </c>
      <c r="BK143" s="598" t="s">
        <v>2461</v>
      </c>
      <c r="BL143" s="521" t="s">
        <v>2462</v>
      </c>
      <c r="BM143" s="532" t="s">
        <v>2463</v>
      </c>
      <c r="BN143" s="567" t="s">
        <v>2533</v>
      </c>
      <c r="BO143" s="347">
        <v>0.73</v>
      </c>
      <c r="BP143" s="24" t="s">
        <v>3100</v>
      </c>
      <c r="BQ143" s="24" t="s">
        <v>3101</v>
      </c>
      <c r="BR143" s="19" t="str">
        <f t="shared" si="23"/>
        <v>En gestión</v>
      </c>
      <c r="BS143" s="19" t="str">
        <f t="shared" si="24"/>
        <v>En gestión</v>
      </c>
      <c r="BT143" s="560" t="s">
        <v>3102</v>
      </c>
      <c r="BU143" s="561">
        <f>SUMPRODUCT(O143:O145,BO143:BO145)</f>
        <v>0.56899999999999995</v>
      </c>
      <c r="BV143" s="562">
        <f>SUMPRODUCT(O143:O145,T143:T145)</f>
        <v>0.56899999999999995</v>
      </c>
      <c r="BW143" s="611" t="str">
        <f>IF(BV143&lt;1%,"Sin iniciar",IF(BV143=100%,"Terminado","En gestión"))</f>
        <v>En gestión</v>
      </c>
      <c r="BX143" s="611" t="str">
        <f>IF(BU143&lt;1%,"Sin iniciar",IF(BU143=100%,"Terminado","En gestión"))</f>
        <v>En gestión</v>
      </c>
      <c r="BY143" s="578" t="s">
        <v>37</v>
      </c>
      <c r="BZ143" s="560" t="s">
        <v>3081</v>
      </c>
      <c r="CA143" s="789">
        <v>155000000</v>
      </c>
      <c r="CB143" s="789">
        <v>155000000</v>
      </c>
      <c r="CC143" s="789">
        <v>76678598</v>
      </c>
      <c r="CD143" s="789">
        <v>117107000</v>
      </c>
      <c r="CE143" s="789">
        <v>117107000</v>
      </c>
      <c r="CF143" s="789">
        <v>85621000</v>
      </c>
      <c r="CG143" s="560" t="s">
        <v>2571</v>
      </c>
      <c r="CH143" s="560" t="s">
        <v>2462</v>
      </c>
      <c r="CI143" s="560" t="s">
        <v>2463</v>
      </c>
      <c r="CJ143" s="560" t="s">
        <v>3082</v>
      </c>
    </row>
    <row r="144" spans="2:88" ht="171.95" customHeight="1" x14ac:dyDescent="0.25">
      <c r="B144" s="1227"/>
      <c r="C144" s="639"/>
      <c r="D144" s="41" t="s">
        <v>45</v>
      </c>
      <c r="E144" s="41" t="s">
        <v>160</v>
      </c>
      <c r="F144" s="640"/>
      <c r="G144" s="41" t="s">
        <v>584</v>
      </c>
      <c r="H144" s="41" t="s">
        <v>612</v>
      </c>
      <c r="I144" s="41" t="s">
        <v>546</v>
      </c>
      <c r="J144" s="41" t="s">
        <v>47</v>
      </c>
      <c r="K144" s="641"/>
      <c r="L144" s="52" t="s">
        <v>164</v>
      </c>
      <c r="M144" s="42" t="s">
        <v>617</v>
      </c>
      <c r="N144" s="43" t="s">
        <v>618</v>
      </c>
      <c r="O144" s="41">
        <v>0.35</v>
      </c>
      <c r="P144" s="44">
        <v>44287</v>
      </c>
      <c r="Q144" s="44">
        <v>44560</v>
      </c>
      <c r="R144" s="45">
        <v>0</v>
      </c>
      <c r="S144" s="45">
        <v>0.5</v>
      </c>
      <c r="T144" s="45">
        <v>0.5</v>
      </c>
      <c r="U144" s="45">
        <v>1</v>
      </c>
      <c r="V144" s="90">
        <v>0</v>
      </c>
      <c r="W144" s="66" t="s">
        <v>37</v>
      </c>
      <c r="X144" s="91" t="s">
        <v>37</v>
      </c>
      <c r="Y144" s="19" t="str">
        <f t="shared" si="19"/>
        <v>Sin iniciar</v>
      </c>
      <c r="Z144" s="19" t="str">
        <f t="shared" si="20"/>
        <v>Sin iniciar</v>
      </c>
      <c r="AA144" s="532"/>
      <c r="AB144" s="596"/>
      <c r="AC144" s="597"/>
      <c r="AD144" s="611"/>
      <c r="AE144" s="611"/>
      <c r="AF144" s="66" t="s">
        <v>37</v>
      </c>
      <c r="AG144" s="783"/>
      <c r="AH144" s="783"/>
      <c r="AI144" s="783"/>
      <c r="AJ144" s="579"/>
      <c r="AK144" s="783"/>
      <c r="AL144" s="783"/>
      <c r="AM144" s="592"/>
      <c r="AN144" s="598"/>
      <c r="AO144" s="521"/>
      <c r="AP144" s="532"/>
      <c r="AQ144" s="567"/>
      <c r="AR144" s="1163">
        <v>0.5</v>
      </c>
      <c r="AS144" s="62" t="s">
        <v>659</v>
      </c>
      <c r="AT144" s="62" t="s">
        <v>3103</v>
      </c>
      <c r="AU144" s="66" t="str">
        <f t="shared" si="21"/>
        <v>En gestión</v>
      </c>
      <c r="AV144" s="66" t="str">
        <f t="shared" si="22"/>
        <v>En gestión</v>
      </c>
      <c r="AW144" s="532"/>
      <c r="AX144" s="599"/>
      <c r="AY144" s="600"/>
      <c r="AZ144" s="530"/>
      <c r="BA144" s="530"/>
      <c r="BB144" s="66"/>
      <c r="BC144" s="66"/>
      <c r="BD144" s="783"/>
      <c r="BE144" s="783"/>
      <c r="BF144" s="783"/>
      <c r="BG144" s="579"/>
      <c r="BH144" s="783"/>
      <c r="BI144" s="783"/>
      <c r="BJ144" s="592"/>
      <c r="BK144" s="598"/>
      <c r="BL144" s="521"/>
      <c r="BM144" s="532"/>
      <c r="BN144" s="567"/>
      <c r="BO144" s="347">
        <v>0.5</v>
      </c>
      <c r="BP144" s="25" t="s">
        <v>541</v>
      </c>
      <c r="BQ144" s="25" t="s">
        <v>541</v>
      </c>
      <c r="BR144" s="19" t="str">
        <f t="shared" si="23"/>
        <v>En gestión</v>
      </c>
      <c r="BS144" s="19" t="str">
        <f t="shared" si="24"/>
        <v>En gestión</v>
      </c>
      <c r="BT144" s="560"/>
      <c r="BU144" s="561"/>
      <c r="BV144" s="562"/>
      <c r="BW144" s="611"/>
      <c r="BX144" s="611"/>
      <c r="BY144" s="578"/>
      <c r="BZ144" s="560"/>
      <c r="CA144" s="789"/>
      <c r="CB144" s="789"/>
      <c r="CC144" s="789"/>
      <c r="CD144" s="789"/>
      <c r="CE144" s="789"/>
      <c r="CF144" s="789"/>
      <c r="CG144" s="560"/>
      <c r="CH144" s="560"/>
      <c r="CI144" s="560"/>
      <c r="CJ144" s="560"/>
    </row>
    <row r="145" spans="2:88" ht="171.95" customHeight="1" x14ac:dyDescent="0.25">
      <c r="B145" s="1227"/>
      <c r="C145" s="639"/>
      <c r="D145" s="41" t="s">
        <v>45</v>
      </c>
      <c r="E145" s="41" t="s">
        <v>160</v>
      </c>
      <c r="F145" s="640"/>
      <c r="G145" s="41" t="s">
        <v>584</v>
      </c>
      <c r="H145" s="41" t="s">
        <v>612</v>
      </c>
      <c r="I145" s="41" t="s">
        <v>546</v>
      </c>
      <c r="J145" s="41" t="s">
        <v>47</v>
      </c>
      <c r="K145" s="641"/>
      <c r="L145" s="52" t="s">
        <v>164</v>
      </c>
      <c r="M145" s="42" t="s">
        <v>619</v>
      </c>
      <c r="N145" s="43" t="s">
        <v>620</v>
      </c>
      <c r="O145" s="41">
        <v>0.35</v>
      </c>
      <c r="P145" s="44">
        <v>44287</v>
      </c>
      <c r="Q145" s="44">
        <v>44560</v>
      </c>
      <c r="R145" s="45">
        <v>0</v>
      </c>
      <c r="S145" s="45">
        <v>0.5</v>
      </c>
      <c r="T145" s="45">
        <v>0.5</v>
      </c>
      <c r="U145" s="45">
        <v>1</v>
      </c>
      <c r="V145" s="90">
        <v>0</v>
      </c>
      <c r="W145" s="66" t="s">
        <v>37</v>
      </c>
      <c r="X145" s="91" t="s">
        <v>37</v>
      </c>
      <c r="Y145" s="19" t="str">
        <f t="shared" si="19"/>
        <v>Sin iniciar</v>
      </c>
      <c r="Z145" s="19" t="str">
        <f t="shared" si="20"/>
        <v>Sin iniciar</v>
      </c>
      <c r="AA145" s="532"/>
      <c r="AB145" s="596"/>
      <c r="AC145" s="597"/>
      <c r="AD145" s="611"/>
      <c r="AE145" s="611"/>
      <c r="AF145" s="66" t="s">
        <v>37</v>
      </c>
      <c r="AG145" s="783"/>
      <c r="AH145" s="783"/>
      <c r="AI145" s="783"/>
      <c r="AJ145" s="579"/>
      <c r="AK145" s="783"/>
      <c r="AL145" s="783"/>
      <c r="AM145" s="592"/>
      <c r="AN145" s="598"/>
      <c r="AO145" s="521"/>
      <c r="AP145" s="532"/>
      <c r="AQ145" s="567"/>
      <c r="AR145" s="1163">
        <v>0.5</v>
      </c>
      <c r="AS145" s="62" t="s">
        <v>660</v>
      </c>
      <c r="AT145" s="62" t="s">
        <v>3104</v>
      </c>
      <c r="AU145" s="66" t="str">
        <f t="shared" si="21"/>
        <v>En gestión</v>
      </c>
      <c r="AV145" s="66" t="str">
        <f t="shared" si="22"/>
        <v>En gestión</v>
      </c>
      <c r="AW145" s="532"/>
      <c r="AX145" s="599"/>
      <c r="AY145" s="600"/>
      <c r="AZ145" s="530"/>
      <c r="BA145" s="530"/>
      <c r="BB145" s="66"/>
      <c r="BC145" s="66"/>
      <c r="BD145" s="783"/>
      <c r="BE145" s="783"/>
      <c r="BF145" s="783"/>
      <c r="BG145" s="579"/>
      <c r="BH145" s="783"/>
      <c r="BI145" s="783"/>
      <c r="BJ145" s="592"/>
      <c r="BK145" s="598"/>
      <c r="BL145" s="521"/>
      <c r="BM145" s="532"/>
      <c r="BN145" s="567"/>
      <c r="BO145" s="347">
        <v>0.5</v>
      </c>
      <c r="BP145" s="25" t="s">
        <v>541</v>
      </c>
      <c r="BQ145" s="25" t="s">
        <v>541</v>
      </c>
      <c r="BR145" s="19" t="str">
        <f t="shared" si="23"/>
        <v>En gestión</v>
      </c>
      <c r="BS145" s="19" t="str">
        <f t="shared" si="24"/>
        <v>En gestión</v>
      </c>
      <c r="BT145" s="560"/>
      <c r="BU145" s="561"/>
      <c r="BV145" s="562"/>
      <c r="BW145" s="611"/>
      <c r="BX145" s="611"/>
      <c r="BY145" s="578"/>
      <c r="BZ145" s="560"/>
      <c r="CA145" s="789"/>
      <c r="CB145" s="789"/>
      <c r="CC145" s="789"/>
      <c r="CD145" s="789"/>
      <c r="CE145" s="789"/>
      <c r="CF145" s="789"/>
      <c r="CG145" s="560"/>
      <c r="CH145" s="560"/>
      <c r="CI145" s="560"/>
      <c r="CJ145" s="560"/>
    </row>
    <row r="146" spans="2:88" ht="171.95" customHeight="1" x14ac:dyDescent="0.25">
      <c r="B146" s="1227"/>
      <c r="C146" s="632" t="s">
        <v>621</v>
      </c>
      <c r="D146" s="33" t="s">
        <v>45</v>
      </c>
      <c r="E146" s="33" t="s">
        <v>160</v>
      </c>
      <c r="F146" s="977" t="s">
        <v>5200</v>
      </c>
      <c r="G146" s="33" t="s">
        <v>584</v>
      </c>
      <c r="H146" s="33" t="s">
        <v>28</v>
      </c>
      <c r="I146" s="33" t="s">
        <v>546</v>
      </c>
      <c r="J146" s="33" t="s">
        <v>47</v>
      </c>
      <c r="K146" s="634" t="s">
        <v>622</v>
      </c>
      <c r="L146" s="51" t="s">
        <v>164</v>
      </c>
      <c r="M146" s="34" t="s">
        <v>623</v>
      </c>
      <c r="N146" s="35" t="s">
        <v>624</v>
      </c>
      <c r="O146" s="145">
        <v>0.1</v>
      </c>
      <c r="P146" s="36">
        <v>44200</v>
      </c>
      <c r="Q146" s="36" t="s">
        <v>625</v>
      </c>
      <c r="R146" s="171">
        <v>1</v>
      </c>
      <c r="S146" s="171">
        <v>1</v>
      </c>
      <c r="T146" s="171">
        <v>1</v>
      </c>
      <c r="U146" s="171">
        <v>1</v>
      </c>
      <c r="V146" s="90">
        <v>1</v>
      </c>
      <c r="W146" s="13" t="s">
        <v>626</v>
      </c>
      <c r="X146" s="55" t="s">
        <v>3105</v>
      </c>
      <c r="Y146" s="5" t="str">
        <f t="shared" si="19"/>
        <v>Terminado</v>
      </c>
      <c r="Z146" s="5" t="str">
        <f t="shared" si="20"/>
        <v>Terminado</v>
      </c>
      <c r="AA146" s="531" t="s">
        <v>650</v>
      </c>
      <c r="AB146" s="596">
        <f>SUMPRODUCT(O146:O148,V146:V148)</f>
        <v>0.4</v>
      </c>
      <c r="AC146" s="597">
        <f>SUMPRODUCT(O146:O148,R146:R148)</f>
        <v>0.2</v>
      </c>
      <c r="AD146" s="610" t="str">
        <f>IF(AC146&lt;1%,"Sin iniciar",IF(AC146=100%,"Terminado","En gestión"))</f>
        <v>En gestión</v>
      </c>
      <c r="AE146" s="610" t="str">
        <f>IF(AB146&lt;1%,"Sin iniciar",IF(AB146=100%,"Terminado","En gestión"))</f>
        <v>En gestión</v>
      </c>
      <c r="AF146" s="56" t="s">
        <v>37</v>
      </c>
      <c r="AG146" s="792"/>
      <c r="AH146" s="787">
        <v>22141196</v>
      </c>
      <c r="AI146" s="787">
        <v>11070598</v>
      </c>
      <c r="AJ146" s="583">
        <f>AQ146</f>
        <v>30611787.29211</v>
      </c>
      <c r="AK146" s="787">
        <v>30611787</v>
      </c>
      <c r="AL146" s="787">
        <v>6654736</v>
      </c>
      <c r="AM146" s="593" t="s">
        <v>2460</v>
      </c>
      <c r="AN146" s="603" t="s">
        <v>2461</v>
      </c>
      <c r="AO146" s="520" t="s">
        <v>2462</v>
      </c>
      <c r="AP146" s="531" t="s">
        <v>2463</v>
      </c>
      <c r="AQ146" s="568">
        <v>30611787.29211</v>
      </c>
      <c r="AR146" s="1163">
        <v>1</v>
      </c>
      <c r="AS146" s="13" t="s">
        <v>2434</v>
      </c>
      <c r="AT146" s="13"/>
      <c r="AU146" s="56" t="str">
        <f t="shared" si="21"/>
        <v>Terminado</v>
      </c>
      <c r="AV146" s="56" t="str">
        <f t="shared" si="22"/>
        <v>Terminado</v>
      </c>
      <c r="AW146" s="531" t="s">
        <v>671</v>
      </c>
      <c r="AX146" s="599">
        <f>SUMPRODUCT(O146:O148,AR146:AR148)</f>
        <v>1</v>
      </c>
      <c r="AY146" s="600">
        <f>SUMPRODUCT(S146:S148,O146:O148)</f>
        <v>1</v>
      </c>
      <c r="AZ146" s="536" t="str">
        <f>IF(AY146&lt;1%,"Sin iniciar",IF(AY146=100%,"Terminado","En gestión"))</f>
        <v>Terminado</v>
      </c>
      <c r="BA146" s="536" t="str">
        <f>IF(AX146&lt;1%,"Sin iniciar",IF(AX146=100%,"Terminado","En gestión"))</f>
        <v>Terminado</v>
      </c>
      <c r="BB146" s="56"/>
      <c r="BC146" s="56"/>
      <c r="BD146" s="583">
        <v>22141196</v>
      </c>
      <c r="BE146" s="787">
        <v>22141196</v>
      </c>
      <c r="BF146" s="787">
        <v>22141196</v>
      </c>
      <c r="BG146" s="583">
        <v>30611787.29211</v>
      </c>
      <c r="BH146" s="787">
        <v>30611787</v>
      </c>
      <c r="BI146" s="787">
        <v>30611787</v>
      </c>
      <c r="BJ146" s="593" t="s">
        <v>2460</v>
      </c>
      <c r="BK146" s="603" t="s">
        <v>2461</v>
      </c>
      <c r="BL146" s="520" t="s">
        <v>2462</v>
      </c>
      <c r="BM146" s="531" t="s">
        <v>2463</v>
      </c>
      <c r="BN146" s="568" t="s">
        <v>2533</v>
      </c>
      <c r="BO146" s="347">
        <v>1</v>
      </c>
      <c r="BP146" s="12" t="s">
        <v>541</v>
      </c>
      <c r="BQ146" s="12" t="s">
        <v>541</v>
      </c>
      <c r="BR146" s="5" t="str">
        <f t="shared" si="23"/>
        <v>Terminado</v>
      </c>
      <c r="BS146" s="5" t="str">
        <f t="shared" si="24"/>
        <v>Terminado</v>
      </c>
      <c r="BT146" s="573" t="s">
        <v>541</v>
      </c>
      <c r="BU146" s="561">
        <f>SUMPRODUCT(O146:O148,BO146:BO148)</f>
        <v>1</v>
      </c>
      <c r="BV146" s="562">
        <f>SUMPRODUCT(O146:O148,T146:T148)</f>
        <v>1</v>
      </c>
      <c r="BW146" s="610" t="str">
        <f>IF(BV146&lt;1%,"Sin iniciar",IF(BV146=100%,"Terminado","En gestión"))</f>
        <v>Terminado</v>
      </c>
      <c r="BX146" s="610" t="str">
        <f>IF(BU146&lt;1%,"Sin iniciar",IF(BU146=100%,"Terminado","En gestión"))</f>
        <v>Terminado</v>
      </c>
      <c r="BY146" s="573" t="s">
        <v>37</v>
      </c>
      <c r="BZ146" s="581" t="s">
        <v>3081</v>
      </c>
      <c r="CA146" s="793">
        <v>22141196</v>
      </c>
      <c r="CB146" s="793">
        <v>22141196</v>
      </c>
      <c r="CC146" s="793">
        <v>22141196</v>
      </c>
      <c r="CD146" s="793">
        <v>30611787.29211</v>
      </c>
      <c r="CE146" s="793">
        <v>30611787</v>
      </c>
      <c r="CF146" s="793">
        <v>30611787</v>
      </c>
      <c r="CG146" s="581" t="s">
        <v>2460</v>
      </c>
      <c r="CH146" s="581" t="s">
        <v>2462</v>
      </c>
      <c r="CI146" s="581" t="s">
        <v>2463</v>
      </c>
      <c r="CJ146" s="581" t="s">
        <v>2533</v>
      </c>
    </row>
    <row r="147" spans="2:88" ht="171.95" customHeight="1" x14ac:dyDescent="0.25">
      <c r="B147" s="1227"/>
      <c r="C147" s="632"/>
      <c r="D147" s="33" t="s">
        <v>45</v>
      </c>
      <c r="E147" s="33" t="s">
        <v>160</v>
      </c>
      <c r="F147" s="978"/>
      <c r="G147" s="33" t="s">
        <v>584</v>
      </c>
      <c r="H147" s="33" t="s">
        <v>28</v>
      </c>
      <c r="I147" s="33" t="s">
        <v>546</v>
      </c>
      <c r="J147" s="33" t="s">
        <v>47</v>
      </c>
      <c r="K147" s="634"/>
      <c r="L147" s="51" t="s">
        <v>164</v>
      </c>
      <c r="M147" s="34" t="s">
        <v>627</v>
      </c>
      <c r="N147" s="35" t="s">
        <v>628</v>
      </c>
      <c r="O147" s="145">
        <v>0.1</v>
      </c>
      <c r="P147" s="36">
        <v>44228</v>
      </c>
      <c r="Q147" s="36">
        <v>44255</v>
      </c>
      <c r="R147" s="171">
        <v>1</v>
      </c>
      <c r="S147" s="171">
        <v>1</v>
      </c>
      <c r="T147" s="171">
        <v>1</v>
      </c>
      <c r="U147" s="171">
        <v>1</v>
      </c>
      <c r="V147" s="90">
        <v>1</v>
      </c>
      <c r="W147" s="13" t="s">
        <v>629</v>
      </c>
      <c r="X147" s="55" t="s">
        <v>3105</v>
      </c>
      <c r="Y147" s="5" t="str">
        <f t="shared" si="19"/>
        <v>Terminado</v>
      </c>
      <c r="Z147" s="5" t="str">
        <f t="shared" si="20"/>
        <v>Terminado</v>
      </c>
      <c r="AA147" s="536"/>
      <c r="AB147" s="596"/>
      <c r="AC147" s="597"/>
      <c r="AD147" s="610"/>
      <c r="AE147" s="610"/>
      <c r="AF147" s="56" t="s">
        <v>37</v>
      </c>
      <c r="AG147" s="792"/>
      <c r="AH147" s="787"/>
      <c r="AI147" s="787"/>
      <c r="AJ147" s="583"/>
      <c r="AK147" s="787"/>
      <c r="AL147" s="787"/>
      <c r="AM147" s="593"/>
      <c r="AN147" s="603"/>
      <c r="AO147" s="520"/>
      <c r="AP147" s="531"/>
      <c r="AQ147" s="568"/>
      <c r="AR147" s="1163">
        <v>1</v>
      </c>
      <c r="AS147" s="13" t="s">
        <v>2434</v>
      </c>
      <c r="AT147" s="13"/>
      <c r="AU147" s="56" t="str">
        <f t="shared" si="21"/>
        <v>Terminado</v>
      </c>
      <c r="AV147" s="56" t="str">
        <f t="shared" si="22"/>
        <v>Terminado</v>
      </c>
      <c r="AW147" s="536"/>
      <c r="AX147" s="599"/>
      <c r="AY147" s="600"/>
      <c r="AZ147" s="536"/>
      <c r="BA147" s="536"/>
      <c r="BB147" s="56"/>
      <c r="BC147" s="56"/>
      <c r="BD147" s="583"/>
      <c r="BE147" s="787"/>
      <c r="BF147" s="787"/>
      <c r="BG147" s="583"/>
      <c r="BH147" s="787"/>
      <c r="BI147" s="787"/>
      <c r="BJ147" s="593"/>
      <c r="BK147" s="603"/>
      <c r="BL147" s="520"/>
      <c r="BM147" s="531"/>
      <c r="BN147" s="568"/>
      <c r="BO147" s="347">
        <v>1</v>
      </c>
      <c r="BP147" s="12" t="s">
        <v>541</v>
      </c>
      <c r="BQ147" s="12" t="s">
        <v>541</v>
      </c>
      <c r="BR147" s="5" t="str">
        <f t="shared" si="23"/>
        <v>Terminado</v>
      </c>
      <c r="BS147" s="5" t="str">
        <f t="shared" si="24"/>
        <v>Terminado</v>
      </c>
      <c r="BT147" s="573"/>
      <c r="BU147" s="561"/>
      <c r="BV147" s="562"/>
      <c r="BW147" s="610"/>
      <c r="BX147" s="610"/>
      <c r="BY147" s="573"/>
      <c r="BZ147" s="581"/>
      <c r="CA147" s="793"/>
      <c r="CB147" s="793"/>
      <c r="CC147" s="793"/>
      <c r="CD147" s="793"/>
      <c r="CE147" s="793"/>
      <c r="CF147" s="793"/>
      <c r="CG147" s="581"/>
      <c r="CH147" s="581"/>
      <c r="CI147" s="581"/>
      <c r="CJ147" s="581"/>
    </row>
    <row r="148" spans="2:88" ht="171.95" customHeight="1" x14ac:dyDescent="0.25">
      <c r="B148" s="1227"/>
      <c r="C148" s="632"/>
      <c r="D148" s="33" t="s">
        <v>45</v>
      </c>
      <c r="E148" s="33" t="s">
        <v>160</v>
      </c>
      <c r="F148" s="979"/>
      <c r="G148" s="33" t="s">
        <v>584</v>
      </c>
      <c r="H148" s="33" t="s">
        <v>28</v>
      </c>
      <c r="I148" s="33" t="s">
        <v>546</v>
      </c>
      <c r="J148" s="33" t="s">
        <v>47</v>
      </c>
      <c r="K148" s="634"/>
      <c r="L148" s="51" t="s">
        <v>164</v>
      </c>
      <c r="M148" s="34" t="s">
        <v>630</v>
      </c>
      <c r="N148" s="35" t="s">
        <v>631</v>
      </c>
      <c r="O148" s="145">
        <v>0.8</v>
      </c>
      <c r="P148" s="36">
        <v>44256</v>
      </c>
      <c r="Q148" s="36">
        <v>44377</v>
      </c>
      <c r="R148" s="171">
        <v>0</v>
      </c>
      <c r="S148" s="171">
        <v>1</v>
      </c>
      <c r="T148" s="171">
        <v>1</v>
      </c>
      <c r="U148" s="171">
        <v>1</v>
      </c>
      <c r="V148" s="90">
        <v>0.25</v>
      </c>
      <c r="W148" s="103" t="s">
        <v>5206</v>
      </c>
      <c r="X148" s="55" t="s">
        <v>3106</v>
      </c>
      <c r="Y148" s="5" t="str">
        <f t="shared" si="19"/>
        <v>Sin iniciar</v>
      </c>
      <c r="Z148" s="5" t="str">
        <f t="shared" si="20"/>
        <v>En gestión</v>
      </c>
      <c r="AA148" s="536"/>
      <c r="AB148" s="596"/>
      <c r="AC148" s="597"/>
      <c r="AD148" s="610"/>
      <c r="AE148" s="610"/>
      <c r="AF148" s="56" t="s">
        <v>37</v>
      </c>
      <c r="AG148" s="792"/>
      <c r="AH148" s="787"/>
      <c r="AI148" s="787"/>
      <c r="AJ148" s="583"/>
      <c r="AK148" s="787"/>
      <c r="AL148" s="787"/>
      <c r="AM148" s="593"/>
      <c r="AN148" s="603"/>
      <c r="AO148" s="520"/>
      <c r="AP148" s="531"/>
      <c r="AQ148" s="568"/>
      <c r="AR148" s="1163">
        <v>1</v>
      </c>
      <c r="AS148" s="103" t="s">
        <v>661</v>
      </c>
      <c r="AT148" s="55" t="s">
        <v>3107</v>
      </c>
      <c r="AU148" s="56" t="str">
        <f t="shared" si="21"/>
        <v>Terminado</v>
      </c>
      <c r="AV148" s="56" t="str">
        <f t="shared" si="22"/>
        <v>Terminado</v>
      </c>
      <c r="AW148" s="536"/>
      <c r="AX148" s="599"/>
      <c r="AY148" s="600"/>
      <c r="AZ148" s="536"/>
      <c r="BA148" s="536"/>
      <c r="BB148" s="56"/>
      <c r="BC148" s="56"/>
      <c r="BD148" s="583"/>
      <c r="BE148" s="787"/>
      <c r="BF148" s="787"/>
      <c r="BG148" s="583"/>
      <c r="BH148" s="787"/>
      <c r="BI148" s="787"/>
      <c r="BJ148" s="593"/>
      <c r="BK148" s="603"/>
      <c r="BL148" s="520"/>
      <c r="BM148" s="531"/>
      <c r="BN148" s="568"/>
      <c r="BO148" s="347">
        <v>1</v>
      </c>
      <c r="BP148" s="12" t="s">
        <v>541</v>
      </c>
      <c r="BQ148" s="12" t="s">
        <v>541</v>
      </c>
      <c r="BR148" s="5" t="str">
        <f t="shared" si="23"/>
        <v>Terminado</v>
      </c>
      <c r="BS148" s="5" t="str">
        <f t="shared" si="24"/>
        <v>Terminado</v>
      </c>
      <c r="BT148" s="573"/>
      <c r="BU148" s="561"/>
      <c r="BV148" s="562"/>
      <c r="BW148" s="610"/>
      <c r="BX148" s="610"/>
      <c r="BY148" s="573"/>
      <c r="BZ148" s="581"/>
      <c r="CA148" s="793"/>
      <c r="CB148" s="793"/>
      <c r="CC148" s="793"/>
      <c r="CD148" s="793"/>
      <c r="CE148" s="793"/>
      <c r="CF148" s="793"/>
      <c r="CG148" s="581"/>
      <c r="CH148" s="581"/>
      <c r="CI148" s="581"/>
      <c r="CJ148" s="581"/>
    </row>
    <row r="149" spans="2:88" ht="171.95" customHeight="1" x14ac:dyDescent="0.25">
      <c r="B149" s="1227"/>
      <c r="C149" s="639" t="s">
        <v>632</v>
      </c>
      <c r="D149" s="41" t="s">
        <v>633</v>
      </c>
      <c r="E149" s="41" t="s">
        <v>160</v>
      </c>
      <c r="F149" s="974" t="s">
        <v>634</v>
      </c>
      <c r="G149" s="41" t="s">
        <v>584</v>
      </c>
      <c r="H149" s="41" t="s">
        <v>28</v>
      </c>
      <c r="I149" s="41" t="s">
        <v>546</v>
      </c>
      <c r="J149" s="41" t="s">
        <v>47</v>
      </c>
      <c r="K149" s="641" t="s">
        <v>635</v>
      </c>
      <c r="L149" s="52" t="s">
        <v>164</v>
      </c>
      <c r="M149" s="42" t="s">
        <v>636</v>
      </c>
      <c r="N149" s="43" t="s">
        <v>637</v>
      </c>
      <c r="O149" s="147">
        <v>0.2</v>
      </c>
      <c r="P149" s="44">
        <v>44211</v>
      </c>
      <c r="Q149" s="44">
        <v>44316</v>
      </c>
      <c r="R149" s="170">
        <v>1</v>
      </c>
      <c r="S149" s="170">
        <v>1</v>
      </c>
      <c r="T149" s="170">
        <v>1</v>
      </c>
      <c r="U149" s="170">
        <v>1</v>
      </c>
      <c r="V149" s="172">
        <v>0.7</v>
      </c>
      <c r="W149" s="62" t="s">
        <v>638</v>
      </c>
      <c r="X149" s="63" t="s">
        <v>3108</v>
      </c>
      <c r="Y149" s="19" t="str">
        <f t="shared" si="19"/>
        <v>Terminado</v>
      </c>
      <c r="Z149" s="19" t="str">
        <f t="shared" si="20"/>
        <v>En gestión</v>
      </c>
      <c r="AA149" s="532" t="s">
        <v>651</v>
      </c>
      <c r="AB149" s="604">
        <f>SUMPRODUCT(O149:O152,V149:V152)</f>
        <v>0.13999999999999999</v>
      </c>
      <c r="AC149" s="597">
        <f>SUMPRODUCT(O149:O152,R149:R152)</f>
        <v>0.2</v>
      </c>
      <c r="AD149" s="611" t="str">
        <f>IF(AC149&lt;1%,"Sin iniciar",IF(AC149=100%,"Terminado","En gestión"))</f>
        <v>En gestión</v>
      </c>
      <c r="AE149" s="611" t="str">
        <f>IF(AB149&lt;1%,"Sin iniciar",IF(AB149=100%,"Terminado","En gestión"))</f>
        <v>En gestión</v>
      </c>
      <c r="AF149" s="66" t="s">
        <v>37</v>
      </c>
      <c r="AG149" s="783"/>
      <c r="AH149" s="783">
        <v>74680024</v>
      </c>
      <c r="AI149" s="783">
        <v>20367279</v>
      </c>
      <c r="AJ149" s="579">
        <v>67771168</v>
      </c>
      <c r="AK149" s="783">
        <v>3852200</v>
      </c>
      <c r="AL149" s="783">
        <v>700400</v>
      </c>
      <c r="AM149" s="592" t="s">
        <v>2460</v>
      </c>
      <c r="AN149" s="598" t="s">
        <v>2461</v>
      </c>
      <c r="AO149" s="521" t="s">
        <v>2462</v>
      </c>
      <c r="AP149" s="532" t="s">
        <v>2463</v>
      </c>
      <c r="AQ149" s="567">
        <f>4027300+27450787.5+36293080</f>
        <v>67771167.5</v>
      </c>
      <c r="AR149" s="1168">
        <v>1</v>
      </c>
      <c r="AS149" s="62" t="s">
        <v>662</v>
      </c>
      <c r="AT149" s="62" t="s">
        <v>3109</v>
      </c>
      <c r="AU149" s="66" t="str">
        <f t="shared" si="21"/>
        <v>Terminado</v>
      </c>
      <c r="AV149" s="66" t="str">
        <f t="shared" si="22"/>
        <v>Terminado</v>
      </c>
      <c r="AW149" s="532" t="s">
        <v>672</v>
      </c>
      <c r="AX149" s="706">
        <f>SUMPRODUCT(O149:O152,AR149:AR152)</f>
        <v>0.48000000000000004</v>
      </c>
      <c r="AY149" s="600">
        <f>SUMPRODUCT(S149:S152,O149:O152)</f>
        <v>0.48000000000000004</v>
      </c>
      <c r="AZ149" s="530" t="str">
        <f>IF(AY149&lt;1%,"Sin iniciar",IF(AY149=100%,"Terminado","En gestión"))</f>
        <v>En gestión</v>
      </c>
      <c r="BA149" s="530" t="str">
        <f>IF(AX149&lt;1%,"Sin iniciar",IF(AX149=100%,"Terminado","En gestión"))</f>
        <v>En gestión</v>
      </c>
      <c r="BB149" s="66"/>
      <c r="BC149" s="66"/>
      <c r="BD149" s="783">
        <v>74680024</v>
      </c>
      <c r="BE149" s="783">
        <v>74680024</v>
      </c>
      <c r="BF149" s="783">
        <v>40734558</v>
      </c>
      <c r="BG149" s="579">
        <v>67771168</v>
      </c>
      <c r="BH149" s="783">
        <v>3852200</v>
      </c>
      <c r="BI149" s="783" t="s">
        <v>2575</v>
      </c>
      <c r="BJ149" s="592" t="s">
        <v>2460</v>
      </c>
      <c r="BK149" s="598" t="s">
        <v>2461</v>
      </c>
      <c r="BL149" s="521" t="s">
        <v>2462</v>
      </c>
      <c r="BM149" s="532" t="s">
        <v>2463</v>
      </c>
      <c r="BN149" s="567" t="s">
        <v>2533</v>
      </c>
      <c r="BO149" s="347">
        <v>1</v>
      </c>
      <c r="BP149" s="25" t="s">
        <v>541</v>
      </c>
      <c r="BQ149" s="25" t="s">
        <v>541</v>
      </c>
      <c r="BR149" s="19" t="str">
        <f t="shared" si="23"/>
        <v>Terminado</v>
      </c>
      <c r="BS149" s="19" t="str">
        <f t="shared" si="24"/>
        <v>Terminado</v>
      </c>
      <c r="BT149" s="560" t="s">
        <v>3110</v>
      </c>
      <c r="BU149" s="714">
        <f>SUMPRODUCT(O149:O152,BO149:BO152)</f>
        <v>0.72000000000000008</v>
      </c>
      <c r="BV149" s="562">
        <f>SUMPRODUCT(O149:O152,T149:T152)</f>
        <v>0.72000000000000008</v>
      </c>
      <c r="BW149" s="611" t="str">
        <f>IF(BV149&lt;1%,"Sin iniciar",IF(BV149=100%,"Terminado","En gestión"))</f>
        <v>En gestión</v>
      </c>
      <c r="BX149" s="611" t="str">
        <f>IF(BU149&lt;1%,"Sin iniciar",IF(BU149=100%,"Terminado","En gestión"))</f>
        <v>En gestión</v>
      </c>
      <c r="BY149" s="578" t="s">
        <v>37</v>
      </c>
      <c r="BZ149" s="560" t="s">
        <v>3081</v>
      </c>
      <c r="CA149" s="788">
        <v>74680024</v>
      </c>
      <c r="CB149" s="788">
        <v>74680024</v>
      </c>
      <c r="CC149" s="788">
        <v>61101867</v>
      </c>
      <c r="CD149" s="788">
        <v>3852200</v>
      </c>
      <c r="CE149" s="788">
        <v>3852200</v>
      </c>
      <c r="CF149" s="788">
        <v>2101200</v>
      </c>
      <c r="CG149" s="560" t="s">
        <v>2571</v>
      </c>
      <c r="CH149" s="578" t="s">
        <v>2462</v>
      </c>
      <c r="CI149" s="578" t="s">
        <v>2463</v>
      </c>
      <c r="CJ149" s="578" t="s">
        <v>3082</v>
      </c>
    </row>
    <row r="150" spans="2:88" ht="171.95" customHeight="1" x14ac:dyDescent="0.25">
      <c r="B150" s="1227"/>
      <c r="C150" s="639"/>
      <c r="D150" s="41" t="s">
        <v>633</v>
      </c>
      <c r="E150" s="41" t="s">
        <v>160</v>
      </c>
      <c r="F150" s="975"/>
      <c r="G150" s="41" t="s">
        <v>584</v>
      </c>
      <c r="H150" s="41" t="s">
        <v>28</v>
      </c>
      <c r="I150" s="41" t="s">
        <v>546</v>
      </c>
      <c r="J150" s="41" t="s">
        <v>47</v>
      </c>
      <c r="K150" s="641"/>
      <c r="L150" s="52" t="s">
        <v>164</v>
      </c>
      <c r="M150" s="42" t="s">
        <v>639</v>
      </c>
      <c r="N150" s="43" t="s">
        <v>640</v>
      </c>
      <c r="O150" s="147">
        <v>0.2</v>
      </c>
      <c r="P150" s="44">
        <v>44317</v>
      </c>
      <c r="Q150" s="44">
        <v>44346</v>
      </c>
      <c r="R150" s="170">
        <v>0</v>
      </c>
      <c r="S150" s="170">
        <v>1</v>
      </c>
      <c r="T150" s="170">
        <v>1</v>
      </c>
      <c r="U150" s="170">
        <v>1</v>
      </c>
      <c r="V150" s="90">
        <v>0</v>
      </c>
      <c r="W150" s="66" t="s">
        <v>37</v>
      </c>
      <c r="X150" s="91" t="s">
        <v>37</v>
      </c>
      <c r="Y150" s="19" t="str">
        <f t="shared" si="19"/>
        <v>Sin iniciar</v>
      </c>
      <c r="Z150" s="19" t="str">
        <f t="shared" si="20"/>
        <v>Sin iniciar</v>
      </c>
      <c r="AA150" s="532"/>
      <c r="AB150" s="604"/>
      <c r="AC150" s="597"/>
      <c r="AD150" s="611"/>
      <c r="AE150" s="611"/>
      <c r="AF150" s="66" t="s">
        <v>37</v>
      </c>
      <c r="AG150" s="783"/>
      <c r="AH150" s="783"/>
      <c r="AI150" s="783"/>
      <c r="AJ150" s="579"/>
      <c r="AK150" s="783"/>
      <c r="AL150" s="783"/>
      <c r="AM150" s="592"/>
      <c r="AN150" s="598"/>
      <c r="AO150" s="521"/>
      <c r="AP150" s="532"/>
      <c r="AQ150" s="567"/>
      <c r="AR150" s="1163">
        <v>1</v>
      </c>
      <c r="AS150" s="62" t="s">
        <v>663</v>
      </c>
      <c r="AT150" s="62" t="s">
        <v>3111</v>
      </c>
      <c r="AU150" s="66" t="str">
        <f t="shared" si="21"/>
        <v>Terminado</v>
      </c>
      <c r="AV150" s="66" t="str">
        <f t="shared" si="22"/>
        <v>Terminado</v>
      </c>
      <c r="AW150" s="532"/>
      <c r="AX150" s="706"/>
      <c r="AY150" s="600"/>
      <c r="AZ150" s="530"/>
      <c r="BA150" s="530"/>
      <c r="BB150" s="66"/>
      <c r="BC150" s="66"/>
      <c r="BD150" s="783"/>
      <c r="BE150" s="783"/>
      <c r="BF150" s="783"/>
      <c r="BG150" s="579"/>
      <c r="BH150" s="783"/>
      <c r="BI150" s="783"/>
      <c r="BJ150" s="592"/>
      <c r="BK150" s="598"/>
      <c r="BL150" s="521"/>
      <c r="BM150" s="532"/>
      <c r="BN150" s="567"/>
      <c r="BO150" s="347">
        <v>1</v>
      </c>
      <c r="BP150" s="25" t="s">
        <v>541</v>
      </c>
      <c r="BQ150" s="25" t="s">
        <v>541</v>
      </c>
      <c r="BR150" s="19" t="str">
        <f t="shared" si="23"/>
        <v>Terminado</v>
      </c>
      <c r="BS150" s="19" t="str">
        <f>IF(BO150&lt;1%,"Sin iniciar",IF(BO150=100%,"Terminado","En gestión"))</f>
        <v>Terminado</v>
      </c>
      <c r="BT150" s="560"/>
      <c r="BU150" s="714"/>
      <c r="BV150" s="562"/>
      <c r="BW150" s="611"/>
      <c r="BX150" s="611"/>
      <c r="BY150" s="578"/>
      <c r="BZ150" s="560"/>
      <c r="CA150" s="788"/>
      <c r="CB150" s="788"/>
      <c r="CC150" s="788"/>
      <c r="CD150" s="788"/>
      <c r="CE150" s="788"/>
      <c r="CF150" s="788"/>
      <c r="CG150" s="560"/>
      <c r="CH150" s="578"/>
      <c r="CI150" s="578"/>
      <c r="CJ150" s="578"/>
    </row>
    <row r="151" spans="2:88" ht="171.95" customHeight="1" x14ac:dyDescent="0.25">
      <c r="B151" s="1227"/>
      <c r="C151" s="639"/>
      <c r="D151" s="41" t="s">
        <v>633</v>
      </c>
      <c r="E151" s="41" t="s">
        <v>160</v>
      </c>
      <c r="F151" s="975"/>
      <c r="G151" s="41" t="s">
        <v>584</v>
      </c>
      <c r="H151" s="41" t="s">
        <v>28</v>
      </c>
      <c r="I151" s="41" t="s">
        <v>546</v>
      </c>
      <c r="J151" s="41" t="s">
        <v>47</v>
      </c>
      <c r="K151" s="641"/>
      <c r="L151" s="52" t="s">
        <v>164</v>
      </c>
      <c r="M151" s="42" t="s">
        <v>641</v>
      </c>
      <c r="N151" s="43" t="s">
        <v>642</v>
      </c>
      <c r="O151" s="147">
        <v>0.4</v>
      </c>
      <c r="P151" s="44">
        <v>44348</v>
      </c>
      <c r="Q151" s="44">
        <v>44498</v>
      </c>
      <c r="R151" s="170">
        <v>0</v>
      </c>
      <c r="S151" s="170">
        <v>0.2</v>
      </c>
      <c r="T151" s="170">
        <v>0.8</v>
      </c>
      <c r="U151" s="170">
        <v>1</v>
      </c>
      <c r="V151" s="90">
        <v>0</v>
      </c>
      <c r="W151" s="66" t="s">
        <v>37</v>
      </c>
      <c r="X151" s="91" t="s">
        <v>37</v>
      </c>
      <c r="Y151" s="19" t="str">
        <f t="shared" si="19"/>
        <v>Sin iniciar</v>
      </c>
      <c r="Z151" s="19" t="str">
        <f t="shared" si="20"/>
        <v>Sin iniciar</v>
      </c>
      <c r="AA151" s="532"/>
      <c r="AB151" s="604"/>
      <c r="AC151" s="597"/>
      <c r="AD151" s="611"/>
      <c r="AE151" s="611"/>
      <c r="AF151" s="66" t="s">
        <v>37</v>
      </c>
      <c r="AG151" s="783"/>
      <c r="AH151" s="783"/>
      <c r="AI151" s="783"/>
      <c r="AJ151" s="579"/>
      <c r="AK151" s="783"/>
      <c r="AL151" s="783"/>
      <c r="AM151" s="592"/>
      <c r="AN151" s="598"/>
      <c r="AO151" s="521"/>
      <c r="AP151" s="532"/>
      <c r="AQ151" s="567"/>
      <c r="AR151" s="1163">
        <v>0.2</v>
      </c>
      <c r="AS151" s="62" t="s">
        <v>664</v>
      </c>
      <c r="AT151" s="62" t="s">
        <v>3112</v>
      </c>
      <c r="AU151" s="66" t="str">
        <f t="shared" si="21"/>
        <v>En gestión</v>
      </c>
      <c r="AV151" s="66" t="str">
        <f t="shared" si="22"/>
        <v>En gestión</v>
      </c>
      <c r="AW151" s="532"/>
      <c r="AX151" s="706"/>
      <c r="AY151" s="600"/>
      <c r="AZ151" s="530"/>
      <c r="BA151" s="530"/>
      <c r="BB151" s="66"/>
      <c r="BC151" s="66"/>
      <c r="BD151" s="783"/>
      <c r="BE151" s="783"/>
      <c r="BF151" s="783"/>
      <c r="BG151" s="579"/>
      <c r="BH151" s="783"/>
      <c r="BI151" s="783"/>
      <c r="BJ151" s="592"/>
      <c r="BK151" s="598"/>
      <c r="BL151" s="521"/>
      <c r="BM151" s="532"/>
      <c r="BN151" s="567"/>
      <c r="BO151" s="347">
        <v>0.8</v>
      </c>
      <c r="BP151" s="24" t="s">
        <v>3113</v>
      </c>
      <c r="BQ151" s="24" t="s">
        <v>3114</v>
      </c>
      <c r="BR151" s="19" t="str">
        <f t="shared" si="23"/>
        <v>En gestión</v>
      </c>
      <c r="BS151" s="19" t="str">
        <f t="shared" si="24"/>
        <v>En gestión</v>
      </c>
      <c r="BT151" s="560"/>
      <c r="BU151" s="714"/>
      <c r="BV151" s="562"/>
      <c r="BW151" s="611"/>
      <c r="BX151" s="611"/>
      <c r="BY151" s="578"/>
      <c r="BZ151" s="560"/>
      <c r="CA151" s="788"/>
      <c r="CB151" s="788"/>
      <c r="CC151" s="788"/>
      <c r="CD151" s="788"/>
      <c r="CE151" s="788"/>
      <c r="CF151" s="788"/>
      <c r="CG151" s="560"/>
      <c r="CH151" s="578"/>
      <c r="CI151" s="578"/>
      <c r="CJ151" s="578"/>
    </row>
    <row r="152" spans="2:88" ht="171.95" customHeight="1" x14ac:dyDescent="0.25">
      <c r="B152" s="1227"/>
      <c r="C152" s="639"/>
      <c r="D152" s="41" t="s">
        <v>633</v>
      </c>
      <c r="E152" s="41" t="s">
        <v>160</v>
      </c>
      <c r="F152" s="976"/>
      <c r="G152" s="41" t="s">
        <v>584</v>
      </c>
      <c r="H152" s="41" t="s">
        <v>28</v>
      </c>
      <c r="I152" s="41" t="s">
        <v>546</v>
      </c>
      <c r="J152" s="41" t="s">
        <v>47</v>
      </c>
      <c r="K152" s="641"/>
      <c r="L152" s="52" t="s">
        <v>164</v>
      </c>
      <c r="M152" s="42" t="s">
        <v>643</v>
      </c>
      <c r="N152" s="43" t="s">
        <v>644</v>
      </c>
      <c r="O152" s="147">
        <v>0.2</v>
      </c>
      <c r="P152" s="44">
        <v>44502</v>
      </c>
      <c r="Q152" s="44">
        <v>44545</v>
      </c>
      <c r="R152" s="170">
        <v>0</v>
      </c>
      <c r="S152" s="170">
        <v>0</v>
      </c>
      <c r="T152" s="170">
        <v>0</v>
      </c>
      <c r="U152" s="170">
        <v>1</v>
      </c>
      <c r="V152" s="90">
        <v>0</v>
      </c>
      <c r="W152" s="66" t="s">
        <v>37</v>
      </c>
      <c r="X152" s="91" t="s">
        <v>37</v>
      </c>
      <c r="Y152" s="19" t="str">
        <f t="shared" si="19"/>
        <v>Sin iniciar</v>
      </c>
      <c r="Z152" s="19" t="str">
        <f t="shared" si="20"/>
        <v>Sin iniciar</v>
      </c>
      <c r="AA152" s="532"/>
      <c r="AB152" s="604"/>
      <c r="AC152" s="597"/>
      <c r="AD152" s="611"/>
      <c r="AE152" s="611"/>
      <c r="AF152" s="66" t="s">
        <v>37</v>
      </c>
      <c r="AG152" s="783"/>
      <c r="AH152" s="783"/>
      <c r="AI152" s="783"/>
      <c r="AJ152" s="579"/>
      <c r="AK152" s="783"/>
      <c r="AL152" s="783"/>
      <c r="AM152" s="592"/>
      <c r="AN152" s="598"/>
      <c r="AO152" s="521"/>
      <c r="AP152" s="532"/>
      <c r="AQ152" s="567"/>
      <c r="AR152" s="1163">
        <v>0</v>
      </c>
      <c r="AS152" s="66" t="s">
        <v>2437</v>
      </c>
      <c r="AT152" s="66" t="s">
        <v>541</v>
      </c>
      <c r="AU152" s="66" t="str">
        <f t="shared" si="21"/>
        <v>Sin iniciar</v>
      </c>
      <c r="AV152" s="66" t="str">
        <f t="shared" si="22"/>
        <v>Sin iniciar</v>
      </c>
      <c r="AW152" s="532"/>
      <c r="AX152" s="706"/>
      <c r="AY152" s="600"/>
      <c r="AZ152" s="530"/>
      <c r="BA152" s="530"/>
      <c r="BB152" s="66"/>
      <c r="BC152" s="66"/>
      <c r="BD152" s="783"/>
      <c r="BE152" s="783"/>
      <c r="BF152" s="783"/>
      <c r="BG152" s="579"/>
      <c r="BH152" s="783"/>
      <c r="BI152" s="783"/>
      <c r="BJ152" s="592"/>
      <c r="BK152" s="598"/>
      <c r="BL152" s="521"/>
      <c r="BM152" s="532"/>
      <c r="BN152" s="567"/>
      <c r="BO152" s="347">
        <v>0</v>
      </c>
      <c r="BP152" s="25" t="s">
        <v>541</v>
      </c>
      <c r="BQ152" s="25" t="s">
        <v>541</v>
      </c>
      <c r="BR152" s="19" t="str">
        <f t="shared" si="23"/>
        <v>Sin iniciar</v>
      </c>
      <c r="BS152" s="19" t="str">
        <f t="shared" si="24"/>
        <v>Sin iniciar</v>
      </c>
      <c r="BT152" s="560"/>
      <c r="BU152" s="714"/>
      <c r="BV152" s="562"/>
      <c r="BW152" s="611"/>
      <c r="BX152" s="611"/>
      <c r="BY152" s="578"/>
      <c r="BZ152" s="560"/>
      <c r="CA152" s="788"/>
      <c r="CB152" s="788"/>
      <c r="CC152" s="788"/>
      <c r="CD152" s="788"/>
      <c r="CE152" s="788"/>
      <c r="CF152" s="788"/>
      <c r="CG152" s="560"/>
      <c r="CH152" s="578"/>
      <c r="CI152" s="578"/>
      <c r="CJ152" s="578"/>
    </row>
    <row r="153" spans="2:88" ht="171.95" customHeight="1" x14ac:dyDescent="0.25">
      <c r="B153" s="1227" t="s">
        <v>5223</v>
      </c>
      <c r="C153" s="700" t="s">
        <v>673</v>
      </c>
      <c r="D153" s="33" t="s">
        <v>233</v>
      </c>
      <c r="E153" s="33" t="s">
        <v>160</v>
      </c>
      <c r="F153" s="633" t="s">
        <v>674</v>
      </c>
      <c r="G153" s="33" t="s">
        <v>28</v>
      </c>
      <c r="H153" s="33" t="s">
        <v>28</v>
      </c>
      <c r="I153" s="33" t="s">
        <v>269</v>
      </c>
      <c r="J153" s="33" t="s">
        <v>47</v>
      </c>
      <c r="K153" s="634" t="s">
        <v>675</v>
      </c>
      <c r="L153" s="51" t="s">
        <v>164</v>
      </c>
      <c r="M153" s="34" t="s">
        <v>676</v>
      </c>
      <c r="N153" s="35" t="s">
        <v>677</v>
      </c>
      <c r="O153" s="33">
        <v>0.35</v>
      </c>
      <c r="P153" s="36">
        <v>44201</v>
      </c>
      <c r="Q153" s="36">
        <v>44270</v>
      </c>
      <c r="R153" s="37">
        <v>1</v>
      </c>
      <c r="S153" s="37">
        <v>1</v>
      </c>
      <c r="T153" s="37">
        <v>1</v>
      </c>
      <c r="U153" s="37">
        <v>1</v>
      </c>
      <c r="V153" s="173">
        <v>0</v>
      </c>
      <c r="W153" s="13" t="s">
        <v>678</v>
      </c>
      <c r="X153" s="56" t="s">
        <v>37</v>
      </c>
      <c r="Y153" s="5" t="str">
        <f>IF(R153&lt;1%,"Sin iniciar",IF(R153=100%,"Terminado","En gestión"))</f>
        <v>Terminado</v>
      </c>
      <c r="Z153" s="5" t="str">
        <f>IF(V153&lt;1%,"Sin iniciar",IF(V153=100%,"Terminado","En gestión"))</f>
        <v>Sin iniciar</v>
      </c>
      <c r="AA153" s="531" t="s">
        <v>695</v>
      </c>
      <c r="AB153" s="596">
        <f>SUMPRODUCT(O153:O155,V153:V155)</f>
        <v>8.7499999999999994E-2</v>
      </c>
      <c r="AC153" s="597">
        <f>SUMPRODUCT(O153:O155,R153:R155)</f>
        <v>0.4375</v>
      </c>
      <c r="AD153" s="610" t="str">
        <f>IF(AC153&lt;1%,"Sin iniciar",IF(AC153=100%,"Terminado","En gestión"))</f>
        <v>En gestión</v>
      </c>
      <c r="AE153" s="610" t="str">
        <f>IF(Z153&lt;1%,"Sin iniciar",IF(Z153=100%,"Terminado","En gestión"))</f>
        <v>En gestión</v>
      </c>
      <c r="AF153" s="704"/>
      <c r="AG153" s="704">
        <v>85000000</v>
      </c>
      <c r="AH153" s="704">
        <v>85000000</v>
      </c>
      <c r="AI153" s="704">
        <f>+AH153/4</f>
        <v>21250000</v>
      </c>
      <c r="AJ153" s="704">
        <v>50750000</v>
      </c>
      <c r="AK153" s="704">
        <v>37960000</v>
      </c>
      <c r="AL153" s="704">
        <v>37960000</v>
      </c>
      <c r="AM153" s="794" t="s">
        <v>2460</v>
      </c>
      <c r="AN153" s="795" t="s">
        <v>2461</v>
      </c>
      <c r="AO153" s="777" t="s">
        <v>2462</v>
      </c>
      <c r="AP153" s="708" t="s">
        <v>2463</v>
      </c>
      <c r="AQ153" s="660">
        <f>+AK153</f>
        <v>37960000</v>
      </c>
      <c r="AR153" s="1163">
        <v>1</v>
      </c>
      <c r="AS153" s="13" t="s">
        <v>697</v>
      </c>
      <c r="AT153" s="56"/>
      <c r="AU153" s="56" t="str">
        <f t="shared" ref="AU153:AU184" si="25">IF(S153&lt;1%,"Sin iniciar",IF(S153=100%,"Terminado","En gestión"))</f>
        <v>Terminado</v>
      </c>
      <c r="AV153" s="56" t="str">
        <f t="shared" ref="AV153:AV184" si="26">IF(AR153&lt;1%,"Sin iniciar",IF(AR153=100%,"Terminado","En gestión"))</f>
        <v>Terminado</v>
      </c>
      <c r="AW153" s="531" t="s">
        <v>701</v>
      </c>
      <c r="AX153" s="599">
        <f>SUMPRODUCT(O153:O155,AR153:AR155)</f>
        <v>0.53649999999999998</v>
      </c>
      <c r="AY153" s="600">
        <f>SUMPRODUCT(S153:S155,O153:O155)</f>
        <v>0.62399999999999989</v>
      </c>
      <c r="AZ153" s="536" t="str">
        <f>IF(AY153&lt;1%,"Sin iniciar",IF(AY153=100%,"Terminado","En gestión"))</f>
        <v>En gestión</v>
      </c>
      <c r="BA153" s="536" t="str">
        <f>IF(AX153&lt;1%,"Sin iniciar",IF(AX153=100%,"Terminado","En gestión"))</f>
        <v>En gestión</v>
      </c>
      <c r="BB153" s="704"/>
      <c r="BC153" s="704"/>
      <c r="BD153" s="704">
        <v>85000000</v>
      </c>
      <c r="BE153" s="704">
        <v>85000000</v>
      </c>
      <c r="BF153" s="704">
        <f>21250000*2</f>
        <v>42500000</v>
      </c>
      <c r="BG153" s="704">
        <v>37960000</v>
      </c>
      <c r="BH153" s="704">
        <v>61585416</v>
      </c>
      <c r="BI153" s="704">
        <v>15122416</v>
      </c>
      <c r="BJ153" s="794" t="s">
        <v>2460</v>
      </c>
      <c r="BK153" s="777" t="s">
        <v>2462</v>
      </c>
      <c r="BL153" s="708" t="s">
        <v>2463</v>
      </c>
      <c r="BM153" s="531" t="s">
        <v>2638</v>
      </c>
      <c r="BN153" s="60"/>
      <c r="BO153" s="347">
        <v>1</v>
      </c>
      <c r="BP153" s="11" t="s">
        <v>3115</v>
      </c>
      <c r="BQ153" s="11" t="s">
        <v>3116</v>
      </c>
      <c r="BR153" s="5" t="str">
        <f t="shared" ref="BR153:BR184" si="27">IF(T153&lt;1%,"Sin iniciar",IF(T153=100%,"Terminado","En gestión"))</f>
        <v>Terminado</v>
      </c>
      <c r="BS153" s="5" t="str">
        <f>IF(BO153&lt;1%,"Sin iniciar",IF(BO153=100%,"Terminado","En gestión"))</f>
        <v>Terminado</v>
      </c>
      <c r="BT153" s="573" t="s">
        <v>3117</v>
      </c>
      <c r="BU153" s="561">
        <f>SUMPRODUCT(O153:O155,BO153:BO155)</f>
        <v>0.89800000000000002</v>
      </c>
      <c r="BV153" s="562">
        <f>SUMPRODUCT(O153:O155,T153:T155)</f>
        <v>0.8105</v>
      </c>
      <c r="BW153" s="610" t="str">
        <f>IF(BV153&lt;1%,"Sin iniciar",IF(BV153=100%,"Terminado","En gestión"))</f>
        <v>En gestión</v>
      </c>
      <c r="BX153" s="610" t="str">
        <f>IF(BU153&lt;1%,"Sin iniciar",IF(BU153=100%,"Terminado","En gestión"))</f>
        <v>En gestión</v>
      </c>
      <c r="BY153" s="573" t="s">
        <v>37</v>
      </c>
      <c r="BZ153" s="573" t="s">
        <v>1555</v>
      </c>
      <c r="CA153" s="574">
        <v>85000000</v>
      </c>
      <c r="CB153" s="574">
        <v>85000000</v>
      </c>
      <c r="CC153" s="574">
        <v>68850000</v>
      </c>
      <c r="CD153" s="574">
        <v>37960000</v>
      </c>
      <c r="CE153" s="574">
        <v>61585416</v>
      </c>
      <c r="CF153" s="574">
        <v>46189062</v>
      </c>
      <c r="CG153" s="574" t="s">
        <v>2460</v>
      </c>
      <c r="CH153" s="574" t="s">
        <v>2462</v>
      </c>
      <c r="CI153" s="574" t="s">
        <v>2463</v>
      </c>
      <c r="CJ153" s="574" t="s">
        <v>2638</v>
      </c>
    </row>
    <row r="154" spans="2:88" ht="171.95" customHeight="1" x14ac:dyDescent="0.25">
      <c r="B154" s="1227"/>
      <c r="C154" s="700"/>
      <c r="D154" s="33" t="s">
        <v>233</v>
      </c>
      <c r="E154" s="33" t="s">
        <v>160</v>
      </c>
      <c r="F154" s="633"/>
      <c r="G154" s="33" t="s">
        <v>28</v>
      </c>
      <c r="H154" s="33" t="s">
        <v>28</v>
      </c>
      <c r="I154" s="33" t="s">
        <v>269</v>
      </c>
      <c r="J154" s="33" t="s">
        <v>47</v>
      </c>
      <c r="K154" s="634"/>
      <c r="L154" s="51" t="s">
        <v>164</v>
      </c>
      <c r="M154" s="34" t="s">
        <v>679</v>
      </c>
      <c r="N154" s="35" t="s">
        <v>680</v>
      </c>
      <c r="O154" s="33">
        <v>0.3</v>
      </c>
      <c r="P154" s="36">
        <v>44271</v>
      </c>
      <c r="Q154" s="36">
        <v>44560</v>
      </c>
      <c r="R154" s="37">
        <v>0</v>
      </c>
      <c r="S154" s="37">
        <v>0.33</v>
      </c>
      <c r="T154" s="37">
        <v>0.66</v>
      </c>
      <c r="U154" s="37">
        <v>1</v>
      </c>
      <c r="V154" s="173">
        <v>0</v>
      </c>
      <c r="W154" s="13" t="s">
        <v>681</v>
      </c>
      <c r="X154" s="56" t="s">
        <v>37</v>
      </c>
      <c r="Y154" s="5" t="str">
        <f>IF(R154&lt;1%,"Sin iniciar",IF(R154=100%,"Terminado","En gestión"))</f>
        <v>Sin iniciar</v>
      </c>
      <c r="Z154" s="5" t="str">
        <f>IF(V154&lt;1%,"Sin iniciar",IF(V154=100%,"Terminado","En gestión"))</f>
        <v>Sin iniciar</v>
      </c>
      <c r="AA154" s="531"/>
      <c r="AB154" s="596"/>
      <c r="AC154" s="597"/>
      <c r="AD154" s="610"/>
      <c r="AE154" s="610"/>
      <c r="AF154" s="704"/>
      <c r="AG154" s="704"/>
      <c r="AH154" s="704"/>
      <c r="AI154" s="704"/>
      <c r="AJ154" s="704"/>
      <c r="AK154" s="704"/>
      <c r="AL154" s="704"/>
      <c r="AM154" s="794"/>
      <c r="AN154" s="795"/>
      <c r="AO154" s="777"/>
      <c r="AP154" s="708"/>
      <c r="AQ154" s="536"/>
      <c r="AR154" s="1163">
        <v>0.33</v>
      </c>
      <c r="AS154" s="13" t="s">
        <v>698</v>
      </c>
      <c r="AT154" s="56"/>
      <c r="AU154" s="56" t="str">
        <f t="shared" si="25"/>
        <v>En gestión</v>
      </c>
      <c r="AV154" s="56" t="str">
        <f t="shared" si="26"/>
        <v>En gestión</v>
      </c>
      <c r="AW154" s="531"/>
      <c r="AX154" s="599"/>
      <c r="AY154" s="600"/>
      <c r="AZ154" s="536"/>
      <c r="BA154" s="536"/>
      <c r="BB154" s="704"/>
      <c r="BC154" s="704"/>
      <c r="BD154" s="704"/>
      <c r="BE154" s="704"/>
      <c r="BF154" s="704"/>
      <c r="BG154" s="704"/>
      <c r="BH154" s="704"/>
      <c r="BI154" s="704"/>
      <c r="BJ154" s="794"/>
      <c r="BK154" s="777"/>
      <c r="BL154" s="708"/>
      <c r="BM154" s="531"/>
      <c r="BN154" s="60"/>
      <c r="BO154" s="347">
        <v>0.66</v>
      </c>
      <c r="BP154" s="11" t="s">
        <v>3118</v>
      </c>
      <c r="BQ154" s="11" t="s">
        <v>3116</v>
      </c>
      <c r="BR154" s="5" t="str">
        <f t="shared" si="27"/>
        <v>En gestión</v>
      </c>
      <c r="BS154" s="5" t="str">
        <f>IF(BO154&lt;1%,"Sin iniciar",IF(BO154=100%,"Terminado","En gestión"))</f>
        <v>En gestión</v>
      </c>
      <c r="BT154" s="573"/>
      <c r="BU154" s="561"/>
      <c r="BV154" s="562"/>
      <c r="BW154" s="610"/>
      <c r="BX154" s="610"/>
      <c r="BY154" s="573"/>
      <c r="BZ154" s="573"/>
      <c r="CA154" s="574"/>
      <c r="CB154" s="574"/>
      <c r="CC154" s="574"/>
      <c r="CD154" s="574"/>
      <c r="CE154" s="574"/>
      <c r="CF154" s="574"/>
      <c r="CG154" s="574"/>
      <c r="CH154" s="574"/>
      <c r="CI154" s="574"/>
      <c r="CJ154" s="574"/>
    </row>
    <row r="155" spans="2:88" ht="171.95" customHeight="1" x14ac:dyDescent="0.25">
      <c r="B155" s="1227"/>
      <c r="C155" s="700"/>
      <c r="D155" s="33" t="s">
        <v>233</v>
      </c>
      <c r="E155" s="33" t="s">
        <v>160</v>
      </c>
      <c r="F155" s="633"/>
      <c r="G155" s="33" t="s">
        <v>28</v>
      </c>
      <c r="H155" s="33" t="s">
        <v>28</v>
      </c>
      <c r="I155" s="33" t="s">
        <v>269</v>
      </c>
      <c r="J155" s="33" t="s">
        <v>47</v>
      </c>
      <c r="K155" s="634"/>
      <c r="L155" s="51" t="s">
        <v>164</v>
      </c>
      <c r="M155" s="34" t="s">
        <v>682</v>
      </c>
      <c r="N155" s="35" t="s">
        <v>683</v>
      </c>
      <c r="O155" s="33">
        <v>0.35</v>
      </c>
      <c r="P155" s="36">
        <v>44201</v>
      </c>
      <c r="Q155" s="36">
        <v>44560</v>
      </c>
      <c r="R155" s="37">
        <v>0.25</v>
      </c>
      <c r="S155" s="37">
        <v>0.5</v>
      </c>
      <c r="T155" s="37">
        <v>0.75</v>
      </c>
      <c r="U155" s="37">
        <v>1</v>
      </c>
      <c r="V155" s="174">
        <v>0.25</v>
      </c>
      <c r="W155" s="56" t="s">
        <v>684</v>
      </c>
      <c r="X155" s="56" t="s">
        <v>37</v>
      </c>
      <c r="Y155" s="5" t="str">
        <f>IF(R155&lt;1%,"Sin iniciar",IF(R155=100%,"Terminado","En gestión"))</f>
        <v>En gestión</v>
      </c>
      <c r="Z155" s="5" t="str">
        <f>IF(V155&lt;1%,"Sin iniciar",IF(V155=100%,"Terminado","En gestión"))</f>
        <v>En gestión</v>
      </c>
      <c r="AA155" s="531"/>
      <c r="AB155" s="596"/>
      <c r="AC155" s="597"/>
      <c r="AD155" s="610"/>
      <c r="AE155" s="610"/>
      <c r="AF155" s="704"/>
      <c r="AG155" s="704"/>
      <c r="AH155" s="704"/>
      <c r="AI155" s="704"/>
      <c r="AJ155" s="704"/>
      <c r="AK155" s="704"/>
      <c r="AL155" s="704"/>
      <c r="AM155" s="794"/>
      <c r="AN155" s="795"/>
      <c r="AO155" s="777"/>
      <c r="AP155" s="708"/>
      <c r="AQ155" s="536"/>
      <c r="AR155" s="1164">
        <v>0.25</v>
      </c>
      <c r="AS155" s="56" t="s">
        <v>684</v>
      </c>
      <c r="AT155" s="175"/>
      <c r="AU155" s="56" t="str">
        <f t="shared" si="25"/>
        <v>En gestión</v>
      </c>
      <c r="AV155" s="56" t="str">
        <f t="shared" si="26"/>
        <v>En gestión</v>
      </c>
      <c r="AW155" s="531"/>
      <c r="AX155" s="599"/>
      <c r="AY155" s="600"/>
      <c r="AZ155" s="536"/>
      <c r="BA155" s="536"/>
      <c r="BB155" s="704"/>
      <c r="BC155" s="704"/>
      <c r="BD155" s="704"/>
      <c r="BE155" s="704"/>
      <c r="BF155" s="704"/>
      <c r="BG155" s="704"/>
      <c r="BH155" s="704"/>
      <c r="BI155" s="704"/>
      <c r="BJ155" s="794"/>
      <c r="BK155" s="777"/>
      <c r="BL155" s="708"/>
      <c r="BM155" s="531"/>
      <c r="BN155" s="60"/>
      <c r="BO155" s="347">
        <v>1</v>
      </c>
      <c r="BP155" s="11" t="s">
        <v>5207</v>
      </c>
      <c r="BQ155" s="13" t="s">
        <v>3119</v>
      </c>
      <c r="BR155" s="5" t="str">
        <f t="shared" si="27"/>
        <v>En gestión</v>
      </c>
      <c r="BS155" s="5" t="str">
        <f>IF(BO155&lt;1%,"Sin iniciar",IF(BO155=100%,"Terminado","En gestión"))</f>
        <v>Terminado</v>
      </c>
      <c r="BT155" s="573"/>
      <c r="BU155" s="561"/>
      <c r="BV155" s="562"/>
      <c r="BW155" s="610"/>
      <c r="BX155" s="610"/>
      <c r="BY155" s="573"/>
      <c r="BZ155" s="573"/>
      <c r="CA155" s="574"/>
      <c r="CB155" s="574"/>
      <c r="CC155" s="574"/>
      <c r="CD155" s="574"/>
      <c r="CE155" s="574"/>
      <c r="CF155" s="574"/>
      <c r="CG155" s="574"/>
      <c r="CH155" s="574"/>
      <c r="CI155" s="574"/>
      <c r="CJ155" s="574"/>
    </row>
    <row r="156" spans="2:88" ht="171.95" customHeight="1" x14ac:dyDescent="0.25">
      <c r="B156" s="1227"/>
      <c r="C156" s="710" t="s">
        <v>685</v>
      </c>
      <c r="D156" s="41" t="s">
        <v>686</v>
      </c>
      <c r="E156" s="41" t="s">
        <v>26</v>
      </c>
      <c r="F156" s="640" t="s">
        <v>687</v>
      </c>
      <c r="G156" s="41" t="s">
        <v>28</v>
      </c>
      <c r="H156" s="41" t="s">
        <v>28</v>
      </c>
      <c r="I156" s="41" t="s">
        <v>269</v>
      </c>
      <c r="J156" s="41" t="s">
        <v>47</v>
      </c>
      <c r="K156" s="641" t="s">
        <v>688</v>
      </c>
      <c r="L156" s="52" t="s">
        <v>164</v>
      </c>
      <c r="M156" s="42" t="s">
        <v>689</v>
      </c>
      <c r="N156" s="43" t="s">
        <v>690</v>
      </c>
      <c r="O156" s="41">
        <v>0.5</v>
      </c>
      <c r="P156" s="44">
        <v>44201</v>
      </c>
      <c r="Q156" s="44">
        <v>44560</v>
      </c>
      <c r="R156" s="45">
        <v>0.25</v>
      </c>
      <c r="S156" s="45">
        <v>0.5</v>
      </c>
      <c r="T156" s="45">
        <v>0.75</v>
      </c>
      <c r="U156" s="45">
        <v>1</v>
      </c>
      <c r="V156" s="173">
        <v>0.25</v>
      </c>
      <c r="W156" s="62" t="s">
        <v>691</v>
      </c>
      <c r="X156" s="176" t="s">
        <v>3120</v>
      </c>
      <c r="Y156" s="19" t="str">
        <f>IF(R156&lt;1%,"Sin iniciar",IF(R156=100%,"Terminado","En gestión"))</f>
        <v>En gestión</v>
      </c>
      <c r="Z156" s="19" t="str">
        <f>IF(V156&lt;1%,"Sin iniciar",IF(V156=100%,"Terminado","En gestión"))</f>
        <v>En gestión</v>
      </c>
      <c r="AA156" s="532" t="s">
        <v>696</v>
      </c>
      <c r="AB156" s="596">
        <f>SUMPRODUCT(O156:O157,V156:V157)</f>
        <v>0.25</v>
      </c>
      <c r="AC156" s="597">
        <f>SUMPRODUCT(O156:O157,R156:R157)</f>
        <v>0.25</v>
      </c>
      <c r="AD156" s="611" t="str">
        <f>IF(AC156&lt;1%,"Sin iniciar",IF(AC156=100%,"Terminado","En gestión"))</f>
        <v>En gestión</v>
      </c>
      <c r="AE156" s="611" t="str">
        <f>IF(Z155&lt;1%,"Sin iniciar",IF(Z155=100%,"Terminado","En gestión"))</f>
        <v>En gestión</v>
      </c>
      <c r="AF156" s="715"/>
      <c r="AG156" s="715">
        <v>54000000</v>
      </c>
      <c r="AH156" s="715">
        <v>54000000</v>
      </c>
      <c r="AI156" s="715">
        <f>+AH156/4</f>
        <v>13500000</v>
      </c>
      <c r="AJ156" s="715">
        <v>173500000</v>
      </c>
      <c r="AK156" s="177">
        <f>+AJ156-69000000-10835416</f>
        <v>93664584</v>
      </c>
      <c r="AL156" s="177">
        <v>91000000</v>
      </c>
      <c r="AM156" s="178" t="s">
        <v>2460</v>
      </c>
      <c r="AN156" s="796" t="s">
        <v>2461</v>
      </c>
      <c r="AO156" s="122" t="s">
        <v>2462</v>
      </c>
      <c r="AP156" s="179" t="s">
        <v>2463</v>
      </c>
      <c r="AQ156" s="180">
        <f>+AK156</f>
        <v>93664584</v>
      </c>
      <c r="AR156" s="1163">
        <v>0.5</v>
      </c>
      <c r="AS156" s="62" t="s">
        <v>699</v>
      </c>
      <c r="AT156" s="176" t="s">
        <v>3121</v>
      </c>
      <c r="AU156" s="66" t="str">
        <f t="shared" si="25"/>
        <v>En gestión</v>
      </c>
      <c r="AV156" s="66" t="str">
        <f t="shared" si="26"/>
        <v>En gestión</v>
      </c>
      <c r="AW156" s="532" t="s">
        <v>702</v>
      </c>
      <c r="AX156" s="599">
        <f>SUMPRODUCT(O156:O157,AR156:AR157)</f>
        <v>0.5</v>
      </c>
      <c r="AY156" s="600">
        <f>SUMPRODUCT(S156:S157,O156:O157)</f>
        <v>0.5</v>
      </c>
      <c r="AZ156" s="530" t="str">
        <f>IF(AY156&lt;1%,"Sin iniciar",IF(AY156=100%,"Terminado","En gestión"))</f>
        <v>En gestión</v>
      </c>
      <c r="BA156" s="530" t="str">
        <f>IF(AX156&lt;1%,"Sin iniciar",IF(AX156=100%,"Terminado","En gestión"))</f>
        <v>En gestión</v>
      </c>
      <c r="BB156" s="715"/>
      <c r="BC156" s="715"/>
      <c r="BD156" s="715">
        <v>54000000</v>
      </c>
      <c r="BE156" s="715">
        <v>54000000</v>
      </c>
      <c r="BF156" s="715">
        <f>13500000*2</f>
        <v>27000000</v>
      </c>
      <c r="BG156" s="715">
        <v>173500000</v>
      </c>
      <c r="BH156" s="177">
        <f>+BG156-69000000-10835416</f>
        <v>93664584</v>
      </c>
      <c r="BI156" s="177">
        <v>91000000</v>
      </c>
      <c r="BJ156" s="178" t="s">
        <v>2460</v>
      </c>
      <c r="BK156" s="122" t="s">
        <v>2462</v>
      </c>
      <c r="BL156" s="179" t="s">
        <v>2463</v>
      </c>
      <c r="BM156" s="62" t="s">
        <v>2531</v>
      </c>
      <c r="BN156" s="50"/>
      <c r="BO156" s="347">
        <v>0.75</v>
      </c>
      <c r="BP156" s="24" t="s">
        <v>3122</v>
      </c>
      <c r="BQ156" s="24" t="s">
        <v>3123</v>
      </c>
      <c r="BR156" s="19" t="str">
        <f t="shared" si="27"/>
        <v>En gestión</v>
      </c>
      <c r="BS156" s="19" t="str">
        <f>IF(BO156&lt;1%,"Sin iniciar",IF(BO156=100%,"Terminado","En gestión"))</f>
        <v>En gestión</v>
      </c>
      <c r="BT156" s="578" t="s">
        <v>3117</v>
      </c>
      <c r="BU156" s="561">
        <f>SUMPRODUCT(O156:O157,BO156:BO157)</f>
        <v>0.75</v>
      </c>
      <c r="BV156" s="562">
        <f>SUMPRODUCT(O156:O157,T156:T157)</f>
        <v>0.75</v>
      </c>
      <c r="BW156" s="611" t="str">
        <f>IF(BV156&lt;1%,"Sin iniciar",IF(BV156=100%,"Terminado","En gestión"))</f>
        <v>En gestión</v>
      </c>
      <c r="BX156" s="611" t="str">
        <f>IF(BU156&lt;1%,"Sin iniciar",IF(BU156=100%,"Terminado","En gestión"))</f>
        <v>En gestión</v>
      </c>
      <c r="BY156" s="578" t="s">
        <v>37</v>
      </c>
      <c r="BZ156" s="578" t="s">
        <v>1555</v>
      </c>
      <c r="CA156" s="715">
        <v>54000000</v>
      </c>
      <c r="CB156" s="715">
        <v>54000000</v>
      </c>
      <c r="CC156" s="715">
        <f>13500000*3</f>
        <v>40500000</v>
      </c>
      <c r="CD156" s="715">
        <v>173500000</v>
      </c>
      <c r="CE156" s="177">
        <f>+CD156-69000000-10835416</f>
        <v>93664584</v>
      </c>
      <c r="CF156" s="177">
        <v>91000000</v>
      </c>
      <c r="CG156" s="178" t="s">
        <v>2460</v>
      </c>
      <c r="CH156" s="122" t="s">
        <v>2462</v>
      </c>
      <c r="CI156" s="179" t="s">
        <v>2463</v>
      </c>
      <c r="CJ156" s="62" t="s">
        <v>2531</v>
      </c>
    </row>
    <row r="157" spans="2:88" ht="171.95" customHeight="1" x14ac:dyDescent="0.25">
      <c r="B157" s="1227"/>
      <c r="C157" s="710"/>
      <c r="D157" s="41" t="s">
        <v>686</v>
      </c>
      <c r="E157" s="41" t="s">
        <v>26</v>
      </c>
      <c r="F157" s="640"/>
      <c r="G157" s="41" t="s">
        <v>28</v>
      </c>
      <c r="H157" s="41" t="s">
        <v>28</v>
      </c>
      <c r="I157" s="41" t="s">
        <v>269</v>
      </c>
      <c r="J157" s="41" t="s">
        <v>47</v>
      </c>
      <c r="K157" s="641"/>
      <c r="L157" s="52" t="s">
        <v>164</v>
      </c>
      <c r="M157" s="42" t="s">
        <v>692</v>
      </c>
      <c r="N157" s="43" t="s">
        <v>693</v>
      </c>
      <c r="O157" s="41">
        <v>0.5</v>
      </c>
      <c r="P157" s="44">
        <v>44201</v>
      </c>
      <c r="Q157" s="44">
        <v>44560</v>
      </c>
      <c r="R157" s="45">
        <v>0.25</v>
      </c>
      <c r="S157" s="45">
        <v>0.5</v>
      </c>
      <c r="T157" s="45">
        <v>0.75</v>
      </c>
      <c r="U157" s="45">
        <v>1</v>
      </c>
      <c r="V157" s="173">
        <v>0.25</v>
      </c>
      <c r="W157" s="62" t="s">
        <v>694</v>
      </c>
      <c r="X157" s="181" t="s">
        <v>3124</v>
      </c>
      <c r="Y157" s="19" t="str">
        <f>IF(R157&lt;1%,"Sin iniciar",IF(R157=100%,"Terminado","En gestión"))</f>
        <v>En gestión</v>
      </c>
      <c r="Z157" s="19" t="str">
        <f>IF(V157&lt;1%,"Sin iniciar",IF(V157=100%,"Terminado","En gestión"))</f>
        <v>En gestión</v>
      </c>
      <c r="AA157" s="532"/>
      <c r="AB157" s="596"/>
      <c r="AC157" s="597"/>
      <c r="AD157" s="611"/>
      <c r="AE157" s="611"/>
      <c r="AF157" s="715"/>
      <c r="AG157" s="715"/>
      <c r="AH157" s="715"/>
      <c r="AI157" s="715"/>
      <c r="AJ157" s="715"/>
      <c r="AK157" s="177">
        <v>69000000</v>
      </c>
      <c r="AL157" s="182">
        <v>0</v>
      </c>
      <c r="AM157" s="178" t="s">
        <v>2639</v>
      </c>
      <c r="AN157" s="796"/>
      <c r="AO157" s="122" t="s">
        <v>2640</v>
      </c>
      <c r="AP157" s="179" t="s">
        <v>2641</v>
      </c>
      <c r="AQ157" s="180">
        <f>+AK157</f>
        <v>69000000</v>
      </c>
      <c r="AR157" s="1163">
        <v>0.5</v>
      </c>
      <c r="AS157" s="62" t="s">
        <v>700</v>
      </c>
      <c r="AT157" s="183" t="s">
        <v>3125</v>
      </c>
      <c r="AU157" s="66" t="str">
        <f t="shared" si="25"/>
        <v>En gestión</v>
      </c>
      <c r="AV157" s="66" t="str">
        <f t="shared" si="26"/>
        <v>En gestión</v>
      </c>
      <c r="AW157" s="532"/>
      <c r="AX157" s="599"/>
      <c r="AY157" s="600"/>
      <c r="AZ157" s="530"/>
      <c r="BA157" s="530"/>
      <c r="BB157" s="715"/>
      <c r="BC157" s="715"/>
      <c r="BD157" s="715"/>
      <c r="BE157" s="715"/>
      <c r="BF157" s="715"/>
      <c r="BG157" s="715"/>
      <c r="BH157" s="177">
        <v>69000000</v>
      </c>
      <c r="BI157" s="182">
        <v>26950000</v>
      </c>
      <c r="BJ157" s="178" t="s">
        <v>2639</v>
      </c>
      <c r="BK157" s="122" t="s">
        <v>2640</v>
      </c>
      <c r="BL157" s="179" t="s">
        <v>2641</v>
      </c>
      <c r="BM157" s="62" t="s">
        <v>2642</v>
      </c>
      <c r="BN157" s="50"/>
      <c r="BO157" s="347">
        <v>0.75</v>
      </c>
      <c r="BP157" s="24" t="s">
        <v>3126</v>
      </c>
      <c r="BQ157" s="24" t="s">
        <v>3123</v>
      </c>
      <c r="BR157" s="19" t="str">
        <f t="shared" si="27"/>
        <v>En gestión</v>
      </c>
      <c r="BS157" s="19" t="str">
        <f>IF(BO157&lt;1%,"Sin iniciar",IF(BO157=100%,"Terminado","En gestión"))</f>
        <v>En gestión</v>
      </c>
      <c r="BT157" s="578"/>
      <c r="BU157" s="561"/>
      <c r="BV157" s="562"/>
      <c r="BW157" s="611"/>
      <c r="BX157" s="611"/>
      <c r="BY157" s="578"/>
      <c r="BZ157" s="578"/>
      <c r="CA157" s="715"/>
      <c r="CB157" s="715"/>
      <c r="CC157" s="715"/>
      <c r="CD157" s="715"/>
      <c r="CE157" s="177">
        <v>69000000</v>
      </c>
      <c r="CF157" s="182">
        <v>26950000</v>
      </c>
      <c r="CG157" s="178" t="s">
        <v>2639</v>
      </c>
      <c r="CH157" s="122" t="s">
        <v>2640</v>
      </c>
      <c r="CI157" s="179" t="s">
        <v>2641</v>
      </c>
      <c r="CJ157" s="62" t="s">
        <v>2642</v>
      </c>
    </row>
    <row r="158" spans="2:88" ht="171.95" customHeight="1" x14ac:dyDescent="0.25">
      <c r="B158" s="1227" t="s">
        <v>5224</v>
      </c>
      <c r="C158" s="700" t="s">
        <v>703</v>
      </c>
      <c r="D158" s="33" t="s">
        <v>25</v>
      </c>
      <c r="E158" s="33" t="s">
        <v>160</v>
      </c>
      <c r="F158" s="633" t="s">
        <v>704</v>
      </c>
      <c r="G158" s="33" t="s">
        <v>28</v>
      </c>
      <c r="H158" s="33" t="s">
        <v>28</v>
      </c>
      <c r="I158" s="33" t="s">
        <v>269</v>
      </c>
      <c r="J158" s="33" t="s">
        <v>185</v>
      </c>
      <c r="K158" s="634" t="s">
        <v>705</v>
      </c>
      <c r="L158" s="51" t="s">
        <v>164</v>
      </c>
      <c r="M158" s="34" t="s">
        <v>706</v>
      </c>
      <c r="N158" s="35" t="s">
        <v>707</v>
      </c>
      <c r="O158" s="145">
        <v>0.1</v>
      </c>
      <c r="P158" s="36">
        <v>44197</v>
      </c>
      <c r="Q158" s="36">
        <v>44316</v>
      </c>
      <c r="R158" s="171">
        <v>0.75</v>
      </c>
      <c r="S158" s="171">
        <v>1</v>
      </c>
      <c r="T158" s="171">
        <v>1</v>
      </c>
      <c r="U158" s="171">
        <v>1</v>
      </c>
      <c r="V158" s="184">
        <v>1</v>
      </c>
      <c r="W158" s="13" t="s">
        <v>708</v>
      </c>
      <c r="X158" s="13" t="s">
        <v>3119</v>
      </c>
      <c r="Y158" s="5" t="str">
        <f t="shared" ref="Y158:Y221" si="28">IF(R158&lt;1%,"Sin iniciar",IF(R158=100%,"Terminado","En gestión"))</f>
        <v>En gestión</v>
      </c>
      <c r="Z158" s="5" t="str">
        <f t="shared" ref="Z158:Z221" si="29">IF(V158&lt;1%,"Sin iniciar",IF(V158=100%,"Terminado","En gestión"))</f>
        <v>Terminado</v>
      </c>
      <c r="AA158" s="531" t="s">
        <v>900</v>
      </c>
      <c r="AB158" s="596">
        <f>SUMPRODUCT(O158:O161,V158:V161)</f>
        <v>0.1</v>
      </c>
      <c r="AC158" s="597">
        <f>SUMPRODUCT(O158:O161,R158:R161)</f>
        <v>7.5000000000000011E-2</v>
      </c>
      <c r="AD158" s="610" t="str">
        <f>IF(AC158&lt;1%,"Sin iniciar",IF(AC158=100%,"Terminado","En gestión"))</f>
        <v>En gestión</v>
      </c>
      <c r="AE158" s="610" t="str">
        <f>IF(AB158&lt;1%,"Sin iniciar",IF(AB158=100%,"Terminado","En gestión"))</f>
        <v>En gestión</v>
      </c>
      <c r="AF158" s="56"/>
      <c r="AG158" s="797">
        <v>24406518</v>
      </c>
      <c r="AH158" s="541"/>
      <c r="AI158" s="797">
        <v>6101630</v>
      </c>
      <c r="AJ158" s="541"/>
      <c r="AK158" s="541"/>
      <c r="AL158" s="541"/>
      <c r="AM158" s="541"/>
      <c r="AN158" s="541"/>
      <c r="AO158" s="541" t="s">
        <v>2466</v>
      </c>
      <c r="AP158" s="541"/>
      <c r="AQ158" s="60"/>
      <c r="AR158" s="1169">
        <v>1</v>
      </c>
      <c r="AS158" s="13" t="s">
        <v>909</v>
      </c>
      <c r="AT158" s="13"/>
      <c r="AU158" s="56" t="str">
        <f t="shared" si="25"/>
        <v>Terminado</v>
      </c>
      <c r="AV158" s="56" t="str">
        <f t="shared" si="26"/>
        <v>Terminado</v>
      </c>
      <c r="AW158" s="531" t="s">
        <v>942</v>
      </c>
      <c r="AX158" s="599">
        <f>SUMPRODUCT(O158:O161,AR158:AR161)</f>
        <v>0.22</v>
      </c>
      <c r="AY158" s="600">
        <f>SUMPRODUCT(S158:S161,O158:O161)</f>
        <v>0.16</v>
      </c>
      <c r="AZ158" s="536" t="str">
        <f>IF(AY158&lt;1%,"Sin iniciar",IF(AY158=100%,"Terminado","En gestión"))</f>
        <v>En gestión</v>
      </c>
      <c r="BA158" s="536" t="str">
        <f>IF(AX158&lt;1%,"Sin iniciar",IF(AX158=100%,"Terminado","En gestión"))</f>
        <v>En gestión</v>
      </c>
      <c r="BB158" s="536"/>
      <c r="BC158" s="797">
        <v>24406518</v>
      </c>
      <c r="BD158" s="797">
        <v>24406518</v>
      </c>
      <c r="BE158" s="797">
        <v>6101630</v>
      </c>
      <c r="BF158" s="583">
        <v>0</v>
      </c>
      <c r="BG158" s="583">
        <v>169785377</v>
      </c>
      <c r="BH158" s="574">
        <v>0</v>
      </c>
      <c r="BI158" s="540" t="s">
        <v>2584</v>
      </c>
      <c r="BJ158" s="540" t="s">
        <v>2585</v>
      </c>
      <c r="BK158" s="540" t="s">
        <v>2586</v>
      </c>
      <c r="BL158" s="540" t="s">
        <v>2657</v>
      </c>
      <c r="BM158" s="540"/>
      <c r="BN158" s="540"/>
      <c r="BO158" s="347">
        <v>1</v>
      </c>
      <c r="BP158" s="12" t="s">
        <v>3127</v>
      </c>
      <c r="BQ158" s="12" t="s">
        <v>3127</v>
      </c>
      <c r="BR158" s="5" t="str">
        <f t="shared" si="27"/>
        <v>Terminado</v>
      </c>
      <c r="BS158" s="5" t="str">
        <f t="shared" ref="BS158:BS221" si="30">IF(BO158&lt;1%,"Sin iniciar",IF(BO158=100%,"Terminado","En gestión"))</f>
        <v>Terminado</v>
      </c>
      <c r="BT158" s="581" t="s">
        <v>3128</v>
      </c>
      <c r="BU158" s="561">
        <f>SUMPRODUCT(O158:O161,BO158:BO161)</f>
        <v>0.8620000000000001</v>
      </c>
      <c r="BV158" s="562">
        <f>SUMPRODUCT(O158:O161,T158:T161)</f>
        <v>0.59800000000000009</v>
      </c>
      <c r="BW158" s="610" t="str">
        <f>IF(BV158&lt;1%,"Sin iniciar",IF(BV158=100%,"Terminado","En gestión"))</f>
        <v>En gestión</v>
      </c>
      <c r="BX158" s="610" t="str">
        <f>IF(BU158&lt;1%,"Sin iniciar",IF(BU158=100%,"Terminado","En gestión"))</f>
        <v>En gestión</v>
      </c>
      <c r="BY158" s="573" t="s">
        <v>37</v>
      </c>
      <c r="BZ158" s="573"/>
      <c r="CA158" s="799">
        <v>24406518</v>
      </c>
      <c r="CB158" s="804">
        <v>24406518</v>
      </c>
      <c r="CC158" s="804">
        <v>16230334.470000001</v>
      </c>
      <c r="CD158" s="804">
        <v>169785377</v>
      </c>
      <c r="CE158" s="804">
        <v>169785377</v>
      </c>
      <c r="CF158" s="804">
        <v>112907275.705</v>
      </c>
      <c r="CG158" s="804" t="s">
        <v>2584</v>
      </c>
      <c r="CH158" s="804" t="s">
        <v>2585</v>
      </c>
      <c r="CI158" s="804" t="s">
        <v>2586</v>
      </c>
      <c r="CJ158" s="804" t="s">
        <v>2657</v>
      </c>
    </row>
    <row r="159" spans="2:88" ht="171.95" customHeight="1" x14ac:dyDescent="0.25">
      <c r="B159" s="1227"/>
      <c r="C159" s="700"/>
      <c r="D159" s="33" t="s">
        <v>25</v>
      </c>
      <c r="E159" s="33" t="s">
        <v>160</v>
      </c>
      <c r="F159" s="633"/>
      <c r="G159" s="33" t="s">
        <v>28</v>
      </c>
      <c r="H159" s="33" t="s">
        <v>28</v>
      </c>
      <c r="I159" s="33" t="s">
        <v>269</v>
      </c>
      <c r="J159" s="33" t="s">
        <v>185</v>
      </c>
      <c r="K159" s="634"/>
      <c r="L159" s="51" t="s">
        <v>164</v>
      </c>
      <c r="M159" s="34" t="s">
        <v>709</v>
      </c>
      <c r="N159" s="35" t="s">
        <v>710</v>
      </c>
      <c r="O159" s="145">
        <v>0.3</v>
      </c>
      <c r="P159" s="36">
        <v>44409</v>
      </c>
      <c r="Q159" s="36">
        <v>44561</v>
      </c>
      <c r="R159" s="171">
        <v>0</v>
      </c>
      <c r="S159" s="171">
        <v>0</v>
      </c>
      <c r="T159" s="171">
        <v>0.66</v>
      </c>
      <c r="U159" s="171">
        <v>1</v>
      </c>
      <c r="V159" s="90">
        <v>0</v>
      </c>
      <c r="W159" s="56"/>
      <c r="X159" s="94"/>
      <c r="Y159" s="5" t="str">
        <f t="shared" si="28"/>
        <v>Sin iniciar</v>
      </c>
      <c r="Z159" s="5" t="str">
        <f t="shared" si="29"/>
        <v>Sin iniciar</v>
      </c>
      <c r="AA159" s="531"/>
      <c r="AB159" s="596"/>
      <c r="AC159" s="597"/>
      <c r="AD159" s="610"/>
      <c r="AE159" s="610"/>
      <c r="AF159" s="56"/>
      <c r="AG159" s="797"/>
      <c r="AH159" s="541"/>
      <c r="AI159" s="797"/>
      <c r="AJ159" s="541"/>
      <c r="AK159" s="541"/>
      <c r="AL159" s="541"/>
      <c r="AM159" s="541"/>
      <c r="AN159" s="541"/>
      <c r="AO159" s="541"/>
      <c r="AP159" s="541"/>
      <c r="AQ159" s="60"/>
      <c r="AR159" s="1163">
        <v>0.2</v>
      </c>
      <c r="AS159" s="13" t="s">
        <v>910</v>
      </c>
      <c r="AT159" s="13" t="s">
        <v>3129</v>
      </c>
      <c r="AU159" s="56" t="str">
        <f t="shared" si="25"/>
        <v>Sin iniciar</v>
      </c>
      <c r="AV159" s="56" t="str">
        <f t="shared" si="26"/>
        <v>En gestión</v>
      </c>
      <c r="AW159" s="531"/>
      <c r="AX159" s="599"/>
      <c r="AY159" s="600"/>
      <c r="AZ159" s="536"/>
      <c r="BA159" s="536"/>
      <c r="BB159" s="536"/>
      <c r="BC159" s="797"/>
      <c r="BD159" s="797"/>
      <c r="BE159" s="797"/>
      <c r="BF159" s="583"/>
      <c r="BG159" s="583"/>
      <c r="BH159" s="574"/>
      <c r="BI159" s="540"/>
      <c r="BJ159" s="541"/>
      <c r="BK159" s="541"/>
      <c r="BL159" s="541"/>
      <c r="BM159" s="541"/>
      <c r="BN159" s="541"/>
      <c r="BO159" s="347">
        <v>0.94</v>
      </c>
      <c r="BP159" s="11" t="s">
        <v>3130</v>
      </c>
      <c r="BQ159" s="11" t="s">
        <v>3131</v>
      </c>
      <c r="BR159" s="5" t="str">
        <f t="shared" si="27"/>
        <v>En gestión</v>
      </c>
      <c r="BS159" s="5" t="str">
        <f t="shared" si="30"/>
        <v>En gestión</v>
      </c>
      <c r="BT159" s="581"/>
      <c r="BU159" s="561"/>
      <c r="BV159" s="562"/>
      <c r="BW159" s="610"/>
      <c r="BX159" s="610"/>
      <c r="BY159" s="573"/>
      <c r="BZ159" s="573"/>
      <c r="CA159" s="799"/>
      <c r="CB159" s="804"/>
      <c r="CC159" s="804"/>
      <c r="CD159" s="804"/>
      <c r="CE159" s="804"/>
      <c r="CF159" s="804"/>
      <c r="CG159" s="804"/>
      <c r="CH159" s="804"/>
      <c r="CI159" s="804"/>
      <c r="CJ159" s="804"/>
    </row>
    <row r="160" spans="2:88" ht="171.95" customHeight="1" x14ac:dyDescent="0.25">
      <c r="B160" s="1227"/>
      <c r="C160" s="700"/>
      <c r="D160" s="33" t="s">
        <v>25</v>
      </c>
      <c r="E160" s="33" t="s">
        <v>160</v>
      </c>
      <c r="F160" s="633"/>
      <c r="G160" s="33" t="s">
        <v>28</v>
      </c>
      <c r="H160" s="33" t="s">
        <v>28</v>
      </c>
      <c r="I160" s="33" t="s">
        <v>269</v>
      </c>
      <c r="J160" s="33" t="s">
        <v>185</v>
      </c>
      <c r="K160" s="634"/>
      <c r="L160" s="51" t="s">
        <v>164</v>
      </c>
      <c r="M160" s="34" t="s">
        <v>711</v>
      </c>
      <c r="N160" s="35" t="s">
        <v>712</v>
      </c>
      <c r="O160" s="145">
        <v>0.3</v>
      </c>
      <c r="P160" s="36">
        <v>44378</v>
      </c>
      <c r="Q160" s="36">
        <v>44561</v>
      </c>
      <c r="R160" s="171">
        <v>0</v>
      </c>
      <c r="S160" s="171">
        <v>0</v>
      </c>
      <c r="T160" s="171">
        <v>0.4</v>
      </c>
      <c r="U160" s="171">
        <v>1</v>
      </c>
      <c r="V160" s="90">
        <v>0</v>
      </c>
      <c r="W160" s="56"/>
      <c r="X160" s="94"/>
      <c r="Y160" s="5" t="str">
        <f t="shared" si="28"/>
        <v>Sin iniciar</v>
      </c>
      <c r="Z160" s="5" t="str">
        <f t="shared" si="29"/>
        <v>Sin iniciar</v>
      </c>
      <c r="AA160" s="531"/>
      <c r="AB160" s="596"/>
      <c r="AC160" s="597"/>
      <c r="AD160" s="610"/>
      <c r="AE160" s="610"/>
      <c r="AF160" s="56"/>
      <c r="AG160" s="797"/>
      <c r="AH160" s="541"/>
      <c r="AI160" s="797"/>
      <c r="AJ160" s="541"/>
      <c r="AK160" s="541"/>
      <c r="AL160" s="541"/>
      <c r="AM160" s="541"/>
      <c r="AN160" s="541"/>
      <c r="AO160" s="541"/>
      <c r="AP160" s="541"/>
      <c r="AQ160" s="60"/>
      <c r="AR160" s="1163">
        <v>0</v>
      </c>
      <c r="AS160" s="56" t="s">
        <v>2437</v>
      </c>
      <c r="AT160" s="56"/>
      <c r="AU160" s="56" t="str">
        <f t="shared" si="25"/>
        <v>Sin iniciar</v>
      </c>
      <c r="AV160" s="56" t="str">
        <f t="shared" si="26"/>
        <v>Sin iniciar</v>
      </c>
      <c r="AW160" s="531"/>
      <c r="AX160" s="599"/>
      <c r="AY160" s="600"/>
      <c r="AZ160" s="536"/>
      <c r="BA160" s="536"/>
      <c r="BB160" s="536"/>
      <c r="BC160" s="797"/>
      <c r="BD160" s="797"/>
      <c r="BE160" s="797"/>
      <c r="BF160" s="583"/>
      <c r="BG160" s="583"/>
      <c r="BH160" s="574"/>
      <c r="BI160" s="540"/>
      <c r="BJ160" s="541"/>
      <c r="BK160" s="541"/>
      <c r="BL160" s="541"/>
      <c r="BM160" s="541"/>
      <c r="BN160" s="541"/>
      <c r="BO160" s="347">
        <v>0.6</v>
      </c>
      <c r="BP160" s="11" t="s">
        <v>3132</v>
      </c>
      <c r="BQ160" s="11" t="s">
        <v>3133</v>
      </c>
      <c r="BR160" s="5" t="str">
        <f t="shared" si="27"/>
        <v>En gestión</v>
      </c>
      <c r="BS160" s="5" t="str">
        <f t="shared" si="30"/>
        <v>En gestión</v>
      </c>
      <c r="BT160" s="581"/>
      <c r="BU160" s="561"/>
      <c r="BV160" s="562"/>
      <c r="BW160" s="610"/>
      <c r="BX160" s="610"/>
      <c r="BY160" s="573"/>
      <c r="BZ160" s="573"/>
      <c r="CA160" s="799"/>
      <c r="CB160" s="804"/>
      <c r="CC160" s="804"/>
      <c r="CD160" s="804"/>
      <c r="CE160" s="804"/>
      <c r="CF160" s="804"/>
      <c r="CG160" s="804"/>
      <c r="CH160" s="804"/>
      <c r="CI160" s="804"/>
      <c r="CJ160" s="804"/>
    </row>
    <row r="161" spans="2:88" ht="171.95" customHeight="1" x14ac:dyDescent="0.25">
      <c r="B161" s="1227"/>
      <c r="C161" s="700"/>
      <c r="D161" s="33" t="s">
        <v>25</v>
      </c>
      <c r="E161" s="33" t="s">
        <v>160</v>
      </c>
      <c r="F161" s="633"/>
      <c r="G161" s="33" t="s">
        <v>28</v>
      </c>
      <c r="H161" s="33" t="s">
        <v>28</v>
      </c>
      <c r="I161" s="33" t="s">
        <v>269</v>
      </c>
      <c r="J161" s="33" t="s">
        <v>185</v>
      </c>
      <c r="K161" s="634"/>
      <c r="L161" s="51" t="s">
        <v>164</v>
      </c>
      <c r="M161" s="34" t="s">
        <v>713</v>
      </c>
      <c r="N161" s="35" t="s">
        <v>714</v>
      </c>
      <c r="O161" s="145">
        <v>0.3</v>
      </c>
      <c r="P161" s="36">
        <v>44348</v>
      </c>
      <c r="Q161" s="36">
        <v>44561</v>
      </c>
      <c r="R161" s="171">
        <v>0</v>
      </c>
      <c r="S161" s="171">
        <v>0.2</v>
      </c>
      <c r="T161" s="171">
        <v>0.6</v>
      </c>
      <c r="U161" s="171">
        <v>1</v>
      </c>
      <c r="V161" s="90">
        <v>0</v>
      </c>
      <c r="W161" s="56"/>
      <c r="X161" s="94"/>
      <c r="Y161" s="5" t="str">
        <f t="shared" si="28"/>
        <v>Sin iniciar</v>
      </c>
      <c r="Z161" s="5" t="str">
        <f t="shared" si="29"/>
        <v>Sin iniciar</v>
      </c>
      <c r="AA161" s="531"/>
      <c r="AB161" s="596"/>
      <c r="AC161" s="597"/>
      <c r="AD161" s="610"/>
      <c r="AE161" s="610"/>
      <c r="AF161" s="56"/>
      <c r="AG161" s="797"/>
      <c r="AH161" s="541"/>
      <c r="AI161" s="797"/>
      <c r="AJ161" s="541"/>
      <c r="AK161" s="541"/>
      <c r="AL161" s="541"/>
      <c r="AM161" s="541"/>
      <c r="AN161" s="541"/>
      <c r="AO161" s="541" t="s">
        <v>2466</v>
      </c>
      <c r="AP161" s="541"/>
      <c r="AQ161" s="60"/>
      <c r="AR161" s="1163">
        <v>0.2</v>
      </c>
      <c r="AS161" s="13" t="s">
        <v>911</v>
      </c>
      <c r="AT161" s="13" t="s">
        <v>3134</v>
      </c>
      <c r="AU161" s="56" t="str">
        <f t="shared" si="25"/>
        <v>En gestión</v>
      </c>
      <c r="AV161" s="56" t="str">
        <f t="shared" si="26"/>
        <v>En gestión</v>
      </c>
      <c r="AW161" s="531"/>
      <c r="AX161" s="599"/>
      <c r="AY161" s="600"/>
      <c r="AZ161" s="536"/>
      <c r="BA161" s="536"/>
      <c r="BB161" s="536"/>
      <c r="BC161" s="797"/>
      <c r="BD161" s="797"/>
      <c r="BE161" s="797"/>
      <c r="BF161" s="583"/>
      <c r="BG161" s="583"/>
      <c r="BH161" s="574"/>
      <c r="BI161" s="540"/>
      <c r="BJ161" s="541"/>
      <c r="BK161" s="541"/>
      <c r="BL161" s="541"/>
      <c r="BM161" s="541"/>
      <c r="BN161" s="541"/>
      <c r="BO161" s="347">
        <v>1</v>
      </c>
      <c r="BP161" s="11" t="s">
        <v>3135</v>
      </c>
      <c r="BQ161" s="11" t="s">
        <v>3136</v>
      </c>
      <c r="BR161" s="5" t="str">
        <f t="shared" si="27"/>
        <v>En gestión</v>
      </c>
      <c r="BS161" s="5" t="str">
        <f t="shared" si="30"/>
        <v>Terminado</v>
      </c>
      <c r="BT161" s="581"/>
      <c r="BU161" s="561"/>
      <c r="BV161" s="562"/>
      <c r="BW161" s="610"/>
      <c r="BX161" s="610"/>
      <c r="BY161" s="573"/>
      <c r="BZ161" s="573"/>
      <c r="CA161" s="799"/>
      <c r="CB161" s="804"/>
      <c r="CC161" s="804"/>
      <c r="CD161" s="804"/>
      <c r="CE161" s="804"/>
      <c r="CF161" s="804"/>
      <c r="CG161" s="804"/>
      <c r="CH161" s="804"/>
      <c r="CI161" s="804"/>
      <c r="CJ161" s="804"/>
    </row>
    <row r="162" spans="2:88" ht="171.95" customHeight="1" x14ac:dyDescent="0.25">
      <c r="B162" s="1227"/>
      <c r="C162" s="710" t="s">
        <v>715</v>
      </c>
      <c r="D162" s="41" t="s">
        <v>233</v>
      </c>
      <c r="E162" s="41" t="s">
        <v>26</v>
      </c>
      <c r="F162" s="640" t="s">
        <v>716</v>
      </c>
      <c r="G162" s="41" t="s">
        <v>28</v>
      </c>
      <c r="H162" s="41" t="s">
        <v>28</v>
      </c>
      <c r="I162" s="41" t="s">
        <v>269</v>
      </c>
      <c r="J162" s="41" t="s">
        <v>185</v>
      </c>
      <c r="K162" s="641" t="s">
        <v>717</v>
      </c>
      <c r="L162" s="52" t="s">
        <v>164</v>
      </c>
      <c r="M162" s="42" t="s">
        <v>718</v>
      </c>
      <c r="N162" s="43" t="s">
        <v>719</v>
      </c>
      <c r="O162" s="147">
        <v>0.2</v>
      </c>
      <c r="P162" s="44">
        <v>44197</v>
      </c>
      <c r="Q162" s="44" t="s">
        <v>720</v>
      </c>
      <c r="R162" s="170">
        <v>1</v>
      </c>
      <c r="S162" s="170">
        <v>1</v>
      </c>
      <c r="T162" s="170">
        <v>1</v>
      </c>
      <c r="U162" s="170">
        <v>1</v>
      </c>
      <c r="V162" s="184">
        <v>1</v>
      </c>
      <c r="W162" s="62" t="s">
        <v>721</v>
      </c>
      <c r="X162" s="63" t="s">
        <v>3137</v>
      </c>
      <c r="Y162" s="19" t="str">
        <f t="shared" si="28"/>
        <v>Terminado</v>
      </c>
      <c r="Z162" s="19" t="str">
        <f t="shared" si="29"/>
        <v>Terminado</v>
      </c>
      <c r="AA162" s="532" t="s">
        <v>901</v>
      </c>
      <c r="AB162" s="604">
        <f>SUMPRODUCT(O162:O165,V162:V165)</f>
        <v>0.4</v>
      </c>
      <c r="AC162" s="597">
        <f>SUMPRODUCT(O162:O165,R162:R165)</f>
        <v>0.35000000000000003</v>
      </c>
      <c r="AD162" s="611" t="str">
        <f>IF(AC162&lt;1%,"Sin iniciar",IF(AC162=100%,"Terminado","En gestión"))</f>
        <v>En gestión</v>
      </c>
      <c r="AE162" s="611" t="str">
        <f>IF(AB162&lt;1%,"Sin iniciar",IF(AB162=100%,"Terminado","En gestión"))</f>
        <v>En gestión</v>
      </c>
      <c r="AF162" s="66"/>
      <c r="AG162" s="798">
        <v>24406518</v>
      </c>
      <c r="AH162" s="542"/>
      <c r="AI162" s="798">
        <v>6101630</v>
      </c>
      <c r="AJ162" s="542"/>
      <c r="AK162" s="542"/>
      <c r="AL162" s="542"/>
      <c r="AM162" s="542"/>
      <c r="AN162" s="542"/>
      <c r="AO162" s="542" t="s">
        <v>2466</v>
      </c>
      <c r="AP162" s="542"/>
      <c r="AQ162" s="50"/>
      <c r="AR162" s="1169">
        <v>1</v>
      </c>
      <c r="AS162" s="62" t="s">
        <v>2434</v>
      </c>
      <c r="AT162" s="62"/>
      <c r="AU162" s="66" t="str">
        <f t="shared" si="25"/>
        <v>Terminado</v>
      </c>
      <c r="AV162" s="66" t="str">
        <f t="shared" si="26"/>
        <v>Terminado</v>
      </c>
      <c r="AW162" s="532" t="s">
        <v>943</v>
      </c>
      <c r="AX162" s="706">
        <f>SUMPRODUCT(O162:O165,AR162:AR165)</f>
        <v>1</v>
      </c>
      <c r="AY162" s="600">
        <f>SUMPRODUCT(S162:S165,O162:O165)</f>
        <v>0.78999999999999992</v>
      </c>
      <c r="AZ162" s="530" t="str">
        <f>IF(AY162&lt;1%,"Sin iniciar",IF(AY162=100%,"Terminado","En gestión"))</f>
        <v>En gestión</v>
      </c>
      <c r="BA162" s="530" t="str">
        <f>IF(AX162&lt;1%,"Sin iniciar",IF(AX162=100%,"Terminado","En gestión"))</f>
        <v>Terminado</v>
      </c>
      <c r="BB162" s="530"/>
      <c r="BC162" s="565">
        <v>24406518</v>
      </c>
      <c r="BD162" s="565">
        <v>24406518</v>
      </c>
      <c r="BE162" s="798">
        <f>+(BD162/4)*2</f>
        <v>12203259</v>
      </c>
      <c r="BF162" s="579">
        <v>0</v>
      </c>
      <c r="BG162" s="579">
        <v>0</v>
      </c>
      <c r="BH162" s="579">
        <v>0</v>
      </c>
      <c r="BI162" s="542"/>
      <c r="BJ162" s="542"/>
      <c r="BK162" s="542"/>
      <c r="BL162" s="542"/>
      <c r="BM162" s="542"/>
      <c r="BN162" s="542"/>
      <c r="BO162" s="347">
        <v>1</v>
      </c>
      <c r="BP162" s="25" t="s">
        <v>3127</v>
      </c>
      <c r="BQ162" s="25" t="s">
        <v>3127</v>
      </c>
      <c r="BR162" s="19" t="str">
        <f t="shared" si="27"/>
        <v>Terminado</v>
      </c>
      <c r="BS162" s="19" t="str">
        <f t="shared" si="30"/>
        <v>Terminado</v>
      </c>
      <c r="BT162" s="578" t="s">
        <v>3138</v>
      </c>
      <c r="BU162" s="714">
        <f>SUMPRODUCT(O162:O165,BO162:BO165)</f>
        <v>1</v>
      </c>
      <c r="BV162" s="562">
        <f>SUMPRODUCT(O162:O165,T162:T165)</f>
        <v>0.89500000000000002</v>
      </c>
      <c r="BW162" s="611" t="str">
        <f>IF(BV162&lt;1%,"Sin iniciar",IF(BV162=100%,"Terminado","En gestión"))</f>
        <v>En gestión</v>
      </c>
      <c r="BX162" s="611" t="str">
        <f>IF(BU162&lt;1%,"Sin iniciar",IF(BU162=100%,"Terminado","En gestión"))</f>
        <v>Terminado</v>
      </c>
      <c r="BY162" s="578" t="s">
        <v>37</v>
      </c>
      <c r="BZ162" s="578"/>
      <c r="CA162" s="578"/>
      <c r="CB162" s="578"/>
      <c r="CC162" s="578"/>
      <c r="CD162" s="578"/>
      <c r="CE162" s="578"/>
      <c r="CF162" s="578"/>
      <c r="CG162" s="578"/>
      <c r="CH162" s="578"/>
      <c r="CI162" s="578"/>
      <c r="CJ162" s="578"/>
    </row>
    <row r="163" spans="2:88" ht="171.95" customHeight="1" x14ac:dyDescent="0.25">
      <c r="B163" s="1227"/>
      <c r="C163" s="710"/>
      <c r="D163" s="41" t="s">
        <v>233</v>
      </c>
      <c r="E163" s="41" t="s">
        <v>26</v>
      </c>
      <c r="F163" s="640"/>
      <c r="G163" s="41" t="s">
        <v>28</v>
      </c>
      <c r="H163" s="41" t="s">
        <v>28</v>
      </c>
      <c r="I163" s="41" t="s">
        <v>269</v>
      </c>
      <c r="J163" s="41" t="s">
        <v>185</v>
      </c>
      <c r="K163" s="641"/>
      <c r="L163" s="52" t="s">
        <v>164</v>
      </c>
      <c r="M163" s="42" t="s">
        <v>722</v>
      </c>
      <c r="N163" s="43" t="s">
        <v>723</v>
      </c>
      <c r="O163" s="147">
        <v>0.2</v>
      </c>
      <c r="P163" s="44" t="s">
        <v>720</v>
      </c>
      <c r="Q163" s="44">
        <v>44316</v>
      </c>
      <c r="R163" s="170">
        <v>0.75</v>
      </c>
      <c r="S163" s="170">
        <v>1</v>
      </c>
      <c r="T163" s="170">
        <v>1</v>
      </c>
      <c r="U163" s="170">
        <v>1</v>
      </c>
      <c r="V163" s="184">
        <v>1</v>
      </c>
      <c r="W163" s="62" t="s">
        <v>724</v>
      </c>
      <c r="X163" s="63" t="s">
        <v>3139</v>
      </c>
      <c r="Y163" s="19" t="str">
        <f t="shared" si="28"/>
        <v>En gestión</v>
      </c>
      <c r="Z163" s="19" t="str">
        <f t="shared" si="29"/>
        <v>Terminado</v>
      </c>
      <c r="AA163" s="532"/>
      <c r="AB163" s="604"/>
      <c r="AC163" s="597"/>
      <c r="AD163" s="611"/>
      <c r="AE163" s="611"/>
      <c r="AF163" s="66"/>
      <c r="AG163" s="798"/>
      <c r="AH163" s="542"/>
      <c r="AI163" s="798"/>
      <c r="AJ163" s="542"/>
      <c r="AK163" s="542"/>
      <c r="AL163" s="542"/>
      <c r="AM163" s="542"/>
      <c r="AN163" s="542"/>
      <c r="AO163" s="542" t="s">
        <v>2466</v>
      </c>
      <c r="AP163" s="542"/>
      <c r="AQ163" s="50"/>
      <c r="AR163" s="1169">
        <v>1</v>
      </c>
      <c r="AS163" s="62" t="s">
        <v>2434</v>
      </c>
      <c r="AT163" s="62"/>
      <c r="AU163" s="66" t="str">
        <f t="shared" si="25"/>
        <v>Terminado</v>
      </c>
      <c r="AV163" s="66" t="str">
        <f t="shared" si="26"/>
        <v>Terminado</v>
      </c>
      <c r="AW163" s="532"/>
      <c r="AX163" s="706"/>
      <c r="AY163" s="600"/>
      <c r="AZ163" s="530"/>
      <c r="BA163" s="530"/>
      <c r="BB163" s="530"/>
      <c r="BC163" s="565"/>
      <c r="BD163" s="565"/>
      <c r="BE163" s="798"/>
      <c r="BF163" s="579"/>
      <c r="BG163" s="579"/>
      <c r="BH163" s="579"/>
      <c r="BI163" s="542"/>
      <c r="BJ163" s="542"/>
      <c r="BK163" s="542"/>
      <c r="BL163" s="542"/>
      <c r="BM163" s="542"/>
      <c r="BN163" s="542"/>
      <c r="BO163" s="347">
        <v>1</v>
      </c>
      <c r="BP163" s="25" t="s">
        <v>3127</v>
      </c>
      <c r="BQ163" s="25" t="s">
        <v>3127</v>
      </c>
      <c r="BR163" s="19" t="str">
        <f t="shared" si="27"/>
        <v>Terminado</v>
      </c>
      <c r="BS163" s="19" t="str">
        <f t="shared" si="30"/>
        <v>Terminado</v>
      </c>
      <c r="BT163" s="578"/>
      <c r="BU163" s="714"/>
      <c r="BV163" s="562"/>
      <c r="BW163" s="611"/>
      <c r="BX163" s="611"/>
      <c r="BY163" s="578"/>
      <c r="BZ163" s="578"/>
      <c r="CA163" s="578"/>
      <c r="CB163" s="578"/>
      <c r="CC163" s="578"/>
      <c r="CD163" s="578"/>
      <c r="CE163" s="578"/>
      <c r="CF163" s="578"/>
      <c r="CG163" s="578"/>
      <c r="CH163" s="578"/>
      <c r="CI163" s="578"/>
      <c r="CJ163" s="578"/>
    </row>
    <row r="164" spans="2:88" ht="171.95" customHeight="1" x14ac:dyDescent="0.25">
      <c r="B164" s="1227"/>
      <c r="C164" s="710"/>
      <c r="D164" s="41" t="s">
        <v>233</v>
      </c>
      <c r="E164" s="41" t="s">
        <v>26</v>
      </c>
      <c r="F164" s="640"/>
      <c r="G164" s="41" t="s">
        <v>28</v>
      </c>
      <c r="H164" s="41" t="s">
        <v>28</v>
      </c>
      <c r="I164" s="41" t="s">
        <v>269</v>
      </c>
      <c r="J164" s="41" t="s">
        <v>185</v>
      </c>
      <c r="K164" s="641"/>
      <c r="L164" s="52" t="s">
        <v>164</v>
      </c>
      <c r="M164" s="42" t="s">
        <v>725</v>
      </c>
      <c r="N164" s="185" t="s">
        <v>726</v>
      </c>
      <c r="O164" s="147">
        <v>0.3</v>
      </c>
      <c r="P164" s="44">
        <v>44316</v>
      </c>
      <c r="Q164" s="44">
        <v>44346</v>
      </c>
      <c r="R164" s="170">
        <v>0</v>
      </c>
      <c r="S164" s="170">
        <v>1</v>
      </c>
      <c r="T164" s="170">
        <v>1</v>
      </c>
      <c r="U164" s="170">
        <v>1</v>
      </c>
      <c r="V164" s="90">
        <v>0</v>
      </c>
      <c r="W164" s="66" t="s">
        <v>37</v>
      </c>
      <c r="X164" s="91" t="s">
        <v>37</v>
      </c>
      <c r="Y164" s="19" t="str">
        <f t="shared" si="28"/>
        <v>Sin iniciar</v>
      </c>
      <c r="Z164" s="19" t="str">
        <f t="shared" si="29"/>
        <v>Sin iniciar</v>
      </c>
      <c r="AA164" s="532"/>
      <c r="AB164" s="604"/>
      <c r="AC164" s="597"/>
      <c r="AD164" s="611"/>
      <c r="AE164" s="611"/>
      <c r="AF164" s="66"/>
      <c r="AG164" s="798"/>
      <c r="AH164" s="542"/>
      <c r="AI164" s="798"/>
      <c r="AJ164" s="542"/>
      <c r="AK164" s="542"/>
      <c r="AL164" s="542"/>
      <c r="AM164" s="542"/>
      <c r="AN164" s="542"/>
      <c r="AO164" s="542" t="s">
        <v>2466</v>
      </c>
      <c r="AP164" s="542"/>
      <c r="AQ164" s="50"/>
      <c r="AR164" s="1163">
        <v>1</v>
      </c>
      <c r="AS164" s="62" t="s">
        <v>912</v>
      </c>
      <c r="AT164" s="62" t="s">
        <v>3140</v>
      </c>
      <c r="AU164" s="66" t="str">
        <f t="shared" si="25"/>
        <v>Terminado</v>
      </c>
      <c r="AV164" s="66" t="str">
        <f t="shared" si="26"/>
        <v>Terminado</v>
      </c>
      <c r="AW164" s="532"/>
      <c r="AX164" s="706"/>
      <c r="AY164" s="600"/>
      <c r="AZ164" s="530"/>
      <c r="BA164" s="530"/>
      <c r="BB164" s="530"/>
      <c r="BC164" s="565"/>
      <c r="BD164" s="565"/>
      <c r="BE164" s="798"/>
      <c r="BF164" s="579"/>
      <c r="BG164" s="579"/>
      <c r="BH164" s="579"/>
      <c r="BI164" s="542"/>
      <c r="BJ164" s="542"/>
      <c r="BK164" s="542"/>
      <c r="BL164" s="542"/>
      <c r="BM164" s="542"/>
      <c r="BN164" s="542"/>
      <c r="BO164" s="347">
        <v>1</v>
      </c>
      <c r="BP164" s="25" t="s">
        <v>3141</v>
      </c>
      <c r="BQ164" s="25" t="s">
        <v>3141</v>
      </c>
      <c r="BR164" s="19" t="str">
        <f t="shared" si="27"/>
        <v>Terminado</v>
      </c>
      <c r="BS164" s="19" t="str">
        <f t="shared" si="30"/>
        <v>Terminado</v>
      </c>
      <c r="BT164" s="578"/>
      <c r="BU164" s="714"/>
      <c r="BV164" s="562"/>
      <c r="BW164" s="611"/>
      <c r="BX164" s="611"/>
      <c r="BY164" s="578"/>
      <c r="BZ164" s="578"/>
      <c r="CA164" s="578"/>
      <c r="CB164" s="578"/>
      <c r="CC164" s="578"/>
      <c r="CD164" s="578"/>
      <c r="CE164" s="578"/>
      <c r="CF164" s="578"/>
      <c r="CG164" s="578"/>
      <c r="CH164" s="578"/>
      <c r="CI164" s="578"/>
      <c r="CJ164" s="578"/>
    </row>
    <row r="165" spans="2:88" ht="171.95" customHeight="1" x14ac:dyDescent="0.25">
      <c r="B165" s="1227"/>
      <c r="C165" s="710"/>
      <c r="D165" s="41" t="s">
        <v>233</v>
      </c>
      <c r="E165" s="41" t="s">
        <v>26</v>
      </c>
      <c r="F165" s="640"/>
      <c r="G165" s="41" t="s">
        <v>28</v>
      </c>
      <c r="H165" s="41" t="s">
        <v>28</v>
      </c>
      <c r="I165" s="41" t="s">
        <v>269</v>
      </c>
      <c r="J165" s="41" t="s">
        <v>185</v>
      </c>
      <c r="K165" s="641"/>
      <c r="L165" s="52" t="s">
        <v>164</v>
      </c>
      <c r="M165" s="42" t="s">
        <v>727</v>
      </c>
      <c r="N165" s="185" t="s">
        <v>728</v>
      </c>
      <c r="O165" s="147">
        <v>0.3</v>
      </c>
      <c r="P165" s="44">
        <v>44346</v>
      </c>
      <c r="Q165" s="186">
        <v>44560</v>
      </c>
      <c r="R165" s="170">
        <v>0</v>
      </c>
      <c r="S165" s="170">
        <v>0.3</v>
      </c>
      <c r="T165" s="170">
        <v>0.65</v>
      </c>
      <c r="U165" s="170">
        <v>1</v>
      </c>
      <c r="V165" s="90">
        <v>0</v>
      </c>
      <c r="W165" s="66" t="s">
        <v>37</v>
      </c>
      <c r="X165" s="91" t="s">
        <v>37</v>
      </c>
      <c r="Y165" s="19" t="str">
        <f t="shared" si="28"/>
        <v>Sin iniciar</v>
      </c>
      <c r="Z165" s="19" t="str">
        <f t="shared" si="29"/>
        <v>Sin iniciar</v>
      </c>
      <c r="AA165" s="532"/>
      <c r="AB165" s="604"/>
      <c r="AC165" s="597"/>
      <c r="AD165" s="611"/>
      <c r="AE165" s="611"/>
      <c r="AF165" s="66"/>
      <c r="AG165" s="798"/>
      <c r="AH165" s="542"/>
      <c r="AI165" s="798"/>
      <c r="AJ165" s="542"/>
      <c r="AK165" s="542"/>
      <c r="AL165" s="542"/>
      <c r="AM165" s="542"/>
      <c r="AN165" s="542"/>
      <c r="AO165" s="542" t="s">
        <v>2466</v>
      </c>
      <c r="AP165" s="542"/>
      <c r="AQ165" s="50"/>
      <c r="AR165" s="1163">
        <v>1</v>
      </c>
      <c r="AS165" s="62" t="s">
        <v>913</v>
      </c>
      <c r="AT165" s="62" t="s">
        <v>3142</v>
      </c>
      <c r="AU165" s="66" t="str">
        <f t="shared" si="25"/>
        <v>En gestión</v>
      </c>
      <c r="AV165" s="66" t="str">
        <f t="shared" si="26"/>
        <v>Terminado</v>
      </c>
      <c r="AW165" s="532"/>
      <c r="AX165" s="706"/>
      <c r="AY165" s="600"/>
      <c r="AZ165" s="530"/>
      <c r="BA165" s="530"/>
      <c r="BB165" s="530"/>
      <c r="BC165" s="565"/>
      <c r="BD165" s="565"/>
      <c r="BE165" s="798"/>
      <c r="BF165" s="579"/>
      <c r="BG165" s="579"/>
      <c r="BH165" s="579"/>
      <c r="BI165" s="542"/>
      <c r="BJ165" s="542"/>
      <c r="BK165" s="542"/>
      <c r="BL165" s="542"/>
      <c r="BM165" s="542"/>
      <c r="BN165" s="542"/>
      <c r="BO165" s="347">
        <v>1</v>
      </c>
      <c r="BP165" s="25" t="s">
        <v>3141</v>
      </c>
      <c r="BQ165" s="25" t="s">
        <v>3141</v>
      </c>
      <c r="BR165" s="19" t="str">
        <f t="shared" si="27"/>
        <v>En gestión</v>
      </c>
      <c r="BS165" s="19" t="str">
        <f t="shared" si="30"/>
        <v>Terminado</v>
      </c>
      <c r="BT165" s="578"/>
      <c r="BU165" s="714"/>
      <c r="BV165" s="562"/>
      <c r="BW165" s="611"/>
      <c r="BX165" s="611"/>
      <c r="BY165" s="578"/>
      <c r="BZ165" s="578"/>
      <c r="CA165" s="578"/>
      <c r="CB165" s="578"/>
      <c r="CC165" s="578"/>
      <c r="CD165" s="578"/>
      <c r="CE165" s="578"/>
      <c r="CF165" s="578"/>
      <c r="CG165" s="578"/>
      <c r="CH165" s="578"/>
      <c r="CI165" s="578"/>
      <c r="CJ165" s="578"/>
    </row>
    <row r="166" spans="2:88" ht="171.95" customHeight="1" x14ac:dyDescent="0.25">
      <c r="B166" s="1227"/>
      <c r="C166" s="700" t="s">
        <v>729</v>
      </c>
      <c r="D166" s="33" t="s">
        <v>25</v>
      </c>
      <c r="E166" s="33" t="s">
        <v>160</v>
      </c>
      <c r="F166" s="633" t="s">
        <v>730</v>
      </c>
      <c r="G166" s="33" t="s">
        <v>28</v>
      </c>
      <c r="H166" s="33" t="s">
        <v>28</v>
      </c>
      <c r="I166" s="33" t="s">
        <v>29</v>
      </c>
      <c r="J166" s="33" t="s">
        <v>185</v>
      </c>
      <c r="K166" s="634" t="s">
        <v>731</v>
      </c>
      <c r="L166" s="51" t="s">
        <v>164</v>
      </c>
      <c r="M166" s="34" t="s">
        <v>732</v>
      </c>
      <c r="N166" s="35" t="s">
        <v>733</v>
      </c>
      <c r="O166" s="145">
        <v>0.4</v>
      </c>
      <c r="P166" s="36">
        <v>44200</v>
      </c>
      <c r="Q166" s="36">
        <v>44377</v>
      </c>
      <c r="R166" s="171">
        <v>0.5</v>
      </c>
      <c r="S166" s="171">
        <v>1</v>
      </c>
      <c r="T166" s="171">
        <v>1</v>
      </c>
      <c r="U166" s="171">
        <v>1</v>
      </c>
      <c r="V166" s="184">
        <v>0.5</v>
      </c>
      <c r="W166" s="13" t="s">
        <v>734</v>
      </c>
      <c r="X166" s="55" t="s">
        <v>3143</v>
      </c>
      <c r="Y166" s="5" t="str">
        <f t="shared" si="28"/>
        <v>En gestión</v>
      </c>
      <c r="Z166" s="5" t="str">
        <f t="shared" si="29"/>
        <v>En gestión</v>
      </c>
      <c r="AA166" s="531" t="s">
        <v>902</v>
      </c>
      <c r="AB166" s="604">
        <f>SUMPRODUCT(O166:O169,V166:V169)</f>
        <v>0.2</v>
      </c>
      <c r="AC166" s="597">
        <f>SUMPRODUCT(O166:O169,R166:R169)</f>
        <v>0.2</v>
      </c>
      <c r="AD166" s="610" t="str">
        <f>IF(AC166&lt;1%,"Sin iniciar",IF(AC166=100%,"Terminado","En gestión"))</f>
        <v>En gestión</v>
      </c>
      <c r="AE166" s="610" t="str">
        <f>IF(AB166&lt;1%,"Sin iniciar",IF(AB166=100%,"Terminado","En gestión"))</f>
        <v>En gestión</v>
      </c>
      <c r="AF166" s="56"/>
      <c r="AG166" s="541"/>
      <c r="AH166" s="541"/>
      <c r="AI166" s="541"/>
      <c r="AJ166" s="797">
        <v>41200000</v>
      </c>
      <c r="AK166" s="541"/>
      <c r="AL166" s="797">
        <v>15450000</v>
      </c>
      <c r="AM166" s="540" t="s">
        <v>2576</v>
      </c>
      <c r="AN166" s="540" t="s">
        <v>2480</v>
      </c>
      <c r="AO166" s="100" t="s">
        <v>2577</v>
      </c>
      <c r="AP166" s="541"/>
      <c r="AQ166" s="60"/>
      <c r="AR166" s="1169">
        <v>1</v>
      </c>
      <c r="AS166" s="13" t="s">
        <v>914</v>
      </c>
      <c r="AT166" s="13" t="s">
        <v>3144</v>
      </c>
      <c r="AU166" s="56" t="str">
        <f t="shared" si="25"/>
        <v>Terminado</v>
      </c>
      <c r="AV166" s="56" t="str">
        <f t="shared" si="26"/>
        <v>Terminado</v>
      </c>
      <c r="AW166" s="531" t="s">
        <v>944</v>
      </c>
      <c r="AX166" s="706">
        <f>SUMPRODUCT(O166:O169,AR166:AR169)</f>
        <v>0.62000000000000011</v>
      </c>
      <c r="AY166" s="600">
        <f>SUMPRODUCT(S166:S169,O166:O169)</f>
        <v>0.62000000000000011</v>
      </c>
      <c r="AZ166" s="536" t="str">
        <f>IF(AY166&lt;1%,"Sin iniciar",IF(AY166=100%,"Terminado","En gestión"))</f>
        <v>En gestión</v>
      </c>
      <c r="BA166" s="536" t="str">
        <f>IF(AX166&lt;1%,"Sin iniciar",IF(AX166=100%,"Terminado","En gestión"))</f>
        <v>En gestión</v>
      </c>
      <c r="BB166" s="536"/>
      <c r="BC166" s="583">
        <v>0</v>
      </c>
      <c r="BD166" s="583">
        <v>0</v>
      </c>
      <c r="BE166" s="583">
        <v>0</v>
      </c>
      <c r="BF166" s="583">
        <v>41200000</v>
      </c>
      <c r="BG166" s="583">
        <v>41200000</v>
      </c>
      <c r="BH166" s="583">
        <v>257400</v>
      </c>
      <c r="BI166" s="540" t="s">
        <v>2584</v>
      </c>
      <c r="BJ166" s="540" t="s">
        <v>2587</v>
      </c>
      <c r="BK166" s="540" t="s">
        <v>2588</v>
      </c>
      <c r="BL166" s="540" t="s">
        <v>2658</v>
      </c>
      <c r="BM166" s="540"/>
      <c r="BN166" s="540"/>
      <c r="BO166" s="347">
        <v>1</v>
      </c>
      <c r="BP166" s="12" t="s">
        <v>3141</v>
      </c>
      <c r="BQ166" s="12" t="s">
        <v>3141</v>
      </c>
      <c r="BR166" s="5" t="str">
        <f t="shared" si="27"/>
        <v>Terminado</v>
      </c>
      <c r="BS166" s="5" t="str">
        <f t="shared" si="30"/>
        <v>Terminado</v>
      </c>
      <c r="BT166" s="581" t="s">
        <v>3145</v>
      </c>
      <c r="BU166" s="714">
        <f>SUMPRODUCT(O166:O169,BO166:BO169)</f>
        <v>0.98</v>
      </c>
      <c r="BV166" s="562">
        <f>SUMPRODUCT(O166:O169,T166:T169)</f>
        <v>0.98</v>
      </c>
      <c r="BW166" s="610" t="str">
        <f>IF(BV166&lt;1%,"Sin iniciar",IF(BV166=100%,"Terminado","En gestión"))</f>
        <v>En gestión</v>
      </c>
      <c r="BX166" s="610" t="str">
        <f>IF(BU166&lt;1%,"Sin iniciar",IF(BU166=100%,"Terminado","En gestión"))</f>
        <v>En gestión</v>
      </c>
      <c r="BY166" s="573" t="s">
        <v>37</v>
      </c>
      <c r="BZ166" s="573"/>
      <c r="CA166" s="574">
        <v>0</v>
      </c>
      <c r="CB166" s="574">
        <v>0</v>
      </c>
      <c r="CC166" s="574">
        <v>0</v>
      </c>
      <c r="CD166" s="799">
        <v>41200000</v>
      </c>
      <c r="CE166" s="799">
        <v>41200000</v>
      </c>
      <c r="CF166" s="799">
        <v>39140000</v>
      </c>
      <c r="CG166" s="581" t="s">
        <v>2584</v>
      </c>
      <c r="CH166" s="581" t="s">
        <v>2587</v>
      </c>
      <c r="CI166" s="581" t="s">
        <v>2588</v>
      </c>
      <c r="CJ166" s="581" t="s">
        <v>2658</v>
      </c>
    </row>
    <row r="167" spans="2:88" ht="171.95" customHeight="1" x14ac:dyDescent="0.25">
      <c r="B167" s="1227"/>
      <c r="C167" s="700"/>
      <c r="D167" s="33" t="s">
        <v>25</v>
      </c>
      <c r="E167" s="33" t="s">
        <v>160</v>
      </c>
      <c r="F167" s="633"/>
      <c r="G167" s="33" t="s">
        <v>28</v>
      </c>
      <c r="H167" s="33" t="s">
        <v>28</v>
      </c>
      <c r="I167" s="33" t="s">
        <v>29</v>
      </c>
      <c r="J167" s="33" t="s">
        <v>185</v>
      </c>
      <c r="K167" s="634"/>
      <c r="L167" s="51" t="s">
        <v>164</v>
      </c>
      <c r="M167" s="34" t="s">
        <v>735</v>
      </c>
      <c r="N167" s="35" t="s">
        <v>736</v>
      </c>
      <c r="O167" s="145">
        <v>0.4</v>
      </c>
      <c r="P167" s="36">
        <v>44378</v>
      </c>
      <c r="Q167" s="36">
        <v>44560</v>
      </c>
      <c r="R167" s="171">
        <v>0</v>
      </c>
      <c r="S167" s="171">
        <v>0.5</v>
      </c>
      <c r="T167" s="171">
        <v>1</v>
      </c>
      <c r="U167" s="171">
        <v>1</v>
      </c>
      <c r="V167" s="90">
        <v>0</v>
      </c>
      <c r="W167" s="56" t="s">
        <v>37</v>
      </c>
      <c r="X167" s="94" t="s">
        <v>37</v>
      </c>
      <c r="Y167" s="5" t="str">
        <f t="shared" si="28"/>
        <v>Sin iniciar</v>
      </c>
      <c r="Z167" s="5" t="str">
        <f t="shared" si="29"/>
        <v>Sin iniciar</v>
      </c>
      <c r="AA167" s="531"/>
      <c r="AB167" s="604"/>
      <c r="AC167" s="597"/>
      <c r="AD167" s="610"/>
      <c r="AE167" s="610"/>
      <c r="AF167" s="56"/>
      <c r="AG167" s="541"/>
      <c r="AH167" s="541"/>
      <c r="AI167" s="541"/>
      <c r="AJ167" s="797"/>
      <c r="AK167" s="541"/>
      <c r="AL167" s="797"/>
      <c r="AM167" s="540"/>
      <c r="AN167" s="540"/>
      <c r="AO167" s="100" t="s">
        <v>2466</v>
      </c>
      <c r="AP167" s="541"/>
      <c r="AQ167" s="60"/>
      <c r="AR167" s="1163">
        <v>0.5</v>
      </c>
      <c r="AS167" s="13" t="s">
        <v>915</v>
      </c>
      <c r="AT167" s="13" t="s">
        <v>3146</v>
      </c>
      <c r="AU167" s="56" t="str">
        <f t="shared" si="25"/>
        <v>En gestión</v>
      </c>
      <c r="AV167" s="56" t="str">
        <f t="shared" si="26"/>
        <v>En gestión</v>
      </c>
      <c r="AW167" s="531"/>
      <c r="AX167" s="706"/>
      <c r="AY167" s="600"/>
      <c r="AZ167" s="536"/>
      <c r="BA167" s="536"/>
      <c r="BB167" s="536"/>
      <c r="BC167" s="583"/>
      <c r="BD167" s="583"/>
      <c r="BE167" s="583"/>
      <c r="BF167" s="583"/>
      <c r="BG167" s="583"/>
      <c r="BH167" s="583"/>
      <c r="BI167" s="540"/>
      <c r="BJ167" s="540"/>
      <c r="BK167" s="541"/>
      <c r="BL167" s="541"/>
      <c r="BM167" s="541"/>
      <c r="BN167" s="541"/>
      <c r="BO167" s="347">
        <v>1</v>
      </c>
      <c r="BP167" s="11" t="s">
        <v>3147</v>
      </c>
      <c r="BQ167" s="11" t="s">
        <v>3148</v>
      </c>
      <c r="BR167" s="5" t="str">
        <f t="shared" si="27"/>
        <v>Terminado</v>
      </c>
      <c r="BS167" s="5" t="str">
        <f t="shared" si="30"/>
        <v>Terminado</v>
      </c>
      <c r="BT167" s="581"/>
      <c r="BU167" s="714"/>
      <c r="BV167" s="562"/>
      <c r="BW167" s="610"/>
      <c r="BX167" s="610"/>
      <c r="BY167" s="573"/>
      <c r="BZ167" s="573"/>
      <c r="CA167" s="574"/>
      <c r="CB167" s="574"/>
      <c r="CC167" s="574"/>
      <c r="CD167" s="799"/>
      <c r="CE167" s="799"/>
      <c r="CF167" s="799"/>
      <c r="CG167" s="581"/>
      <c r="CH167" s="581"/>
      <c r="CI167" s="581"/>
      <c r="CJ167" s="581"/>
    </row>
    <row r="168" spans="2:88" ht="171.95" customHeight="1" x14ac:dyDescent="0.25">
      <c r="B168" s="1227"/>
      <c r="C168" s="700"/>
      <c r="D168" s="33" t="s">
        <v>25</v>
      </c>
      <c r="E168" s="33" t="s">
        <v>160</v>
      </c>
      <c r="F168" s="633"/>
      <c r="G168" s="33" t="s">
        <v>28</v>
      </c>
      <c r="H168" s="33" t="s">
        <v>28</v>
      </c>
      <c r="I168" s="33" t="s">
        <v>29</v>
      </c>
      <c r="J168" s="33" t="s">
        <v>185</v>
      </c>
      <c r="K168" s="634"/>
      <c r="L168" s="51" t="s">
        <v>164</v>
      </c>
      <c r="M168" s="34" t="s">
        <v>737</v>
      </c>
      <c r="N168" s="35" t="s">
        <v>738</v>
      </c>
      <c r="O168" s="145">
        <v>0.1</v>
      </c>
      <c r="P168" s="36">
        <v>44378</v>
      </c>
      <c r="Q168" s="36">
        <v>44469</v>
      </c>
      <c r="R168" s="171">
        <v>0</v>
      </c>
      <c r="S168" s="171">
        <v>0</v>
      </c>
      <c r="T168" s="171">
        <v>1</v>
      </c>
      <c r="U168" s="171">
        <v>1</v>
      </c>
      <c r="V168" s="90">
        <v>0</v>
      </c>
      <c r="W168" s="56"/>
      <c r="X168" s="94"/>
      <c r="Y168" s="5" t="str">
        <f t="shared" si="28"/>
        <v>Sin iniciar</v>
      </c>
      <c r="Z168" s="5" t="str">
        <f t="shared" si="29"/>
        <v>Sin iniciar</v>
      </c>
      <c r="AA168" s="531"/>
      <c r="AB168" s="604"/>
      <c r="AC168" s="597"/>
      <c r="AD168" s="610"/>
      <c r="AE168" s="610"/>
      <c r="AF168" s="56"/>
      <c r="AG168" s="541"/>
      <c r="AH168" s="541"/>
      <c r="AI168" s="541"/>
      <c r="AJ168" s="797"/>
      <c r="AK168" s="541"/>
      <c r="AL168" s="797"/>
      <c r="AM168" s="540"/>
      <c r="AN168" s="540"/>
      <c r="AO168" s="100"/>
      <c r="AP168" s="541"/>
      <c r="AQ168" s="60"/>
      <c r="AR168" s="1163">
        <v>0</v>
      </c>
      <c r="AS168" s="56" t="s">
        <v>2437</v>
      </c>
      <c r="AT168" s="56"/>
      <c r="AU168" s="56" t="str">
        <f t="shared" si="25"/>
        <v>Sin iniciar</v>
      </c>
      <c r="AV168" s="56" t="str">
        <f t="shared" si="26"/>
        <v>Sin iniciar</v>
      </c>
      <c r="AW168" s="531"/>
      <c r="AX168" s="706"/>
      <c r="AY168" s="600"/>
      <c r="AZ168" s="536"/>
      <c r="BA168" s="536"/>
      <c r="BB168" s="536"/>
      <c r="BC168" s="583"/>
      <c r="BD168" s="583"/>
      <c r="BE168" s="583"/>
      <c r="BF168" s="583"/>
      <c r="BG168" s="583"/>
      <c r="BH168" s="583"/>
      <c r="BI168" s="540"/>
      <c r="BJ168" s="540"/>
      <c r="BK168" s="541"/>
      <c r="BL168" s="541"/>
      <c r="BM168" s="541"/>
      <c r="BN168" s="541"/>
      <c r="BO168" s="347">
        <v>1</v>
      </c>
      <c r="BP168" s="11" t="s">
        <v>3149</v>
      </c>
      <c r="BQ168" s="11" t="s">
        <v>3150</v>
      </c>
      <c r="BR168" s="5" t="str">
        <f t="shared" si="27"/>
        <v>Terminado</v>
      </c>
      <c r="BS168" s="5" t="str">
        <f t="shared" si="30"/>
        <v>Terminado</v>
      </c>
      <c r="BT168" s="581"/>
      <c r="BU168" s="714"/>
      <c r="BV168" s="562"/>
      <c r="BW168" s="610"/>
      <c r="BX168" s="610"/>
      <c r="BY168" s="573"/>
      <c r="BZ168" s="573"/>
      <c r="CA168" s="574"/>
      <c r="CB168" s="574"/>
      <c r="CC168" s="574"/>
      <c r="CD168" s="799"/>
      <c r="CE168" s="799"/>
      <c r="CF168" s="799"/>
      <c r="CG168" s="581"/>
      <c r="CH168" s="581"/>
      <c r="CI168" s="581"/>
      <c r="CJ168" s="581"/>
    </row>
    <row r="169" spans="2:88" ht="171.95" customHeight="1" x14ac:dyDescent="0.25">
      <c r="B169" s="1227"/>
      <c r="C169" s="700"/>
      <c r="D169" s="33" t="s">
        <v>25</v>
      </c>
      <c r="E169" s="33" t="s">
        <v>160</v>
      </c>
      <c r="F169" s="633"/>
      <c r="G169" s="33" t="s">
        <v>28</v>
      </c>
      <c r="H169" s="33" t="s">
        <v>28</v>
      </c>
      <c r="I169" s="33" t="s">
        <v>29</v>
      </c>
      <c r="J169" s="33" t="s">
        <v>185</v>
      </c>
      <c r="K169" s="634"/>
      <c r="L169" s="51" t="s">
        <v>164</v>
      </c>
      <c r="M169" s="34" t="s">
        <v>739</v>
      </c>
      <c r="N169" s="35" t="s">
        <v>740</v>
      </c>
      <c r="O169" s="145">
        <v>0.1</v>
      </c>
      <c r="P169" s="36">
        <v>44348</v>
      </c>
      <c r="Q169" s="36">
        <v>44561</v>
      </c>
      <c r="R169" s="171">
        <v>0</v>
      </c>
      <c r="S169" s="171">
        <v>0.2</v>
      </c>
      <c r="T169" s="171">
        <v>0.8</v>
      </c>
      <c r="U169" s="171">
        <v>1</v>
      </c>
      <c r="V169" s="90">
        <v>0</v>
      </c>
      <c r="W169" s="56"/>
      <c r="X169" s="94"/>
      <c r="Y169" s="5" t="str">
        <f t="shared" si="28"/>
        <v>Sin iniciar</v>
      </c>
      <c r="Z169" s="5" t="str">
        <f t="shared" si="29"/>
        <v>Sin iniciar</v>
      </c>
      <c r="AA169" s="531"/>
      <c r="AB169" s="604"/>
      <c r="AC169" s="597"/>
      <c r="AD169" s="610"/>
      <c r="AE169" s="610"/>
      <c r="AF169" s="56"/>
      <c r="AG169" s="541"/>
      <c r="AH169" s="541"/>
      <c r="AI169" s="541"/>
      <c r="AJ169" s="797"/>
      <c r="AK169" s="541"/>
      <c r="AL169" s="797"/>
      <c r="AM169" s="540"/>
      <c r="AN169" s="540"/>
      <c r="AO169" s="100"/>
      <c r="AP169" s="541"/>
      <c r="AQ169" s="60"/>
      <c r="AR169" s="1163">
        <v>0.2</v>
      </c>
      <c r="AS169" s="13" t="s">
        <v>916</v>
      </c>
      <c r="AT169" s="56" t="s">
        <v>3151</v>
      </c>
      <c r="AU169" s="56" t="str">
        <f t="shared" si="25"/>
        <v>En gestión</v>
      </c>
      <c r="AV169" s="56" t="str">
        <f t="shared" si="26"/>
        <v>En gestión</v>
      </c>
      <c r="AW169" s="531"/>
      <c r="AX169" s="706"/>
      <c r="AY169" s="600"/>
      <c r="AZ169" s="536"/>
      <c r="BA169" s="536"/>
      <c r="BB169" s="536"/>
      <c r="BC169" s="583"/>
      <c r="BD169" s="583"/>
      <c r="BE169" s="583"/>
      <c r="BF169" s="583"/>
      <c r="BG169" s="583"/>
      <c r="BH169" s="583"/>
      <c r="BI169" s="540"/>
      <c r="BJ169" s="540"/>
      <c r="BK169" s="541"/>
      <c r="BL169" s="541"/>
      <c r="BM169" s="541"/>
      <c r="BN169" s="541"/>
      <c r="BO169" s="347">
        <v>0.8</v>
      </c>
      <c r="BP169" s="11" t="s">
        <v>3152</v>
      </c>
      <c r="BQ169" s="11" t="s">
        <v>3153</v>
      </c>
      <c r="BR169" s="5" t="str">
        <f t="shared" si="27"/>
        <v>En gestión</v>
      </c>
      <c r="BS169" s="5" t="str">
        <f t="shared" si="30"/>
        <v>En gestión</v>
      </c>
      <c r="BT169" s="581"/>
      <c r="BU169" s="714"/>
      <c r="BV169" s="562"/>
      <c r="BW169" s="610"/>
      <c r="BX169" s="610"/>
      <c r="BY169" s="573"/>
      <c r="BZ169" s="573"/>
      <c r="CA169" s="574"/>
      <c r="CB169" s="574"/>
      <c r="CC169" s="574"/>
      <c r="CD169" s="799"/>
      <c r="CE169" s="799"/>
      <c r="CF169" s="799"/>
      <c r="CG169" s="581"/>
      <c r="CH169" s="581"/>
      <c r="CI169" s="581"/>
      <c r="CJ169" s="581"/>
    </row>
    <row r="170" spans="2:88" ht="171.95" customHeight="1" x14ac:dyDescent="0.25">
      <c r="B170" s="1227"/>
      <c r="C170" s="710" t="s">
        <v>741</v>
      </c>
      <c r="D170" s="41" t="s">
        <v>25</v>
      </c>
      <c r="E170" s="41" t="s">
        <v>160</v>
      </c>
      <c r="F170" s="640" t="s">
        <v>742</v>
      </c>
      <c r="G170" s="41" t="s">
        <v>28</v>
      </c>
      <c r="H170" s="41" t="s">
        <v>28</v>
      </c>
      <c r="I170" s="41" t="s">
        <v>162</v>
      </c>
      <c r="J170" s="41" t="s">
        <v>185</v>
      </c>
      <c r="K170" s="641" t="s">
        <v>743</v>
      </c>
      <c r="L170" s="52" t="s">
        <v>164</v>
      </c>
      <c r="M170" s="42" t="s">
        <v>744</v>
      </c>
      <c r="N170" s="43" t="s">
        <v>745</v>
      </c>
      <c r="O170" s="147">
        <v>0.5</v>
      </c>
      <c r="P170" s="44">
        <v>44200</v>
      </c>
      <c r="Q170" s="44">
        <v>44377</v>
      </c>
      <c r="R170" s="170">
        <v>0.5</v>
      </c>
      <c r="S170" s="170">
        <v>1</v>
      </c>
      <c r="T170" s="170">
        <v>1</v>
      </c>
      <c r="U170" s="170">
        <v>1</v>
      </c>
      <c r="V170" s="184">
        <v>0.5</v>
      </c>
      <c r="W170" s="62" t="s">
        <v>746</v>
      </c>
      <c r="X170" s="63" t="s">
        <v>3154</v>
      </c>
      <c r="Y170" s="19" t="str">
        <f t="shared" si="28"/>
        <v>En gestión</v>
      </c>
      <c r="Z170" s="19" t="str">
        <f t="shared" si="29"/>
        <v>En gestión</v>
      </c>
      <c r="AA170" s="532" t="s">
        <v>903</v>
      </c>
      <c r="AB170" s="596">
        <f>SUMPRODUCT(O170:O171,V170:V171)</f>
        <v>0.25</v>
      </c>
      <c r="AC170" s="597">
        <f>SUMPRODUCT(O170:O171,R170:R171)</f>
        <v>0.25</v>
      </c>
      <c r="AD170" s="611" t="str">
        <f>IF(AC170&lt;1%,"Sin iniciar",IF(AC170=100%,"Terminado","En gestión"))</f>
        <v>En gestión</v>
      </c>
      <c r="AE170" s="611" t="str">
        <f>IF(AB170&lt;1%,"Sin iniciar",IF(AB170=100%,"Terminado","En gestión"))</f>
        <v>En gestión</v>
      </c>
      <c r="AF170" s="66"/>
      <c r="AG170" s="542"/>
      <c r="AH170" s="542"/>
      <c r="AI170" s="542"/>
      <c r="AJ170" s="802">
        <v>73800000</v>
      </c>
      <c r="AK170" s="542"/>
      <c r="AL170" s="798">
        <v>18450000</v>
      </c>
      <c r="AM170" s="801" t="s">
        <v>2578</v>
      </c>
      <c r="AN170" s="801" t="s">
        <v>2579</v>
      </c>
      <c r="AO170" s="542" t="s">
        <v>2580</v>
      </c>
      <c r="AP170" s="542"/>
      <c r="AQ170" s="50"/>
      <c r="AR170" s="1169">
        <v>1</v>
      </c>
      <c r="AS170" s="62" t="s">
        <v>917</v>
      </c>
      <c r="AT170" s="62" t="s">
        <v>3155</v>
      </c>
      <c r="AU170" s="66" t="str">
        <f t="shared" si="25"/>
        <v>Terminado</v>
      </c>
      <c r="AV170" s="66" t="str">
        <f t="shared" si="26"/>
        <v>Terminado</v>
      </c>
      <c r="AW170" s="532" t="s">
        <v>945</v>
      </c>
      <c r="AX170" s="599">
        <f>SUMPRODUCT(O170:O171,AR170:AR171)</f>
        <v>0.5</v>
      </c>
      <c r="AY170" s="600">
        <f>SUMPRODUCT(S170:S171,O170:O171)</f>
        <v>0.75</v>
      </c>
      <c r="AZ170" s="530" t="str">
        <f>IF(AY170&lt;1%,"Sin iniciar",IF(AY170=100%,"Terminado","En gestión"))</f>
        <v>En gestión</v>
      </c>
      <c r="BA170" s="530" t="str">
        <f>IF(AX170&lt;1%,"Sin iniciar",IF(AX170=100%,"Terminado","En gestión"))</f>
        <v>En gestión</v>
      </c>
      <c r="BB170" s="530"/>
      <c r="BC170" s="579">
        <v>0</v>
      </c>
      <c r="BD170" s="579">
        <v>0</v>
      </c>
      <c r="BE170" s="579">
        <v>0</v>
      </c>
      <c r="BF170" s="579">
        <v>73800000</v>
      </c>
      <c r="BG170" s="542"/>
      <c r="BH170" s="798"/>
      <c r="BI170" s="801"/>
      <c r="BJ170" s="801"/>
      <c r="BK170" s="542"/>
      <c r="BL170" s="542"/>
      <c r="BM170" s="542"/>
      <c r="BN170" s="542"/>
      <c r="BO170" s="347">
        <v>1</v>
      </c>
      <c r="BP170" s="25" t="s">
        <v>3156</v>
      </c>
      <c r="BQ170" s="25" t="s">
        <v>3156</v>
      </c>
      <c r="BR170" s="19" t="str">
        <f t="shared" si="27"/>
        <v>Terminado</v>
      </c>
      <c r="BS170" s="19" t="str">
        <f t="shared" si="30"/>
        <v>Terminado</v>
      </c>
      <c r="BT170" s="560" t="s">
        <v>3157</v>
      </c>
      <c r="BU170" s="561">
        <f>SUMPRODUCT(O170:O171,BO170:BO171)</f>
        <v>0.85</v>
      </c>
      <c r="BV170" s="562">
        <f>SUMPRODUCT(O170:O171,T170:T171)</f>
        <v>0.8</v>
      </c>
      <c r="BW170" s="611" t="str">
        <f>IF(BV170&lt;1%,"Sin iniciar",IF(BV170=100%,"Terminado","En gestión"))</f>
        <v>En gestión</v>
      </c>
      <c r="BX170" s="611" t="str">
        <f>IF(BU170&lt;1%,"Sin iniciar",IF(BU170=100%,"Terminado","En gestión"))</f>
        <v>En gestión</v>
      </c>
      <c r="BY170" s="578" t="s">
        <v>37</v>
      </c>
      <c r="BZ170" s="578"/>
      <c r="CA170" s="565">
        <v>0</v>
      </c>
      <c r="CB170" s="565">
        <v>0</v>
      </c>
      <c r="CC170" s="565">
        <v>0</v>
      </c>
      <c r="CD170" s="800">
        <v>73800000</v>
      </c>
      <c r="CE170" s="800">
        <v>73800000</v>
      </c>
      <c r="CF170" s="800">
        <v>59040000</v>
      </c>
      <c r="CG170" s="560" t="s">
        <v>2578</v>
      </c>
      <c r="CH170" s="560" t="s">
        <v>2579</v>
      </c>
      <c r="CI170" s="560" t="s">
        <v>2580</v>
      </c>
      <c r="CJ170" s="560"/>
    </row>
    <row r="171" spans="2:88" ht="171.95" customHeight="1" x14ac:dyDescent="0.25">
      <c r="B171" s="1227"/>
      <c r="C171" s="710"/>
      <c r="D171" s="41" t="s">
        <v>25</v>
      </c>
      <c r="E171" s="41" t="s">
        <v>160</v>
      </c>
      <c r="F171" s="640"/>
      <c r="G171" s="41" t="s">
        <v>28</v>
      </c>
      <c r="H171" s="41" t="s">
        <v>28</v>
      </c>
      <c r="I171" s="41" t="s">
        <v>162</v>
      </c>
      <c r="J171" s="41" t="s">
        <v>185</v>
      </c>
      <c r="K171" s="641"/>
      <c r="L171" s="52" t="s">
        <v>164</v>
      </c>
      <c r="M171" s="42" t="s">
        <v>747</v>
      </c>
      <c r="N171" s="43" t="s">
        <v>748</v>
      </c>
      <c r="O171" s="147">
        <v>0.5</v>
      </c>
      <c r="P171" s="44">
        <v>44378</v>
      </c>
      <c r="Q171" s="44">
        <v>44545</v>
      </c>
      <c r="R171" s="170">
        <v>0</v>
      </c>
      <c r="S171" s="170">
        <v>0.5</v>
      </c>
      <c r="T171" s="170">
        <v>0.6</v>
      </c>
      <c r="U171" s="170">
        <v>1</v>
      </c>
      <c r="V171" s="90">
        <v>0</v>
      </c>
      <c r="W171" s="66" t="s">
        <v>37</v>
      </c>
      <c r="X171" s="91" t="s">
        <v>37</v>
      </c>
      <c r="Y171" s="19" t="str">
        <f t="shared" si="28"/>
        <v>Sin iniciar</v>
      </c>
      <c r="Z171" s="19" t="str">
        <f t="shared" si="29"/>
        <v>Sin iniciar</v>
      </c>
      <c r="AA171" s="532"/>
      <c r="AB171" s="596"/>
      <c r="AC171" s="597"/>
      <c r="AD171" s="611"/>
      <c r="AE171" s="611"/>
      <c r="AF171" s="66"/>
      <c r="AG171" s="542"/>
      <c r="AH171" s="542"/>
      <c r="AI171" s="542"/>
      <c r="AJ171" s="802"/>
      <c r="AK171" s="542"/>
      <c r="AL171" s="798"/>
      <c r="AM171" s="801"/>
      <c r="AN171" s="801"/>
      <c r="AO171" s="542"/>
      <c r="AP171" s="542"/>
      <c r="AQ171" s="50"/>
      <c r="AR171" s="1163">
        <v>0</v>
      </c>
      <c r="AS171" s="62" t="s">
        <v>2448</v>
      </c>
      <c r="AT171" s="62"/>
      <c r="AU171" s="66" t="str">
        <f t="shared" si="25"/>
        <v>En gestión</v>
      </c>
      <c r="AV171" s="66" t="str">
        <f t="shared" si="26"/>
        <v>Sin iniciar</v>
      </c>
      <c r="AW171" s="532"/>
      <c r="AX171" s="599"/>
      <c r="AY171" s="600"/>
      <c r="AZ171" s="530"/>
      <c r="BA171" s="530"/>
      <c r="BB171" s="530"/>
      <c r="BC171" s="579"/>
      <c r="BD171" s="579"/>
      <c r="BE171" s="579"/>
      <c r="BF171" s="579"/>
      <c r="BG171" s="542"/>
      <c r="BH171" s="798"/>
      <c r="BI171" s="801"/>
      <c r="BJ171" s="801"/>
      <c r="BK171" s="542"/>
      <c r="BL171" s="542"/>
      <c r="BM171" s="542"/>
      <c r="BN171" s="542"/>
      <c r="BO171" s="347">
        <v>0.7</v>
      </c>
      <c r="BP171" s="24" t="s">
        <v>3158</v>
      </c>
      <c r="BQ171" s="24" t="s">
        <v>3159</v>
      </c>
      <c r="BR171" s="19" t="str">
        <f t="shared" si="27"/>
        <v>En gestión</v>
      </c>
      <c r="BS171" s="19" t="str">
        <f t="shared" si="30"/>
        <v>En gestión</v>
      </c>
      <c r="BT171" s="560"/>
      <c r="BU171" s="561"/>
      <c r="BV171" s="562"/>
      <c r="BW171" s="611"/>
      <c r="BX171" s="611"/>
      <c r="BY171" s="578"/>
      <c r="BZ171" s="578"/>
      <c r="CA171" s="565"/>
      <c r="CB171" s="565"/>
      <c r="CC171" s="565"/>
      <c r="CD171" s="800"/>
      <c r="CE171" s="800"/>
      <c r="CF171" s="800"/>
      <c r="CG171" s="560"/>
      <c r="CH171" s="560"/>
      <c r="CI171" s="560"/>
      <c r="CJ171" s="560"/>
    </row>
    <row r="172" spans="2:88" ht="171.95" customHeight="1" x14ac:dyDescent="0.25">
      <c r="B172" s="1227"/>
      <c r="C172" s="700" t="s">
        <v>749</v>
      </c>
      <c r="D172" s="33" t="s">
        <v>25</v>
      </c>
      <c r="E172" s="33" t="s">
        <v>160</v>
      </c>
      <c r="F172" s="633" t="s">
        <v>750</v>
      </c>
      <c r="G172" s="33" t="s">
        <v>28</v>
      </c>
      <c r="H172" s="33" t="s">
        <v>28</v>
      </c>
      <c r="I172" s="33" t="s">
        <v>29</v>
      </c>
      <c r="J172" s="33" t="s">
        <v>185</v>
      </c>
      <c r="K172" s="634" t="s">
        <v>751</v>
      </c>
      <c r="L172" s="51" t="s">
        <v>752</v>
      </c>
      <c r="M172" s="34" t="s">
        <v>753</v>
      </c>
      <c r="N172" s="35" t="s">
        <v>754</v>
      </c>
      <c r="O172" s="145">
        <v>0.1</v>
      </c>
      <c r="P172" s="36">
        <v>44200</v>
      </c>
      <c r="Q172" s="36">
        <v>44255</v>
      </c>
      <c r="R172" s="171">
        <v>1</v>
      </c>
      <c r="S172" s="171">
        <v>1</v>
      </c>
      <c r="T172" s="171">
        <v>1</v>
      </c>
      <c r="U172" s="171">
        <v>1</v>
      </c>
      <c r="V172" s="184">
        <v>1</v>
      </c>
      <c r="W172" s="13" t="s">
        <v>755</v>
      </c>
      <c r="X172" s="55" t="s">
        <v>3160</v>
      </c>
      <c r="Y172" s="5" t="str">
        <f t="shared" si="28"/>
        <v>Terminado</v>
      </c>
      <c r="Z172" s="5" t="str">
        <f t="shared" si="29"/>
        <v>Terminado</v>
      </c>
      <c r="AA172" s="531" t="s">
        <v>904</v>
      </c>
      <c r="AB172" s="596">
        <f>SUMPRODUCT(O172:O174,V172:V174)</f>
        <v>0.95000000000000007</v>
      </c>
      <c r="AC172" s="597">
        <f>SUMPRODUCT(O172:O174,R172:R174)</f>
        <v>0.95000000000000007</v>
      </c>
      <c r="AD172" s="610" t="str">
        <f>IF(AC172&lt;1%,"Sin iniciar",IF(AC172=100%,"Terminado","En gestión"))</f>
        <v>En gestión</v>
      </c>
      <c r="AE172" s="610" t="str">
        <f>IF(AB172&lt;1%,"Sin iniciar",IF(AB172=100%,"Terminado","En gestión"))</f>
        <v>En gestión</v>
      </c>
      <c r="AF172" s="56"/>
      <c r="AG172" s="797">
        <v>142764372</v>
      </c>
      <c r="AH172" s="541"/>
      <c r="AI172" s="797">
        <v>35691093</v>
      </c>
      <c r="AJ172" s="803">
        <v>570800000</v>
      </c>
      <c r="AK172" s="541"/>
      <c r="AL172" s="797">
        <v>142700000</v>
      </c>
      <c r="AM172" s="540" t="s">
        <v>2578</v>
      </c>
      <c r="AN172" s="540" t="s">
        <v>2581</v>
      </c>
      <c r="AO172" s="541" t="s">
        <v>2580</v>
      </c>
      <c r="AP172" s="541"/>
      <c r="AQ172" s="60"/>
      <c r="AR172" s="1169">
        <v>1</v>
      </c>
      <c r="AS172" s="13" t="s">
        <v>2434</v>
      </c>
      <c r="AT172" s="13"/>
      <c r="AU172" s="56" t="str">
        <f t="shared" si="25"/>
        <v>Terminado</v>
      </c>
      <c r="AV172" s="56" t="str">
        <f t="shared" si="26"/>
        <v>Terminado</v>
      </c>
      <c r="AW172" s="531" t="s">
        <v>946</v>
      </c>
      <c r="AX172" s="599">
        <f>SUMPRODUCT(O172:O174,AR172:AR174)</f>
        <v>1</v>
      </c>
      <c r="AY172" s="600">
        <f>SUMPRODUCT(S172:S174,O172:O174)</f>
        <v>1</v>
      </c>
      <c r="AZ172" s="536" t="str">
        <f>IF(AY172&lt;1%,"Sin iniciar",IF(AY172=100%,"Terminado","En gestión"))</f>
        <v>Terminado</v>
      </c>
      <c r="BA172" s="536" t="str">
        <f>IF(AX172&lt;1%,"Sin iniciar",IF(AX172=100%,"Terminado","En gestión"))</f>
        <v>Terminado</v>
      </c>
      <c r="BB172" s="536"/>
      <c r="BC172" s="574">
        <v>142764372</v>
      </c>
      <c r="BD172" s="574">
        <v>142764372</v>
      </c>
      <c r="BE172" s="574">
        <v>0</v>
      </c>
      <c r="BF172" s="583">
        <v>570800000</v>
      </c>
      <c r="BG172" s="541"/>
      <c r="BH172" s="797"/>
      <c r="BI172" s="540"/>
      <c r="BJ172" s="540"/>
      <c r="BK172" s="541"/>
      <c r="BL172" s="541"/>
      <c r="BM172" s="541"/>
      <c r="BN172" s="541"/>
      <c r="BO172" s="347">
        <v>1</v>
      </c>
      <c r="BP172" s="12" t="s">
        <v>3127</v>
      </c>
      <c r="BQ172" s="12" t="s">
        <v>3127</v>
      </c>
      <c r="BR172" s="5" t="str">
        <f t="shared" si="27"/>
        <v>Terminado</v>
      </c>
      <c r="BS172" s="5" t="str">
        <f t="shared" si="30"/>
        <v>Terminado</v>
      </c>
      <c r="BT172" s="573" t="s">
        <v>3138</v>
      </c>
      <c r="BU172" s="561">
        <f>SUMPRODUCT(O172:O174,BO172:BO174)</f>
        <v>1</v>
      </c>
      <c r="BV172" s="562">
        <f>SUMPRODUCT(O172:O174,T172:T174)</f>
        <v>1</v>
      </c>
      <c r="BW172" s="610" t="str">
        <f>IF(BV172&lt;1%,"Sin iniciar",IF(BV172=100%,"Terminado","En gestión"))</f>
        <v>Terminado</v>
      </c>
      <c r="BX172" s="610" t="str">
        <f>IF(BU172&lt;1%,"Sin iniciar",IF(BU172=100%,"Terminado","En gestión"))</f>
        <v>Terminado</v>
      </c>
      <c r="BY172" s="573" t="s">
        <v>37</v>
      </c>
      <c r="BZ172" s="573"/>
      <c r="CA172" s="573"/>
      <c r="CB172" s="573"/>
      <c r="CC172" s="573"/>
      <c r="CD172" s="573"/>
      <c r="CE172" s="573"/>
      <c r="CF172" s="573"/>
      <c r="CG172" s="573"/>
      <c r="CH172" s="573"/>
      <c r="CI172" s="573"/>
      <c r="CJ172" s="573"/>
    </row>
    <row r="173" spans="2:88" ht="171.95" customHeight="1" x14ac:dyDescent="0.25">
      <c r="B173" s="1227"/>
      <c r="C173" s="700"/>
      <c r="D173" s="33" t="s">
        <v>25</v>
      </c>
      <c r="E173" s="33" t="s">
        <v>160</v>
      </c>
      <c r="F173" s="633"/>
      <c r="G173" s="33" t="s">
        <v>28</v>
      </c>
      <c r="H173" s="33" t="s">
        <v>28</v>
      </c>
      <c r="I173" s="33" t="s">
        <v>29</v>
      </c>
      <c r="J173" s="33" t="s">
        <v>185</v>
      </c>
      <c r="K173" s="634"/>
      <c r="L173" s="51" t="s">
        <v>752</v>
      </c>
      <c r="M173" s="34" t="s">
        <v>756</v>
      </c>
      <c r="N173" s="35" t="s">
        <v>757</v>
      </c>
      <c r="O173" s="145">
        <v>0.8</v>
      </c>
      <c r="P173" s="36">
        <v>44207</v>
      </c>
      <c r="Q173" s="36">
        <v>44285</v>
      </c>
      <c r="R173" s="171">
        <v>1</v>
      </c>
      <c r="S173" s="171">
        <v>1</v>
      </c>
      <c r="T173" s="171">
        <v>1</v>
      </c>
      <c r="U173" s="171">
        <v>1</v>
      </c>
      <c r="V173" s="184">
        <v>1</v>
      </c>
      <c r="W173" s="13" t="s">
        <v>758</v>
      </c>
      <c r="X173" s="55" t="s">
        <v>3161</v>
      </c>
      <c r="Y173" s="5" t="str">
        <f t="shared" si="28"/>
        <v>Terminado</v>
      </c>
      <c r="Z173" s="5" t="str">
        <f t="shared" si="29"/>
        <v>Terminado</v>
      </c>
      <c r="AA173" s="531"/>
      <c r="AB173" s="596"/>
      <c r="AC173" s="597"/>
      <c r="AD173" s="610"/>
      <c r="AE173" s="610"/>
      <c r="AF173" s="56"/>
      <c r="AG173" s="797"/>
      <c r="AH173" s="541"/>
      <c r="AI173" s="797"/>
      <c r="AJ173" s="803"/>
      <c r="AK173" s="541"/>
      <c r="AL173" s="797"/>
      <c r="AM173" s="540"/>
      <c r="AN173" s="540"/>
      <c r="AO173" s="541" t="s">
        <v>2466</v>
      </c>
      <c r="AP173" s="541"/>
      <c r="AQ173" s="60"/>
      <c r="AR173" s="1169">
        <v>1</v>
      </c>
      <c r="AS173" s="13" t="s">
        <v>2434</v>
      </c>
      <c r="AT173" s="13"/>
      <c r="AU173" s="56" t="str">
        <f t="shared" si="25"/>
        <v>Terminado</v>
      </c>
      <c r="AV173" s="56" t="str">
        <f t="shared" si="26"/>
        <v>Terminado</v>
      </c>
      <c r="AW173" s="531"/>
      <c r="AX173" s="599"/>
      <c r="AY173" s="600"/>
      <c r="AZ173" s="536"/>
      <c r="BA173" s="536"/>
      <c r="BB173" s="536"/>
      <c r="BC173" s="574"/>
      <c r="BD173" s="574"/>
      <c r="BE173" s="574"/>
      <c r="BF173" s="583"/>
      <c r="BG173" s="541"/>
      <c r="BH173" s="797"/>
      <c r="BI173" s="540"/>
      <c r="BJ173" s="540"/>
      <c r="BK173" s="541"/>
      <c r="BL173" s="541"/>
      <c r="BM173" s="541"/>
      <c r="BN173" s="541"/>
      <c r="BO173" s="347">
        <v>1</v>
      </c>
      <c r="BP173" s="12" t="s">
        <v>3127</v>
      </c>
      <c r="BQ173" s="12" t="s">
        <v>3127</v>
      </c>
      <c r="BR173" s="5" t="str">
        <f t="shared" si="27"/>
        <v>Terminado</v>
      </c>
      <c r="BS173" s="5" t="str">
        <f t="shared" si="30"/>
        <v>Terminado</v>
      </c>
      <c r="BT173" s="573"/>
      <c r="BU173" s="561"/>
      <c r="BV173" s="562"/>
      <c r="BW173" s="610"/>
      <c r="BX173" s="610"/>
      <c r="BY173" s="573"/>
      <c r="BZ173" s="573"/>
      <c r="CA173" s="573"/>
      <c r="CB173" s="573"/>
      <c r="CC173" s="573"/>
      <c r="CD173" s="573"/>
      <c r="CE173" s="573"/>
      <c r="CF173" s="573"/>
      <c r="CG173" s="573"/>
      <c r="CH173" s="573"/>
      <c r="CI173" s="573"/>
      <c r="CJ173" s="573"/>
    </row>
    <row r="174" spans="2:88" ht="171.95" customHeight="1" x14ac:dyDescent="0.25">
      <c r="B174" s="1227"/>
      <c r="C174" s="700"/>
      <c r="D174" s="33" t="s">
        <v>25</v>
      </c>
      <c r="E174" s="33" t="s">
        <v>160</v>
      </c>
      <c r="F174" s="633"/>
      <c r="G174" s="33" t="s">
        <v>28</v>
      </c>
      <c r="H174" s="33" t="s">
        <v>28</v>
      </c>
      <c r="I174" s="33" t="s">
        <v>29</v>
      </c>
      <c r="J174" s="33" t="s">
        <v>185</v>
      </c>
      <c r="K174" s="634"/>
      <c r="L174" s="51" t="s">
        <v>752</v>
      </c>
      <c r="M174" s="34" t="s">
        <v>759</v>
      </c>
      <c r="N174" s="35" t="s">
        <v>760</v>
      </c>
      <c r="O174" s="145">
        <v>0.1</v>
      </c>
      <c r="P174" s="36">
        <v>44263</v>
      </c>
      <c r="Q174" s="36">
        <v>44346</v>
      </c>
      <c r="R174" s="171">
        <v>0.5</v>
      </c>
      <c r="S174" s="171">
        <v>1</v>
      </c>
      <c r="T174" s="171">
        <v>1</v>
      </c>
      <c r="U174" s="171">
        <v>1</v>
      </c>
      <c r="V174" s="184">
        <v>0.5</v>
      </c>
      <c r="W174" s="13" t="s">
        <v>761</v>
      </c>
      <c r="X174" s="55" t="s">
        <v>3162</v>
      </c>
      <c r="Y174" s="5" t="str">
        <f t="shared" si="28"/>
        <v>En gestión</v>
      </c>
      <c r="Z174" s="5" t="str">
        <f t="shared" si="29"/>
        <v>En gestión</v>
      </c>
      <c r="AA174" s="531"/>
      <c r="AB174" s="596"/>
      <c r="AC174" s="597"/>
      <c r="AD174" s="610"/>
      <c r="AE174" s="610"/>
      <c r="AF174" s="56"/>
      <c r="AG174" s="797"/>
      <c r="AH174" s="541"/>
      <c r="AI174" s="797"/>
      <c r="AJ174" s="803"/>
      <c r="AK174" s="541"/>
      <c r="AL174" s="797"/>
      <c r="AM174" s="540"/>
      <c r="AN174" s="540"/>
      <c r="AO174" s="541" t="s">
        <v>2466</v>
      </c>
      <c r="AP174" s="541"/>
      <c r="AQ174" s="60"/>
      <c r="AR174" s="1169">
        <v>1</v>
      </c>
      <c r="AS174" s="13" t="s">
        <v>3163</v>
      </c>
      <c r="AT174" s="13" t="s">
        <v>3164</v>
      </c>
      <c r="AU174" s="56" t="str">
        <f t="shared" si="25"/>
        <v>Terminado</v>
      </c>
      <c r="AV174" s="56" t="str">
        <f t="shared" si="26"/>
        <v>Terminado</v>
      </c>
      <c r="AW174" s="531"/>
      <c r="AX174" s="599"/>
      <c r="AY174" s="600"/>
      <c r="AZ174" s="536"/>
      <c r="BA174" s="536"/>
      <c r="BB174" s="536"/>
      <c r="BC174" s="574"/>
      <c r="BD174" s="574"/>
      <c r="BE174" s="574"/>
      <c r="BF174" s="583"/>
      <c r="BG174" s="541"/>
      <c r="BH174" s="797"/>
      <c r="BI174" s="540"/>
      <c r="BJ174" s="540"/>
      <c r="BK174" s="541"/>
      <c r="BL174" s="541"/>
      <c r="BM174" s="541"/>
      <c r="BN174" s="541"/>
      <c r="BO174" s="347">
        <v>1</v>
      </c>
      <c r="BP174" s="12" t="s">
        <v>3141</v>
      </c>
      <c r="BQ174" s="12" t="s">
        <v>3141</v>
      </c>
      <c r="BR174" s="5" t="str">
        <f t="shared" si="27"/>
        <v>Terminado</v>
      </c>
      <c r="BS174" s="5" t="str">
        <f t="shared" si="30"/>
        <v>Terminado</v>
      </c>
      <c r="BT174" s="573"/>
      <c r="BU174" s="561"/>
      <c r="BV174" s="562"/>
      <c r="BW174" s="610"/>
      <c r="BX174" s="610"/>
      <c r="BY174" s="573"/>
      <c r="BZ174" s="573"/>
      <c r="CA174" s="573"/>
      <c r="CB174" s="573"/>
      <c r="CC174" s="573"/>
      <c r="CD174" s="573"/>
      <c r="CE174" s="573"/>
      <c r="CF174" s="573"/>
      <c r="CG174" s="573"/>
      <c r="CH174" s="573"/>
      <c r="CI174" s="573"/>
      <c r="CJ174" s="573"/>
    </row>
    <row r="175" spans="2:88" ht="171.95" customHeight="1" x14ac:dyDescent="0.25">
      <c r="B175" s="1227"/>
      <c r="C175" s="710" t="s">
        <v>762</v>
      </c>
      <c r="D175" s="41" t="s">
        <v>25</v>
      </c>
      <c r="E175" s="41" t="s">
        <v>26</v>
      </c>
      <c r="F175" s="640" t="s">
        <v>763</v>
      </c>
      <c r="G175" s="41" t="s">
        <v>28</v>
      </c>
      <c r="H175" s="41" t="s">
        <v>28</v>
      </c>
      <c r="I175" s="41" t="s">
        <v>29</v>
      </c>
      <c r="J175" s="41" t="s">
        <v>185</v>
      </c>
      <c r="K175" s="641" t="s">
        <v>764</v>
      </c>
      <c r="L175" s="52" t="s">
        <v>164</v>
      </c>
      <c r="M175" s="42" t="s">
        <v>765</v>
      </c>
      <c r="N175" s="43" t="s">
        <v>766</v>
      </c>
      <c r="O175" s="147">
        <v>0.5</v>
      </c>
      <c r="P175" s="187">
        <v>44200</v>
      </c>
      <c r="Q175" s="187">
        <v>44255</v>
      </c>
      <c r="R175" s="188">
        <v>1</v>
      </c>
      <c r="S175" s="188">
        <v>1</v>
      </c>
      <c r="T175" s="188">
        <v>1</v>
      </c>
      <c r="U175" s="188">
        <v>1</v>
      </c>
      <c r="V175" s="184">
        <v>1</v>
      </c>
      <c r="W175" s="62" t="s">
        <v>767</v>
      </c>
      <c r="X175" s="63" t="s">
        <v>3165</v>
      </c>
      <c r="Y175" s="19" t="str">
        <f t="shared" si="28"/>
        <v>Terminado</v>
      </c>
      <c r="Z175" s="19" t="str">
        <f t="shared" si="29"/>
        <v>Terminado</v>
      </c>
      <c r="AA175" s="532" t="s">
        <v>905</v>
      </c>
      <c r="AB175" s="596">
        <f>SUMPRODUCT(O175:O177,V175:V177)</f>
        <v>0.72499999999999998</v>
      </c>
      <c r="AC175" s="597">
        <f>SUMPRODUCT(O175:O177,R175:R177)</f>
        <v>0.72499999999999998</v>
      </c>
      <c r="AD175" s="611" t="str">
        <f>IF(AC175&lt;1%,"Sin iniciar",IF(AC175=100%,"Terminado","En gestión"))</f>
        <v>En gestión</v>
      </c>
      <c r="AE175" s="611" t="str">
        <f>IF(AB175&lt;1%,"Sin iniciar",IF(AB175=100%,"Terminado","En gestión"))</f>
        <v>En gestión</v>
      </c>
      <c r="AF175" s="66"/>
      <c r="AG175" s="542"/>
      <c r="AH175" s="542"/>
      <c r="AI175" s="542"/>
      <c r="AJ175" s="802">
        <v>9000000</v>
      </c>
      <c r="AK175" s="542"/>
      <c r="AL175" s="798">
        <v>3000000</v>
      </c>
      <c r="AM175" s="801" t="s">
        <v>2578</v>
      </c>
      <c r="AN175" s="801" t="s">
        <v>2582</v>
      </c>
      <c r="AO175" s="542" t="s">
        <v>2580</v>
      </c>
      <c r="AP175" s="542"/>
      <c r="AQ175" s="50"/>
      <c r="AR175" s="1169">
        <v>1</v>
      </c>
      <c r="AS175" s="62" t="s">
        <v>2434</v>
      </c>
      <c r="AT175" s="62"/>
      <c r="AU175" s="66" t="str">
        <f t="shared" si="25"/>
        <v>Terminado</v>
      </c>
      <c r="AV175" s="66" t="str">
        <f t="shared" si="26"/>
        <v>Terminado</v>
      </c>
      <c r="AW175" s="532" t="s">
        <v>947</v>
      </c>
      <c r="AX175" s="599">
        <f>SUMPRODUCT(O175:O177,AR175:AR177)</f>
        <v>0.755</v>
      </c>
      <c r="AY175" s="600">
        <f>SUMPRODUCT(S175:S177,O175:O177)</f>
        <v>0.85499999999999998</v>
      </c>
      <c r="AZ175" s="530" t="str">
        <f>IF(AY175&lt;1%,"Sin iniciar",IF(AY175=100%,"Terminado","En gestión"))</f>
        <v>En gestión</v>
      </c>
      <c r="BA175" s="530" t="str">
        <f>IF(AX175&lt;1%,"Sin iniciar",IF(AX175=100%,"Terminado","En gestión"))</f>
        <v>En gestión</v>
      </c>
      <c r="BB175" s="530"/>
      <c r="BC175" s="579">
        <v>0</v>
      </c>
      <c r="BD175" s="579">
        <v>0</v>
      </c>
      <c r="BE175" s="579">
        <v>0</v>
      </c>
      <c r="BF175" s="579">
        <v>9000000</v>
      </c>
      <c r="BG175" s="542"/>
      <c r="BH175" s="798"/>
      <c r="BI175" s="801"/>
      <c r="BJ175" s="801"/>
      <c r="BK175" s="542"/>
      <c r="BL175" s="542"/>
      <c r="BM175" s="542"/>
      <c r="BN175" s="542"/>
      <c r="BO175" s="347">
        <v>1</v>
      </c>
      <c r="BP175" s="25" t="s">
        <v>3127</v>
      </c>
      <c r="BQ175" s="25" t="s">
        <v>3127</v>
      </c>
      <c r="BR175" s="19" t="str">
        <f t="shared" si="27"/>
        <v>Terminado</v>
      </c>
      <c r="BS175" s="19" t="str">
        <f t="shared" si="30"/>
        <v>Terminado</v>
      </c>
      <c r="BT175" s="560" t="s">
        <v>3166</v>
      </c>
      <c r="BU175" s="561">
        <f>SUMPRODUCT(O175:O177,BO175:BO177)</f>
        <v>0.99399999999999999</v>
      </c>
      <c r="BV175" s="562">
        <f>SUMPRODUCT(O175:O177,T175:T177)</f>
        <v>0.97</v>
      </c>
      <c r="BW175" s="611" t="str">
        <f>IF(BV175&lt;1%,"Sin iniciar",IF(BV175=100%,"Terminado","En gestión"))</f>
        <v>En gestión</v>
      </c>
      <c r="BX175" s="611" t="str">
        <f>IF(BU175&lt;1%,"Sin iniciar",IF(BU175=100%,"Terminado","En gestión"))</f>
        <v>En gestión</v>
      </c>
      <c r="BY175" s="578" t="s">
        <v>37</v>
      </c>
      <c r="BZ175" s="578"/>
      <c r="CA175" s="565">
        <v>0</v>
      </c>
      <c r="CB175" s="565">
        <v>0</v>
      </c>
      <c r="CC175" s="565">
        <v>0</v>
      </c>
      <c r="CD175" s="800">
        <v>9000000</v>
      </c>
      <c r="CE175" s="800">
        <v>9000000</v>
      </c>
      <c r="CF175" s="800">
        <v>8699994</v>
      </c>
      <c r="CG175" s="560" t="s">
        <v>2578</v>
      </c>
      <c r="CH175" s="560" t="s">
        <v>2582</v>
      </c>
      <c r="CI175" s="560" t="s">
        <v>2580</v>
      </c>
      <c r="CJ175" s="560"/>
    </row>
    <row r="176" spans="2:88" ht="171.95" customHeight="1" x14ac:dyDescent="0.25">
      <c r="B176" s="1227"/>
      <c r="C176" s="710"/>
      <c r="D176" s="41" t="s">
        <v>25</v>
      </c>
      <c r="E176" s="41" t="s">
        <v>26</v>
      </c>
      <c r="F176" s="640"/>
      <c r="G176" s="41" t="s">
        <v>28</v>
      </c>
      <c r="H176" s="41" t="s">
        <v>28</v>
      </c>
      <c r="I176" s="41" t="s">
        <v>29</v>
      </c>
      <c r="J176" s="41" t="s">
        <v>185</v>
      </c>
      <c r="K176" s="641"/>
      <c r="L176" s="52" t="s">
        <v>164</v>
      </c>
      <c r="M176" s="42" t="s">
        <v>768</v>
      </c>
      <c r="N176" s="43" t="s">
        <v>769</v>
      </c>
      <c r="O176" s="147">
        <v>0.3</v>
      </c>
      <c r="P176" s="187">
        <v>44211</v>
      </c>
      <c r="Q176" s="187">
        <v>44484</v>
      </c>
      <c r="R176" s="188">
        <v>0.75</v>
      </c>
      <c r="S176" s="188">
        <v>0.85</v>
      </c>
      <c r="T176" s="188">
        <v>0.9</v>
      </c>
      <c r="U176" s="188">
        <v>1</v>
      </c>
      <c r="V176" s="184">
        <v>0.75</v>
      </c>
      <c r="W176" s="62" t="s">
        <v>770</v>
      </c>
      <c r="X176" s="63" t="s">
        <v>3167</v>
      </c>
      <c r="Y176" s="19" t="str">
        <f t="shared" si="28"/>
        <v>En gestión</v>
      </c>
      <c r="Z176" s="19" t="str">
        <f t="shared" si="29"/>
        <v>En gestión</v>
      </c>
      <c r="AA176" s="532"/>
      <c r="AB176" s="596"/>
      <c r="AC176" s="597"/>
      <c r="AD176" s="611"/>
      <c r="AE176" s="611"/>
      <c r="AF176" s="66"/>
      <c r="AG176" s="542"/>
      <c r="AH176" s="542"/>
      <c r="AI176" s="542"/>
      <c r="AJ176" s="802"/>
      <c r="AK176" s="542"/>
      <c r="AL176" s="798"/>
      <c r="AM176" s="801"/>
      <c r="AN176" s="801"/>
      <c r="AO176" s="542" t="s">
        <v>2466</v>
      </c>
      <c r="AP176" s="542"/>
      <c r="AQ176" s="50"/>
      <c r="AR176" s="1169">
        <v>0.85</v>
      </c>
      <c r="AS176" s="62" t="s">
        <v>918</v>
      </c>
      <c r="AT176" s="62" t="s">
        <v>3168</v>
      </c>
      <c r="AU176" s="66" t="str">
        <f t="shared" si="25"/>
        <v>En gestión</v>
      </c>
      <c r="AV176" s="66" t="str">
        <f t="shared" si="26"/>
        <v>En gestión</v>
      </c>
      <c r="AW176" s="532"/>
      <c r="AX176" s="599"/>
      <c r="AY176" s="600"/>
      <c r="AZ176" s="530"/>
      <c r="BA176" s="530"/>
      <c r="BB176" s="530"/>
      <c r="BC176" s="579"/>
      <c r="BD176" s="579"/>
      <c r="BE176" s="579"/>
      <c r="BF176" s="579"/>
      <c r="BG176" s="542"/>
      <c r="BH176" s="798"/>
      <c r="BI176" s="801"/>
      <c r="BJ176" s="801"/>
      <c r="BK176" s="542"/>
      <c r="BL176" s="542"/>
      <c r="BM176" s="542"/>
      <c r="BN176" s="542"/>
      <c r="BO176" s="347">
        <v>0.98</v>
      </c>
      <c r="BP176" s="24" t="s">
        <v>3169</v>
      </c>
      <c r="BQ176" s="24" t="s">
        <v>3170</v>
      </c>
      <c r="BR176" s="19" t="str">
        <f t="shared" si="27"/>
        <v>En gestión</v>
      </c>
      <c r="BS176" s="19" t="str">
        <f t="shared" si="30"/>
        <v>En gestión</v>
      </c>
      <c r="BT176" s="560"/>
      <c r="BU176" s="561"/>
      <c r="BV176" s="562"/>
      <c r="BW176" s="611"/>
      <c r="BX176" s="611"/>
      <c r="BY176" s="578"/>
      <c r="BZ176" s="578"/>
      <c r="CA176" s="565"/>
      <c r="CB176" s="565"/>
      <c r="CC176" s="565"/>
      <c r="CD176" s="800"/>
      <c r="CE176" s="800"/>
      <c r="CF176" s="800"/>
      <c r="CG176" s="560"/>
      <c r="CH176" s="560"/>
      <c r="CI176" s="560"/>
      <c r="CJ176" s="560"/>
    </row>
    <row r="177" spans="2:88" ht="171.95" customHeight="1" x14ac:dyDescent="0.25">
      <c r="B177" s="1227"/>
      <c r="C177" s="710"/>
      <c r="D177" s="41" t="s">
        <v>25</v>
      </c>
      <c r="E177" s="41" t="s">
        <v>26</v>
      </c>
      <c r="F177" s="640"/>
      <c r="G177" s="41" t="s">
        <v>28</v>
      </c>
      <c r="H177" s="41" t="s">
        <v>28</v>
      </c>
      <c r="I177" s="41" t="s">
        <v>29</v>
      </c>
      <c r="J177" s="41" t="s">
        <v>185</v>
      </c>
      <c r="K177" s="641"/>
      <c r="L177" s="52" t="s">
        <v>164</v>
      </c>
      <c r="M177" s="42" t="s">
        <v>771</v>
      </c>
      <c r="N177" s="43" t="s">
        <v>3171</v>
      </c>
      <c r="O177" s="147">
        <v>0.2</v>
      </c>
      <c r="P177" s="187">
        <v>44287</v>
      </c>
      <c r="Q177" s="187">
        <v>44469</v>
      </c>
      <c r="R177" s="188">
        <v>0</v>
      </c>
      <c r="S177" s="188">
        <v>0.5</v>
      </c>
      <c r="T177" s="188">
        <v>1</v>
      </c>
      <c r="U177" s="188">
        <v>1</v>
      </c>
      <c r="V177" s="90">
        <v>0</v>
      </c>
      <c r="W177" s="66" t="s">
        <v>37</v>
      </c>
      <c r="X177" s="91" t="s">
        <v>37</v>
      </c>
      <c r="Y177" s="19" t="str">
        <f t="shared" si="28"/>
        <v>Sin iniciar</v>
      </c>
      <c r="Z177" s="19" t="str">
        <f t="shared" si="29"/>
        <v>Sin iniciar</v>
      </c>
      <c r="AA177" s="532"/>
      <c r="AB177" s="596"/>
      <c r="AC177" s="597"/>
      <c r="AD177" s="611"/>
      <c r="AE177" s="611"/>
      <c r="AF177" s="66"/>
      <c r="AG177" s="542"/>
      <c r="AH177" s="542"/>
      <c r="AI177" s="542"/>
      <c r="AJ177" s="802"/>
      <c r="AK177" s="542"/>
      <c r="AL177" s="798"/>
      <c r="AM177" s="801"/>
      <c r="AN177" s="801"/>
      <c r="AO177" s="542" t="s">
        <v>2466</v>
      </c>
      <c r="AP177" s="542"/>
      <c r="AQ177" s="50"/>
      <c r="AR177" s="1163">
        <v>0</v>
      </c>
      <c r="AS177" s="62" t="s">
        <v>2448</v>
      </c>
      <c r="AT177" s="62"/>
      <c r="AU177" s="66" t="str">
        <f t="shared" si="25"/>
        <v>En gestión</v>
      </c>
      <c r="AV177" s="66" t="str">
        <f t="shared" si="26"/>
        <v>Sin iniciar</v>
      </c>
      <c r="AW177" s="532"/>
      <c r="AX177" s="599"/>
      <c r="AY177" s="600"/>
      <c r="AZ177" s="530"/>
      <c r="BA177" s="530"/>
      <c r="BB177" s="530"/>
      <c r="BC177" s="579"/>
      <c r="BD177" s="579"/>
      <c r="BE177" s="579"/>
      <c r="BF177" s="579"/>
      <c r="BG177" s="542"/>
      <c r="BH177" s="798"/>
      <c r="BI177" s="801"/>
      <c r="BJ177" s="801"/>
      <c r="BK177" s="542"/>
      <c r="BL177" s="542"/>
      <c r="BM177" s="542"/>
      <c r="BN177" s="542"/>
      <c r="BO177" s="347">
        <v>1</v>
      </c>
      <c r="BP177" s="24" t="s">
        <v>3172</v>
      </c>
      <c r="BQ177" s="24" t="s">
        <v>3173</v>
      </c>
      <c r="BR177" s="19" t="str">
        <f t="shared" si="27"/>
        <v>Terminado</v>
      </c>
      <c r="BS177" s="19" t="str">
        <f t="shared" si="30"/>
        <v>Terminado</v>
      </c>
      <c r="BT177" s="560"/>
      <c r="BU177" s="561"/>
      <c r="BV177" s="562"/>
      <c r="BW177" s="611"/>
      <c r="BX177" s="611"/>
      <c r="BY177" s="578"/>
      <c r="BZ177" s="578"/>
      <c r="CA177" s="565"/>
      <c r="CB177" s="565"/>
      <c r="CC177" s="565"/>
      <c r="CD177" s="800"/>
      <c r="CE177" s="800"/>
      <c r="CF177" s="800"/>
      <c r="CG177" s="560"/>
      <c r="CH177" s="560"/>
      <c r="CI177" s="560"/>
      <c r="CJ177" s="560"/>
    </row>
    <row r="178" spans="2:88" ht="171.95" customHeight="1" x14ac:dyDescent="0.25">
      <c r="B178" s="1227"/>
      <c r="C178" s="700" t="s">
        <v>772</v>
      </c>
      <c r="D178" s="33" t="s">
        <v>25</v>
      </c>
      <c r="E178" s="33" t="s">
        <v>26</v>
      </c>
      <c r="F178" s="633" t="s">
        <v>773</v>
      </c>
      <c r="G178" s="33" t="s">
        <v>28</v>
      </c>
      <c r="H178" s="33" t="s">
        <v>28</v>
      </c>
      <c r="I178" s="33" t="s">
        <v>162</v>
      </c>
      <c r="J178" s="33" t="s">
        <v>185</v>
      </c>
      <c r="K178" s="700" t="s">
        <v>774</v>
      </c>
      <c r="L178" s="51" t="s">
        <v>48</v>
      </c>
      <c r="M178" s="34" t="s">
        <v>775</v>
      </c>
      <c r="N178" s="39" t="s">
        <v>776</v>
      </c>
      <c r="O178" s="145">
        <v>0.2</v>
      </c>
      <c r="P178" s="189">
        <v>44235</v>
      </c>
      <c r="Q178" s="189">
        <v>44286</v>
      </c>
      <c r="R178" s="190">
        <v>1</v>
      </c>
      <c r="S178" s="190">
        <v>1</v>
      </c>
      <c r="T178" s="190">
        <v>1</v>
      </c>
      <c r="U178" s="190">
        <v>1</v>
      </c>
      <c r="V178" s="184">
        <v>1</v>
      </c>
      <c r="W178" s="13" t="s">
        <v>777</v>
      </c>
      <c r="X178" s="55" t="s">
        <v>3174</v>
      </c>
      <c r="Y178" s="5" t="str">
        <f t="shared" si="28"/>
        <v>Terminado</v>
      </c>
      <c r="Z178" s="5" t="str">
        <f t="shared" si="29"/>
        <v>Terminado</v>
      </c>
      <c r="AA178" s="531" t="s">
        <v>906</v>
      </c>
      <c r="AB178" s="604">
        <f>SUMPRODUCT(O178:O181,V178:V181)</f>
        <v>0.2</v>
      </c>
      <c r="AC178" s="597">
        <f>SUMPRODUCT(O178:O181,R178:R181)</f>
        <v>0.2</v>
      </c>
      <c r="AD178" s="610" t="str">
        <f>IF(AC178&lt;1%,"Sin iniciar",IF(AC178=100%,"Terminado","En gestión"))</f>
        <v>En gestión</v>
      </c>
      <c r="AE178" s="610" t="str">
        <f>IF(AB178&lt;1%,"Sin iniciar",IF(AB178=100%,"Terminado","En gestión"))</f>
        <v>En gestión</v>
      </c>
      <c r="AF178" s="56"/>
      <c r="AG178" s="797">
        <v>12046596</v>
      </c>
      <c r="AH178" s="541"/>
      <c r="AI178" s="797">
        <v>3285435</v>
      </c>
      <c r="AJ178" s="541"/>
      <c r="AK178" s="541"/>
      <c r="AL178" s="541"/>
      <c r="AM178" s="541"/>
      <c r="AN178" s="541"/>
      <c r="AO178" s="541" t="s">
        <v>2466</v>
      </c>
      <c r="AP178" s="541"/>
      <c r="AQ178" s="60"/>
      <c r="AR178" s="1169">
        <v>1</v>
      </c>
      <c r="AS178" s="13" t="s">
        <v>2434</v>
      </c>
      <c r="AT178" s="13"/>
      <c r="AU178" s="56" t="str">
        <f t="shared" si="25"/>
        <v>Terminado</v>
      </c>
      <c r="AV178" s="56" t="str">
        <f t="shared" si="26"/>
        <v>Terminado</v>
      </c>
      <c r="AW178" s="531" t="s">
        <v>948</v>
      </c>
      <c r="AX178" s="706">
        <f>SUMPRODUCT(O178:O181,AR178:AR181)</f>
        <v>0.33999999999999997</v>
      </c>
      <c r="AY178" s="600">
        <f>SUMPRODUCT(S178:S181,O178:O181)</f>
        <v>0.32</v>
      </c>
      <c r="AZ178" s="536" t="str">
        <f>IF(AY178&lt;1%,"Sin iniciar",IF(AY178=100%,"Terminado","En gestión"))</f>
        <v>En gestión</v>
      </c>
      <c r="BA178" s="536" t="str">
        <f>IF(AX178&lt;1%,"Sin iniciar",IF(AX178=100%,"Terminado","En gestión"))</f>
        <v>En gestión</v>
      </c>
      <c r="BB178" s="536"/>
      <c r="BC178" s="574">
        <v>12046596</v>
      </c>
      <c r="BD178" s="797">
        <v>12046596</v>
      </c>
      <c r="BE178" s="583">
        <v>0</v>
      </c>
      <c r="BF178" s="583">
        <v>0</v>
      </c>
      <c r="BG178" s="583">
        <v>0</v>
      </c>
      <c r="BH178" s="541"/>
      <c r="BI178" s="541"/>
      <c r="BJ178" s="541"/>
      <c r="BK178" s="541"/>
      <c r="BL178" s="541"/>
      <c r="BM178" s="541"/>
      <c r="BN178" s="541"/>
      <c r="BO178" s="347">
        <v>1</v>
      </c>
      <c r="BP178" s="12" t="s">
        <v>3127</v>
      </c>
      <c r="BQ178" s="12" t="s">
        <v>3127</v>
      </c>
      <c r="BR178" s="5" t="str">
        <f t="shared" si="27"/>
        <v>Terminado</v>
      </c>
      <c r="BS178" s="5" t="str">
        <f t="shared" si="30"/>
        <v>Terminado</v>
      </c>
      <c r="BT178" s="581" t="s">
        <v>3175</v>
      </c>
      <c r="BU178" s="714">
        <f>SUMPRODUCT(O178:O181,BO178:BO181)</f>
        <v>0.60000000000000009</v>
      </c>
      <c r="BV178" s="562">
        <f>SUMPRODUCT(O178:O181,T178:T181)</f>
        <v>0.60000000000000009</v>
      </c>
      <c r="BW178" s="610" t="str">
        <f>IF(BV178&lt;1%,"Sin iniciar",IF(BV178=100%,"Terminado","En gestión"))</f>
        <v>En gestión</v>
      </c>
      <c r="BX178" s="610" t="str">
        <f>IF(BU178&lt;1%,"Sin iniciar",IF(BU178=100%,"Terminado","En gestión"))</f>
        <v>En gestión</v>
      </c>
      <c r="BY178" s="573" t="s">
        <v>37</v>
      </c>
      <c r="BZ178" s="573"/>
      <c r="CA178" s="804">
        <v>12046596</v>
      </c>
      <c r="CB178" s="804">
        <v>12046596</v>
      </c>
      <c r="CC178" s="804">
        <v>8733782.0999999996</v>
      </c>
      <c r="CD178" s="804">
        <v>73800000</v>
      </c>
      <c r="CE178" s="804">
        <v>73800000</v>
      </c>
      <c r="CF178" s="804">
        <v>53505000</v>
      </c>
      <c r="CG178" s="581" t="s">
        <v>2578</v>
      </c>
      <c r="CH178" s="581" t="s">
        <v>2579</v>
      </c>
      <c r="CI178" s="581" t="s">
        <v>2580</v>
      </c>
      <c r="CJ178" s="581"/>
    </row>
    <row r="179" spans="2:88" ht="171.95" customHeight="1" x14ac:dyDescent="0.25">
      <c r="B179" s="1227"/>
      <c r="C179" s="700"/>
      <c r="D179" s="33" t="s">
        <v>25</v>
      </c>
      <c r="E179" s="33" t="s">
        <v>26</v>
      </c>
      <c r="F179" s="633"/>
      <c r="G179" s="33" t="s">
        <v>28</v>
      </c>
      <c r="H179" s="33" t="s">
        <v>28</v>
      </c>
      <c r="I179" s="33" t="s">
        <v>162</v>
      </c>
      <c r="J179" s="33" t="s">
        <v>185</v>
      </c>
      <c r="K179" s="700"/>
      <c r="L179" s="51" t="s">
        <v>48</v>
      </c>
      <c r="M179" s="34" t="s">
        <v>778</v>
      </c>
      <c r="N179" s="39" t="s">
        <v>779</v>
      </c>
      <c r="O179" s="191">
        <v>0.2</v>
      </c>
      <c r="P179" s="189">
        <v>44287</v>
      </c>
      <c r="Q179" s="189">
        <v>44469</v>
      </c>
      <c r="R179" s="190">
        <v>0</v>
      </c>
      <c r="S179" s="190">
        <v>0.6</v>
      </c>
      <c r="T179" s="190">
        <v>1</v>
      </c>
      <c r="U179" s="190">
        <v>1</v>
      </c>
      <c r="V179" s="90">
        <v>0</v>
      </c>
      <c r="W179" s="56" t="s">
        <v>37</v>
      </c>
      <c r="X179" s="94" t="s">
        <v>37</v>
      </c>
      <c r="Y179" s="5" t="str">
        <f t="shared" si="28"/>
        <v>Sin iniciar</v>
      </c>
      <c r="Z179" s="5" t="str">
        <f t="shared" si="29"/>
        <v>Sin iniciar</v>
      </c>
      <c r="AA179" s="531"/>
      <c r="AB179" s="604"/>
      <c r="AC179" s="597"/>
      <c r="AD179" s="610"/>
      <c r="AE179" s="610"/>
      <c r="AF179" s="56"/>
      <c r="AG179" s="797"/>
      <c r="AH179" s="541"/>
      <c r="AI179" s="797"/>
      <c r="AJ179" s="541"/>
      <c r="AK179" s="541"/>
      <c r="AL179" s="541"/>
      <c r="AM179" s="541"/>
      <c r="AN179" s="541"/>
      <c r="AO179" s="541" t="s">
        <v>2466</v>
      </c>
      <c r="AP179" s="541"/>
      <c r="AQ179" s="60"/>
      <c r="AR179" s="1163">
        <v>0.7</v>
      </c>
      <c r="AS179" s="13" t="s">
        <v>919</v>
      </c>
      <c r="AT179" s="13" t="s">
        <v>3176</v>
      </c>
      <c r="AU179" s="56" t="str">
        <f t="shared" si="25"/>
        <v>En gestión</v>
      </c>
      <c r="AV179" s="56" t="str">
        <f t="shared" si="26"/>
        <v>En gestión</v>
      </c>
      <c r="AW179" s="531"/>
      <c r="AX179" s="706"/>
      <c r="AY179" s="600"/>
      <c r="AZ179" s="536"/>
      <c r="BA179" s="536"/>
      <c r="BB179" s="536"/>
      <c r="BC179" s="574"/>
      <c r="BD179" s="797"/>
      <c r="BE179" s="583"/>
      <c r="BF179" s="583"/>
      <c r="BG179" s="583"/>
      <c r="BH179" s="541"/>
      <c r="BI179" s="541"/>
      <c r="BJ179" s="541"/>
      <c r="BK179" s="541"/>
      <c r="BL179" s="541"/>
      <c r="BM179" s="541"/>
      <c r="BN179" s="541"/>
      <c r="BO179" s="347">
        <v>1</v>
      </c>
      <c r="BP179" s="11" t="s">
        <v>3177</v>
      </c>
      <c r="BQ179" s="11" t="s">
        <v>3178</v>
      </c>
      <c r="BR179" s="5" t="str">
        <f t="shared" si="27"/>
        <v>Terminado</v>
      </c>
      <c r="BS179" s="5" t="str">
        <f t="shared" si="30"/>
        <v>Terminado</v>
      </c>
      <c r="BT179" s="581"/>
      <c r="BU179" s="714"/>
      <c r="BV179" s="562"/>
      <c r="BW179" s="610"/>
      <c r="BX179" s="610"/>
      <c r="BY179" s="573"/>
      <c r="BZ179" s="573"/>
      <c r="CA179" s="804"/>
      <c r="CB179" s="804"/>
      <c r="CC179" s="804"/>
      <c r="CD179" s="804"/>
      <c r="CE179" s="804"/>
      <c r="CF179" s="804"/>
      <c r="CG179" s="581"/>
      <c r="CH179" s="581"/>
      <c r="CI179" s="581"/>
      <c r="CJ179" s="581"/>
    </row>
    <row r="180" spans="2:88" ht="171.95" customHeight="1" x14ac:dyDescent="0.25">
      <c r="B180" s="1227"/>
      <c r="C180" s="700"/>
      <c r="D180" s="33" t="s">
        <v>25</v>
      </c>
      <c r="E180" s="33" t="s">
        <v>26</v>
      </c>
      <c r="F180" s="633"/>
      <c r="G180" s="33" t="s">
        <v>28</v>
      </c>
      <c r="H180" s="33" t="s">
        <v>28</v>
      </c>
      <c r="I180" s="33" t="s">
        <v>162</v>
      </c>
      <c r="J180" s="33" t="s">
        <v>185</v>
      </c>
      <c r="K180" s="700"/>
      <c r="L180" s="51" t="s">
        <v>48</v>
      </c>
      <c r="M180" s="34" t="s">
        <v>780</v>
      </c>
      <c r="N180" s="39" t="s">
        <v>781</v>
      </c>
      <c r="O180" s="191">
        <v>0.2</v>
      </c>
      <c r="P180" s="189">
        <v>44378</v>
      </c>
      <c r="Q180" s="189">
        <v>44561</v>
      </c>
      <c r="R180" s="190">
        <v>0</v>
      </c>
      <c r="S180" s="190">
        <v>0</v>
      </c>
      <c r="T180" s="190">
        <v>0.8</v>
      </c>
      <c r="U180" s="190">
        <v>1</v>
      </c>
      <c r="V180" s="90">
        <v>0</v>
      </c>
      <c r="W180" s="56" t="s">
        <v>37</v>
      </c>
      <c r="X180" s="94" t="s">
        <v>37</v>
      </c>
      <c r="Y180" s="5" t="str">
        <f t="shared" si="28"/>
        <v>Sin iniciar</v>
      </c>
      <c r="Z180" s="5" t="str">
        <f t="shared" si="29"/>
        <v>Sin iniciar</v>
      </c>
      <c r="AA180" s="531"/>
      <c r="AB180" s="604"/>
      <c r="AC180" s="597"/>
      <c r="AD180" s="610"/>
      <c r="AE180" s="610"/>
      <c r="AF180" s="56"/>
      <c r="AG180" s="797"/>
      <c r="AH180" s="541"/>
      <c r="AI180" s="797"/>
      <c r="AJ180" s="541"/>
      <c r="AK180" s="541"/>
      <c r="AL180" s="541"/>
      <c r="AM180" s="541"/>
      <c r="AN180" s="541"/>
      <c r="AO180" s="541" t="s">
        <v>2466</v>
      </c>
      <c r="AP180" s="541"/>
      <c r="AQ180" s="60"/>
      <c r="AR180" s="1163">
        <v>0</v>
      </c>
      <c r="AS180" s="56" t="s">
        <v>2437</v>
      </c>
      <c r="AT180" s="56"/>
      <c r="AU180" s="56" t="str">
        <f t="shared" si="25"/>
        <v>Sin iniciar</v>
      </c>
      <c r="AV180" s="56" t="str">
        <f t="shared" si="26"/>
        <v>Sin iniciar</v>
      </c>
      <c r="AW180" s="531"/>
      <c r="AX180" s="706"/>
      <c r="AY180" s="600"/>
      <c r="AZ180" s="536"/>
      <c r="BA180" s="536"/>
      <c r="BB180" s="536"/>
      <c r="BC180" s="574"/>
      <c r="BD180" s="797"/>
      <c r="BE180" s="583"/>
      <c r="BF180" s="583"/>
      <c r="BG180" s="583"/>
      <c r="BH180" s="541"/>
      <c r="BI180" s="541"/>
      <c r="BJ180" s="541"/>
      <c r="BK180" s="541"/>
      <c r="BL180" s="541"/>
      <c r="BM180" s="541"/>
      <c r="BN180" s="541"/>
      <c r="BO180" s="347">
        <v>0.8</v>
      </c>
      <c r="BP180" s="11" t="s">
        <v>3179</v>
      </c>
      <c r="BQ180" s="11" t="s">
        <v>3180</v>
      </c>
      <c r="BR180" s="5" t="str">
        <f t="shared" si="27"/>
        <v>En gestión</v>
      </c>
      <c r="BS180" s="5" t="str">
        <f t="shared" si="30"/>
        <v>En gestión</v>
      </c>
      <c r="BT180" s="581"/>
      <c r="BU180" s="714"/>
      <c r="BV180" s="562"/>
      <c r="BW180" s="610"/>
      <c r="BX180" s="610"/>
      <c r="BY180" s="573"/>
      <c r="BZ180" s="573"/>
      <c r="CA180" s="804"/>
      <c r="CB180" s="804"/>
      <c r="CC180" s="804"/>
      <c r="CD180" s="804"/>
      <c r="CE180" s="804"/>
      <c r="CF180" s="804"/>
      <c r="CG180" s="581"/>
      <c r="CH180" s="581"/>
      <c r="CI180" s="581"/>
      <c r="CJ180" s="581"/>
    </row>
    <row r="181" spans="2:88" ht="171.95" customHeight="1" x14ac:dyDescent="0.25">
      <c r="B181" s="1227"/>
      <c r="C181" s="700"/>
      <c r="D181" s="33" t="s">
        <v>25</v>
      </c>
      <c r="E181" s="33" t="s">
        <v>26</v>
      </c>
      <c r="F181" s="633"/>
      <c r="G181" s="33" t="s">
        <v>28</v>
      </c>
      <c r="H181" s="33" t="s">
        <v>28</v>
      </c>
      <c r="I181" s="33" t="s">
        <v>162</v>
      </c>
      <c r="J181" s="33" t="s">
        <v>185</v>
      </c>
      <c r="K181" s="700"/>
      <c r="L181" s="51" t="s">
        <v>48</v>
      </c>
      <c r="M181" s="34" t="s">
        <v>782</v>
      </c>
      <c r="N181" s="39" t="s">
        <v>783</v>
      </c>
      <c r="O181" s="191">
        <v>0.4</v>
      </c>
      <c r="P181" s="189">
        <v>44409</v>
      </c>
      <c r="Q181" s="189">
        <v>44561</v>
      </c>
      <c r="R181" s="190">
        <v>0</v>
      </c>
      <c r="S181" s="190">
        <v>0</v>
      </c>
      <c r="T181" s="190">
        <v>0.1</v>
      </c>
      <c r="U181" s="190">
        <v>1</v>
      </c>
      <c r="V181" s="90">
        <v>0</v>
      </c>
      <c r="W181" s="56" t="s">
        <v>37</v>
      </c>
      <c r="X181" s="94" t="s">
        <v>37</v>
      </c>
      <c r="Y181" s="5" t="str">
        <f t="shared" si="28"/>
        <v>Sin iniciar</v>
      </c>
      <c r="Z181" s="5" t="str">
        <f t="shared" si="29"/>
        <v>Sin iniciar</v>
      </c>
      <c r="AA181" s="531"/>
      <c r="AB181" s="604"/>
      <c r="AC181" s="597"/>
      <c r="AD181" s="610"/>
      <c r="AE181" s="610"/>
      <c r="AF181" s="56"/>
      <c r="AG181" s="797"/>
      <c r="AH181" s="541"/>
      <c r="AI181" s="797"/>
      <c r="AJ181" s="541"/>
      <c r="AK181" s="541"/>
      <c r="AL181" s="541"/>
      <c r="AM181" s="541"/>
      <c r="AN181" s="541"/>
      <c r="AO181" s="541" t="s">
        <v>2466</v>
      </c>
      <c r="AP181" s="541"/>
      <c r="AQ181" s="60"/>
      <c r="AR181" s="1163">
        <v>0</v>
      </c>
      <c r="AS181" s="56" t="s">
        <v>2437</v>
      </c>
      <c r="AT181" s="56"/>
      <c r="AU181" s="56" t="str">
        <f t="shared" si="25"/>
        <v>Sin iniciar</v>
      </c>
      <c r="AV181" s="56" t="str">
        <f t="shared" si="26"/>
        <v>Sin iniciar</v>
      </c>
      <c r="AW181" s="531"/>
      <c r="AX181" s="706"/>
      <c r="AY181" s="600"/>
      <c r="AZ181" s="536"/>
      <c r="BA181" s="536"/>
      <c r="BB181" s="536"/>
      <c r="BC181" s="574"/>
      <c r="BD181" s="797"/>
      <c r="BE181" s="583"/>
      <c r="BF181" s="583"/>
      <c r="BG181" s="583"/>
      <c r="BH181" s="541"/>
      <c r="BI181" s="541"/>
      <c r="BJ181" s="541"/>
      <c r="BK181" s="541"/>
      <c r="BL181" s="541"/>
      <c r="BM181" s="541"/>
      <c r="BN181" s="541"/>
      <c r="BO181" s="347">
        <v>0.1</v>
      </c>
      <c r="BP181" s="11" t="s">
        <v>3181</v>
      </c>
      <c r="BQ181" s="11" t="s">
        <v>3182</v>
      </c>
      <c r="BR181" s="5" t="str">
        <f t="shared" si="27"/>
        <v>En gestión</v>
      </c>
      <c r="BS181" s="5" t="str">
        <f t="shared" si="30"/>
        <v>En gestión</v>
      </c>
      <c r="BT181" s="581"/>
      <c r="BU181" s="714"/>
      <c r="BV181" s="562"/>
      <c r="BW181" s="610"/>
      <c r="BX181" s="610"/>
      <c r="BY181" s="573"/>
      <c r="BZ181" s="573"/>
      <c r="CA181" s="804"/>
      <c r="CB181" s="804"/>
      <c r="CC181" s="804"/>
      <c r="CD181" s="804"/>
      <c r="CE181" s="804"/>
      <c r="CF181" s="804"/>
      <c r="CG181" s="581"/>
      <c r="CH181" s="581"/>
      <c r="CI181" s="581"/>
      <c r="CJ181" s="581"/>
    </row>
    <row r="182" spans="2:88" ht="171.95" customHeight="1" x14ac:dyDescent="0.25">
      <c r="B182" s="1227"/>
      <c r="C182" s="710" t="s">
        <v>784</v>
      </c>
      <c r="D182" s="41" t="s">
        <v>25</v>
      </c>
      <c r="E182" s="41" t="s">
        <v>26</v>
      </c>
      <c r="F182" s="640" t="s">
        <v>785</v>
      </c>
      <c r="G182" s="41" t="s">
        <v>28</v>
      </c>
      <c r="H182" s="41" t="s">
        <v>28</v>
      </c>
      <c r="I182" s="41" t="s">
        <v>29</v>
      </c>
      <c r="J182" s="41" t="s">
        <v>185</v>
      </c>
      <c r="K182" s="641" t="s">
        <v>786</v>
      </c>
      <c r="L182" s="52" t="s">
        <v>48</v>
      </c>
      <c r="M182" s="42" t="s">
        <v>787</v>
      </c>
      <c r="N182" s="43" t="s">
        <v>788</v>
      </c>
      <c r="O182" s="147">
        <v>0.35</v>
      </c>
      <c r="P182" s="187">
        <v>44197</v>
      </c>
      <c r="Q182" s="187">
        <v>44469</v>
      </c>
      <c r="R182" s="188">
        <v>0.2</v>
      </c>
      <c r="S182" s="188">
        <v>0.6</v>
      </c>
      <c r="T182" s="188">
        <v>1</v>
      </c>
      <c r="U182" s="188">
        <v>1</v>
      </c>
      <c r="V182" s="184">
        <v>0.5</v>
      </c>
      <c r="W182" s="62" t="s">
        <v>789</v>
      </c>
      <c r="X182" s="63" t="s">
        <v>3183</v>
      </c>
      <c r="Y182" s="19" t="str">
        <f t="shared" si="28"/>
        <v>En gestión</v>
      </c>
      <c r="Z182" s="19" t="str">
        <f t="shared" si="29"/>
        <v>En gestión</v>
      </c>
      <c r="AA182" s="532" t="s">
        <v>907</v>
      </c>
      <c r="AB182" s="596">
        <f>SUMPRODUCT(O182:O184,V182:V184)</f>
        <v>0.17499999999999999</v>
      </c>
      <c r="AC182" s="597">
        <f>SUMPRODUCT(O182:O184,R182:R184)</f>
        <v>6.9999999999999993E-2</v>
      </c>
      <c r="AD182" s="611" t="str">
        <f>IF(AC182&lt;1%,"Sin iniciar",IF(AC182=100%,"Terminado","En gestión"))</f>
        <v>En gestión</v>
      </c>
      <c r="AE182" s="611" t="str">
        <f>IF(AB182&lt;1%,"Sin iniciar",IF(AB182=100%,"Terminado","En gestión"))</f>
        <v>En gestión</v>
      </c>
      <c r="AF182" s="66"/>
      <c r="AG182" s="542">
        <v>73258326</v>
      </c>
      <c r="AH182" s="542"/>
      <c r="AI182" s="542">
        <v>18314582</v>
      </c>
      <c r="AJ182" s="802">
        <v>128115750</v>
      </c>
      <c r="AK182" s="542"/>
      <c r="AL182" s="798">
        <v>33421500</v>
      </c>
      <c r="AM182" s="801" t="s">
        <v>2578</v>
      </c>
      <c r="AN182" s="801" t="s">
        <v>2583</v>
      </c>
      <c r="AO182" s="542" t="s">
        <v>2580</v>
      </c>
      <c r="AP182" s="542"/>
      <c r="AQ182" s="50"/>
      <c r="AR182" s="1169">
        <v>0.6</v>
      </c>
      <c r="AS182" s="62" t="s">
        <v>920</v>
      </c>
      <c r="AT182" s="62" t="s">
        <v>3184</v>
      </c>
      <c r="AU182" s="66" t="str">
        <f t="shared" si="25"/>
        <v>En gestión</v>
      </c>
      <c r="AV182" s="66" t="str">
        <f t="shared" si="26"/>
        <v>En gestión</v>
      </c>
      <c r="AW182" s="532" t="s">
        <v>949</v>
      </c>
      <c r="AX182" s="599">
        <f>SUMPRODUCT(O182:O184,AR182:AR184)</f>
        <v>0.55700000000000005</v>
      </c>
      <c r="AY182" s="600">
        <f>SUMPRODUCT(S182:S184,O182:O184)</f>
        <v>0.55700000000000005</v>
      </c>
      <c r="AZ182" s="530" t="str">
        <f>IF(AY182&lt;1%,"Sin iniciar",IF(AY182=100%,"Terminado","En gestión"))</f>
        <v>En gestión</v>
      </c>
      <c r="BA182" s="530" t="str">
        <f>IF(AX182&lt;1%,"Sin iniciar",IF(AX182=100%,"Terminado","En gestión"))</f>
        <v>En gestión</v>
      </c>
      <c r="BB182" s="530"/>
      <c r="BC182" s="565">
        <v>73258326</v>
      </c>
      <c r="BD182" s="805">
        <v>10800000</v>
      </c>
      <c r="BE182" s="565">
        <v>0</v>
      </c>
      <c r="BF182" s="579">
        <v>128115750</v>
      </c>
      <c r="BG182" s="805">
        <v>44580818</v>
      </c>
      <c r="BH182" s="806">
        <v>0</v>
      </c>
      <c r="BI182" s="801" t="s">
        <v>2589</v>
      </c>
      <c r="BJ182" s="801" t="s">
        <v>2590</v>
      </c>
      <c r="BK182" s="801" t="s">
        <v>2520</v>
      </c>
      <c r="BL182" s="542" t="s">
        <v>2659</v>
      </c>
      <c r="BM182" s="542"/>
      <c r="BN182" s="542"/>
      <c r="BO182" s="347">
        <v>1</v>
      </c>
      <c r="BP182" s="24" t="s">
        <v>3185</v>
      </c>
      <c r="BQ182" s="24" t="s">
        <v>3186</v>
      </c>
      <c r="BR182" s="19" t="str">
        <f t="shared" si="27"/>
        <v>Terminado</v>
      </c>
      <c r="BS182" s="19" t="str">
        <f t="shared" si="30"/>
        <v>Terminado</v>
      </c>
      <c r="BT182" s="560" t="s">
        <v>3187</v>
      </c>
      <c r="BU182" s="561">
        <f>SUMPRODUCT(O182:O184,BO182:BO184)</f>
        <v>0.85249999999999992</v>
      </c>
      <c r="BV182" s="562">
        <f>SUMPRODUCT(O182:O184,T182:T184)</f>
        <v>0.86999999999999988</v>
      </c>
      <c r="BW182" s="611" t="str">
        <f>IF(BV182&lt;1%,"Sin iniciar",IF(BV182=100%,"Terminado","En gestión"))</f>
        <v>En gestión</v>
      </c>
      <c r="BX182" s="611" t="str">
        <f>IF(BU182&lt;1%,"Sin iniciar",IF(BU182=100%,"Terminado","En gestión"))</f>
        <v>En gestión</v>
      </c>
      <c r="BY182" s="25" t="s">
        <v>37</v>
      </c>
      <c r="BZ182" s="578"/>
      <c r="CA182" s="800">
        <v>73258326</v>
      </c>
      <c r="CB182" s="800">
        <v>73258326</v>
      </c>
      <c r="CC182" s="800">
        <v>63490503.291449003</v>
      </c>
      <c r="CD182" s="800">
        <v>128115750</v>
      </c>
      <c r="CE182" s="800">
        <v>128115750</v>
      </c>
      <c r="CF182" s="800">
        <v>111033569.71413</v>
      </c>
      <c r="CG182" s="560" t="s">
        <v>2589</v>
      </c>
      <c r="CH182" s="560" t="s">
        <v>2590</v>
      </c>
      <c r="CI182" s="560" t="s">
        <v>2520</v>
      </c>
      <c r="CJ182" s="560" t="s">
        <v>2659</v>
      </c>
    </row>
    <row r="183" spans="2:88" ht="171.95" customHeight="1" x14ac:dyDescent="0.25">
      <c r="B183" s="1227"/>
      <c r="C183" s="710"/>
      <c r="D183" s="41" t="s">
        <v>25</v>
      </c>
      <c r="E183" s="41" t="s">
        <v>26</v>
      </c>
      <c r="F183" s="640"/>
      <c r="G183" s="41" t="s">
        <v>28</v>
      </c>
      <c r="H183" s="41" t="s">
        <v>28</v>
      </c>
      <c r="I183" s="41" t="s">
        <v>29</v>
      </c>
      <c r="J183" s="41" t="s">
        <v>185</v>
      </c>
      <c r="K183" s="641"/>
      <c r="L183" s="52" t="s">
        <v>48</v>
      </c>
      <c r="M183" s="42" t="s">
        <v>790</v>
      </c>
      <c r="N183" s="43" t="s">
        <v>791</v>
      </c>
      <c r="O183" s="147">
        <v>0.35</v>
      </c>
      <c r="P183" s="187">
        <v>44287</v>
      </c>
      <c r="Q183" s="187">
        <v>44561</v>
      </c>
      <c r="R183" s="188">
        <v>0</v>
      </c>
      <c r="S183" s="188">
        <v>0.52</v>
      </c>
      <c r="T183" s="188">
        <v>0.8</v>
      </c>
      <c r="U183" s="188">
        <v>1</v>
      </c>
      <c r="V183" s="90">
        <v>0</v>
      </c>
      <c r="W183" s="66" t="s">
        <v>792</v>
      </c>
      <c r="X183" s="91" t="s">
        <v>792</v>
      </c>
      <c r="Y183" s="19" t="str">
        <f t="shared" si="28"/>
        <v>Sin iniciar</v>
      </c>
      <c r="Z183" s="19" t="str">
        <f t="shared" si="29"/>
        <v>Sin iniciar</v>
      </c>
      <c r="AA183" s="532"/>
      <c r="AB183" s="596"/>
      <c r="AC183" s="597"/>
      <c r="AD183" s="611"/>
      <c r="AE183" s="611"/>
      <c r="AF183" s="530" t="s">
        <v>908</v>
      </c>
      <c r="AG183" s="542"/>
      <c r="AH183" s="542"/>
      <c r="AI183" s="542"/>
      <c r="AJ183" s="802"/>
      <c r="AK183" s="542"/>
      <c r="AL183" s="798"/>
      <c r="AM183" s="801"/>
      <c r="AN183" s="801"/>
      <c r="AO183" s="542" t="s">
        <v>2466</v>
      </c>
      <c r="AP183" s="542"/>
      <c r="AQ183" s="50"/>
      <c r="AR183" s="1163">
        <v>0.52</v>
      </c>
      <c r="AS183" s="62" t="s">
        <v>921</v>
      </c>
      <c r="AT183" s="66" t="s">
        <v>3188</v>
      </c>
      <c r="AU183" s="66" t="str">
        <f t="shared" si="25"/>
        <v>En gestión</v>
      </c>
      <c r="AV183" s="66" t="str">
        <f t="shared" si="26"/>
        <v>En gestión</v>
      </c>
      <c r="AW183" s="532"/>
      <c r="AX183" s="599"/>
      <c r="AY183" s="600"/>
      <c r="AZ183" s="530"/>
      <c r="BA183" s="530"/>
      <c r="BB183" s="530"/>
      <c r="BC183" s="565"/>
      <c r="BD183" s="805"/>
      <c r="BE183" s="565"/>
      <c r="BF183" s="579"/>
      <c r="BG183" s="805"/>
      <c r="BH183" s="806"/>
      <c r="BI183" s="801"/>
      <c r="BJ183" s="801"/>
      <c r="BK183" s="801"/>
      <c r="BL183" s="542"/>
      <c r="BM183" s="542"/>
      <c r="BN183" s="542"/>
      <c r="BO183" s="347">
        <v>0.75</v>
      </c>
      <c r="BP183" s="24" t="s">
        <v>3189</v>
      </c>
      <c r="BQ183" s="24" t="s">
        <v>3190</v>
      </c>
      <c r="BR183" s="19" t="str">
        <f t="shared" si="27"/>
        <v>En gestión</v>
      </c>
      <c r="BS183" s="19" t="str">
        <f t="shared" si="30"/>
        <v>En gestión</v>
      </c>
      <c r="BT183" s="560"/>
      <c r="BU183" s="561"/>
      <c r="BV183" s="562"/>
      <c r="BW183" s="611"/>
      <c r="BX183" s="611"/>
      <c r="BY183" s="24" t="s">
        <v>3191</v>
      </c>
      <c r="BZ183" s="578"/>
      <c r="CA183" s="800"/>
      <c r="CB183" s="800"/>
      <c r="CC183" s="800"/>
      <c r="CD183" s="800"/>
      <c r="CE183" s="800"/>
      <c r="CF183" s="800"/>
      <c r="CG183" s="560"/>
      <c r="CH183" s="560"/>
      <c r="CI183" s="560"/>
      <c r="CJ183" s="560"/>
    </row>
    <row r="184" spans="2:88" ht="171.95" customHeight="1" x14ac:dyDescent="0.25">
      <c r="B184" s="1227"/>
      <c r="C184" s="710"/>
      <c r="D184" s="41" t="s">
        <v>25</v>
      </c>
      <c r="E184" s="41" t="s">
        <v>26</v>
      </c>
      <c r="F184" s="640"/>
      <c r="G184" s="41" t="s">
        <v>28</v>
      </c>
      <c r="H184" s="41" t="s">
        <v>28</v>
      </c>
      <c r="I184" s="41" t="s">
        <v>29</v>
      </c>
      <c r="J184" s="41" t="s">
        <v>185</v>
      </c>
      <c r="K184" s="641"/>
      <c r="L184" s="52" t="s">
        <v>48</v>
      </c>
      <c r="M184" s="42" t="s">
        <v>793</v>
      </c>
      <c r="N184" s="43" t="s">
        <v>794</v>
      </c>
      <c r="O184" s="147">
        <v>0.3</v>
      </c>
      <c r="P184" s="187">
        <v>44287</v>
      </c>
      <c r="Q184" s="187">
        <v>44561</v>
      </c>
      <c r="R184" s="188">
        <v>0</v>
      </c>
      <c r="S184" s="188">
        <v>0.55000000000000004</v>
      </c>
      <c r="T184" s="188">
        <v>0.8</v>
      </c>
      <c r="U184" s="188">
        <v>1</v>
      </c>
      <c r="V184" s="90">
        <v>0</v>
      </c>
      <c r="W184" s="66"/>
      <c r="X184" s="91"/>
      <c r="Y184" s="19" t="str">
        <f t="shared" si="28"/>
        <v>Sin iniciar</v>
      </c>
      <c r="Z184" s="19" t="str">
        <f t="shared" si="29"/>
        <v>Sin iniciar</v>
      </c>
      <c r="AA184" s="532"/>
      <c r="AB184" s="596"/>
      <c r="AC184" s="597"/>
      <c r="AD184" s="611"/>
      <c r="AE184" s="611"/>
      <c r="AF184" s="530"/>
      <c r="AG184" s="542"/>
      <c r="AH184" s="542"/>
      <c r="AI184" s="542"/>
      <c r="AJ184" s="802"/>
      <c r="AK184" s="542"/>
      <c r="AL184" s="798"/>
      <c r="AM184" s="801"/>
      <c r="AN184" s="801"/>
      <c r="AO184" s="542"/>
      <c r="AP184" s="542"/>
      <c r="AQ184" s="50"/>
      <c r="AR184" s="1163">
        <v>0.55000000000000004</v>
      </c>
      <c r="AS184" s="62" t="s">
        <v>922</v>
      </c>
      <c r="AT184" s="66" t="s">
        <v>3192</v>
      </c>
      <c r="AU184" s="66" t="str">
        <f t="shared" si="25"/>
        <v>En gestión</v>
      </c>
      <c r="AV184" s="66" t="str">
        <f t="shared" si="26"/>
        <v>En gestión</v>
      </c>
      <c r="AW184" s="532"/>
      <c r="AX184" s="599"/>
      <c r="AY184" s="600"/>
      <c r="AZ184" s="530"/>
      <c r="BA184" s="530"/>
      <c r="BB184" s="530"/>
      <c r="BC184" s="565"/>
      <c r="BD184" s="805"/>
      <c r="BE184" s="565"/>
      <c r="BF184" s="579"/>
      <c r="BG184" s="805"/>
      <c r="BH184" s="806"/>
      <c r="BI184" s="801"/>
      <c r="BJ184" s="801"/>
      <c r="BK184" s="801"/>
      <c r="BL184" s="542"/>
      <c r="BM184" s="542"/>
      <c r="BN184" s="542"/>
      <c r="BO184" s="347">
        <v>0.8</v>
      </c>
      <c r="BP184" s="24" t="s">
        <v>3193</v>
      </c>
      <c r="BQ184" s="24" t="s">
        <v>3194</v>
      </c>
      <c r="BR184" s="19" t="str">
        <f t="shared" si="27"/>
        <v>En gestión</v>
      </c>
      <c r="BS184" s="19" t="str">
        <f t="shared" si="30"/>
        <v>En gestión</v>
      </c>
      <c r="BT184" s="560"/>
      <c r="BU184" s="561"/>
      <c r="BV184" s="562"/>
      <c r="BW184" s="611"/>
      <c r="BX184" s="611"/>
      <c r="BY184" s="25" t="s">
        <v>37</v>
      </c>
      <c r="BZ184" s="578"/>
      <c r="CA184" s="800"/>
      <c r="CB184" s="800"/>
      <c r="CC184" s="800"/>
      <c r="CD184" s="800"/>
      <c r="CE184" s="800"/>
      <c r="CF184" s="800"/>
      <c r="CG184" s="560"/>
      <c r="CH184" s="560"/>
      <c r="CI184" s="560"/>
      <c r="CJ184" s="560"/>
    </row>
    <row r="185" spans="2:88" ht="171.95" customHeight="1" x14ac:dyDescent="0.25">
      <c r="B185" s="1227"/>
      <c r="C185" s="700" t="s">
        <v>795</v>
      </c>
      <c r="D185" s="33" t="s">
        <v>25</v>
      </c>
      <c r="E185" s="33" t="s">
        <v>160</v>
      </c>
      <c r="F185" s="701" t="s">
        <v>796</v>
      </c>
      <c r="G185" s="33" t="s">
        <v>28</v>
      </c>
      <c r="H185" s="33" t="s">
        <v>28</v>
      </c>
      <c r="I185" s="33" t="s">
        <v>29</v>
      </c>
      <c r="J185" s="33" t="s">
        <v>185</v>
      </c>
      <c r="K185" s="700" t="s">
        <v>797</v>
      </c>
      <c r="L185" s="51" t="s">
        <v>164</v>
      </c>
      <c r="M185" s="34" t="s">
        <v>798</v>
      </c>
      <c r="N185" s="39" t="s">
        <v>799</v>
      </c>
      <c r="O185" s="145">
        <v>0.25</v>
      </c>
      <c r="P185" s="189">
        <v>44378</v>
      </c>
      <c r="Q185" s="189">
        <v>44561</v>
      </c>
      <c r="R185" s="190">
        <v>0</v>
      </c>
      <c r="S185" s="190">
        <v>0.5</v>
      </c>
      <c r="T185" s="190">
        <v>0.7</v>
      </c>
      <c r="U185" s="190">
        <v>1</v>
      </c>
      <c r="V185" s="192">
        <v>0</v>
      </c>
      <c r="W185" s="56"/>
      <c r="X185" s="56"/>
      <c r="Y185" s="5" t="str">
        <f t="shared" si="28"/>
        <v>Sin iniciar</v>
      </c>
      <c r="Z185" s="5" t="str">
        <f t="shared" si="29"/>
        <v>Sin iniciar</v>
      </c>
      <c r="AA185" s="56"/>
      <c r="AB185" s="604">
        <f>SUMPRODUCT(O185:O188,V185:V188)</f>
        <v>0</v>
      </c>
      <c r="AC185" s="597">
        <f>SUMPRODUCT(O185:O188,R185:R188)</f>
        <v>0</v>
      </c>
      <c r="AD185" s="610" t="str">
        <f>IF(AC185&lt;1%,"Sin iniciar",IF(AC185=100%,"Terminado","En gestión"))</f>
        <v>Sin iniciar</v>
      </c>
      <c r="AE185" s="610" t="str">
        <f>IF(AB185&lt;1%,"Sin iniciar",IF(AB185=100%,"Terminado","En gestión"))</f>
        <v>Sin iniciar</v>
      </c>
      <c r="AF185" s="56"/>
      <c r="AG185" s="56"/>
      <c r="AH185" s="56"/>
      <c r="AI185" s="56"/>
      <c r="AJ185" s="56"/>
      <c r="AK185" s="56"/>
      <c r="AL185" s="56"/>
      <c r="AM185" s="56"/>
      <c r="AN185" s="56"/>
      <c r="AO185" s="56"/>
      <c r="AP185" s="56"/>
      <c r="AQ185" s="60"/>
      <c r="AR185" s="1163">
        <v>0.5</v>
      </c>
      <c r="AS185" s="13" t="s">
        <v>923</v>
      </c>
      <c r="AT185" s="13" t="s">
        <v>3195</v>
      </c>
      <c r="AU185" s="56" t="str">
        <f t="shared" ref="AU185:AU216" si="31">IF(S185&lt;1%,"Sin iniciar",IF(S185=100%,"Terminado","En gestión"))</f>
        <v>En gestión</v>
      </c>
      <c r="AV185" s="56" t="str">
        <f t="shared" ref="AV185:AV216" si="32">IF(AR185&lt;1%,"Sin iniciar",IF(AR185=100%,"Terminado","En gestión"))</f>
        <v>En gestión</v>
      </c>
      <c r="AW185" s="531" t="s">
        <v>950</v>
      </c>
      <c r="AX185" s="706">
        <f>SUMPRODUCT(O185:O188,AR185:AR188)</f>
        <v>0.52500000000000002</v>
      </c>
      <c r="AY185" s="600">
        <f>SUMPRODUCT(S185:S188,O185:O188)</f>
        <v>0.52500000000000002</v>
      </c>
      <c r="AZ185" s="536" t="str">
        <f>IF(AY185&lt;1%,"Sin iniciar",IF(AY185=100%,"Terminado","En gestión"))</f>
        <v>En gestión</v>
      </c>
      <c r="BA185" s="536" t="str">
        <f>IF(AX185&lt;1%,"Sin iniciar",IF(AX185=100%,"Terminado","En gestión"))</f>
        <v>En gestión</v>
      </c>
      <c r="BB185" s="536"/>
      <c r="BC185" s="808">
        <v>6400000</v>
      </c>
      <c r="BD185" s="808">
        <v>6400000</v>
      </c>
      <c r="BE185" s="574">
        <v>0</v>
      </c>
      <c r="BF185" s="583">
        <v>103144225</v>
      </c>
      <c r="BG185" s="583">
        <v>103144225</v>
      </c>
      <c r="BH185" s="574">
        <v>0</v>
      </c>
      <c r="BI185" s="531" t="s">
        <v>2589</v>
      </c>
      <c r="BJ185" s="531" t="s">
        <v>2590</v>
      </c>
      <c r="BK185" s="531" t="s">
        <v>2520</v>
      </c>
      <c r="BL185" s="531" t="s">
        <v>2659</v>
      </c>
      <c r="BM185" s="531"/>
      <c r="BN185" s="531"/>
      <c r="BO185" s="347">
        <v>0.7</v>
      </c>
      <c r="BP185" s="11" t="s">
        <v>3196</v>
      </c>
      <c r="BQ185" s="11" t="s">
        <v>3197</v>
      </c>
      <c r="BR185" s="5" t="str">
        <f t="shared" ref="BR185:BR216" si="33">IF(T185&lt;1%,"Sin iniciar",IF(T185=100%,"Terminado","En gestión"))</f>
        <v>En gestión</v>
      </c>
      <c r="BS185" s="5" t="str">
        <f t="shared" si="30"/>
        <v>En gestión</v>
      </c>
      <c r="BT185" s="581" t="s">
        <v>3198</v>
      </c>
      <c r="BU185" s="714">
        <f>SUMPRODUCT(O185:O188,BO185:BO188)</f>
        <v>0.88749999999999996</v>
      </c>
      <c r="BV185" s="562">
        <f>SUMPRODUCT(O185:O188,T185:T188)</f>
        <v>0.85</v>
      </c>
      <c r="BW185" s="610" t="str">
        <f>IF(BV185&lt;1%,"Sin iniciar",IF(BV185=100%,"Terminado","En gestión"))</f>
        <v>En gestión</v>
      </c>
      <c r="BX185" s="610" t="str">
        <f>IF(BU185&lt;1%,"Sin iniciar",IF(BU185=100%,"Terminado","En gestión"))</f>
        <v>En gestión</v>
      </c>
      <c r="BY185" s="573" t="s">
        <v>37</v>
      </c>
      <c r="BZ185" s="573"/>
      <c r="CA185" s="804">
        <v>6400000</v>
      </c>
      <c r="CB185" s="804">
        <v>6400000</v>
      </c>
      <c r="CC185" s="804">
        <v>5440000</v>
      </c>
      <c r="CD185" s="804">
        <v>103144225</v>
      </c>
      <c r="CE185" s="804">
        <v>103144225</v>
      </c>
      <c r="CF185" s="804">
        <v>87672591.25</v>
      </c>
      <c r="CG185" s="581" t="s">
        <v>2589</v>
      </c>
      <c r="CH185" s="581" t="s">
        <v>2590</v>
      </c>
      <c r="CI185" s="581" t="s">
        <v>2520</v>
      </c>
      <c r="CJ185" s="581" t="s">
        <v>2659</v>
      </c>
    </row>
    <row r="186" spans="2:88" ht="171.95" customHeight="1" x14ac:dyDescent="0.25">
      <c r="B186" s="1227"/>
      <c r="C186" s="700"/>
      <c r="D186" s="33" t="s">
        <v>25</v>
      </c>
      <c r="E186" s="33" t="s">
        <v>160</v>
      </c>
      <c r="F186" s="701"/>
      <c r="G186" s="33" t="s">
        <v>28</v>
      </c>
      <c r="H186" s="33" t="s">
        <v>28</v>
      </c>
      <c r="I186" s="33" t="s">
        <v>29</v>
      </c>
      <c r="J186" s="33" t="s">
        <v>185</v>
      </c>
      <c r="K186" s="700"/>
      <c r="L186" s="51" t="s">
        <v>164</v>
      </c>
      <c r="M186" s="34" t="s">
        <v>800</v>
      </c>
      <c r="N186" s="39" t="s">
        <v>3199</v>
      </c>
      <c r="O186" s="191">
        <v>0.25</v>
      </c>
      <c r="P186" s="189">
        <v>44287</v>
      </c>
      <c r="Q186" s="189">
        <v>44561</v>
      </c>
      <c r="R186" s="190">
        <v>0</v>
      </c>
      <c r="S186" s="190">
        <v>0.4</v>
      </c>
      <c r="T186" s="190">
        <v>0.7</v>
      </c>
      <c r="U186" s="190">
        <v>1</v>
      </c>
      <c r="V186" s="192">
        <v>0</v>
      </c>
      <c r="W186" s="56"/>
      <c r="X186" s="56"/>
      <c r="Y186" s="5" t="str">
        <f t="shared" si="28"/>
        <v>Sin iniciar</v>
      </c>
      <c r="Z186" s="5" t="str">
        <f t="shared" si="29"/>
        <v>Sin iniciar</v>
      </c>
      <c r="AA186" s="56"/>
      <c r="AB186" s="604"/>
      <c r="AC186" s="597"/>
      <c r="AD186" s="610"/>
      <c r="AE186" s="610"/>
      <c r="AF186" s="56"/>
      <c r="AG186" s="56"/>
      <c r="AH186" s="56"/>
      <c r="AI186" s="56"/>
      <c r="AJ186" s="56"/>
      <c r="AK186" s="56"/>
      <c r="AL186" s="56"/>
      <c r="AM186" s="56"/>
      <c r="AN186" s="56"/>
      <c r="AO186" s="56"/>
      <c r="AP186" s="56"/>
      <c r="AQ186" s="60"/>
      <c r="AR186" s="1163">
        <v>0.4</v>
      </c>
      <c r="AS186" s="13" t="s">
        <v>924</v>
      </c>
      <c r="AT186" s="13" t="s">
        <v>3200</v>
      </c>
      <c r="AU186" s="56" t="str">
        <f t="shared" si="31"/>
        <v>En gestión</v>
      </c>
      <c r="AV186" s="56" t="str">
        <f t="shared" si="32"/>
        <v>En gestión</v>
      </c>
      <c r="AW186" s="531"/>
      <c r="AX186" s="706"/>
      <c r="AY186" s="600"/>
      <c r="AZ186" s="536"/>
      <c r="BA186" s="536"/>
      <c r="BB186" s="536"/>
      <c r="BC186" s="808"/>
      <c r="BD186" s="808"/>
      <c r="BE186" s="574"/>
      <c r="BF186" s="583"/>
      <c r="BG186" s="583"/>
      <c r="BH186" s="574"/>
      <c r="BI186" s="531"/>
      <c r="BJ186" s="531"/>
      <c r="BK186" s="531"/>
      <c r="BL186" s="531"/>
      <c r="BM186" s="531"/>
      <c r="BN186" s="531"/>
      <c r="BO186" s="347">
        <v>0.85</v>
      </c>
      <c r="BP186" s="11" t="s">
        <v>3201</v>
      </c>
      <c r="BQ186" s="11" t="s">
        <v>3202</v>
      </c>
      <c r="BR186" s="5" t="str">
        <f t="shared" si="33"/>
        <v>En gestión</v>
      </c>
      <c r="BS186" s="5" t="str">
        <f t="shared" si="30"/>
        <v>En gestión</v>
      </c>
      <c r="BT186" s="581"/>
      <c r="BU186" s="714"/>
      <c r="BV186" s="562"/>
      <c r="BW186" s="610"/>
      <c r="BX186" s="610"/>
      <c r="BY186" s="573"/>
      <c r="BZ186" s="573"/>
      <c r="CA186" s="804"/>
      <c r="CB186" s="804"/>
      <c r="CC186" s="804"/>
      <c r="CD186" s="804"/>
      <c r="CE186" s="804"/>
      <c r="CF186" s="804"/>
      <c r="CG186" s="581"/>
      <c r="CH186" s="581"/>
      <c r="CI186" s="581"/>
      <c r="CJ186" s="581"/>
    </row>
    <row r="187" spans="2:88" ht="171.95" customHeight="1" x14ac:dyDescent="0.25">
      <c r="B187" s="1227"/>
      <c r="C187" s="700"/>
      <c r="D187" s="33" t="s">
        <v>25</v>
      </c>
      <c r="E187" s="33" t="s">
        <v>160</v>
      </c>
      <c r="F187" s="701"/>
      <c r="G187" s="33" t="s">
        <v>28</v>
      </c>
      <c r="H187" s="33" t="s">
        <v>28</v>
      </c>
      <c r="I187" s="33" t="s">
        <v>29</v>
      </c>
      <c r="J187" s="33" t="s">
        <v>185</v>
      </c>
      <c r="K187" s="700"/>
      <c r="L187" s="51" t="s">
        <v>164</v>
      </c>
      <c r="M187" s="34" t="s">
        <v>801</v>
      </c>
      <c r="N187" s="39" t="s">
        <v>802</v>
      </c>
      <c r="O187" s="191">
        <v>0.25</v>
      </c>
      <c r="P187" s="189">
        <v>44287</v>
      </c>
      <c r="Q187" s="189">
        <v>44469</v>
      </c>
      <c r="R187" s="190">
        <v>0</v>
      </c>
      <c r="S187" s="190">
        <v>0.6</v>
      </c>
      <c r="T187" s="190">
        <v>1</v>
      </c>
      <c r="U187" s="190">
        <v>1</v>
      </c>
      <c r="V187" s="192">
        <v>0</v>
      </c>
      <c r="W187" s="56"/>
      <c r="X187" s="56"/>
      <c r="Y187" s="5" t="str">
        <f t="shared" si="28"/>
        <v>Sin iniciar</v>
      </c>
      <c r="Z187" s="5" t="str">
        <f t="shared" si="29"/>
        <v>Sin iniciar</v>
      </c>
      <c r="AA187" s="56"/>
      <c r="AB187" s="604"/>
      <c r="AC187" s="597"/>
      <c r="AD187" s="610"/>
      <c r="AE187" s="610"/>
      <c r="AF187" s="56"/>
      <c r="AG187" s="56"/>
      <c r="AH187" s="56"/>
      <c r="AI187" s="56"/>
      <c r="AJ187" s="56"/>
      <c r="AK187" s="56"/>
      <c r="AL187" s="56"/>
      <c r="AM187" s="56"/>
      <c r="AN187" s="56"/>
      <c r="AO187" s="56"/>
      <c r="AP187" s="56"/>
      <c r="AQ187" s="60"/>
      <c r="AR187" s="1163">
        <v>0.6</v>
      </c>
      <c r="AS187" s="13" t="s">
        <v>925</v>
      </c>
      <c r="AT187" s="13" t="s">
        <v>3203</v>
      </c>
      <c r="AU187" s="56" t="str">
        <f t="shared" si="31"/>
        <v>En gestión</v>
      </c>
      <c r="AV187" s="56" t="str">
        <f t="shared" si="32"/>
        <v>En gestión</v>
      </c>
      <c r="AW187" s="531"/>
      <c r="AX187" s="706"/>
      <c r="AY187" s="600"/>
      <c r="AZ187" s="536"/>
      <c r="BA187" s="536"/>
      <c r="BB187" s="536"/>
      <c r="BC187" s="808"/>
      <c r="BD187" s="808"/>
      <c r="BE187" s="574"/>
      <c r="BF187" s="583"/>
      <c r="BG187" s="583"/>
      <c r="BH187" s="574"/>
      <c r="BI187" s="531"/>
      <c r="BJ187" s="531"/>
      <c r="BK187" s="531"/>
      <c r="BL187" s="531"/>
      <c r="BM187" s="531"/>
      <c r="BN187" s="531"/>
      <c r="BO187" s="347">
        <v>1</v>
      </c>
      <c r="BP187" s="11" t="s">
        <v>3204</v>
      </c>
      <c r="BQ187" s="11" t="s">
        <v>3205</v>
      </c>
      <c r="BR187" s="5" t="str">
        <f t="shared" si="33"/>
        <v>Terminado</v>
      </c>
      <c r="BS187" s="5" t="str">
        <f t="shared" si="30"/>
        <v>Terminado</v>
      </c>
      <c r="BT187" s="581"/>
      <c r="BU187" s="714"/>
      <c r="BV187" s="562"/>
      <c r="BW187" s="610"/>
      <c r="BX187" s="610"/>
      <c r="BY187" s="573"/>
      <c r="BZ187" s="573"/>
      <c r="CA187" s="804"/>
      <c r="CB187" s="804"/>
      <c r="CC187" s="804"/>
      <c r="CD187" s="804"/>
      <c r="CE187" s="804"/>
      <c r="CF187" s="804"/>
      <c r="CG187" s="581"/>
      <c r="CH187" s="581"/>
      <c r="CI187" s="581"/>
      <c r="CJ187" s="581"/>
    </row>
    <row r="188" spans="2:88" ht="171.95" customHeight="1" x14ac:dyDescent="0.25">
      <c r="B188" s="1227"/>
      <c r="C188" s="700"/>
      <c r="D188" s="33" t="s">
        <v>25</v>
      </c>
      <c r="E188" s="33" t="s">
        <v>160</v>
      </c>
      <c r="F188" s="701"/>
      <c r="G188" s="33" t="s">
        <v>28</v>
      </c>
      <c r="H188" s="33" t="s">
        <v>28</v>
      </c>
      <c r="I188" s="33" t="s">
        <v>29</v>
      </c>
      <c r="J188" s="33" t="s">
        <v>185</v>
      </c>
      <c r="K188" s="700"/>
      <c r="L188" s="51" t="s">
        <v>164</v>
      </c>
      <c r="M188" s="34" t="s">
        <v>803</v>
      </c>
      <c r="N188" s="39" t="s">
        <v>3206</v>
      </c>
      <c r="O188" s="191">
        <v>0.25</v>
      </c>
      <c r="P188" s="189">
        <v>44287</v>
      </c>
      <c r="Q188" s="189">
        <v>44469</v>
      </c>
      <c r="R188" s="190">
        <v>0</v>
      </c>
      <c r="S188" s="190">
        <v>0.6</v>
      </c>
      <c r="T188" s="190">
        <v>1</v>
      </c>
      <c r="U188" s="190">
        <v>1</v>
      </c>
      <c r="V188" s="192">
        <v>0</v>
      </c>
      <c r="W188" s="56"/>
      <c r="X188" s="56"/>
      <c r="Y188" s="5" t="str">
        <f t="shared" si="28"/>
        <v>Sin iniciar</v>
      </c>
      <c r="Z188" s="5" t="str">
        <f t="shared" si="29"/>
        <v>Sin iniciar</v>
      </c>
      <c r="AA188" s="56"/>
      <c r="AB188" s="604"/>
      <c r="AC188" s="597"/>
      <c r="AD188" s="610"/>
      <c r="AE188" s="610"/>
      <c r="AF188" s="56"/>
      <c r="AG188" s="56"/>
      <c r="AH188" s="56"/>
      <c r="AI188" s="56"/>
      <c r="AJ188" s="56"/>
      <c r="AK188" s="56"/>
      <c r="AL188" s="56"/>
      <c r="AM188" s="56"/>
      <c r="AN188" s="56"/>
      <c r="AO188" s="56"/>
      <c r="AP188" s="56"/>
      <c r="AQ188" s="60"/>
      <c r="AR188" s="1163">
        <v>0.6</v>
      </c>
      <c r="AS188" s="13" t="s">
        <v>926</v>
      </c>
      <c r="AT188" s="13" t="s">
        <v>3207</v>
      </c>
      <c r="AU188" s="56" t="str">
        <f t="shared" si="31"/>
        <v>En gestión</v>
      </c>
      <c r="AV188" s="56" t="str">
        <f t="shared" si="32"/>
        <v>En gestión</v>
      </c>
      <c r="AW188" s="531"/>
      <c r="AX188" s="706"/>
      <c r="AY188" s="600"/>
      <c r="AZ188" s="536"/>
      <c r="BA188" s="536"/>
      <c r="BB188" s="536"/>
      <c r="BC188" s="808"/>
      <c r="BD188" s="808"/>
      <c r="BE188" s="574"/>
      <c r="BF188" s="583"/>
      <c r="BG188" s="583"/>
      <c r="BH188" s="574"/>
      <c r="BI188" s="531"/>
      <c r="BJ188" s="531"/>
      <c r="BK188" s="531"/>
      <c r="BL188" s="531"/>
      <c r="BM188" s="531"/>
      <c r="BN188" s="531"/>
      <c r="BO188" s="347">
        <v>1</v>
      </c>
      <c r="BP188" s="11" t="s">
        <v>3208</v>
      </c>
      <c r="BQ188" s="11" t="s">
        <v>3209</v>
      </c>
      <c r="BR188" s="5" t="str">
        <f t="shared" si="33"/>
        <v>Terminado</v>
      </c>
      <c r="BS188" s="5" t="str">
        <f t="shared" si="30"/>
        <v>Terminado</v>
      </c>
      <c r="BT188" s="581"/>
      <c r="BU188" s="714"/>
      <c r="BV188" s="562"/>
      <c r="BW188" s="610"/>
      <c r="BX188" s="610"/>
      <c r="BY188" s="573"/>
      <c r="BZ188" s="573"/>
      <c r="CA188" s="804"/>
      <c r="CB188" s="804"/>
      <c r="CC188" s="804"/>
      <c r="CD188" s="804"/>
      <c r="CE188" s="804"/>
      <c r="CF188" s="804"/>
      <c r="CG188" s="581"/>
      <c r="CH188" s="581"/>
      <c r="CI188" s="581"/>
      <c r="CJ188" s="581"/>
    </row>
    <row r="189" spans="2:88" ht="171.95" customHeight="1" x14ac:dyDescent="0.25">
      <c r="B189" s="1227"/>
      <c r="C189" s="807" t="s">
        <v>804</v>
      </c>
      <c r="D189" s="105" t="s">
        <v>25</v>
      </c>
      <c r="E189" s="105" t="s">
        <v>160</v>
      </c>
      <c r="F189" s="711" t="s">
        <v>805</v>
      </c>
      <c r="G189" s="105" t="s">
        <v>28</v>
      </c>
      <c r="H189" s="105" t="s">
        <v>28</v>
      </c>
      <c r="I189" s="105" t="s">
        <v>29</v>
      </c>
      <c r="J189" s="105" t="s">
        <v>185</v>
      </c>
      <c r="K189" s="712" t="s">
        <v>806</v>
      </c>
      <c r="L189" s="106" t="s">
        <v>164</v>
      </c>
      <c r="M189" s="107" t="s">
        <v>807</v>
      </c>
      <c r="N189" s="108" t="s">
        <v>808</v>
      </c>
      <c r="O189" s="148">
        <v>0.3</v>
      </c>
      <c r="P189" s="109">
        <v>44287</v>
      </c>
      <c r="Q189" s="109">
        <v>44377</v>
      </c>
      <c r="R189" s="193">
        <v>0</v>
      </c>
      <c r="S189" s="193">
        <v>1</v>
      </c>
      <c r="T189" s="194">
        <v>1</v>
      </c>
      <c r="U189" s="194">
        <v>1</v>
      </c>
      <c r="V189" s="192">
        <v>0</v>
      </c>
      <c r="W189" s="66"/>
      <c r="X189" s="66"/>
      <c r="Y189" s="19" t="str">
        <f t="shared" si="28"/>
        <v>Sin iniciar</v>
      </c>
      <c r="Z189" s="19" t="str">
        <f t="shared" si="29"/>
        <v>Sin iniciar</v>
      </c>
      <c r="AA189" s="66"/>
      <c r="AB189" s="596">
        <f>SUMPRODUCT(O189:O190,V189:V190)</f>
        <v>0</v>
      </c>
      <c r="AC189" s="597">
        <f>SUMPRODUCT(O189:O190,R189:R190)</f>
        <v>0</v>
      </c>
      <c r="AD189" s="611" t="str">
        <f>IF(AC189&lt;1%,"Sin iniciar",IF(AC189=100%,"Terminado","En gestión"))</f>
        <v>Sin iniciar</v>
      </c>
      <c r="AE189" s="611" t="str">
        <f>IF(AB189&lt;1%,"Sin iniciar",IF(AB189=100%,"Terminado","En gestión"))</f>
        <v>Sin iniciar</v>
      </c>
      <c r="AF189" s="66"/>
      <c r="AG189" s="66"/>
      <c r="AH189" s="66"/>
      <c r="AI189" s="66"/>
      <c r="AJ189" s="66"/>
      <c r="AK189" s="66"/>
      <c r="AL189" s="66"/>
      <c r="AM189" s="66"/>
      <c r="AN189" s="66"/>
      <c r="AO189" s="66"/>
      <c r="AP189" s="66"/>
      <c r="AQ189" s="50"/>
      <c r="AR189" s="1163">
        <v>1</v>
      </c>
      <c r="AS189" s="62" t="s">
        <v>927</v>
      </c>
      <c r="AT189" s="62" t="s">
        <v>3210</v>
      </c>
      <c r="AU189" s="66" t="str">
        <f t="shared" si="31"/>
        <v>Terminado</v>
      </c>
      <c r="AV189" s="66" t="str">
        <f t="shared" si="32"/>
        <v>Terminado</v>
      </c>
      <c r="AW189" s="532" t="s">
        <v>951</v>
      </c>
      <c r="AX189" s="599">
        <f>SUMPRODUCT(O189:O190,AR189:AR190)</f>
        <v>0.3</v>
      </c>
      <c r="AY189" s="600">
        <f>SUMPRODUCT(S189:S190,O189:O190)</f>
        <v>0.3</v>
      </c>
      <c r="AZ189" s="530" t="str">
        <f>IF(AY189&lt;1%,"Sin iniciar",IF(AY189=100%,"Terminado","En gestión"))</f>
        <v>En gestión</v>
      </c>
      <c r="BA189" s="530" t="str">
        <f>IF(AX189&lt;1%,"Sin iniciar",IF(AX189=100%,"Terminado","En gestión"))</f>
        <v>En gestión</v>
      </c>
      <c r="BB189" s="530"/>
      <c r="BC189" s="565">
        <v>0</v>
      </c>
      <c r="BD189" s="565">
        <v>0</v>
      </c>
      <c r="BE189" s="565">
        <v>0</v>
      </c>
      <c r="BF189" s="579">
        <v>149077668</v>
      </c>
      <c r="BG189" s="565">
        <v>0</v>
      </c>
      <c r="BH189" s="565">
        <v>0</v>
      </c>
      <c r="BI189" s="532" t="s">
        <v>2591</v>
      </c>
      <c r="BJ189" s="532" t="s">
        <v>2592</v>
      </c>
      <c r="BK189" s="532" t="s">
        <v>2518</v>
      </c>
      <c r="BL189" s="532" t="s">
        <v>2660</v>
      </c>
      <c r="BM189" s="532"/>
      <c r="BN189" s="532"/>
      <c r="BO189" s="347">
        <v>1</v>
      </c>
      <c r="BP189" s="25" t="s">
        <v>3141</v>
      </c>
      <c r="BQ189" s="25" t="s">
        <v>3141</v>
      </c>
      <c r="BR189" s="19" t="str">
        <f t="shared" si="33"/>
        <v>Terminado</v>
      </c>
      <c r="BS189" s="19" t="str">
        <f t="shared" si="30"/>
        <v>Terminado</v>
      </c>
      <c r="BT189" s="560" t="s">
        <v>3211</v>
      </c>
      <c r="BU189" s="561">
        <f>SUMPRODUCT(O189:O190,BO189:BO190)</f>
        <v>0.64999999999999991</v>
      </c>
      <c r="BV189" s="562">
        <f>SUMPRODUCT(O189:O190,T189:T190)</f>
        <v>0.64999999999999991</v>
      </c>
      <c r="BW189" s="611" t="str">
        <f>IF(BV189&lt;1%,"Sin iniciar",IF(BV189=100%,"Terminado","En gestión"))</f>
        <v>En gestión</v>
      </c>
      <c r="BX189" s="611" t="str">
        <f>IF(BU189&lt;1%,"Sin iniciar",IF(BU189=100%,"Terminado","En gestión"))</f>
        <v>En gestión</v>
      </c>
      <c r="BY189" s="578" t="s">
        <v>37</v>
      </c>
      <c r="BZ189" s="578"/>
      <c r="CA189" s="565">
        <v>0</v>
      </c>
      <c r="CB189" s="565">
        <v>0</v>
      </c>
      <c r="CC189" s="565">
        <v>0</v>
      </c>
      <c r="CD189" s="800">
        <v>149077668</v>
      </c>
      <c r="CE189" s="800">
        <v>149077668</v>
      </c>
      <c r="CF189" s="800">
        <v>119262134.40000001</v>
      </c>
      <c r="CG189" s="560" t="s">
        <v>2591</v>
      </c>
      <c r="CH189" s="560" t="s">
        <v>2592</v>
      </c>
      <c r="CI189" s="560" t="s">
        <v>2518</v>
      </c>
      <c r="CJ189" s="560" t="s">
        <v>2660</v>
      </c>
    </row>
    <row r="190" spans="2:88" ht="171.95" customHeight="1" x14ac:dyDescent="0.25">
      <c r="B190" s="1227"/>
      <c r="C190" s="807"/>
      <c r="D190" s="105" t="s">
        <v>25</v>
      </c>
      <c r="E190" s="105" t="s">
        <v>160</v>
      </c>
      <c r="F190" s="711"/>
      <c r="G190" s="105" t="s">
        <v>28</v>
      </c>
      <c r="H190" s="105" t="s">
        <v>28</v>
      </c>
      <c r="I190" s="105" t="s">
        <v>29</v>
      </c>
      <c r="J190" s="105" t="s">
        <v>185</v>
      </c>
      <c r="K190" s="712"/>
      <c r="L190" s="106" t="s">
        <v>164</v>
      </c>
      <c r="M190" s="107" t="s">
        <v>809</v>
      </c>
      <c r="N190" s="108" t="s">
        <v>810</v>
      </c>
      <c r="O190" s="148">
        <v>0.7</v>
      </c>
      <c r="P190" s="109">
        <v>44378</v>
      </c>
      <c r="Q190" s="109">
        <v>44561</v>
      </c>
      <c r="R190" s="193">
        <v>0</v>
      </c>
      <c r="S190" s="193">
        <v>0</v>
      </c>
      <c r="T190" s="194">
        <v>0.5</v>
      </c>
      <c r="U190" s="194">
        <v>1</v>
      </c>
      <c r="V190" s="192">
        <v>0</v>
      </c>
      <c r="W190" s="66"/>
      <c r="X190" s="66"/>
      <c r="Y190" s="19" t="str">
        <f t="shared" si="28"/>
        <v>Sin iniciar</v>
      </c>
      <c r="Z190" s="19" t="str">
        <f t="shared" si="29"/>
        <v>Sin iniciar</v>
      </c>
      <c r="AA190" s="66"/>
      <c r="AB190" s="596"/>
      <c r="AC190" s="597"/>
      <c r="AD190" s="611"/>
      <c r="AE190" s="611"/>
      <c r="AF190" s="66"/>
      <c r="AG190" s="66"/>
      <c r="AH190" s="66"/>
      <c r="AI190" s="66"/>
      <c r="AJ190" s="66"/>
      <c r="AK190" s="66"/>
      <c r="AL190" s="66"/>
      <c r="AM190" s="66"/>
      <c r="AN190" s="66"/>
      <c r="AO190" s="66"/>
      <c r="AP190" s="66"/>
      <c r="AQ190" s="50"/>
      <c r="AR190" s="1163">
        <v>0</v>
      </c>
      <c r="AS190" s="66" t="s">
        <v>2437</v>
      </c>
      <c r="AT190" s="66"/>
      <c r="AU190" s="66" t="str">
        <f t="shared" si="31"/>
        <v>Sin iniciar</v>
      </c>
      <c r="AV190" s="66" t="str">
        <f t="shared" si="32"/>
        <v>Sin iniciar</v>
      </c>
      <c r="AW190" s="532"/>
      <c r="AX190" s="599"/>
      <c r="AY190" s="600"/>
      <c r="AZ190" s="530"/>
      <c r="BA190" s="530"/>
      <c r="BB190" s="530"/>
      <c r="BC190" s="565"/>
      <c r="BD190" s="565"/>
      <c r="BE190" s="565"/>
      <c r="BF190" s="579"/>
      <c r="BG190" s="565"/>
      <c r="BH190" s="565"/>
      <c r="BI190" s="532"/>
      <c r="BJ190" s="532"/>
      <c r="BK190" s="532"/>
      <c r="BL190" s="532"/>
      <c r="BM190" s="532"/>
      <c r="BN190" s="532"/>
      <c r="BO190" s="347">
        <v>0.5</v>
      </c>
      <c r="BP190" s="24" t="s">
        <v>3212</v>
      </c>
      <c r="BQ190" s="24" t="s">
        <v>3213</v>
      </c>
      <c r="BR190" s="19" t="str">
        <f t="shared" si="33"/>
        <v>En gestión</v>
      </c>
      <c r="BS190" s="19" t="str">
        <f t="shared" si="30"/>
        <v>En gestión</v>
      </c>
      <c r="BT190" s="560"/>
      <c r="BU190" s="561"/>
      <c r="BV190" s="562"/>
      <c r="BW190" s="611"/>
      <c r="BX190" s="611"/>
      <c r="BY190" s="578"/>
      <c r="BZ190" s="578"/>
      <c r="CA190" s="565"/>
      <c r="CB190" s="565"/>
      <c r="CC190" s="565"/>
      <c r="CD190" s="800"/>
      <c r="CE190" s="800"/>
      <c r="CF190" s="800"/>
      <c r="CG190" s="560"/>
      <c r="CH190" s="560"/>
      <c r="CI190" s="560"/>
      <c r="CJ190" s="560"/>
    </row>
    <row r="191" spans="2:88" ht="171.95" customHeight="1" x14ac:dyDescent="0.25">
      <c r="B191" s="1227"/>
      <c r="C191" s="809" t="s">
        <v>811</v>
      </c>
      <c r="D191" s="95" t="s">
        <v>25</v>
      </c>
      <c r="E191" s="95" t="s">
        <v>160</v>
      </c>
      <c r="F191" s="701" t="s">
        <v>812</v>
      </c>
      <c r="G191" s="95" t="s">
        <v>28</v>
      </c>
      <c r="H191" s="95" t="s">
        <v>28</v>
      </c>
      <c r="I191" s="95" t="s">
        <v>29</v>
      </c>
      <c r="J191" s="95" t="s">
        <v>185</v>
      </c>
      <c r="K191" s="702" t="s">
        <v>813</v>
      </c>
      <c r="L191" s="96" t="s">
        <v>164</v>
      </c>
      <c r="M191" s="97" t="s">
        <v>814</v>
      </c>
      <c r="N191" s="93" t="s">
        <v>815</v>
      </c>
      <c r="O191" s="156">
        <v>0.2</v>
      </c>
      <c r="P191" s="98">
        <v>44378</v>
      </c>
      <c r="Q191" s="98">
        <v>44469</v>
      </c>
      <c r="R191" s="195">
        <v>0</v>
      </c>
      <c r="S191" s="195">
        <v>0</v>
      </c>
      <c r="T191" s="196">
        <v>1</v>
      </c>
      <c r="U191" s="196">
        <v>1</v>
      </c>
      <c r="V191" s="192">
        <v>0</v>
      </c>
      <c r="W191" s="56"/>
      <c r="X191" s="56"/>
      <c r="Y191" s="5" t="str">
        <f t="shared" si="28"/>
        <v>Sin iniciar</v>
      </c>
      <c r="Z191" s="5" t="str">
        <f t="shared" si="29"/>
        <v>Sin iniciar</v>
      </c>
      <c r="AA191" s="56"/>
      <c r="AB191" s="596">
        <f>SUMPRODUCT(O191:O193,V191:V193)</f>
        <v>0</v>
      </c>
      <c r="AC191" s="597">
        <f>SUMPRODUCT(O191:O193,R191:R193)</f>
        <v>0</v>
      </c>
      <c r="AD191" s="610" t="str">
        <f>IF(AC191&lt;1%,"Sin iniciar",IF(AC191=100%,"Terminado","En gestión"))</f>
        <v>Sin iniciar</v>
      </c>
      <c r="AE191" s="610" t="str">
        <f>IF(AB191&lt;1%,"Sin iniciar",IF(AB191=100%,"Terminado","En gestión"))</f>
        <v>Sin iniciar</v>
      </c>
      <c r="AF191" s="56"/>
      <c r="AG191" s="56"/>
      <c r="AH191" s="56"/>
      <c r="AI191" s="56"/>
      <c r="AJ191" s="56"/>
      <c r="AK191" s="56"/>
      <c r="AL191" s="56"/>
      <c r="AM191" s="56"/>
      <c r="AN191" s="56"/>
      <c r="AO191" s="56"/>
      <c r="AP191" s="56"/>
      <c r="AQ191" s="60"/>
      <c r="AR191" s="1163">
        <v>0</v>
      </c>
      <c r="AS191" s="56" t="s">
        <v>2437</v>
      </c>
      <c r="AT191" s="56"/>
      <c r="AU191" s="56" t="str">
        <f t="shared" si="31"/>
        <v>Sin iniciar</v>
      </c>
      <c r="AV191" s="56" t="str">
        <f t="shared" si="32"/>
        <v>Sin iniciar</v>
      </c>
      <c r="AW191" s="536" t="s">
        <v>2437</v>
      </c>
      <c r="AX191" s="599">
        <f>SUMPRODUCT(O191:O193,AR191:AR193)</f>
        <v>0</v>
      </c>
      <c r="AY191" s="600">
        <f>SUMPRODUCT(S191:S193,O191:O193)</f>
        <v>0</v>
      </c>
      <c r="AZ191" s="536" t="str">
        <f>IF(AY191&lt;1%,"Sin iniciar",IF(AY191=100%,"Terminado","En gestión"))</f>
        <v>Sin iniciar</v>
      </c>
      <c r="BA191" s="536" t="str">
        <f>IF(AX191&lt;1%,"Sin iniciar",IF(AX191=100%,"Terminado","En gestión"))</f>
        <v>Sin iniciar</v>
      </c>
      <c r="BB191" s="536"/>
      <c r="BC191" s="574">
        <v>0</v>
      </c>
      <c r="BD191" s="574">
        <v>0</v>
      </c>
      <c r="BE191" s="574">
        <v>0</v>
      </c>
      <c r="BF191" s="583">
        <v>126964882</v>
      </c>
      <c r="BG191" s="583">
        <v>126964882</v>
      </c>
      <c r="BH191" s="574">
        <v>0</v>
      </c>
      <c r="BI191" s="531" t="s">
        <v>2591</v>
      </c>
      <c r="BJ191" s="531" t="s">
        <v>2592</v>
      </c>
      <c r="BK191" s="531" t="s">
        <v>2518</v>
      </c>
      <c r="BL191" s="536" t="s">
        <v>2660</v>
      </c>
      <c r="BM191" s="536"/>
      <c r="BN191" s="536"/>
      <c r="BO191" s="347">
        <v>1</v>
      </c>
      <c r="BP191" s="11" t="s">
        <v>3214</v>
      </c>
      <c r="BQ191" s="11" t="s">
        <v>3215</v>
      </c>
      <c r="BR191" s="5" t="str">
        <f t="shared" si="33"/>
        <v>Terminado</v>
      </c>
      <c r="BS191" s="5" t="str">
        <f t="shared" si="30"/>
        <v>Terminado</v>
      </c>
      <c r="BT191" s="581" t="s">
        <v>3216</v>
      </c>
      <c r="BU191" s="561">
        <f>SUMPRODUCT(O191:O193,BO191:BO193)</f>
        <v>0.46</v>
      </c>
      <c r="BV191" s="562">
        <f>SUMPRODUCT(O191:O193,T191:T193)</f>
        <v>0.46</v>
      </c>
      <c r="BW191" s="610" t="str">
        <f>IF(BV191&lt;1%,"Sin iniciar",IF(BV191=100%,"Terminado","En gestión"))</f>
        <v>En gestión</v>
      </c>
      <c r="BX191" s="610" t="str">
        <f>IF(BU191&lt;1%,"Sin iniciar",IF(BU191=100%,"Terminado","En gestión"))</f>
        <v>En gestión</v>
      </c>
      <c r="BY191" s="573" t="s">
        <v>37</v>
      </c>
      <c r="BZ191" s="573"/>
      <c r="CA191" s="574">
        <v>0</v>
      </c>
      <c r="CB191" s="574">
        <v>0</v>
      </c>
      <c r="CC191" s="574">
        <v>0</v>
      </c>
      <c r="CD191" s="804">
        <v>126964882</v>
      </c>
      <c r="CE191" s="804">
        <v>126964882</v>
      </c>
      <c r="CF191" s="804">
        <v>88875332.3335291</v>
      </c>
      <c r="CG191" s="581" t="s">
        <v>2591</v>
      </c>
      <c r="CH191" s="581" t="s">
        <v>2592</v>
      </c>
      <c r="CI191" s="581" t="s">
        <v>2518</v>
      </c>
      <c r="CJ191" s="581" t="s">
        <v>2660</v>
      </c>
    </row>
    <row r="192" spans="2:88" ht="171.95" customHeight="1" x14ac:dyDescent="0.25">
      <c r="B192" s="1227"/>
      <c r="C192" s="809"/>
      <c r="D192" s="95" t="s">
        <v>25</v>
      </c>
      <c r="E192" s="95" t="s">
        <v>160</v>
      </c>
      <c r="F192" s="701"/>
      <c r="G192" s="95" t="s">
        <v>28</v>
      </c>
      <c r="H192" s="95" t="s">
        <v>28</v>
      </c>
      <c r="I192" s="95" t="s">
        <v>29</v>
      </c>
      <c r="J192" s="95" t="s">
        <v>185</v>
      </c>
      <c r="K192" s="702"/>
      <c r="L192" s="96" t="s">
        <v>164</v>
      </c>
      <c r="M192" s="97" t="s">
        <v>816</v>
      </c>
      <c r="N192" s="93" t="s">
        <v>817</v>
      </c>
      <c r="O192" s="156">
        <v>0.2</v>
      </c>
      <c r="P192" s="98">
        <v>44378</v>
      </c>
      <c r="Q192" s="98">
        <v>44469</v>
      </c>
      <c r="R192" s="195">
        <v>0</v>
      </c>
      <c r="S192" s="195">
        <v>0</v>
      </c>
      <c r="T192" s="196">
        <v>1</v>
      </c>
      <c r="U192" s="196">
        <v>1</v>
      </c>
      <c r="V192" s="192">
        <v>0</v>
      </c>
      <c r="W192" s="56"/>
      <c r="X192" s="56"/>
      <c r="Y192" s="5" t="str">
        <f t="shared" si="28"/>
        <v>Sin iniciar</v>
      </c>
      <c r="Z192" s="5" t="str">
        <f t="shared" si="29"/>
        <v>Sin iniciar</v>
      </c>
      <c r="AA192" s="56"/>
      <c r="AB192" s="596"/>
      <c r="AC192" s="597"/>
      <c r="AD192" s="610"/>
      <c r="AE192" s="610"/>
      <c r="AF192" s="56"/>
      <c r="AG192" s="56"/>
      <c r="AH192" s="56"/>
      <c r="AI192" s="56"/>
      <c r="AJ192" s="56"/>
      <c r="AK192" s="56"/>
      <c r="AL192" s="56"/>
      <c r="AM192" s="56"/>
      <c r="AN192" s="56"/>
      <c r="AO192" s="56"/>
      <c r="AP192" s="56"/>
      <c r="AQ192" s="60"/>
      <c r="AR192" s="1163">
        <v>0</v>
      </c>
      <c r="AS192" s="56" t="s">
        <v>2437</v>
      </c>
      <c r="AT192" s="56"/>
      <c r="AU192" s="56" t="str">
        <f t="shared" si="31"/>
        <v>Sin iniciar</v>
      </c>
      <c r="AV192" s="56" t="str">
        <f t="shared" si="32"/>
        <v>Sin iniciar</v>
      </c>
      <c r="AW192" s="536"/>
      <c r="AX192" s="599"/>
      <c r="AY192" s="600"/>
      <c r="AZ192" s="536"/>
      <c r="BA192" s="536"/>
      <c r="BB192" s="536"/>
      <c r="BC192" s="574"/>
      <c r="BD192" s="574"/>
      <c r="BE192" s="574"/>
      <c r="BF192" s="583"/>
      <c r="BG192" s="583"/>
      <c r="BH192" s="574"/>
      <c r="BI192" s="531"/>
      <c r="BJ192" s="531"/>
      <c r="BK192" s="531"/>
      <c r="BL192" s="536"/>
      <c r="BM192" s="536"/>
      <c r="BN192" s="536"/>
      <c r="BO192" s="347">
        <v>1</v>
      </c>
      <c r="BP192" s="11" t="s">
        <v>3217</v>
      </c>
      <c r="BQ192" s="11" t="s">
        <v>3218</v>
      </c>
      <c r="BR192" s="5" t="str">
        <f t="shared" si="33"/>
        <v>Terminado</v>
      </c>
      <c r="BS192" s="5" t="str">
        <f t="shared" si="30"/>
        <v>Terminado</v>
      </c>
      <c r="BT192" s="581"/>
      <c r="BU192" s="561"/>
      <c r="BV192" s="562"/>
      <c r="BW192" s="610"/>
      <c r="BX192" s="610"/>
      <c r="BY192" s="573"/>
      <c r="BZ192" s="573"/>
      <c r="CA192" s="574"/>
      <c r="CB192" s="574"/>
      <c r="CC192" s="574"/>
      <c r="CD192" s="804"/>
      <c r="CE192" s="804"/>
      <c r="CF192" s="804"/>
      <c r="CG192" s="581"/>
      <c r="CH192" s="581"/>
      <c r="CI192" s="581"/>
      <c r="CJ192" s="581"/>
    </row>
    <row r="193" spans="2:88" ht="171.95" customHeight="1" x14ac:dyDescent="0.25">
      <c r="B193" s="1227"/>
      <c r="C193" s="809"/>
      <c r="D193" s="95" t="s">
        <v>25</v>
      </c>
      <c r="E193" s="95" t="s">
        <v>160</v>
      </c>
      <c r="F193" s="701"/>
      <c r="G193" s="95" t="s">
        <v>28</v>
      </c>
      <c r="H193" s="95" t="s">
        <v>28</v>
      </c>
      <c r="I193" s="95" t="s">
        <v>29</v>
      </c>
      <c r="J193" s="95" t="s">
        <v>185</v>
      </c>
      <c r="K193" s="702"/>
      <c r="L193" s="96" t="s">
        <v>164</v>
      </c>
      <c r="M193" s="97" t="s">
        <v>818</v>
      </c>
      <c r="N193" s="93" t="s">
        <v>819</v>
      </c>
      <c r="O193" s="156">
        <v>0.6</v>
      </c>
      <c r="P193" s="98">
        <v>44440</v>
      </c>
      <c r="Q193" s="98">
        <v>44561</v>
      </c>
      <c r="R193" s="195">
        <v>0</v>
      </c>
      <c r="S193" s="195">
        <v>0</v>
      </c>
      <c r="T193" s="196">
        <v>0.1</v>
      </c>
      <c r="U193" s="196">
        <v>1</v>
      </c>
      <c r="V193" s="192">
        <v>0</v>
      </c>
      <c r="W193" s="56"/>
      <c r="X193" s="56"/>
      <c r="Y193" s="5" t="str">
        <f t="shared" si="28"/>
        <v>Sin iniciar</v>
      </c>
      <c r="Z193" s="5" t="str">
        <f t="shared" si="29"/>
        <v>Sin iniciar</v>
      </c>
      <c r="AA193" s="56"/>
      <c r="AB193" s="596"/>
      <c r="AC193" s="597"/>
      <c r="AD193" s="610"/>
      <c r="AE193" s="610"/>
      <c r="AF193" s="56"/>
      <c r="AG193" s="56"/>
      <c r="AH193" s="56"/>
      <c r="AI193" s="56"/>
      <c r="AJ193" s="56"/>
      <c r="AK193" s="56"/>
      <c r="AL193" s="56"/>
      <c r="AM193" s="56"/>
      <c r="AN193" s="56"/>
      <c r="AO193" s="56"/>
      <c r="AP193" s="56"/>
      <c r="AQ193" s="60"/>
      <c r="AR193" s="1163">
        <v>0</v>
      </c>
      <c r="AS193" s="56" t="s">
        <v>2437</v>
      </c>
      <c r="AT193" s="56"/>
      <c r="AU193" s="56" t="str">
        <f t="shared" si="31"/>
        <v>Sin iniciar</v>
      </c>
      <c r="AV193" s="56" t="str">
        <f t="shared" si="32"/>
        <v>Sin iniciar</v>
      </c>
      <c r="AW193" s="536"/>
      <c r="AX193" s="599"/>
      <c r="AY193" s="600"/>
      <c r="AZ193" s="536"/>
      <c r="BA193" s="536"/>
      <c r="BB193" s="536"/>
      <c r="BC193" s="574"/>
      <c r="BD193" s="574"/>
      <c r="BE193" s="574"/>
      <c r="BF193" s="583"/>
      <c r="BG193" s="583"/>
      <c r="BH193" s="574"/>
      <c r="BI193" s="531"/>
      <c r="BJ193" s="531"/>
      <c r="BK193" s="531"/>
      <c r="BL193" s="536"/>
      <c r="BM193" s="536"/>
      <c r="BN193" s="536"/>
      <c r="BO193" s="347">
        <v>0.1</v>
      </c>
      <c r="BP193" s="11" t="s">
        <v>3219</v>
      </c>
      <c r="BQ193" s="11" t="s">
        <v>3220</v>
      </c>
      <c r="BR193" s="5" t="str">
        <f t="shared" si="33"/>
        <v>En gestión</v>
      </c>
      <c r="BS193" s="5" t="str">
        <f t="shared" si="30"/>
        <v>En gestión</v>
      </c>
      <c r="BT193" s="581"/>
      <c r="BU193" s="561"/>
      <c r="BV193" s="562"/>
      <c r="BW193" s="610"/>
      <c r="BX193" s="610"/>
      <c r="BY193" s="573"/>
      <c r="BZ193" s="573"/>
      <c r="CA193" s="574"/>
      <c r="CB193" s="574"/>
      <c r="CC193" s="574"/>
      <c r="CD193" s="804"/>
      <c r="CE193" s="804"/>
      <c r="CF193" s="804"/>
      <c r="CG193" s="581"/>
      <c r="CH193" s="581"/>
      <c r="CI193" s="581"/>
      <c r="CJ193" s="581"/>
    </row>
    <row r="194" spans="2:88" ht="171.95" customHeight="1" x14ac:dyDescent="0.25">
      <c r="B194" s="1227"/>
      <c r="C194" s="807" t="s">
        <v>820</v>
      </c>
      <c r="D194" s="105" t="s">
        <v>25</v>
      </c>
      <c r="E194" s="105" t="s">
        <v>160</v>
      </c>
      <c r="F194" s="711" t="s">
        <v>821</v>
      </c>
      <c r="G194" s="105" t="s">
        <v>28</v>
      </c>
      <c r="H194" s="105" t="s">
        <v>28</v>
      </c>
      <c r="I194" s="105" t="s">
        <v>29</v>
      </c>
      <c r="J194" s="105" t="s">
        <v>185</v>
      </c>
      <c r="K194" s="712" t="s">
        <v>822</v>
      </c>
      <c r="L194" s="106" t="s">
        <v>164</v>
      </c>
      <c r="M194" s="107" t="s">
        <v>823</v>
      </c>
      <c r="N194" s="108" t="s">
        <v>824</v>
      </c>
      <c r="O194" s="148">
        <v>0.5</v>
      </c>
      <c r="P194" s="109">
        <v>44470</v>
      </c>
      <c r="Q194" s="109">
        <v>44561</v>
      </c>
      <c r="R194" s="193">
        <v>0</v>
      </c>
      <c r="S194" s="193">
        <v>0</v>
      </c>
      <c r="T194" s="194">
        <v>0</v>
      </c>
      <c r="U194" s="194">
        <v>1</v>
      </c>
      <c r="V194" s="192">
        <v>0</v>
      </c>
      <c r="W194" s="66"/>
      <c r="X194" s="66"/>
      <c r="Y194" s="19" t="str">
        <f t="shared" si="28"/>
        <v>Sin iniciar</v>
      </c>
      <c r="Z194" s="19" t="str">
        <f t="shared" si="29"/>
        <v>Sin iniciar</v>
      </c>
      <c r="AA194" s="66"/>
      <c r="AB194" s="596">
        <f>SUMPRODUCT(O194:O195,V194:V195)</f>
        <v>0</v>
      </c>
      <c r="AC194" s="597">
        <f>SUMPRODUCT(O194:O195,R194:R195)</f>
        <v>0</v>
      </c>
      <c r="AD194" s="611" t="str">
        <f>IF(AC194&lt;1%,"Sin iniciar",IF(AC194=100%,"Terminado","En gestión"))</f>
        <v>Sin iniciar</v>
      </c>
      <c r="AE194" s="611" t="str">
        <f>IF(AB194&lt;1%,"Sin iniciar",IF(AB194=100%,"Terminado","En gestión"))</f>
        <v>Sin iniciar</v>
      </c>
      <c r="AF194" s="66"/>
      <c r="AG194" s="66"/>
      <c r="AH194" s="66"/>
      <c r="AI194" s="66"/>
      <c r="AJ194" s="66"/>
      <c r="AK194" s="66"/>
      <c r="AL194" s="66"/>
      <c r="AM194" s="66"/>
      <c r="AN194" s="66"/>
      <c r="AO194" s="66"/>
      <c r="AP194" s="66"/>
      <c r="AQ194" s="50"/>
      <c r="AR194" s="1163">
        <v>0</v>
      </c>
      <c r="AS194" s="66" t="s">
        <v>2437</v>
      </c>
      <c r="AT194" s="66"/>
      <c r="AU194" s="66" t="str">
        <f t="shared" si="31"/>
        <v>Sin iniciar</v>
      </c>
      <c r="AV194" s="66" t="str">
        <f t="shared" si="32"/>
        <v>Sin iniciar</v>
      </c>
      <c r="AW194" s="530" t="s">
        <v>2437</v>
      </c>
      <c r="AX194" s="599">
        <f>SUMPRODUCT(O194:O195,AR194:AR195)</f>
        <v>0</v>
      </c>
      <c r="AY194" s="600">
        <f>SUMPRODUCT(S194:S195,O194:O195)</f>
        <v>0</v>
      </c>
      <c r="AZ194" s="530" t="str">
        <f>IF(AY194&lt;1%,"Sin iniciar",IF(AY194=100%,"Terminado","En gestión"))</f>
        <v>Sin iniciar</v>
      </c>
      <c r="BA194" s="530" t="str">
        <f>IF(AX194&lt;1%,"Sin iniciar",IF(AX194=100%,"Terminado","En gestión"))</f>
        <v>Sin iniciar</v>
      </c>
      <c r="BB194" s="565">
        <v>0</v>
      </c>
      <c r="BC194" s="565">
        <v>0</v>
      </c>
      <c r="BD194" s="565">
        <v>0</v>
      </c>
      <c r="BE194" s="579">
        <v>122267538</v>
      </c>
      <c r="BF194" s="579">
        <v>122267538</v>
      </c>
      <c r="BG194" s="579">
        <v>122267538</v>
      </c>
      <c r="BH194" s="565">
        <v>0</v>
      </c>
      <c r="BI194" s="532" t="s">
        <v>2591</v>
      </c>
      <c r="BJ194" s="532" t="s">
        <v>2592</v>
      </c>
      <c r="BK194" s="532" t="s">
        <v>2518</v>
      </c>
      <c r="BL194" s="530" t="s">
        <v>2660</v>
      </c>
      <c r="BM194" s="530"/>
      <c r="BN194" s="530"/>
      <c r="BO194" s="347">
        <v>0</v>
      </c>
      <c r="BP194" s="24" t="s">
        <v>2897</v>
      </c>
      <c r="BQ194" s="24" t="s">
        <v>2897</v>
      </c>
      <c r="BR194" s="19" t="str">
        <f t="shared" si="33"/>
        <v>Sin iniciar</v>
      </c>
      <c r="BS194" s="19" t="str">
        <f t="shared" si="30"/>
        <v>Sin iniciar</v>
      </c>
      <c r="BT194" s="578" t="s">
        <v>2897</v>
      </c>
      <c r="BU194" s="561">
        <f>SUMPRODUCT(O194:O195,BO194:BO195)</f>
        <v>0</v>
      </c>
      <c r="BV194" s="562">
        <f>SUMPRODUCT(O194:O195,T194:T195)</f>
        <v>0</v>
      </c>
      <c r="BW194" s="611" t="str">
        <f>IF(BV194&lt;1%,"Sin iniciar",IF(BV194=100%,"Terminado","En gestión"))</f>
        <v>Sin iniciar</v>
      </c>
      <c r="BX194" s="611" t="str">
        <f>IF(BU194&lt;1%,"Sin iniciar",IF(BU194=100%,"Terminado","En gestión"))</f>
        <v>Sin iniciar</v>
      </c>
      <c r="BY194" s="578" t="s">
        <v>37</v>
      </c>
      <c r="BZ194" s="578"/>
      <c r="CA194" s="578"/>
      <c r="CB194" s="578"/>
      <c r="CC194" s="578"/>
      <c r="CD194" s="578"/>
      <c r="CE194" s="578"/>
      <c r="CF194" s="578"/>
      <c r="CG194" s="578"/>
      <c r="CH194" s="578"/>
      <c r="CI194" s="578"/>
      <c r="CJ194" s="578"/>
    </row>
    <row r="195" spans="2:88" ht="171.95" customHeight="1" x14ac:dyDescent="0.25">
      <c r="B195" s="1227"/>
      <c r="C195" s="807"/>
      <c r="D195" s="105" t="s">
        <v>25</v>
      </c>
      <c r="E195" s="105" t="s">
        <v>160</v>
      </c>
      <c r="F195" s="711"/>
      <c r="G195" s="105" t="s">
        <v>28</v>
      </c>
      <c r="H195" s="105" t="s">
        <v>28</v>
      </c>
      <c r="I195" s="105" t="s">
        <v>29</v>
      </c>
      <c r="J195" s="105" t="s">
        <v>185</v>
      </c>
      <c r="K195" s="712"/>
      <c r="L195" s="106" t="s">
        <v>164</v>
      </c>
      <c r="M195" s="107" t="s">
        <v>825</v>
      </c>
      <c r="N195" s="108" t="s">
        <v>826</v>
      </c>
      <c r="O195" s="148">
        <v>0.5</v>
      </c>
      <c r="P195" s="109">
        <v>44470</v>
      </c>
      <c r="Q195" s="109">
        <v>44561</v>
      </c>
      <c r="R195" s="193">
        <v>0</v>
      </c>
      <c r="S195" s="193">
        <v>0</v>
      </c>
      <c r="T195" s="194">
        <v>0</v>
      </c>
      <c r="U195" s="194">
        <v>1</v>
      </c>
      <c r="V195" s="192">
        <v>0</v>
      </c>
      <c r="W195" s="66"/>
      <c r="X195" s="66"/>
      <c r="Y195" s="19" t="str">
        <f t="shared" si="28"/>
        <v>Sin iniciar</v>
      </c>
      <c r="Z195" s="19" t="str">
        <f t="shared" si="29"/>
        <v>Sin iniciar</v>
      </c>
      <c r="AA195" s="66"/>
      <c r="AB195" s="596"/>
      <c r="AC195" s="597"/>
      <c r="AD195" s="611"/>
      <c r="AE195" s="611"/>
      <c r="AF195" s="66"/>
      <c r="AG195" s="66"/>
      <c r="AH195" s="66"/>
      <c r="AI195" s="66"/>
      <c r="AJ195" s="66"/>
      <c r="AK195" s="66"/>
      <c r="AL195" s="66"/>
      <c r="AM195" s="66"/>
      <c r="AN195" s="66"/>
      <c r="AO195" s="66"/>
      <c r="AP195" s="66"/>
      <c r="AQ195" s="50"/>
      <c r="AR195" s="1163">
        <v>0</v>
      </c>
      <c r="AS195" s="66" t="s">
        <v>2437</v>
      </c>
      <c r="AT195" s="66"/>
      <c r="AU195" s="66" t="str">
        <f t="shared" si="31"/>
        <v>Sin iniciar</v>
      </c>
      <c r="AV195" s="66" t="str">
        <f t="shared" si="32"/>
        <v>Sin iniciar</v>
      </c>
      <c r="AW195" s="530"/>
      <c r="AX195" s="599"/>
      <c r="AY195" s="600"/>
      <c r="AZ195" s="530"/>
      <c r="BA195" s="530"/>
      <c r="BB195" s="565"/>
      <c r="BC195" s="565"/>
      <c r="BD195" s="565"/>
      <c r="BE195" s="579"/>
      <c r="BF195" s="579"/>
      <c r="BG195" s="579"/>
      <c r="BH195" s="565"/>
      <c r="BI195" s="532"/>
      <c r="BJ195" s="532"/>
      <c r="BK195" s="532"/>
      <c r="BL195" s="530"/>
      <c r="BM195" s="530"/>
      <c r="BN195" s="530"/>
      <c r="BO195" s="347">
        <v>0</v>
      </c>
      <c r="BP195" s="24" t="s">
        <v>2897</v>
      </c>
      <c r="BQ195" s="24" t="s">
        <v>2897</v>
      </c>
      <c r="BR195" s="19" t="str">
        <f t="shared" si="33"/>
        <v>Sin iniciar</v>
      </c>
      <c r="BS195" s="19" t="str">
        <f t="shared" si="30"/>
        <v>Sin iniciar</v>
      </c>
      <c r="BT195" s="578"/>
      <c r="BU195" s="561"/>
      <c r="BV195" s="562"/>
      <c r="BW195" s="611"/>
      <c r="BX195" s="611"/>
      <c r="BY195" s="578"/>
      <c r="BZ195" s="578"/>
      <c r="CA195" s="578"/>
      <c r="CB195" s="578"/>
      <c r="CC195" s="578"/>
      <c r="CD195" s="578"/>
      <c r="CE195" s="578"/>
      <c r="CF195" s="578"/>
      <c r="CG195" s="578"/>
      <c r="CH195" s="578"/>
      <c r="CI195" s="578"/>
      <c r="CJ195" s="578"/>
    </row>
    <row r="196" spans="2:88" ht="171.95" customHeight="1" x14ac:dyDescent="0.25">
      <c r="B196" s="1227"/>
      <c r="C196" s="809" t="s">
        <v>827</v>
      </c>
      <c r="D196" s="95" t="s">
        <v>25</v>
      </c>
      <c r="E196" s="95" t="s">
        <v>828</v>
      </c>
      <c r="F196" s="95" t="s">
        <v>829</v>
      </c>
      <c r="G196" s="95" t="s">
        <v>28</v>
      </c>
      <c r="H196" s="95" t="s">
        <v>28</v>
      </c>
      <c r="I196" s="95" t="s">
        <v>29</v>
      </c>
      <c r="J196" s="95" t="s">
        <v>185</v>
      </c>
      <c r="K196" s="702" t="s">
        <v>830</v>
      </c>
      <c r="L196" s="96" t="s">
        <v>164</v>
      </c>
      <c r="M196" s="97" t="s">
        <v>831</v>
      </c>
      <c r="N196" s="93" t="s">
        <v>832</v>
      </c>
      <c r="O196" s="156">
        <v>0.5</v>
      </c>
      <c r="P196" s="98">
        <v>44319</v>
      </c>
      <c r="Q196" s="98">
        <v>44469</v>
      </c>
      <c r="R196" s="195">
        <v>0</v>
      </c>
      <c r="S196" s="195">
        <v>0.6</v>
      </c>
      <c r="T196" s="196">
        <v>1</v>
      </c>
      <c r="U196" s="196">
        <v>1</v>
      </c>
      <c r="V196" s="192">
        <v>0</v>
      </c>
      <c r="W196" s="56"/>
      <c r="X196" s="56"/>
      <c r="Y196" s="5" t="str">
        <f t="shared" si="28"/>
        <v>Sin iniciar</v>
      </c>
      <c r="Z196" s="5" t="str">
        <f t="shared" si="29"/>
        <v>Sin iniciar</v>
      </c>
      <c r="AA196" s="56"/>
      <c r="AB196" s="596">
        <f>SUMPRODUCT(O196:O197,V196:V197)</f>
        <v>0</v>
      </c>
      <c r="AC196" s="597">
        <f>SUMPRODUCT(O196:O197,R196:R197)</f>
        <v>0</v>
      </c>
      <c r="AD196" s="610" t="str">
        <f>IF(AC196&lt;1%,"Sin iniciar",IF(AC196=100%,"Terminado","En gestión"))</f>
        <v>Sin iniciar</v>
      </c>
      <c r="AE196" s="610" t="str">
        <f>IF(AB196&lt;1%,"Sin iniciar",IF(AB196=100%,"Terminado","En gestión"))</f>
        <v>Sin iniciar</v>
      </c>
      <c r="AF196" s="56"/>
      <c r="AG196" s="56"/>
      <c r="AH196" s="56"/>
      <c r="AI196" s="56"/>
      <c r="AJ196" s="56"/>
      <c r="AK196" s="56"/>
      <c r="AL196" s="56"/>
      <c r="AM196" s="56"/>
      <c r="AN196" s="56"/>
      <c r="AO196" s="56"/>
      <c r="AP196" s="56"/>
      <c r="AQ196" s="60"/>
      <c r="AR196" s="1163">
        <v>0.6</v>
      </c>
      <c r="AS196" s="13" t="s">
        <v>928</v>
      </c>
      <c r="AT196" s="13" t="s">
        <v>3221</v>
      </c>
      <c r="AU196" s="56" t="str">
        <f t="shared" si="31"/>
        <v>En gestión</v>
      </c>
      <c r="AV196" s="56" t="str">
        <f t="shared" si="32"/>
        <v>En gestión</v>
      </c>
      <c r="AW196" s="531" t="s">
        <v>952</v>
      </c>
      <c r="AX196" s="599">
        <f>SUMPRODUCT(O196:O197,AR196:AR197)</f>
        <v>0.3</v>
      </c>
      <c r="AY196" s="600">
        <f>SUMPRODUCT(S196:S197,O196:O197)</f>
        <v>0.3</v>
      </c>
      <c r="AZ196" s="536" t="str">
        <f>IF(AY196&lt;1%,"Sin iniciar",IF(AY196=100%,"Terminado","En gestión"))</f>
        <v>En gestión</v>
      </c>
      <c r="BA196" s="536" t="str">
        <f>IF(AX196&lt;1%,"Sin iniciar",IF(AX196=100%,"Terminado","En gestión"))</f>
        <v>En gestión</v>
      </c>
      <c r="BB196" s="536"/>
      <c r="BC196" s="583">
        <v>11775931</v>
      </c>
      <c r="BD196" s="583">
        <v>11775931</v>
      </c>
      <c r="BE196" s="574">
        <v>0</v>
      </c>
      <c r="BF196" s="583">
        <v>1665000</v>
      </c>
      <c r="BG196" s="583">
        <v>1665000</v>
      </c>
      <c r="BH196" s="574">
        <v>0</v>
      </c>
      <c r="BI196" s="531" t="s">
        <v>2584</v>
      </c>
      <c r="BJ196" s="531" t="s">
        <v>2593</v>
      </c>
      <c r="BK196" s="531" t="s">
        <v>2594</v>
      </c>
      <c r="BL196" s="531" t="s">
        <v>2656</v>
      </c>
      <c r="BM196" s="531"/>
      <c r="BN196" s="531"/>
      <c r="BO196" s="347">
        <v>1</v>
      </c>
      <c r="BP196" s="11" t="s">
        <v>3222</v>
      </c>
      <c r="BQ196" s="11" t="s">
        <v>3223</v>
      </c>
      <c r="BR196" s="5" t="str">
        <f t="shared" si="33"/>
        <v>Terminado</v>
      </c>
      <c r="BS196" s="5" t="str">
        <f t="shared" si="30"/>
        <v>Terminado</v>
      </c>
      <c r="BT196" s="581" t="s">
        <v>3224</v>
      </c>
      <c r="BU196" s="561">
        <f>SUMPRODUCT(O196:O197,BO196:BO197)</f>
        <v>0.5</v>
      </c>
      <c r="BV196" s="562">
        <f>SUMPRODUCT(O196:O197,T196:T197)</f>
        <v>0.5</v>
      </c>
      <c r="BW196" s="610" t="str">
        <f>IF(BV196&lt;1%,"Sin iniciar",IF(BV196=100%,"Terminado","En gestión"))</f>
        <v>En gestión</v>
      </c>
      <c r="BX196" s="610" t="str">
        <f>IF(BU196&lt;1%,"Sin iniciar",IF(BU196=100%,"Terminado","En gestión"))</f>
        <v>En gestión</v>
      </c>
      <c r="BY196" s="573" t="s">
        <v>37</v>
      </c>
      <c r="BZ196" s="573"/>
      <c r="CA196" s="804">
        <v>11775931</v>
      </c>
      <c r="CB196" s="804">
        <v>11775931</v>
      </c>
      <c r="CC196" s="804">
        <v>5887965.5</v>
      </c>
      <c r="CD196" s="804">
        <v>1665000</v>
      </c>
      <c r="CE196" s="804">
        <v>1665000</v>
      </c>
      <c r="CF196" s="804">
        <v>832500</v>
      </c>
      <c r="CG196" s="581" t="s">
        <v>2584</v>
      </c>
      <c r="CH196" s="581" t="s">
        <v>2593</v>
      </c>
      <c r="CI196" s="581" t="s">
        <v>2594</v>
      </c>
      <c r="CJ196" s="581" t="s">
        <v>2656</v>
      </c>
    </row>
    <row r="197" spans="2:88" ht="171.95" customHeight="1" x14ac:dyDescent="0.25">
      <c r="B197" s="1227"/>
      <c r="C197" s="809"/>
      <c r="D197" s="95" t="s">
        <v>25</v>
      </c>
      <c r="E197" s="95" t="s">
        <v>828</v>
      </c>
      <c r="F197" s="95" t="s">
        <v>829</v>
      </c>
      <c r="G197" s="95" t="s">
        <v>28</v>
      </c>
      <c r="H197" s="95" t="s">
        <v>28</v>
      </c>
      <c r="I197" s="95" t="s">
        <v>29</v>
      </c>
      <c r="J197" s="95" t="s">
        <v>185</v>
      </c>
      <c r="K197" s="702"/>
      <c r="L197" s="96" t="s">
        <v>164</v>
      </c>
      <c r="M197" s="97" t="s">
        <v>833</v>
      </c>
      <c r="N197" s="93" t="s">
        <v>834</v>
      </c>
      <c r="O197" s="156">
        <v>0.5</v>
      </c>
      <c r="P197" s="98">
        <v>44392</v>
      </c>
      <c r="Q197" s="98">
        <v>44561</v>
      </c>
      <c r="R197" s="195">
        <v>0</v>
      </c>
      <c r="S197" s="195">
        <v>0</v>
      </c>
      <c r="T197" s="196">
        <v>0</v>
      </c>
      <c r="U197" s="196">
        <v>1</v>
      </c>
      <c r="V197" s="192">
        <v>0</v>
      </c>
      <c r="W197" s="56"/>
      <c r="X197" s="56"/>
      <c r="Y197" s="5" t="str">
        <f t="shared" si="28"/>
        <v>Sin iniciar</v>
      </c>
      <c r="Z197" s="5" t="str">
        <f t="shared" si="29"/>
        <v>Sin iniciar</v>
      </c>
      <c r="AA197" s="56"/>
      <c r="AB197" s="596"/>
      <c r="AC197" s="597"/>
      <c r="AD197" s="610"/>
      <c r="AE197" s="610"/>
      <c r="AF197" s="56"/>
      <c r="AG197" s="56"/>
      <c r="AH197" s="56"/>
      <c r="AI197" s="56"/>
      <c r="AJ197" s="56"/>
      <c r="AK197" s="56"/>
      <c r="AL197" s="56"/>
      <c r="AM197" s="56"/>
      <c r="AN197" s="56"/>
      <c r="AO197" s="56"/>
      <c r="AP197" s="56"/>
      <c r="AQ197" s="60"/>
      <c r="AR197" s="1163">
        <v>0</v>
      </c>
      <c r="AS197" s="56" t="s">
        <v>2437</v>
      </c>
      <c r="AT197" s="56"/>
      <c r="AU197" s="56" t="str">
        <f t="shared" si="31"/>
        <v>Sin iniciar</v>
      </c>
      <c r="AV197" s="56" t="str">
        <f t="shared" si="32"/>
        <v>Sin iniciar</v>
      </c>
      <c r="AW197" s="531"/>
      <c r="AX197" s="599"/>
      <c r="AY197" s="600"/>
      <c r="AZ197" s="536"/>
      <c r="BA197" s="536"/>
      <c r="BB197" s="536"/>
      <c r="BC197" s="583"/>
      <c r="BD197" s="583"/>
      <c r="BE197" s="574"/>
      <c r="BF197" s="583"/>
      <c r="BG197" s="583"/>
      <c r="BH197" s="574"/>
      <c r="BI197" s="531"/>
      <c r="BJ197" s="531"/>
      <c r="BK197" s="531"/>
      <c r="BL197" s="531"/>
      <c r="BM197" s="531"/>
      <c r="BN197" s="531"/>
      <c r="BO197" s="347">
        <v>0</v>
      </c>
      <c r="BP197" s="11" t="s">
        <v>2897</v>
      </c>
      <c r="BQ197" s="11" t="s">
        <v>2897</v>
      </c>
      <c r="BR197" s="5" t="str">
        <f t="shared" si="33"/>
        <v>Sin iniciar</v>
      </c>
      <c r="BS197" s="5" t="str">
        <f t="shared" si="30"/>
        <v>Sin iniciar</v>
      </c>
      <c r="BT197" s="581"/>
      <c r="BU197" s="561"/>
      <c r="BV197" s="562"/>
      <c r="BW197" s="610"/>
      <c r="BX197" s="610"/>
      <c r="BY197" s="573"/>
      <c r="BZ197" s="573"/>
      <c r="CA197" s="804"/>
      <c r="CB197" s="804"/>
      <c r="CC197" s="804"/>
      <c r="CD197" s="804"/>
      <c r="CE197" s="804"/>
      <c r="CF197" s="804"/>
      <c r="CG197" s="581"/>
      <c r="CH197" s="581"/>
      <c r="CI197" s="581"/>
      <c r="CJ197" s="581"/>
    </row>
    <row r="198" spans="2:88" ht="171.95" customHeight="1" x14ac:dyDescent="0.25">
      <c r="B198" s="1227"/>
      <c r="C198" s="807" t="s">
        <v>835</v>
      </c>
      <c r="D198" s="105" t="s">
        <v>25</v>
      </c>
      <c r="E198" s="105" t="s">
        <v>160</v>
      </c>
      <c r="F198" s="711" t="s">
        <v>836</v>
      </c>
      <c r="G198" s="105" t="s">
        <v>28</v>
      </c>
      <c r="H198" s="105" t="s">
        <v>28</v>
      </c>
      <c r="I198" s="105" t="s">
        <v>29</v>
      </c>
      <c r="J198" s="105" t="s">
        <v>185</v>
      </c>
      <c r="K198" s="712" t="s">
        <v>837</v>
      </c>
      <c r="L198" s="106" t="s">
        <v>164</v>
      </c>
      <c r="M198" s="107" t="s">
        <v>838</v>
      </c>
      <c r="N198" s="108" t="s">
        <v>832</v>
      </c>
      <c r="O198" s="148">
        <v>0.4</v>
      </c>
      <c r="P198" s="109">
        <v>44287</v>
      </c>
      <c r="Q198" s="109">
        <v>44377</v>
      </c>
      <c r="R198" s="193">
        <v>0</v>
      </c>
      <c r="S198" s="193">
        <v>1</v>
      </c>
      <c r="T198" s="194">
        <v>1</v>
      </c>
      <c r="U198" s="194">
        <v>1</v>
      </c>
      <c r="V198" s="192">
        <v>0</v>
      </c>
      <c r="W198" s="66"/>
      <c r="X198" s="66"/>
      <c r="Y198" s="19" t="str">
        <f t="shared" si="28"/>
        <v>Sin iniciar</v>
      </c>
      <c r="Z198" s="19" t="str">
        <f t="shared" si="29"/>
        <v>Sin iniciar</v>
      </c>
      <c r="AA198" s="66"/>
      <c r="AB198" s="596">
        <f>SUMPRODUCT(O198:O200,V198:V200)</f>
        <v>0</v>
      </c>
      <c r="AC198" s="597">
        <f>SUMPRODUCT(O198:O200,R198:R200)</f>
        <v>0</v>
      </c>
      <c r="AD198" s="611" t="str">
        <f>IF(AC198&lt;1%,"Sin iniciar",IF(AC198=100%,"Terminado","En gestión"))</f>
        <v>Sin iniciar</v>
      </c>
      <c r="AE198" s="611" t="str">
        <f>IF(AB198&lt;1%,"Sin iniciar",IF(AB198=100%,"Terminado","En gestión"))</f>
        <v>Sin iniciar</v>
      </c>
      <c r="AF198" s="66"/>
      <c r="AG198" s="66"/>
      <c r="AH198" s="66"/>
      <c r="AI198" s="66"/>
      <c r="AJ198" s="66"/>
      <c r="AK198" s="66"/>
      <c r="AL198" s="66"/>
      <c r="AM198" s="66"/>
      <c r="AN198" s="66"/>
      <c r="AO198" s="66"/>
      <c r="AP198" s="66"/>
      <c r="AQ198" s="50"/>
      <c r="AR198" s="1163">
        <v>1</v>
      </c>
      <c r="AS198" s="62" t="s">
        <v>929</v>
      </c>
      <c r="AT198" s="62" t="s">
        <v>3225</v>
      </c>
      <c r="AU198" s="66" t="str">
        <f t="shared" si="31"/>
        <v>Terminado</v>
      </c>
      <c r="AV198" s="66" t="str">
        <f t="shared" si="32"/>
        <v>Terminado</v>
      </c>
      <c r="AW198" s="532" t="s">
        <v>953</v>
      </c>
      <c r="AX198" s="599">
        <f>SUMPRODUCT(O198:O200,AR198:AR200)</f>
        <v>0.4</v>
      </c>
      <c r="AY198" s="600">
        <f>SUMPRODUCT(S198:S200,O198:O200)</f>
        <v>0.4</v>
      </c>
      <c r="AZ198" s="530" t="str">
        <f>IF(AY198&lt;1%,"Sin iniciar",IF(AY198=100%,"Terminado","En gestión"))</f>
        <v>En gestión</v>
      </c>
      <c r="BA198" s="530" t="str">
        <f>IF(AX198&lt;1%,"Sin iniciar",IF(AX198=100%,"Terminado","En gestión"))</f>
        <v>En gestión</v>
      </c>
      <c r="BB198" s="530"/>
      <c r="BC198" s="579">
        <v>6347832</v>
      </c>
      <c r="BD198" s="579">
        <v>6347832</v>
      </c>
      <c r="BE198" s="565">
        <v>0</v>
      </c>
      <c r="BF198" s="565">
        <v>0</v>
      </c>
      <c r="BG198" s="565">
        <v>0</v>
      </c>
      <c r="BH198" s="565">
        <v>0</v>
      </c>
      <c r="BI198" s="530"/>
      <c r="BJ198" s="530"/>
      <c r="BK198" s="530"/>
      <c r="BL198" s="530"/>
      <c r="BM198" s="530"/>
      <c r="BN198" s="530"/>
      <c r="BO198" s="347">
        <v>1</v>
      </c>
      <c r="BP198" s="25" t="s">
        <v>3127</v>
      </c>
      <c r="BQ198" s="25" t="s">
        <v>3127</v>
      </c>
      <c r="BR198" s="19" t="str">
        <f t="shared" si="33"/>
        <v>Terminado</v>
      </c>
      <c r="BS198" s="19" t="str">
        <f t="shared" si="30"/>
        <v>Terminado</v>
      </c>
      <c r="BT198" s="560" t="s">
        <v>3226</v>
      </c>
      <c r="BU198" s="561">
        <f>SUMPRODUCT(O198:O200,BO198:BO200)</f>
        <v>0.56000000000000005</v>
      </c>
      <c r="BV198" s="562">
        <f>SUMPRODUCT(O198:O200,T198:T200)</f>
        <v>0.8</v>
      </c>
      <c r="BW198" s="611" t="str">
        <f>IF(BV198&lt;1%,"Sin iniciar",IF(BV198=100%,"Terminado","En gestión"))</f>
        <v>En gestión</v>
      </c>
      <c r="BX198" s="611" t="str">
        <f>IF(BU198&lt;1%,"Sin iniciar",IF(BU198=100%,"Terminado","En gestión"))</f>
        <v>En gestión</v>
      </c>
      <c r="BY198" s="25" t="s">
        <v>37</v>
      </c>
      <c r="BZ198" s="578"/>
      <c r="CA198" s="800">
        <v>6347832</v>
      </c>
      <c r="CB198" s="800">
        <v>6347832</v>
      </c>
      <c r="CC198" s="800">
        <v>4231883.7681120001</v>
      </c>
      <c r="CD198" s="811">
        <v>0</v>
      </c>
      <c r="CE198" s="811">
        <v>0</v>
      </c>
      <c r="CF198" s="811">
        <v>0</v>
      </c>
      <c r="CG198" s="560" t="s">
        <v>2629</v>
      </c>
      <c r="CH198" s="560" t="s">
        <v>2629</v>
      </c>
      <c r="CI198" s="560" t="s">
        <v>2629</v>
      </c>
      <c r="CJ198" s="560" t="s">
        <v>2629</v>
      </c>
    </row>
    <row r="199" spans="2:88" ht="171.95" customHeight="1" x14ac:dyDescent="0.25">
      <c r="B199" s="1227"/>
      <c r="C199" s="807"/>
      <c r="D199" s="105" t="s">
        <v>25</v>
      </c>
      <c r="E199" s="105" t="s">
        <v>160</v>
      </c>
      <c r="F199" s="711"/>
      <c r="G199" s="105" t="s">
        <v>28</v>
      </c>
      <c r="H199" s="105" t="s">
        <v>28</v>
      </c>
      <c r="I199" s="105" t="s">
        <v>29</v>
      </c>
      <c r="J199" s="105" t="s">
        <v>185</v>
      </c>
      <c r="K199" s="712"/>
      <c r="L199" s="106" t="s">
        <v>164</v>
      </c>
      <c r="M199" s="107" t="s">
        <v>839</v>
      </c>
      <c r="N199" s="108" t="s">
        <v>840</v>
      </c>
      <c r="O199" s="148">
        <v>0.4</v>
      </c>
      <c r="P199" s="109">
        <v>44378</v>
      </c>
      <c r="Q199" s="109">
        <v>44469</v>
      </c>
      <c r="R199" s="193">
        <v>0</v>
      </c>
      <c r="S199" s="193">
        <v>0</v>
      </c>
      <c r="T199" s="194">
        <v>1</v>
      </c>
      <c r="U199" s="194">
        <v>1</v>
      </c>
      <c r="V199" s="192">
        <v>0</v>
      </c>
      <c r="W199" s="66"/>
      <c r="X199" s="66"/>
      <c r="Y199" s="19" t="str">
        <f t="shared" si="28"/>
        <v>Sin iniciar</v>
      </c>
      <c r="Z199" s="19" t="str">
        <f t="shared" si="29"/>
        <v>Sin iniciar</v>
      </c>
      <c r="AA199" s="66"/>
      <c r="AB199" s="596"/>
      <c r="AC199" s="597"/>
      <c r="AD199" s="611"/>
      <c r="AE199" s="611"/>
      <c r="AF199" s="66"/>
      <c r="AG199" s="66"/>
      <c r="AH199" s="66"/>
      <c r="AI199" s="66"/>
      <c r="AJ199" s="66"/>
      <c r="AK199" s="66"/>
      <c r="AL199" s="66"/>
      <c r="AM199" s="66"/>
      <c r="AN199" s="66"/>
      <c r="AO199" s="66"/>
      <c r="AP199" s="66"/>
      <c r="AQ199" s="50"/>
      <c r="AR199" s="1163">
        <v>0</v>
      </c>
      <c r="AS199" s="66" t="s">
        <v>2437</v>
      </c>
      <c r="AT199" s="66"/>
      <c r="AU199" s="66" t="str">
        <f t="shared" si="31"/>
        <v>Sin iniciar</v>
      </c>
      <c r="AV199" s="66" t="str">
        <f t="shared" si="32"/>
        <v>Sin iniciar</v>
      </c>
      <c r="AW199" s="532"/>
      <c r="AX199" s="599"/>
      <c r="AY199" s="600"/>
      <c r="AZ199" s="530"/>
      <c r="BA199" s="530"/>
      <c r="BB199" s="530"/>
      <c r="BC199" s="579"/>
      <c r="BD199" s="579"/>
      <c r="BE199" s="565"/>
      <c r="BF199" s="565"/>
      <c r="BG199" s="565"/>
      <c r="BH199" s="565"/>
      <c r="BI199" s="530"/>
      <c r="BJ199" s="530"/>
      <c r="BK199" s="530"/>
      <c r="BL199" s="530"/>
      <c r="BM199" s="530"/>
      <c r="BN199" s="530"/>
      <c r="BO199" s="347">
        <v>0.4</v>
      </c>
      <c r="BP199" s="24" t="s">
        <v>3227</v>
      </c>
      <c r="BQ199" s="24" t="s">
        <v>3228</v>
      </c>
      <c r="BR199" s="19" t="str">
        <f t="shared" si="33"/>
        <v>Terminado</v>
      </c>
      <c r="BS199" s="19" t="str">
        <f t="shared" si="30"/>
        <v>En gestión</v>
      </c>
      <c r="BT199" s="560"/>
      <c r="BU199" s="561"/>
      <c r="BV199" s="562"/>
      <c r="BW199" s="611"/>
      <c r="BX199" s="611"/>
      <c r="BY199" s="24" t="s">
        <v>3229</v>
      </c>
      <c r="BZ199" s="578"/>
      <c r="CA199" s="800"/>
      <c r="CB199" s="800"/>
      <c r="CC199" s="800"/>
      <c r="CD199" s="811"/>
      <c r="CE199" s="811"/>
      <c r="CF199" s="811"/>
      <c r="CG199" s="560"/>
      <c r="CH199" s="560"/>
      <c r="CI199" s="560"/>
      <c r="CJ199" s="560"/>
    </row>
    <row r="200" spans="2:88" ht="171.95" customHeight="1" x14ac:dyDescent="0.25">
      <c r="B200" s="1227"/>
      <c r="C200" s="807"/>
      <c r="D200" s="105" t="s">
        <v>25</v>
      </c>
      <c r="E200" s="105" t="s">
        <v>160</v>
      </c>
      <c r="F200" s="711"/>
      <c r="G200" s="105" t="s">
        <v>28</v>
      </c>
      <c r="H200" s="105" t="s">
        <v>28</v>
      </c>
      <c r="I200" s="105" t="s">
        <v>29</v>
      </c>
      <c r="J200" s="105" t="s">
        <v>185</v>
      </c>
      <c r="K200" s="712"/>
      <c r="L200" s="106" t="s">
        <v>164</v>
      </c>
      <c r="M200" s="107" t="s">
        <v>841</v>
      </c>
      <c r="N200" s="108" t="s">
        <v>842</v>
      </c>
      <c r="O200" s="148">
        <v>0.2</v>
      </c>
      <c r="P200" s="109">
        <v>44378</v>
      </c>
      <c r="Q200" s="109">
        <v>44560</v>
      </c>
      <c r="R200" s="193">
        <v>0</v>
      </c>
      <c r="S200" s="193">
        <v>0</v>
      </c>
      <c r="T200" s="194">
        <v>0</v>
      </c>
      <c r="U200" s="194">
        <v>1</v>
      </c>
      <c r="V200" s="192">
        <v>0</v>
      </c>
      <c r="W200" s="66"/>
      <c r="X200" s="66"/>
      <c r="Y200" s="19" t="str">
        <f t="shared" si="28"/>
        <v>Sin iniciar</v>
      </c>
      <c r="Z200" s="19" t="str">
        <f t="shared" si="29"/>
        <v>Sin iniciar</v>
      </c>
      <c r="AA200" s="66"/>
      <c r="AB200" s="596"/>
      <c r="AC200" s="597"/>
      <c r="AD200" s="611"/>
      <c r="AE200" s="611"/>
      <c r="AF200" s="66"/>
      <c r="AG200" s="66"/>
      <c r="AH200" s="66"/>
      <c r="AI200" s="66"/>
      <c r="AJ200" s="66"/>
      <c r="AK200" s="66"/>
      <c r="AL200" s="66"/>
      <c r="AM200" s="66"/>
      <c r="AN200" s="66"/>
      <c r="AO200" s="66"/>
      <c r="AP200" s="66"/>
      <c r="AQ200" s="50"/>
      <c r="AR200" s="1163">
        <v>0</v>
      </c>
      <c r="AS200" s="66" t="s">
        <v>2437</v>
      </c>
      <c r="AT200" s="66"/>
      <c r="AU200" s="66" t="str">
        <f t="shared" si="31"/>
        <v>Sin iniciar</v>
      </c>
      <c r="AV200" s="66" t="str">
        <f t="shared" si="32"/>
        <v>Sin iniciar</v>
      </c>
      <c r="AW200" s="532"/>
      <c r="AX200" s="599"/>
      <c r="AY200" s="600"/>
      <c r="AZ200" s="530"/>
      <c r="BA200" s="530"/>
      <c r="BB200" s="530"/>
      <c r="BC200" s="579"/>
      <c r="BD200" s="579"/>
      <c r="BE200" s="565"/>
      <c r="BF200" s="565"/>
      <c r="BG200" s="565"/>
      <c r="BH200" s="565"/>
      <c r="BI200" s="530"/>
      <c r="BJ200" s="530"/>
      <c r="BK200" s="530"/>
      <c r="BL200" s="530"/>
      <c r="BM200" s="530"/>
      <c r="BN200" s="530"/>
      <c r="BO200" s="347">
        <v>0</v>
      </c>
      <c r="BP200" s="24" t="s">
        <v>2897</v>
      </c>
      <c r="BQ200" s="24" t="s">
        <v>2897</v>
      </c>
      <c r="BR200" s="19" t="str">
        <f t="shared" si="33"/>
        <v>Sin iniciar</v>
      </c>
      <c r="BS200" s="19" t="str">
        <f t="shared" si="30"/>
        <v>Sin iniciar</v>
      </c>
      <c r="BT200" s="560"/>
      <c r="BU200" s="561"/>
      <c r="BV200" s="562"/>
      <c r="BW200" s="611"/>
      <c r="BX200" s="611"/>
      <c r="BY200" s="25" t="s">
        <v>37</v>
      </c>
      <c r="BZ200" s="578"/>
      <c r="CA200" s="800"/>
      <c r="CB200" s="800"/>
      <c r="CC200" s="800"/>
      <c r="CD200" s="811"/>
      <c r="CE200" s="811"/>
      <c r="CF200" s="811"/>
      <c r="CG200" s="560"/>
      <c r="CH200" s="560"/>
      <c r="CI200" s="560"/>
      <c r="CJ200" s="560"/>
    </row>
    <row r="201" spans="2:88" ht="171.95" customHeight="1" x14ac:dyDescent="0.25">
      <c r="B201" s="1227"/>
      <c r="C201" s="809" t="s">
        <v>843</v>
      </c>
      <c r="D201" s="95" t="s">
        <v>25</v>
      </c>
      <c r="E201" s="95" t="s">
        <v>160</v>
      </c>
      <c r="F201" s="701" t="s">
        <v>844</v>
      </c>
      <c r="G201" s="95" t="s">
        <v>28</v>
      </c>
      <c r="H201" s="95" t="s">
        <v>28</v>
      </c>
      <c r="I201" s="95" t="s">
        <v>29</v>
      </c>
      <c r="J201" s="95" t="s">
        <v>185</v>
      </c>
      <c r="K201" s="702" t="s">
        <v>845</v>
      </c>
      <c r="L201" s="96" t="s">
        <v>164</v>
      </c>
      <c r="M201" s="97" t="s">
        <v>846</v>
      </c>
      <c r="N201" s="93" t="s">
        <v>832</v>
      </c>
      <c r="O201" s="156">
        <v>0.4</v>
      </c>
      <c r="P201" s="98">
        <v>44336</v>
      </c>
      <c r="Q201" s="98">
        <v>44469</v>
      </c>
      <c r="R201" s="195">
        <v>0</v>
      </c>
      <c r="S201" s="195">
        <v>0.4</v>
      </c>
      <c r="T201" s="196">
        <v>1</v>
      </c>
      <c r="U201" s="196">
        <v>1</v>
      </c>
      <c r="V201" s="192">
        <v>0</v>
      </c>
      <c r="W201" s="56"/>
      <c r="X201" s="56"/>
      <c r="Y201" s="5" t="str">
        <f t="shared" si="28"/>
        <v>Sin iniciar</v>
      </c>
      <c r="Z201" s="5" t="str">
        <f t="shared" si="29"/>
        <v>Sin iniciar</v>
      </c>
      <c r="AA201" s="56"/>
      <c r="AB201" s="596">
        <f>SUMPRODUCT(O201:O203,V201:V203)</f>
        <v>0</v>
      </c>
      <c r="AC201" s="597">
        <f>SUMPRODUCT(O201:O203,R201:R203)</f>
        <v>0</v>
      </c>
      <c r="AD201" s="610" t="str">
        <f>IF(AC201&lt;1%,"Sin iniciar",IF(AC201=100%,"Terminado","En gestión"))</f>
        <v>Sin iniciar</v>
      </c>
      <c r="AE201" s="610" t="str">
        <f>IF(AB201&lt;1%,"Sin iniciar",IF(AB201=100%,"Terminado","En gestión"))</f>
        <v>Sin iniciar</v>
      </c>
      <c r="AF201" s="56"/>
      <c r="AG201" s="56"/>
      <c r="AH201" s="56"/>
      <c r="AI201" s="56"/>
      <c r="AJ201" s="56"/>
      <c r="AK201" s="56"/>
      <c r="AL201" s="56"/>
      <c r="AM201" s="56"/>
      <c r="AN201" s="56"/>
      <c r="AO201" s="56"/>
      <c r="AP201" s="56"/>
      <c r="AQ201" s="60"/>
      <c r="AR201" s="1163">
        <v>0.4</v>
      </c>
      <c r="AS201" s="13" t="s">
        <v>930</v>
      </c>
      <c r="AT201" s="13" t="s">
        <v>3230</v>
      </c>
      <c r="AU201" s="56" t="str">
        <f t="shared" si="31"/>
        <v>En gestión</v>
      </c>
      <c r="AV201" s="56" t="str">
        <f t="shared" si="32"/>
        <v>En gestión</v>
      </c>
      <c r="AW201" s="531" t="s">
        <v>954</v>
      </c>
      <c r="AX201" s="599">
        <f>SUMPRODUCT(O201:O203,AR201:AR203)</f>
        <v>0.16000000000000003</v>
      </c>
      <c r="AY201" s="600">
        <f>SUMPRODUCT(S201:S203,O201:O203)</f>
        <v>0.16000000000000003</v>
      </c>
      <c r="AZ201" s="536" t="str">
        <f>IF(AY201&lt;1%,"Sin iniciar",IF(AY201=100%,"Terminado","En gestión"))</f>
        <v>En gestión</v>
      </c>
      <c r="BA201" s="536" t="str">
        <f>IF(AX201&lt;1%,"Sin iniciar",IF(AX201=100%,"Terminado","En gestión"))</f>
        <v>En gestión</v>
      </c>
      <c r="BB201" s="536"/>
      <c r="BC201" s="583">
        <v>13459288</v>
      </c>
      <c r="BD201" s="583">
        <v>13459288</v>
      </c>
      <c r="BE201" s="574">
        <v>0</v>
      </c>
      <c r="BF201" s="583">
        <v>40056000</v>
      </c>
      <c r="BG201" s="583">
        <v>40056000</v>
      </c>
      <c r="BH201" s="574">
        <v>0</v>
      </c>
      <c r="BI201" s="531" t="s">
        <v>2584</v>
      </c>
      <c r="BJ201" s="531" t="s">
        <v>2593</v>
      </c>
      <c r="BK201" s="531" t="s">
        <v>2594</v>
      </c>
      <c r="BL201" s="536" t="s">
        <v>2656</v>
      </c>
      <c r="BM201" s="536"/>
      <c r="BN201" s="536"/>
      <c r="BO201" s="347">
        <v>1</v>
      </c>
      <c r="BP201" s="11" t="s">
        <v>3231</v>
      </c>
      <c r="BQ201" s="11" t="s">
        <v>3232</v>
      </c>
      <c r="BR201" s="5" t="str">
        <f t="shared" si="33"/>
        <v>Terminado</v>
      </c>
      <c r="BS201" s="5" t="str">
        <f t="shared" si="30"/>
        <v>Terminado</v>
      </c>
      <c r="BT201" s="581" t="s">
        <v>3233</v>
      </c>
      <c r="BU201" s="561">
        <f>SUMPRODUCT(O201:O203,BO201:BO203)</f>
        <v>0.68</v>
      </c>
      <c r="BV201" s="562">
        <f>SUMPRODUCT(O201:O203,T201:T203)</f>
        <v>0.68</v>
      </c>
      <c r="BW201" s="610" t="str">
        <f>IF(BV201&lt;1%,"Sin iniciar",IF(BV201=100%,"Terminado","En gestión"))</f>
        <v>En gestión</v>
      </c>
      <c r="BX201" s="610" t="str">
        <f>IF(BU201&lt;1%,"Sin iniciar",IF(BU201=100%,"Terminado","En gestión"))</f>
        <v>En gestión</v>
      </c>
      <c r="BY201" s="573" t="s">
        <v>37</v>
      </c>
      <c r="BZ201" s="573"/>
      <c r="CA201" s="804">
        <v>13459288</v>
      </c>
      <c r="CB201" s="804">
        <v>13459288</v>
      </c>
      <c r="CC201" s="804">
        <v>8075565.5319844801</v>
      </c>
      <c r="CD201" s="804">
        <v>40056000</v>
      </c>
      <c r="CE201" s="804">
        <v>40056000</v>
      </c>
      <c r="CF201" s="804">
        <v>24033578.369759999</v>
      </c>
      <c r="CG201" s="581" t="s">
        <v>2584</v>
      </c>
      <c r="CH201" s="581" t="s">
        <v>2593</v>
      </c>
      <c r="CI201" s="581" t="s">
        <v>2594</v>
      </c>
      <c r="CJ201" s="581" t="s">
        <v>3234</v>
      </c>
    </row>
    <row r="202" spans="2:88" ht="171.95" customHeight="1" x14ac:dyDescent="0.25">
      <c r="B202" s="1227"/>
      <c r="C202" s="809"/>
      <c r="D202" s="95" t="s">
        <v>25</v>
      </c>
      <c r="E202" s="95" t="s">
        <v>160</v>
      </c>
      <c r="F202" s="701"/>
      <c r="G202" s="95" t="s">
        <v>28</v>
      </c>
      <c r="H202" s="95" t="s">
        <v>28</v>
      </c>
      <c r="I202" s="95" t="s">
        <v>29</v>
      </c>
      <c r="J202" s="95" t="s">
        <v>185</v>
      </c>
      <c r="K202" s="702"/>
      <c r="L202" s="96" t="s">
        <v>164</v>
      </c>
      <c r="M202" s="97" t="s">
        <v>847</v>
      </c>
      <c r="N202" s="93" t="s">
        <v>834</v>
      </c>
      <c r="O202" s="156">
        <v>0.4</v>
      </c>
      <c r="P202" s="98">
        <v>44409</v>
      </c>
      <c r="Q202" s="98">
        <v>44561</v>
      </c>
      <c r="R202" s="195">
        <v>0</v>
      </c>
      <c r="S202" s="195">
        <v>0</v>
      </c>
      <c r="T202" s="196">
        <v>0.6</v>
      </c>
      <c r="U202" s="196">
        <v>1</v>
      </c>
      <c r="V202" s="192">
        <v>0</v>
      </c>
      <c r="W202" s="56"/>
      <c r="X202" s="56"/>
      <c r="Y202" s="5" t="str">
        <f t="shared" si="28"/>
        <v>Sin iniciar</v>
      </c>
      <c r="Z202" s="5" t="str">
        <f t="shared" si="29"/>
        <v>Sin iniciar</v>
      </c>
      <c r="AA202" s="56"/>
      <c r="AB202" s="596"/>
      <c r="AC202" s="597"/>
      <c r="AD202" s="610"/>
      <c r="AE202" s="610"/>
      <c r="AF202" s="56"/>
      <c r="AG202" s="56"/>
      <c r="AH202" s="56"/>
      <c r="AI202" s="56"/>
      <c r="AJ202" s="56"/>
      <c r="AK202" s="56"/>
      <c r="AL202" s="56"/>
      <c r="AM202" s="56"/>
      <c r="AN202" s="56"/>
      <c r="AO202" s="56"/>
      <c r="AP202" s="56"/>
      <c r="AQ202" s="60"/>
      <c r="AR202" s="1163">
        <v>0</v>
      </c>
      <c r="AS202" s="56" t="s">
        <v>2437</v>
      </c>
      <c r="AT202" s="56"/>
      <c r="AU202" s="56" t="str">
        <f t="shared" si="31"/>
        <v>Sin iniciar</v>
      </c>
      <c r="AV202" s="56" t="str">
        <f t="shared" si="32"/>
        <v>Sin iniciar</v>
      </c>
      <c r="AW202" s="531"/>
      <c r="AX202" s="599"/>
      <c r="AY202" s="600"/>
      <c r="AZ202" s="536"/>
      <c r="BA202" s="536"/>
      <c r="BB202" s="536"/>
      <c r="BC202" s="583"/>
      <c r="BD202" s="583"/>
      <c r="BE202" s="574"/>
      <c r="BF202" s="583"/>
      <c r="BG202" s="583"/>
      <c r="BH202" s="574"/>
      <c r="BI202" s="531"/>
      <c r="BJ202" s="531"/>
      <c r="BK202" s="531"/>
      <c r="BL202" s="536"/>
      <c r="BM202" s="536"/>
      <c r="BN202" s="536"/>
      <c r="BO202" s="347">
        <v>0.6</v>
      </c>
      <c r="BP202" s="11" t="s">
        <v>3235</v>
      </c>
      <c r="BQ202" s="11" t="s">
        <v>3236</v>
      </c>
      <c r="BR202" s="5" t="str">
        <f t="shared" si="33"/>
        <v>En gestión</v>
      </c>
      <c r="BS202" s="5" t="str">
        <f t="shared" si="30"/>
        <v>En gestión</v>
      </c>
      <c r="BT202" s="581"/>
      <c r="BU202" s="561"/>
      <c r="BV202" s="562"/>
      <c r="BW202" s="610"/>
      <c r="BX202" s="610"/>
      <c r="BY202" s="573"/>
      <c r="BZ202" s="573"/>
      <c r="CA202" s="804"/>
      <c r="CB202" s="804"/>
      <c r="CC202" s="804"/>
      <c r="CD202" s="804"/>
      <c r="CE202" s="804"/>
      <c r="CF202" s="804"/>
      <c r="CG202" s="581"/>
      <c r="CH202" s="581"/>
      <c r="CI202" s="581"/>
      <c r="CJ202" s="581"/>
    </row>
    <row r="203" spans="2:88" ht="171.95" customHeight="1" x14ac:dyDescent="0.25">
      <c r="B203" s="1227"/>
      <c r="C203" s="809"/>
      <c r="D203" s="95" t="s">
        <v>25</v>
      </c>
      <c r="E203" s="95" t="s">
        <v>160</v>
      </c>
      <c r="F203" s="701"/>
      <c r="G203" s="95" t="s">
        <v>28</v>
      </c>
      <c r="H203" s="95" t="s">
        <v>28</v>
      </c>
      <c r="I203" s="95" t="s">
        <v>29</v>
      </c>
      <c r="J203" s="95" t="s">
        <v>185</v>
      </c>
      <c r="K203" s="702"/>
      <c r="L203" s="96" t="s">
        <v>164</v>
      </c>
      <c r="M203" s="97" t="s">
        <v>848</v>
      </c>
      <c r="N203" s="93" t="s">
        <v>849</v>
      </c>
      <c r="O203" s="156">
        <v>0.2</v>
      </c>
      <c r="P203" s="98">
        <v>44449</v>
      </c>
      <c r="Q203" s="98">
        <v>44561</v>
      </c>
      <c r="R203" s="195">
        <v>0</v>
      </c>
      <c r="S203" s="195">
        <v>0</v>
      </c>
      <c r="T203" s="196">
        <v>0.2</v>
      </c>
      <c r="U203" s="196">
        <v>1</v>
      </c>
      <c r="V203" s="192">
        <v>0</v>
      </c>
      <c r="W203" s="56"/>
      <c r="X203" s="56"/>
      <c r="Y203" s="5" t="str">
        <f t="shared" si="28"/>
        <v>Sin iniciar</v>
      </c>
      <c r="Z203" s="5" t="str">
        <f t="shared" si="29"/>
        <v>Sin iniciar</v>
      </c>
      <c r="AA203" s="56"/>
      <c r="AB203" s="596"/>
      <c r="AC203" s="597"/>
      <c r="AD203" s="610"/>
      <c r="AE203" s="610"/>
      <c r="AF203" s="56"/>
      <c r="AG203" s="56"/>
      <c r="AH203" s="56"/>
      <c r="AI203" s="56"/>
      <c r="AJ203" s="56"/>
      <c r="AK203" s="56"/>
      <c r="AL203" s="56"/>
      <c r="AM203" s="56"/>
      <c r="AN203" s="56"/>
      <c r="AO203" s="56"/>
      <c r="AP203" s="56"/>
      <c r="AQ203" s="60"/>
      <c r="AR203" s="1163">
        <v>0</v>
      </c>
      <c r="AS203" s="56" t="s">
        <v>2437</v>
      </c>
      <c r="AT203" s="56"/>
      <c r="AU203" s="56" t="str">
        <f t="shared" si="31"/>
        <v>Sin iniciar</v>
      </c>
      <c r="AV203" s="56" t="str">
        <f t="shared" si="32"/>
        <v>Sin iniciar</v>
      </c>
      <c r="AW203" s="531"/>
      <c r="AX203" s="599"/>
      <c r="AY203" s="600"/>
      <c r="AZ203" s="536"/>
      <c r="BA203" s="536"/>
      <c r="BB203" s="536"/>
      <c r="BC203" s="583"/>
      <c r="BD203" s="583"/>
      <c r="BE203" s="574"/>
      <c r="BF203" s="583"/>
      <c r="BG203" s="583"/>
      <c r="BH203" s="574"/>
      <c r="BI203" s="531"/>
      <c r="BJ203" s="531"/>
      <c r="BK203" s="531"/>
      <c r="BL203" s="536"/>
      <c r="BM203" s="536"/>
      <c r="BN203" s="536"/>
      <c r="BO203" s="347">
        <v>0.2</v>
      </c>
      <c r="BP203" s="11" t="s">
        <v>3237</v>
      </c>
      <c r="BQ203" s="11" t="s">
        <v>3238</v>
      </c>
      <c r="BR203" s="5" t="str">
        <f t="shared" si="33"/>
        <v>En gestión</v>
      </c>
      <c r="BS203" s="5" t="str">
        <f t="shared" si="30"/>
        <v>En gestión</v>
      </c>
      <c r="BT203" s="581"/>
      <c r="BU203" s="561"/>
      <c r="BV203" s="562"/>
      <c r="BW203" s="610"/>
      <c r="BX203" s="610"/>
      <c r="BY203" s="573"/>
      <c r="BZ203" s="573"/>
      <c r="CA203" s="804"/>
      <c r="CB203" s="804"/>
      <c r="CC203" s="804"/>
      <c r="CD203" s="804"/>
      <c r="CE203" s="804"/>
      <c r="CF203" s="804"/>
      <c r="CG203" s="581"/>
      <c r="CH203" s="581"/>
      <c r="CI203" s="581"/>
      <c r="CJ203" s="581"/>
    </row>
    <row r="204" spans="2:88" ht="171.95" customHeight="1" x14ac:dyDescent="0.25">
      <c r="B204" s="1227"/>
      <c r="C204" s="807" t="s">
        <v>850</v>
      </c>
      <c r="D204" s="105" t="s">
        <v>25</v>
      </c>
      <c r="E204" s="105" t="s">
        <v>160</v>
      </c>
      <c r="F204" s="711" t="s">
        <v>851</v>
      </c>
      <c r="G204" s="105" t="s">
        <v>28</v>
      </c>
      <c r="H204" s="105" t="s">
        <v>28</v>
      </c>
      <c r="I204" s="105" t="s">
        <v>29</v>
      </c>
      <c r="J204" s="105" t="s">
        <v>185</v>
      </c>
      <c r="K204" s="712" t="s">
        <v>852</v>
      </c>
      <c r="L204" s="106" t="s">
        <v>164</v>
      </c>
      <c r="M204" s="107" t="s">
        <v>853</v>
      </c>
      <c r="N204" s="108" t="s">
        <v>832</v>
      </c>
      <c r="O204" s="148">
        <v>0.4</v>
      </c>
      <c r="P204" s="109">
        <v>44336</v>
      </c>
      <c r="Q204" s="109">
        <v>44469</v>
      </c>
      <c r="R204" s="193">
        <v>0</v>
      </c>
      <c r="S204" s="193">
        <v>0.4</v>
      </c>
      <c r="T204" s="194">
        <v>1</v>
      </c>
      <c r="U204" s="194">
        <v>1</v>
      </c>
      <c r="V204" s="192">
        <v>0</v>
      </c>
      <c r="W204" s="66"/>
      <c r="X204" s="66"/>
      <c r="Y204" s="19" t="str">
        <f t="shared" si="28"/>
        <v>Sin iniciar</v>
      </c>
      <c r="Z204" s="19" t="str">
        <f t="shared" si="29"/>
        <v>Sin iniciar</v>
      </c>
      <c r="AA204" s="66"/>
      <c r="AB204" s="596">
        <f>SUMPRODUCT(O204:O206,V204:V206)</f>
        <v>0</v>
      </c>
      <c r="AC204" s="597">
        <f>SUMPRODUCT(O204:O206,R204:R206)</f>
        <v>0</v>
      </c>
      <c r="AD204" s="611" t="str">
        <f>IF(AC204&lt;1%,"Sin iniciar",IF(AC204=100%,"Terminado","En gestión"))</f>
        <v>Sin iniciar</v>
      </c>
      <c r="AE204" s="611" t="str">
        <f>IF(AB204&lt;1%,"Sin iniciar",IF(AB204=100%,"Terminado","En gestión"))</f>
        <v>Sin iniciar</v>
      </c>
      <c r="AF204" s="66"/>
      <c r="AG204" s="66"/>
      <c r="AH204" s="66"/>
      <c r="AI204" s="66"/>
      <c r="AJ204" s="66"/>
      <c r="AK204" s="66"/>
      <c r="AL204" s="66"/>
      <c r="AM204" s="66"/>
      <c r="AN204" s="66"/>
      <c r="AO204" s="66"/>
      <c r="AP204" s="66"/>
      <c r="AQ204" s="50"/>
      <c r="AR204" s="1163">
        <v>0.4</v>
      </c>
      <c r="AS204" s="62" t="s">
        <v>931</v>
      </c>
      <c r="AT204" s="62" t="s">
        <v>3239</v>
      </c>
      <c r="AU204" s="66" t="str">
        <f t="shared" si="31"/>
        <v>En gestión</v>
      </c>
      <c r="AV204" s="66" t="str">
        <f t="shared" si="32"/>
        <v>En gestión</v>
      </c>
      <c r="AW204" s="532" t="s">
        <v>955</v>
      </c>
      <c r="AX204" s="599">
        <f>SUMPRODUCT(O204:O206,AR204:AR206)</f>
        <v>0.16000000000000003</v>
      </c>
      <c r="AY204" s="600">
        <f>SUMPRODUCT(S204:S206,O204:O206)</f>
        <v>0.16000000000000003</v>
      </c>
      <c r="AZ204" s="530" t="str">
        <f>IF(AY204&lt;1%,"Sin iniciar",IF(AY204=100%,"Terminado","En gestión"))</f>
        <v>En gestión</v>
      </c>
      <c r="BA204" s="530" t="str">
        <f>IF(AX204&lt;1%,"Sin iniciar",IF(AX204=100%,"Terminado","En gestión"))</f>
        <v>En gestión</v>
      </c>
      <c r="BB204" s="530"/>
      <c r="BC204" s="805">
        <v>11793447</v>
      </c>
      <c r="BD204" s="805">
        <v>11793447</v>
      </c>
      <c r="BE204" s="565">
        <v>0</v>
      </c>
      <c r="BF204" s="805">
        <v>34373160</v>
      </c>
      <c r="BG204" s="805">
        <v>34373160</v>
      </c>
      <c r="BH204" s="565">
        <v>0</v>
      </c>
      <c r="BI204" s="532" t="s">
        <v>2595</v>
      </c>
      <c r="BJ204" s="532" t="s">
        <v>2596</v>
      </c>
      <c r="BK204" s="532" t="s">
        <v>2597</v>
      </c>
      <c r="BL204" s="530" t="s">
        <v>2661</v>
      </c>
      <c r="BM204" s="530"/>
      <c r="BN204" s="530"/>
      <c r="BO204" s="347">
        <v>1</v>
      </c>
      <c r="BP204" s="24" t="s">
        <v>3240</v>
      </c>
      <c r="BQ204" s="24" t="s">
        <v>3241</v>
      </c>
      <c r="BR204" s="19" t="str">
        <f t="shared" si="33"/>
        <v>Terminado</v>
      </c>
      <c r="BS204" s="19" t="str">
        <f t="shared" si="30"/>
        <v>Terminado</v>
      </c>
      <c r="BT204" s="560" t="s">
        <v>3242</v>
      </c>
      <c r="BU204" s="561">
        <f>SUMPRODUCT(O204:O206,BO204:BO206)</f>
        <v>0.68</v>
      </c>
      <c r="BV204" s="562">
        <f>SUMPRODUCT(O204:O206,T204:T206)</f>
        <v>0.68</v>
      </c>
      <c r="BW204" s="611" t="str">
        <f>IF(BV204&lt;1%,"Sin iniciar",IF(BV204=100%,"Terminado","En gestión"))</f>
        <v>En gestión</v>
      </c>
      <c r="BX204" s="611" t="str">
        <f>IF(BU204&lt;1%,"Sin iniciar",IF(BU204=100%,"Terminado","En gestión"))</f>
        <v>En gestión</v>
      </c>
      <c r="BY204" s="578" t="s">
        <v>37</v>
      </c>
      <c r="BZ204" s="578"/>
      <c r="CA204" s="800">
        <v>11793447</v>
      </c>
      <c r="CB204" s="800">
        <v>11793447</v>
      </c>
      <c r="CC204" s="800">
        <v>7076061.8315386204</v>
      </c>
      <c r="CD204" s="800">
        <v>34373160</v>
      </c>
      <c r="CE204" s="800">
        <v>34373160</v>
      </c>
      <c r="CF204" s="800">
        <v>20623877.438493598</v>
      </c>
      <c r="CG204" s="560" t="s">
        <v>2595</v>
      </c>
      <c r="CH204" s="560" t="s">
        <v>2596</v>
      </c>
      <c r="CI204" s="560" t="s">
        <v>2597</v>
      </c>
      <c r="CJ204" s="560" t="s">
        <v>2661</v>
      </c>
    </row>
    <row r="205" spans="2:88" ht="171.95" customHeight="1" x14ac:dyDescent="0.25">
      <c r="B205" s="1227"/>
      <c r="C205" s="807"/>
      <c r="D205" s="105" t="s">
        <v>25</v>
      </c>
      <c r="E205" s="105" t="s">
        <v>160</v>
      </c>
      <c r="F205" s="711"/>
      <c r="G205" s="105" t="s">
        <v>28</v>
      </c>
      <c r="H205" s="105" t="s">
        <v>28</v>
      </c>
      <c r="I205" s="105" t="s">
        <v>29</v>
      </c>
      <c r="J205" s="105" t="s">
        <v>185</v>
      </c>
      <c r="K205" s="712"/>
      <c r="L205" s="106" t="s">
        <v>164</v>
      </c>
      <c r="M205" s="107" t="s">
        <v>854</v>
      </c>
      <c r="N205" s="108" t="s">
        <v>834</v>
      </c>
      <c r="O205" s="148">
        <v>0.4</v>
      </c>
      <c r="P205" s="109">
        <v>44409</v>
      </c>
      <c r="Q205" s="109">
        <v>44561</v>
      </c>
      <c r="R205" s="193">
        <v>0</v>
      </c>
      <c r="S205" s="193">
        <v>0</v>
      </c>
      <c r="T205" s="194">
        <v>0.6</v>
      </c>
      <c r="U205" s="194">
        <v>1</v>
      </c>
      <c r="V205" s="192">
        <v>0</v>
      </c>
      <c r="W205" s="66"/>
      <c r="X205" s="66"/>
      <c r="Y205" s="19" t="str">
        <f t="shared" si="28"/>
        <v>Sin iniciar</v>
      </c>
      <c r="Z205" s="19" t="str">
        <f t="shared" si="29"/>
        <v>Sin iniciar</v>
      </c>
      <c r="AA205" s="66"/>
      <c r="AB205" s="596"/>
      <c r="AC205" s="597"/>
      <c r="AD205" s="611"/>
      <c r="AE205" s="611"/>
      <c r="AF205" s="66"/>
      <c r="AG205" s="66"/>
      <c r="AH205" s="66"/>
      <c r="AI205" s="66"/>
      <c r="AJ205" s="66"/>
      <c r="AK205" s="66"/>
      <c r="AL205" s="66"/>
      <c r="AM205" s="66"/>
      <c r="AN205" s="66"/>
      <c r="AO205" s="66"/>
      <c r="AP205" s="66"/>
      <c r="AQ205" s="50"/>
      <c r="AR205" s="1163">
        <v>0</v>
      </c>
      <c r="AS205" s="66" t="s">
        <v>2437</v>
      </c>
      <c r="AT205" s="66"/>
      <c r="AU205" s="66" t="str">
        <f t="shared" si="31"/>
        <v>Sin iniciar</v>
      </c>
      <c r="AV205" s="66" t="str">
        <f t="shared" si="32"/>
        <v>Sin iniciar</v>
      </c>
      <c r="AW205" s="532"/>
      <c r="AX205" s="599"/>
      <c r="AY205" s="600"/>
      <c r="AZ205" s="530"/>
      <c r="BA205" s="530"/>
      <c r="BB205" s="530"/>
      <c r="BC205" s="805"/>
      <c r="BD205" s="805"/>
      <c r="BE205" s="565"/>
      <c r="BF205" s="805"/>
      <c r="BG205" s="805"/>
      <c r="BH205" s="565"/>
      <c r="BI205" s="532"/>
      <c r="BJ205" s="532"/>
      <c r="BK205" s="532"/>
      <c r="BL205" s="530"/>
      <c r="BM205" s="530"/>
      <c r="BN205" s="530"/>
      <c r="BO205" s="347">
        <v>0.6</v>
      </c>
      <c r="BP205" s="24" t="s">
        <v>3243</v>
      </c>
      <c r="BQ205" s="24" t="s">
        <v>3244</v>
      </c>
      <c r="BR205" s="19" t="str">
        <f t="shared" si="33"/>
        <v>En gestión</v>
      </c>
      <c r="BS205" s="19" t="str">
        <f t="shared" si="30"/>
        <v>En gestión</v>
      </c>
      <c r="BT205" s="560"/>
      <c r="BU205" s="561"/>
      <c r="BV205" s="562"/>
      <c r="BW205" s="611"/>
      <c r="BX205" s="611"/>
      <c r="BY205" s="578"/>
      <c r="BZ205" s="578"/>
      <c r="CA205" s="800"/>
      <c r="CB205" s="800"/>
      <c r="CC205" s="800"/>
      <c r="CD205" s="800"/>
      <c r="CE205" s="800"/>
      <c r="CF205" s="800"/>
      <c r="CG205" s="560"/>
      <c r="CH205" s="560"/>
      <c r="CI205" s="560"/>
      <c r="CJ205" s="560"/>
    </row>
    <row r="206" spans="2:88" ht="171.95" customHeight="1" x14ac:dyDescent="0.25">
      <c r="B206" s="1227"/>
      <c r="C206" s="807"/>
      <c r="D206" s="105" t="s">
        <v>25</v>
      </c>
      <c r="E206" s="105" t="s">
        <v>160</v>
      </c>
      <c r="F206" s="711"/>
      <c r="G206" s="105" t="s">
        <v>28</v>
      </c>
      <c r="H206" s="105" t="s">
        <v>28</v>
      </c>
      <c r="I206" s="105" t="s">
        <v>29</v>
      </c>
      <c r="J206" s="105" t="s">
        <v>185</v>
      </c>
      <c r="K206" s="712"/>
      <c r="L206" s="106" t="s">
        <v>164</v>
      </c>
      <c r="M206" s="107" t="s">
        <v>855</v>
      </c>
      <c r="N206" s="108" t="s">
        <v>849</v>
      </c>
      <c r="O206" s="148">
        <v>0.2</v>
      </c>
      <c r="P206" s="109">
        <v>44449</v>
      </c>
      <c r="Q206" s="109">
        <v>44561</v>
      </c>
      <c r="R206" s="193">
        <v>0</v>
      </c>
      <c r="S206" s="193">
        <v>0</v>
      </c>
      <c r="T206" s="194">
        <v>0.2</v>
      </c>
      <c r="U206" s="194">
        <v>1</v>
      </c>
      <c r="V206" s="192">
        <v>0</v>
      </c>
      <c r="W206" s="66"/>
      <c r="X206" s="66"/>
      <c r="Y206" s="19" t="str">
        <f t="shared" si="28"/>
        <v>Sin iniciar</v>
      </c>
      <c r="Z206" s="19" t="str">
        <f t="shared" si="29"/>
        <v>Sin iniciar</v>
      </c>
      <c r="AA206" s="66"/>
      <c r="AB206" s="596"/>
      <c r="AC206" s="597"/>
      <c r="AD206" s="611"/>
      <c r="AE206" s="611"/>
      <c r="AF206" s="66"/>
      <c r="AG206" s="66"/>
      <c r="AH206" s="66"/>
      <c r="AI206" s="66"/>
      <c r="AJ206" s="66"/>
      <c r="AK206" s="66"/>
      <c r="AL206" s="66"/>
      <c r="AM206" s="66"/>
      <c r="AN206" s="66"/>
      <c r="AO206" s="66"/>
      <c r="AP206" s="66"/>
      <c r="AQ206" s="50"/>
      <c r="AR206" s="1163">
        <v>0</v>
      </c>
      <c r="AS206" s="66" t="s">
        <v>2437</v>
      </c>
      <c r="AT206" s="66"/>
      <c r="AU206" s="66" t="str">
        <f t="shared" si="31"/>
        <v>Sin iniciar</v>
      </c>
      <c r="AV206" s="66" t="str">
        <f t="shared" si="32"/>
        <v>Sin iniciar</v>
      </c>
      <c r="AW206" s="532"/>
      <c r="AX206" s="599"/>
      <c r="AY206" s="600"/>
      <c r="AZ206" s="530"/>
      <c r="BA206" s="530"/>
      <c r="BB206" s="530"/>
      <c r="BC206" s="805"/>
      <c r="BD206" s="805"/>
      <c r="BE206" s="565"/>
      <c r="BF206" s="805"/>
      <c r="BG206" s="805"/>
      <c r="BH206" s="565"/>
      <c r="BI206" s="532"/>
      <c r="BJ206" s="532"/>
      <c r="BK206" s="532"/>
      <c r="BL206" s="530"/>
      <c r="BM206" s="530"/>
      <c r="BN206" s="530"/>
      <c r="BO206" s="347">
        <v>0.2</v>
      </c>
      <c r="BP206" s="24" t="s">
        <v>3245</v>
      </c>
      <c r="BQ206" s="24" t="s">
        <v>3246</v>
      </c>
      <c r="BR206" s="19" t="str">
        <f t="shared" si="33"/>
        <v>En gestión</v>
      </c>
      <c r="BS206" s="19" t="str">
        <f t="shared" si="30"/>
        <v>En gestión</v>
      </c>
      <c r="BT206" s="560"/>
      <c r="BU206" s="561"/>
      <c r="BV206" s="562"/>
      <c r="BW206" s="611"/>
      <c r="BX206" s="611"/>
      <c r="BY206" s="578"/>
      <c r="BZ206" s="578"/>
      <c r="CA206" s="800"/>
      <c r="CB206" s="800"/>
      <c r="CC206" s="800"/>
      <c r="CD206" s="800"/>
      <c r="CE206" s="800"/>
      <c r="CF206" s="800"/>
      <c r="CG206" s="560"/>
      <c r="CH206" s="560"/>
      <c r="CI206" s="560"/>
      <c r="CJ206" s="560"/>
    </row>
    <row r="207" spans="2:88" ht="171.95" customHeight="1" x14ac:dyDescent="0.25">
      <c r="B207" s="1227"/>
      <c r="C207" s="809" t="s">
        <v>856</v>
      </c>
      <c r="D207" s="95" t="s">
        <v>25</v>
      </c>
      <c r="E207" s="95" t="s">
        <v>160</v>
      </c>
      <c r="F207" s="701" t="s">
        <v>844</v>
      </c>
      <c r="G207" s="95" t="s">
        <v>28</v>
      </c>
      <c r="H207" s="95" t="s">
        <v>28</v>
      </c>
      <c r="I207" s="95" t="s">
        <v>29</v>
      </c>
      <c r="J207" s="95" t="s">
        <v>185</v>
      </c>
      <c r="K207" s="702" t="s">
        <v>857</v>
      </c>
      <c r="L207" s="96" t="s">
        <v>164</v>
      </c>
      <c r="M207" s="97" t="s">
        <v>858</v>
      </c>
      <c r="N207" s="93" t="s">
        <v>832</v>
      </c>
      <c r="O207" s="156">
        <v>0.4</v>
      </c>
      <c r="P207" s="98">
        <v>44336</v>
      </c>
      <c r="Q207" s="98">
        <v>44469</v>
      </c>
      <c r="R207" s="195">
        <v>0</v>
      </c>
      <c r="S207" s="195">
        <v>0.4</v>
      </c>
      <c r="T207" s="196">
        <v>1</v>
      </c>
      <c r="U207" s="196">
        <v>1</v>
      </c>
      <c r="V207" s="192">
        <v>0</v>
      </c>
      <c r="W207" s="56"/>
      <c r="X207" s="56"/>
      <c r="Y207" s="5" t="str">
        <f t="shared" si="28"/>
        <v>Sin iniciar</v>
      </c>
      <c r="Z207" s="5" t="str">
        <f t="shared" si="29"/>
        <v>Sin iniciar</v>
      </c>
      <c r="AA207" s="56"/>
      <c r="AB207" s="596">
        <f>SUMPRODUCT(O207:O209,V207:V209)</f>
        <v>0</v>
      </c>
      <c r="AC207" s="597">
        <f>SUMPRODUCT(O207:O209,R207:R209)</f>
        <v>0</v>
      </c>
      <c r="AD207" s="610" t="str">
        <f>IF(AC207&lt;1%,"Sin iniciar",IF(AC207=100%,"Terminado","En gestión"))</f>
        <v>Sin iniciar</v>
      </c>
      <c r="AE207" s="610" t="str">
        <f>IF(AB207&lt;1%,"Sin iniciar",IF(AB207=100%,"Terminado","En gestión"))</f>
        <v>Sin iniciar</v>
      </c>
      <c r="AF207" s="56"/>
      <c r="AG207" s="56"/>
      <c r="AH207" s="56"/>
      <c r="AI207" s="56"/>
      <c r="AJ207" s="56"/>
      <c r="AK207" s="56"/>
      <c r="AL207" s="56"/>
      <c r="AM207" s="56"/>
      <c r="AN207" s="56"/>
      <c r="AO207" s="56"/>
      <c r="AP207" s="56"/>
      <c r="AQ207" s="60"/>
      <c r="AR207" s="1163">
        <v>0.4</v>
      </c>
      <c r="AS207" s="13" t="s">
        <v>932</v>
      </c>
      <c r="AT207" s="13" t="s">
        <v>3247</v>
      </c>
      <c r="AU207" s="56" t="str">
        <f t="shared" si="31"/>
        <v>En gestión</v>
      </c>
      <c r="AV207" s="56" t="str">
        <f t="shared" si="32"/>
        <v>En gestión</v>
      </c>
      <c r="AW207" s="531" t="s">
        <v>956</v>
      </c>
      <c r="AX207" s="599">
        <f>SUMPRODUCT(O207:O209,AR207:AR209)</f>
        <v>0.16000000000000003</v>
      </c>
      <c r="AY207" s="600">
        <f>SUMPRODUCT(S207:S209,O207:O209)</f>
        <v>0.16000000000000003</v>
      </c>
      <c r="AZ207" s="536" t="str">
        <f>IF(AY207&lt;1%,"Sin iniciar",IF(AY207=100%,"Terminado","En gestión"))</f>
        <v>En gestión</v>
      </c>
      <c r="BA207" s="536" t="str">
        <f>IF(AX207&lt;1%,"Sin iniciar",IF(AX207=100%,"Terminado","En gestión"))</f>
        <v>En gestión</v>
      </c>
      <c r="BB207" s="536"/>
      <c r="BC207" s="808">
        <v>8916108</v>
      </c>
      <c r="BD207" s="808">
        <v>8916108</v>
      </c>
      <c r="BE207" s="574">
        <v>0</v>
      </c>
      <c r="BF207" s="808">
        <v>12104900</v>
      </c>
      <c r="BG207" s="808">
        <v>12104900</v>
      </c>
      <c r="BH207" s="574">
        <v>0</v>
      </c>
      <c r="BI207" s="531" t="s">
        <v>2595</v>
      </c>
      <c r="BJ207" s="531" t="s">
        <v>2596</v>
      </c>
      <c r="BK207" s="531" t="s">
        <v>2597</v>
      </c>
      <c r="BL207" s="531" t="s">
        <v>2661</v>
      </c>
      <c r="BM207" s="531"/>
      <c r="BN207" s="531"/>
      <c r="BO207" s="347">
        <v>1</v>
      </c>
      <c r="BP207" s="11" t="s">
        <v>3248</v>
      </c>
      <c r="BQ207" s="11" t="s">
        <v>3249</v>
      </c>
      <c r="BR207" s="5" t="str">
        <f t="shared" si="33"/>
        <v>Terminado</v>
      </c>
      <c r="BS207" s="5" t="str">
        <f t="shared" si="30"/>
        <v>Terminado</v>
      </c>
      <c r="BT207" s="581" t="s">
        <v>3250</v>
      </c>
      <c r="BU207" s="561">
        <f>SUMPRODUCT(O207:O209,BO207:BO209)</f>
        <v>0.64</v>
      </c>
      <c r="BV207" s="562">
        <f>SUMPRODUCT(O207:O209,T207:T209)</f>
        <v>0.68</v>
      </c>
      <c r="BW207" s="610" t="str">
        <f>IF(BV207&lt;1%,"Sin iniciar",IF(BV207=100%,"Terminado","En gestión"))</f>
        <v>En gestión</v>
      </c>
      <c r="BX207" s="610" t="str">
        <f>IF(BU207&lt;1%,"Sin iniciar",IF(BU207=100%,"Terminado","En gestión"))</f>
        <v>En gestión</v>
      </c>
      <c r="BY207" s="573" t="s">
        <v>37</v>
      </c>
      <c r="BZ207" s="573"/>
      <c r="CA207" s="804">
        <v>8916108</v>
      </c>
      <c r="CB207" s="804">
        <v>8916108</v>
      </c>
      <c r="CC207" s="804">
        <v>5349659.9853016799</v>
      </c>
      <c r="CD207" s="804">
        <v>12104900</v>
      </c>
      <c r="CE207" s="804">
        <v>12104900</v>
      </c>
      <c r="CF207" s="804">
        <v>7262933.4633539999</v>
      </c>
      <c r="CG207" s="581" t="s">
        <v>2595</v>
      </c>
      <c r="CH207" s="581" t="s">
        <v>2596</v>
      </c>
      <c r="CI207" s="581" t="s">
        <v>2597</v>
      </c>
      <c r="CJ207" s="581" t="s">
        <v>2661</v>
      </c>
    </row>
    <row r="208" spans="2:88" ht="171.95" customHeight="1" x14ac:dyDescent="0.25">
      <c r="B208" s="1227"/>
      <c r="C208" s="809"/>
      <c r="D208" s="95" t="s">
        <v>25</v>
      </c>
      <c r="E208" s="95" t="s">
        <v>160</v>
      </c>
      <c r="F208" s="701"/>
      <c r="G208" s="95" t="s">
        <v>28</v>
      </c>
      <c r="H208" s="95" t="s">
        <v>28</v>
      </c>
      <c r="I208" s="95" t="s">
        <v>29</v>
      </c>
      <c r="J208" s="95" t="s">
        <v>185</v>
      </c>
      <c r="K208" s="702"/>
      <c r="L208" s="96" t="s">
        <v>164</v>
      </c>
      <c r="M208" s="97" t="s">
        <v>859</v>
      </c>
      <c r="N208" s="93" t="s">
        <v>834</v>
      </c>
      <c r="O208" s="156">
        <v>0.4</v>
      </c>
      <c r="P208" s="98">
        <v>44409</v>
      </c>
      <c r="Q208" s="98">
        <v>44561</v>
      </c>
      <c r="R208" s="195">
        <v>0</v>
      </c>
      <c r="S208" s="195">
        <v>0</v>
      </c>
      <c r="T208" s="196">
        <v>0.6</v>
      </c>
      <c r="U208" s="196">
        <v>1</v>
      </c>
      <c r="V208" s="192">
        <v>0</v>
      </c>
      <c r="W208" s="56"/>
      <c r="X208" s="56"/>
      <c r="Y208" s="5" t="str">
        <f t="shared" si="28"/>
        <v>Sin iniciar</v>
      </c>
      <c r="Z208" s="5" t="str">
        <f t="shared" si="29"/>
        <v>Sin iniciar</v>
      </c>
      <c r="AA208" s="56"/>
      <c r="AB208" s="596"/>
      <c r="AC208" s="597"/>
      <c r="AD208" s="610"/>
      <c r="AE208" s="610"/>
      <c r="AF208" s="56"/>
      <c r="AG208" s="56"/>
      <c r="AH208" s="56"/>
      <c r="AI208" s="56"/>
      <c r="AJ208" s="56"/>
      <c r="AK208" s="56"/>
      <c r="AL208" s="56"/>
      <c r="AM208" s="56"/>
      <c r="AN208" s="56"/>
      <c r="AO208" s="56"/>
      <c r="AP208" s="56"/>
      <c r="AQ208" s="60"/>
      <c r="AR208" s="1163">
        <v>0</v>
      </c>
      <c r="AS208" s="56" t="s">
        <v>2437</v>
      </c>
      <c r="AT208" s="56"/>
      <c r="AU208" s="56" t="str">
        <f t="shared" si="31"/>
        <v>Sin iniciar</v>
      </c>
      <c r="AV208" s="56" t="str">
        <f t="shared" si="32"/>
        <v>Sin iniciar</v>
      </c>
      <c r="AW208" s="531"/>
      <c r="AX208" s="599"/>
      <c r="AY208" s="600"/>
      <c r="AZ208" s="536"/>
      <c r="BA208" s="536"/>
      <c r="BB208" s="536"/>
      <c r="BC208" s="808"/>
      <c r="BD208" s="808"/>
      <c r="BE208" s="574"/>
      <c r="BF208" s="808"/>
      <c r="BG208" s="808"/>
      <c r="BH208" s="574"/>
      <c r="BI208" s="531"/>
      <c r="BJ208" s="531"/>
      <c r="BK208" s="531"/>
      <c r="BL208" s="531"/>
      <c r="BM208" s="531"/>
      <c r="BN208" s="531"/>
      <c r="BO208" s="347">
        <v>0.6</v>
      </c>
      <c r="BP208" s="11" t="s">
        <v>3251</v>
      </c>
      <c r="BQ208" s="11" t="s">
        <v>3252</v>
      </c>
      <c r="BR208" s="5" t="str">
        <f t="shared" si="33"/>
        <v>En gestión</v>
      </c>
      <c r="BS208" s="5" t="str">
        <f t="shared" si="30"/>
        <v>En gestión</v>
      </c>
      <c r="BT208" s="581"/>
      <c r="BU208" s="561"/>
      <c r="BV208" s="562"/>
      <c r="BW208" s="610"/>
      <c r="BX208" s="610"/>
      <c r="BY208" s="573"/>
      <c r="BZ208" s="573"/>
      <c r="CA208" s="804"/>
      <c r="CB208" s="804"/>
      <c r="CC208" s="804"/>
      <c r="CD208" s="804"/>
      <c r="CE208" s="804"/>
      <c r="CF208" s="804"/>
      <c r="CG208" s="581"/>
      <c r="CH208" s="581"/>
      <c r="CI208" s="581"/>
      <c r="CJ208" s="581"/>
    </row>
    <row r="209" spans="2:88" ht="171.95" customHeight="1" x14ac:dyDescent="0.25">
      <c r="B209" s="1227"/>
      <c r="C209" s="809"/>
      <c r="D209" s="95" t="s">
        <v>25</v>
      </c>
      <c r="E209" s="95" t="s">
        <v>160</v>
      </c>
      <c r="F209" s="701"/>
      <c r="G209" s="95" t="s">
        <v>28</v>
      </c>
      <c r="H209" s="95" t="s">
        <v>28</v>
      </c>
      <c r="I209" s="95" t="s">
        <v>29</v>
      </c>
      <c r="J209" s="95" t="s">
        <v>185</v>
      </c>
      <c r="K209" s="702"/>
      <c r="L209" s="96" t="s">
        <v>164</v>
      </c>
      <c r="M209" s="97" t="s">
        <v>860</v>
      </c>
      <c r="N209" s="93" t="s">
        <v>849</v>
      </c>
      <c r="O209" s="156">
        <v>0.2</v>
      </c>
      <c r="P209" s="98">
        <v>44449</v>
      </c>
      <c r="Q209" s="98">
        <v>44561</v>
      </c>
      <c r="R209" s="195">
        <v>0</v>
      </c>
      <c r="S209" s="195">
        <v>0</v>
      </c>
      <c r="T209" s="196">
        <v>0.2</v>
      </c>
      <c r="U209" s="196">
        <v>1</v>
      </c>
      <c r="V209" s="192">
        <v>0</v>
      </c>
      <c r="W209" s="56"/>
      <c r="X209" s="56"/>
      <c r="Y209" s="5" t="str">
        <f t="shared" si="28"/>
        <v>Sin iniciar</v>
      </c>
      <c r="Z209" s="5" t="str">
        <f t="shared" si="29"/>
        <v>Sin iniciar</v>
      </c>
      <c r="AA209" s="56"/>
      <c r="AB209" s="596"/>
      <c r="AC209" s="597"/>
      <c r="AD209" s="610"/>
      <c r="AE209" s="610"/>
      <c r="AF209" s="56"/>
      <c r="AG209" s="56"/>
      <c r="AH209" s="56"/>
      <c r="AI209" s="56"/>
      <c r="AJ209" s="56"/>
      <c r="AK209" s="56"/>
      <c r="AL209" s="56"/>
      <c r="AM209" s="56"/>
      <c r="AN209" s="56"/>
      <c r="AO209" s="56"/>
      <c r="AP209" s="56"/>
      <c r="AQ209" s="60"/>
      <c r="AR209" s="1163">
        <v>0</v>
      </c>
      <c r="AS209" s="56" t="s">
        <v>2437</v>
      </c>
      <c r="AT209" s="56"/>
      <c r="AU209" s="56" t="str">
        <f t="shared" si="31"/>
        <v>Sin iniciar</v>
      </c>
      <c r="AV209" s="56" t="str">
        <f t="shared" si="32"/>
        <v>Sin iniciar</v>
      </c>
      <c r="AW209" s="531"/>
      <c r="AX209" s="599"/>
      <c r="AY209" s="600"/>
      <c r="AZ209" s="536"/>
      <c r="BA209" s="536"/>
      <c r="BB209" s="536"/>
      <c r="BC209" s="808"/>
      <c r="BD209" s="808"/>
      <c r="BE209" s="574"/>
      <c r="BF209" s="808"/>
      <c r="BG209" s="808"/>
      <c r="BH209" s="574"/>
      <c r="BI209" s="531"/>
      <c r="BJ209" s="531"/>
      <c r="BK209" s="531"/>
      <c r="BL209" s="531"/>
      <c r="BM209" s="531"/>
      <c r="BN209" s="531"/>
      <c r="BO209" s="347">
        <v>0</v>
      </c>
      <c r="BP209" s="11" t="s">
        <v>3253</v>
      </c>
      <c r="BQ209" s="12"/>
      <c r="BR209" s="5" t="str">
        <f t="shared" si="33"/>
        <v>En gestión</v>
      </c>
      <c r="BS209" s="5" t="str">
        <f t="shared" si="30"/>
        <v>Sin iniciar</v>
      </c>
      <c r="BT209" s="581"/>
      <c r="BU209" s="561"/>
      <c r="BV209" s="562"/>
      <c r="BW209" s="610"/>
      <c r="BX209" s="610"/>
      <c r="BY209" s="11" t="s">
        <v>3254</v>
      </c>
      <c r="BZ209" s="573"/>
      <c r="CA209" s="804"/>
      <c r="CB209" s="804"/>
      <c r="CC209" s="804"/>
      <c r="CD209" s="804"/>
      <c r="CE209" s="804"/>
      <c r="CF209" s="804"/>
      <c r="CG209" s="581"/>
      <c r="CH209" s="581"/>
      <c r="CI209" s="581"/>
      <c r="CJ209" s="581"/>
    </row>
    <row r="210" spans="2:88" ht="171.95" customHeight="1" x14ac:dyDescent="0.25">
      <c r="B210" s="1227"/>
      <c r="C210" s="807" t="s">
        <v>861</v>
      </c>
      <c r="D210" s="105" t="s">
        <v>25</v>
      </c>
      <c r="E210" s="105" t="s">
        <v>160</v>
      </c>
      <c r="F210" s="711" t="s">
        <v>862</v>
      </c>
      <c r="G210" s="105" t="s">
        <v>28</v>
      </c>
      <c r="H210" s="105" t="s">
        <v>28</v>
      </c>
      <c r="I210" s="105" t="s">
        <v>29</v>
      </c>
      <c r="J210" s="105" t="s">
        <v>185</v>
      </c>
      <c r="K210" s="712" t="s">
        <v>863</v>
      </c>
      <c r="L210" s="106" t="s">
        <v>164</v>
      </c>
      <c r="M210" s="107" t="s">
        <v>864</v>
      </c>
      <c r="N210" s="108" t="s">
        <v>865</v>
      </c>
      <c r="O210" s="148">
        <v>0.6</v>
      </c>
      <c r="P210" s="109">
        <v>44319</v>
      </c>
      <c r="Q210" s="109">
        <v>44469</v>
      </c>
      <c r="R210" s="193">
        <v>0</v>
      </c>
      <c r="S210" s="193">
        <v>0.6</v>
      </c>
      <c r="T210" s="194">
        <v>1</v>
      </c>
      <c r="U210" s="194">
        <v>1</v>
      </c>
      <c r="V210" s="192">
        <v>0</v>
      </c>
      <c r="W210" s="66"/>
      <c r="X210" s="66"/>
      <c r="Y210" s="19" t="str">
        <f t="shared" si="28"/>
        <v>Sin iniciar</v>
      </c>
      <c r="Z210" s="19" t="str">
        <f t="shared" si="29"/>
        <v>Sin iniciar</v>
      </c>
      <c r="AA210" s="66"/>
      <c r="AB210" s="596">
        <f>SUMPRODUCT(O210:O211,V210:V211)</f>
        <v>0</v>
      </c>
      <c r="AC210" s="597">
        <f>SUMPRODUCT(O210:O211,R210:R211)</f>
        <v>0</v>
      </c>
      <c r="AD210" s="611" t="str">
        <f>IF(AC210&lt;1%,"Sin iniciar",IF(AC210=100%,"Terminado","En gestión"))</f>
        <v>Sin iniciar</v>
      </c>
      <c r="AE210" s="611" t="str">
        <f>IF(AB210&lt;1%,"Sin iniciar",IF(AB210=100%,"Terminado","En gestión"))</f>
        <v>Sin iniciar</v>
      </c>
      <c r="AF210" s="66"/>
      <c r="AG210" s="66"/>
      <c r="AH210" s="66"/>
      <c r="AI210" s="66"/>
      <c r="AJ210" s="66"/>
      <c r="AK210" s="66"/>
      <c r="AL210" s="66"/>
      <c r="AM210" s="66"/>
      <c r="AN210" s="66"/>
      <c r="AO210" s="66"/>
      <c r="AP210" s="66"/>
      <c r="AQ210" s="50"/>
      <c r="AR210" s="1163">
        <v>0.6</v>
      </c>
      <c r="AS210" s="62" t="s">
        <v>933</v>
      </c>
      <c r="AT210" s="62" t="s">
        <v>3255</v>
      </c>
      <c r="AU210" s="66" t="str">
        <f t="shared" si="31"/>
        <v>En gestión</v>
      </c>
      <c r="AV210" s="66" t="str">
        <f t="shared" si="32"/>
        <v>En gestión</v>
      </c>
      <c r="AW210" s="532" t="s">
        <v>957</v>
      </c>
      <c r="AX210" s="599">
        <f>SUMPRODUCT(O210:O211,AR210:AR211)</f>
        <v>0.36</v>
      </c>
      <c r="AY210" s="600">
        <f>SUMPRODUCT(S210:S211,O210:O211)</f>
        <v>0.36</v>
      </c>
      <c r="AZ210" s="530" t="str">
        <f>IF(AY210&lt;1%,"Sin iniciar",IF(AY210=100%,"Terminado","En gestión"))</f>
        <v>En gestión</v>
      </c>
      <c r="BA210" s="530" t="str">
        <f>IF(AX210&lt;1%,"Sin iniciar",IF(AX210=100%,"Terminado","En gestión"))</f>
        <v>En gestión</v>
      </c>
      <c r="BB210" s="530"/>
      <c r="BC210" s="805">
        <v>2725932</v>
      </c>
      <c r="BD210" s="805">
        <v>2725932</v>
      </c>
      <c r="BE210" s="565">
        <v>0</v>
      </c>
      <c r="BF210" s="805">
        <v>5092320</v>
      </c>
      <c r="BG210" s="805">
        <v>5092320</v>
      </c>
      <c r="BH210" s="805">
        <v>0</v>
      </c>
      <c r="BI210" s="532" t="s">
        <v>2598</v>
      </c>
      <c r="BJ210" s="532" t="s">
        <v>2599</v>
      </c>
      <c r="BK210" s="532" t="s">
        <v>2600</v>
      </c>
      <c r="BL210" s="530" t="s">
        <v>2662</v>
      </c>
      <c r="BM210" s="530"/>
      <c r="BN210" s="530"/>
      <c r="BO210" s="347">
        <v>1</v>
      </c>
      <c r="BP210" s="24" t="s">
        <v>3256</v>
      </c>
      <c r="BQ210" s="24" t="s">
        <v>3257</v>
      </c>
      <c r="BR210" s="19" t="str">
        <f t="shared" si="33"/>
        <v>Terminado</v>
      </c>
      <c r="BS210" s="19" t="str">
        <f t="shared" si="30"/>
        <v>Terminado</v>
      </c>
      <c r="BT210" s="560" t="s">
        <v>3258</v>
      </c>
      <c r="BU210" s="561">
        <f>SUMPRODUCT(O210:O211,BO210:BO211)</f>
        <v>0.98</v>
      </c>
      <c r="BV210" s="562">
        <f>SUMPRODUCT(O210:O211,T210:T211)</f>
        <v>1</v>
      </c>
      <c r="BW210" s="611" t="str">
        <f>IF(BV210&lt;1%,"Sin iniciar",IF(BV210=100%,"Terminado","En gestión"))</f>
        <v>Terminado</v>
      </c>
      <c r="BX210" s="611" t="str">
        <f>IF(BU210&lt;1%,"Sin iniciar",IF(BU210=100%,"Terminado","En gestión"))</f>
        <v>En gestión</v>
      </c>
      <c r="BY210" s="25" t="s">
        <v>37</v>
      </c>
      <c r="BZ210" s="578"/>
      <c r="CA210" s="800">
        <v>2725932</v>
      </c>
      <c r="CB210" s="800">
        <v>2725932</v>
      </c>
      <c r="CC210" s="800">
        <v>2657783.7000000002</v>
      </c>
      <c r="CD210" s="800">
        <v>5092320</v>
      </c>
      <c r="CE210" s="800">
        <v>5092320</v>
      </c>
      <c r="CF210" s="800">
        <v>4965012</v>
      </c>
      <c r="CG210" s="560" t="s">
        <v>2598</v>
      </c>
      <c r="CH210" s="560" t="s">
        <v>2599</v>
      </c>
      <c r="CI210" s="560" t="s">
        <v>2600</v>
      </c>
      <c r="CJ210" s="560" t="s">
        <v>2662</v>
      </c>
    </row>
    <row r="211" spans="2:88" ht="171.95" customHeight="1" x14ac:dyDescent="0.25">
      <c r="B211" s="1227"/>
      <c r="C211" s="807"/>
      <c r="D211" s="105" t="s">
        <v>25</v>
      </c>
      <c r="E211" s="105" t="s">
        <v>160</v>
      </c>
      <c r="F211" s="711"/>
      <c r="G211" s="105" t="s">
        <v>28</v>
      </c>
      <c r="H211" s="105" t="s">
        <v>28</v>
      </c>
      <c r="I211" s="105" t="s">
        <v>29</v>
      </c>
      <c r="J211" s="105" t="s">
        <v>185</v>
      </c>
      <c r="K211" s="712"/>
      <c r="L211" s="106" t="s">
        <v>164</v>
      </c>
      <c r="M211" s="107" t="s">
        <v>866</v>
      </c>
      <c r="N211" s="108" t="s">
        <v>867</v>
      </c>
      <c r="O211" s="148">
        <v>0.4</v>
      </c>
      <c r="P211" s="109">
        <v>44378</v>
      </c>
      <c r="Q211" s="109">
        <v>44469</v>
      </c>
      <c r="R211" s="193">
        <v>0</v>
      </c>
      <c r="S211" s="193">
        <v>0</v>
      </c>
      <c r="T211" s="194">
        <v>1</v>
      </c>
      <c r="U211" s="194">
        <v>1</v>
      </c>
      <c r="V211" s="192">
        <v>0</v>
      </c>
      <c r="W211" s="66"/>
      <c r="X211" s="66"/>
      <c r="Y211" s="19" t="str">
        <f t="shared" si="28"/>
        <v>Sin iniciar</v>
      </c>
      <c r="Z211" s="19" t="str">
        <f t="shared" si="29"/>
        <v>Sin iniciar</v>
      </c>
      <c r="AA211" s="66"/>
      <c r="AB211" s="596"/>
      <c r="AC211" s="597"/>
      <c r="AD211" s="611"/>
      <c r="AE211" s="611"/>
      <c r="AF211" s="66"/>
      <c r="AG211" s="66"/>
      <c r="AH211" s="66"/>
      <c r="AI211" s="66"/>
      <c r="AJ211" s="66"/>
      <c r="AK211" s="66"/>
      <c r="AL211" s="66"/>
      <c r="AM211" s="66"/>
      <c r="AN211" s="66"/>
      <c r="AO211" s="66"/>
      <c r="AP211" s="66"/>
      <c r="AQ211" s="50"/>
      <c r="AR211" s="1163">
        <v>0</v>
      </c>
      <c r="AS211" s="66" t="s">
        <v>2437</v>
      </c>
      <c r="AT211" s="66"/>
      <c r="AU211" s="66" t="str">
        <f t="shared" si="31"/>
        <v>Sin iniciar</v>
      </c>
      <c r="AV211" s="66" t="str">
        <f t="shared" si="32"/>
        <v>Sin iniciar</v>
      </c>
      <c r="AW211" s="532"/>
      <c r="AX211" s="599"/>
      <c r="AY211" s="600"/>
      <c r="AZ211" s="530"/>
      <c r="BA211" s="530"/>
      <c r="BB211" s="530"/>
      <c r="BC211" s="805"/>
      <c r="BD211" s="805"/>
      <c r="BE211" s="565"/>
      <c r="BF211" s="805"/>
      <c r="BG211" s="805"/>
      <c r="BH211" s="805"/>
      <c r="BI211" s="532"/>
      <c r="BJ211" s="532"/>
      <c r="BK211" s="532"/>
      <c r="BL211" s="530"/>
      <c r="BM211" s="530"/>
      <c r="BN211" s="530"/>
      <c r="BO211" s="347">
        <v>0.95</v>
      </c>
      <c r="BP211" s="24" t="s">
        <v>3259</v>
      </c>
      <c r="BQ211" s="24" t="s">
        <v>3260</v>
      </c>
      <c r="BR211" s="19" t="str">
        <f t="shared" si="33"/>
        <v>Terminado</v>
      </c>
      <c r="BS211" s="19" t="str">
        <f t="shared" si="30"/>
        <v>En gestión</v>
      </c>
      <c r="BT211" s="560"/>
      <c r="BU211" s="561"/>
      <c r="BV211" s="562"/>
      <c r="BW211" s="611"/>
      <c r="BX211" s="611"/>
      <c r="BY211" s="24" t="s">
        <v>3261</v>
      </c>
      <c r="BZ211" s="578"/>
      <c r="CA211" s="800"/>
      <c r="CB211" s="800"/>
      <c r="CC211" s="800"/>
      <c r="CD211" s="800"/>
      <c r="CE211" s="800"/>
      <c r="CF211" s="800"/>
      <c r="CG211" s="560"/>
      <c r="CH211" s="560"/>
      <c r="CI211" s="560"/>
      <c r="CJ211" s="560"/>
    </row>
    <row r="212" spans="2:88" ht="171.95" customHeight="1" x14ac:dyDescent="0.25">
      <c r="B212" s="1227"/>
      <c r="C212" s="809" t="s">
        <v>868</v>
      </c>
      <c r="D212" s="95" t="s">
        <v>25</v>
      </c>
      <c r="E212" s="95" t="s">
        <v>160</v>
      </c>
      <c r="F212" s="701" t="s">
        <v>869</v>
      </c>
      <c r="G212" s="95" t="s">
        <v>28</v>
      </c>
      <c r="H212" s="95" t="s">
        <v>28</v>
      </c>
      <c r="I212" s="95" t="s">
        <v>29</v>
      </c>
      <c r="J212" s="95" t="s">
        <v>185</v>
      </c>
      <c r="K212" s="702" t="s">
        <v>870</v>
      </c>
      <c r="L212" s="96" t="s">
        <v>164</v>
      </c>
      <c r="M212" s="97" t="s">
        <v>871</v>
      </c>
      <c r="N212" s="93" t="s">
        <v>872</v>
      </c>
      <c r="O212" s="156">
        <v>0.1</v>
      </c>
      <c r="P212" s="98">
        <v>44362</v>
      </c>
      <c r="Q212" s="98">
        <v>44561</v>
      </c>
      <c r="R212" s="195">
        <v>0</v>
      </c>
      <c r="S212" s="195">
        <v>0.1</v>
      </c>
      <c r="T212" s="196">
        <v>0.6</v>
      </c>
      <c r="U212" s="196">
        <v>1</v>
      </c>
      <c r="V212" s="192">
        <v>0</v>
      </c>
      <c r="W212" s="56"/>
      <c r="X212" s="56"/>
      <c r="Y212" s="5" t="str">
        <f t="shared" si="28"/>
        <v>Sin iniciar</v>
      </c>
      <c r="Z212" s="5" t="str">
        <f t="shared" si="29"/>
        <v>Sin iniciar</v>
      </c>
      <c r="AA212" s="56"/>
      <c r="AB212" s="596">
        <f>SUMPRODUCT(O212:O214,V212:V214)</f>
        <v>0</v>
      </c>
      <c r="AC212" s="597">
        <f>SUMPRODUCT(O212:O214,R212:R214)</f>
        <v>0</v>
      </c>
      <c r="AD212" s="610" t="str">
        <f>IF(AC212&lt;1%,"Sin iniciar",IF(AC212=100%,"Terminado","En gestión"))</f>
        <v>Sin iniciar</v>
      </c>
      <c r="AE212" s="610" t="str">
        <f>IF(AB212&lt;1%,"Sin iniciar",IF(AB212=100%,"Terminado","En gestión"))</f>
        <v>Sin iniciar</v>
      </c>
      <c r="AF212" s="56"/>
      <c r="AG212" s="56"/>
      <c r="AH212" s="56"/>
      <c r="AI212" s="56"/>
      <c r="AJ212" s="56"/>
      <c r="AK212" s="56"/>
      <c r="AL212" s="56"/>
      <c r="AM212" s="56"/>
      <c r="AN212" s="56"/>
      <c r="AO212" s="56"/>
      <c r="AP212" s="56"/>
      <c r="AQ212" s="60"/>
      <c r="AR212" s="1163">
        <v>0.1</v>
      </c>
      <c r="AS212" s="13" t="s">
        <v>934</v>
      </c>
      <c r="AT212" s="13" t="s">
        <v>3262</v>
      </c>
      <c r="AU212" s="56" t="str">
        <f t="shared" si="31"/>
        <v>En gestión</v>
      </c>
      <c r="AV212" s="56" t="str">
        <f t="shared" si="32"/>
        <v>En gestión</v>
      </c>
      <c r="AW212" s="531" t="s">
        <v>958</v>
      </c>
      <c r="AX212" s="599">
        <f>SUMPRODUCT(O212:O214,AR212:AR214)</f>
        <v>0.04</v>
      </c>
      <c r="AY212" s="600">
        <f>SUMPRODUCT(S212:S214,O212:O214)</f>
        <v>0.04</v>
      </c>
      <c r="AZ212" s="536" t="str">
        <f>IF(AY212&lt;1%,"Sin iniciar",IF(AY212=100%,"Terminado","En gestión"))</f>
        <v>En gestión</v>
      </c>
      <c r="BA212" s="536" t="str">
        <f>IF(AX212&lt;1%,"Sin iniciar",IF(AX212=100%,"Terminado","En gestión"))</f>
        <v>En gestión</v>
      </c>
      <c r="BB212" s="536"/>
      <c r="BC212" s="808">
        <v>3200676</v>
      </c>
      <c r="BD212" s="808">
        <v>3200676</v>
      </c>
      <c r="BE212" s="574">
        <v>0</v>
      </c>
      <c r="BF212" s="808">
        <v>183365400</v>
      </c>
      <c r="BG212" s="808">
        <v>183365400</v>
      </c>
      <c r="BH212" s="574">
        <v>0</v>
      </c>
      <c r="BI212" s="531" t="s">
        <v>2595</v>
      </c>
      <c r="BJ212" s="531" t="s">
        <v>2596</v>
      </c>
      <c r="BK212" s="531" t="s">
        <v>2597</v>
      </c>
      <c r="BL212" s="531" t="s">
        <v>2661</v>
      </c>
      <c r="BM212" s="531"/>
      <c r="BN212" s="531"/>
      <c r="BO212" s="347">
        <v>0.6</v>
      </c>
      <c r="BP212" s="11" t="s">
        <v>3263</v>
      </c>
      <c r="BQ212" s="11" t="s">
        <v>3264</v>
      </c>
      <c r="BR212" s="5" t="str">
        <f t="shared" si="33"/>
        <v>En gestión</v>
      </c>
      <c r="BS212" s="5" t="str">
        <f t="shared" si="30"/>
        <v>En gestión</v>
      </c>
      <c r="BT212" s="581" t="s">
        <v>3265</v>
      </c>
      <c r="BU212" s="561">
        <f>SUMPRODUCT(O212:O214,BO212:BO214)</f>
        <v>0.24</v>
      </c>
      <c r="BV212" s="562">
        <f>SUMPRODUCT(O212:O214,T212:T214)</f>
        <v>0.48</v>
      </c>
      <c r="BW212" s="610" t="str">
        <f>IF(BV212&lt;1%,"Sin iniciar",IF(BV212=100%,"Terminado","En gestión"))</f>
        <v>En gestión</v>
      </c>
      <c r="BX212" s="610" t="str">
        <f>IF(BU212&lt;1%,"Sin iniciar",IF(BU212=100%,"Terminado","En gestión"))</f>
        <v>En gestión</v>
      </c>
      <c r="BY212" s="573" t="s">
        <v>37</v>
      </c>
      <c r="BZ212" s="573"/>
      <c r="CA212" s="804">
        <v>3200676</v>
      </c>
      <c r="CB212" s="804">
        <v>3200676</v>
      </c>
      <c r="CC212" s="804">
        <v>1707025.8770539199</v>
      </c>
      <c r="CD212" s="804">
        <v>183365400</v>
      </c>
      <c r="CE212" s="804">
        <v>183365400</v>
      </c>
      <c r="CF212" s="804">
        <v>97794804.208967999</v>
      </c>
      <c r="CG212" s="581" t="s">
        <v>2595</v>
      </c>
      <c r="CH212" s="581" t="s">
        <v>2596</v>
      </c>
      <c r="CI212" s="581" t="s">
        <v>2597</v>
      </c>
      <c r="CJ212" s="581" t="s">
        <v>2661</v>
      </c>
    </row>
    <row r="213" spans="2:88" ht="171.95" customHeight="1" x14ac:dyDescent="0.25">
      <c r="B213" s="1227"/>
      <c r="C213" s="809"/>
      <c r="D213" s="95" t="s">
        <v>25</v>
      </c>
      <c r="E213" s="95" t="s">
        <v>160</v>
      </c>
      <c r="F213" s="701"/>
      <c r="G213" s="95" t="s">
        <v>28</v>
      </c>
      <c r="H213" s="95" t="s">
        <v>28</v>
      </c>
      <c r="I213" s="95" t="s">
        <v>29</v>
      </c>
      <c r="J213" s="95" t="s">
        <v>185</v>
      </c>
      <c r="K213" s="702"/>
      <c r="L213" s="96" t="s">
        <v>164</v>
      </c>
      <c r="M213" s="97" t="s">
        <v>873</v>
      </c>
      <c r="N213" s="93" t="s">
        <v>874</v>
      </c>
      <c r="O213" s="156">
        <v>0.3</v>
      </c>
      <c r="P213" s="98">
        <v>44362</v>
      </c>
      <c r="Q213" s="98">
        <v>44561</v>
      </c>
      <c r="R213" s="195">
        <v>0</v>
      </c>
      <c r="S213" s="195">
        <v>0.1</v>
      </c>
      <c r="T213" s="196">
        <v>0.6</v>
      </c>
      <c r="U213" s="196">
        <v>1</v>
      </c>
      <c r="V213" s="192">
        <v>0</v>
      </c>
      <c r="W213" s="56"/>
      <c r="X213" s="56"/>
      <c r="Y213" s="5" t="str">
        <f t="shared" si="28"/>
        <v>Sin iniciar</v>
      </c>
      <c r="Z213" s="5" t="str">
        <f t="shared" si="29"/>
        <v>Sin iniciar</v>
      </c>
      <c r="AA213" s="56"/>
      <c r="AB213" s="596"/>
      <c r="AC213" s="597"/>
      <c r="AD213" s="610"/>
      <c r="AE213" s="610"/>
      <c r="AF213" s="56"/>
      <c r="AG213" s="56"/>
      <c r="AH213" s="56"/>
      <c r="AI213" s="56"/>
      <c r="AJ213" s="56"/>
      <c r="AK213" s="56"/>
      <c r="AL213" s="56"/>
      <c r="AM213" s="56"/>
      <c r="AN213" s="56"/>
      <c r="AO213" s="56"/>
      <c r="AP213" s="56"/>
      <c r="AQ213" s="60"/>
      <c r="AR213" s="1163">
        <v>0.1</v>
      </c>
      <c r="AS213" s="13" t="s">
        <v>935</v>
      </c>
      <c r="AT213" s="13" t="s">
        <v>3266</v>
      </c>
      <c r="AU213" s="56" t="str">
        <f t="shared" si="31"/>
        <v>En gestión</v>
      </c>
      <c r="AV213" s="56" t="str">
        <f t="shared" si="32"/>
        <v>En gestión</v>
      </c>
      <c r="AW213" s="531"/>
      <c r="AX213" s="599"/>
      <c r="AY213" s="600"/>
      <c r="AZ213" s="536"/>
      <c r="BA213" s="536"/>
      <c r="BB213" s="536"/>
      <c r="BC213" s="808"/>
      <c r="BD213" s="808"/>
      <c r="BE213" s="574"/>
      <c r="BF213" s="808"/>
      <c r="BG213" s="808"/>
      <c r="BH213" s="574"/>
      <c r="BI213" s="531"/>
      <c r="BJ213" s="531"/>
      <c r="BK213" s="531"/>
      <c r="BL213" s="531"/>
      <c r="BM213" s="531"/>
      <c r="BN213" s="531"/>
      <c r="BO213" s="347">
        <v>0.6</v>
      </c>
      <c r="BP213" s="11" t="s">
        <v>3267</v>
      </c>
      <c r="BQ213" s="11" t="s">
        <v>3268</v>
      </c>
      <c r="BR213" s="5" t="str">
        <f t="shared" si="33"/>
        <v>En gestión</v>
      </c>
      <c r="BS213" s="5" t="str">
        <f t="shared" si="30"/>
        <v>En gestión</v>
      </c>
      <c r="BT213" s="581"/>
      <c r="BU213" s="561"/>
      <c r="BV213" s="562"/>
      <c r="BW213" s="610"/>
      <c r="BX213" s="610"/>
      <c r="BY213" s="573"/>
      <c r="BZ213" s="573"/>
      <c r="CA213" s="804"/>
      <c r="CB213" s="804"/>
      <c r="CC213" s="804"/>
      <c r="CD213" s="804"/>
      <c r="CE213" s="804"/>
      <c r="CF213" s="804"/>
      <c r="CG213" s="581"/>
      <c r="CH213" s="581"/>
      <c r="CI213" s="581"/>
      <c r="CJ213" s="581"/>
    </row>
    <row r="214" spans="2:88" ht="171.95" customHeight="1" x14ac:dyDescent="0.25">
      <c r="B214" s="1227"/>
      <c r="C214" s="809"/>
      <c r="D214" s="95" t="s">
        <v>25</v>
      </c>
      <c r="E214" s="95" t="s">
        <v>160</v>
      </c>
      <c r="F214" s="701"/>
      <c r="G214" s="95" t="s">
        <v>28</v>
      </c>
      <c r="H214" s="95" t="s">
        <v>28</v>
      </c>
      <c r="I214" s="95" t="s">
        <v>29</v>
      </c>
      <c r="J214" s="95" t="s">
        <v>185</v>
      </c>
      <c r="K214" s="702"/>
      <c r="L214" s="96" t="s">
        <v>164</v>
      </c>
      <c r="M214" s="97" t="s">
        <v>875</v>
      </c>
      <c r="N214" s="93" t="s">
        <v>876</v>
      </c>
      <c r="O214" s="156">
        <v>0.6</v>
      </c>
      <c r="P214" s="98">
        <v>44428</v>
      </c>
      <c r="Q214" s="98">
        <v>44561</v>
      </c>
      <c r="R214" s="195">
        <v>0</v>
      </c>
      <c r="S214" s="195">
        <v>0</v>
      </c>
      <c r="T214" s="196">
        <v>0.4</v>
      </c>
      <c r="U214" s="196">
        <v>1</v>
      </c>
      <c r="V214" s="192">
        <v>0</v>
      </c>
      <c r="W214" s="56"/>
      <c r="X214" s="56"/>
      <c r="Y214" s="5" t="str">
        <f t="shared" si="28"/>
        <v>Sin iniciar</v>
      </c>
      <c r="Z214" s="5" t="str">
        <f t="shared" si="29"/>
        <v>Sin iniciar</v>
      </c>
      <c r="AA214" s="56"/>
      <c r="AB214" s="596"/>
      <c r="AC214" s="597"/>
      <c r="AD214" s="610"/>
      <c r="AE214" s="610"/>
      <c r="AF214" s="56"/>
      <c r="AG214" s="56"/>
      <c r="AH214" s="56"/>
      <c r="AI214" s="56"/>
      <c r="AJ214" s="56"/>
      <c r="AK214" s="56"/>
      <c r="AL214" s="56"/>
      <c r="AM214" s="56"/>
      <c r="AN214" s="56"/>
      <c r="AO214" s="56"/>
      <c r="AP214" s="56"/>
      <c r="AQ214" s="60"/>
      <c r="AR214" s="1163">
        <v>0</v>
      </c>
      <c r="AS214" s="56" t="s">
        <v>2437</v>
      </c>
      <c r="AT214" s="56"/>
      <c r="AU214" s="56" t="str">
        <f t="shared" si="31"/>
        <v>Sin iniciar</v>
      </c>
      <c r="AV214" s="56" t="str">
        <f t="shared" si="32"/>
        <v>Sin iniciar</v>
      </c>
      <c r="AW214" s="531"/>
      <c r="AX214" s="599"/>
      <c r="AY214" s="600"/>
      <c r="AZ214" s="536"/>
      <c r="BA214" s="536"/>
      <c r="BB214" s="536"/>
      <c r="BC214" s="808"/>
      <c r="BD214" s="808"/>
      <c r="BE214" s="574"/>
      <c r="BF214" s="808"/>
      <c r="BG214" s="808"/>
      <c r="BH214" s="574"/>
      <c r="BI214" s="531"/>
      <c r="BJ214" s="531"/>
      <c r="BK214" s="531"/>
      <c r="BL214" s="531"/>
      <c r="BM214" s="531"/>
      <c r="BN214" s="531"/>
      <c r="BO214" s="347">
        <v>0</v>
      </c>
      <c r="BP214" s="11" t="s">
        <v>3269</v>
      </c>
      <c r="BQ214" s="12"/>
      <c r="BR214" s="5" t="str">
        <f t="shared" si="33"/>
        <v>En gestión</v>
      </c>
      <c r="BS214" s="5" t="str">
        <f t="shared" si="30"/>
        <v>Sin iniciar</v>
      </c>
      <c r="BT214" s="581"/>
      <c r="BU214" s="561"/>
      <c r="BV214" s="562"/>
      <c r="BW214" s="610"/>
      <c r="BX214" s="610"/>
      <c r="BY214" s="11" t="s">
        <v>3269</v>
      </c>
      <c r="BZ214" s="573"/>
      <c r="CA214" s="804"/>
      <c r="CB214" s="804"/>
      <c r="CC214" s="804"/>
      <c r="CD214" s="804"/>
      <c r="CE214" s="804"/>
      <c r="CF214" s="804"/>
      <c r="CG214" s="581"/>
      <c r="CH214" s="581"/>
      <c r="CI214" s="581"/>
      <c r="CJ214" s="581"/>
    </row>
    <row r="215" spans="2:88" ht="171.95" customHeight="1" x14ac:dyDescent="0.25">
      <c r="B215" s="1227"/>
      <c r="C215" s="807" t="s">
        <v>877</v>
      </c>
      <c r="D215" s="105" t="s">
        <v>25</v>
      </c>
      <c r="E215" s="105" t="s">
        <v>160</v>
      </c>
      <c r="F215" s="711" t="s">
        <v>878</v>
      </c>
      <c r="G215" s="105" t="s">
        <v>28</v>
      </c>
      <c r="H215" s="105" t="s">
        <v>28</v>
      </c>
      <c r="I215" s="105" t="s">
        <v>29</v>
      </c>
      <c r="J215" s="105" t="s">
        <v>185</v>
      </c>
      <c r="K215" s="712" t="s">
        <v>879</v>
      </c>
      <c r="L215" s="106" t="s">
        <v>164</v>
      </c>
      <c r="M215" s="107" t="s">
        <v>880</v>
      </c>
      <c r="N215" s="108" t="s">
        <v>872</v>
      </c>
      <c r="O215" s="148">
        <v>0.1</v>
      </c>
      <c r="P215" s="109">
        <v>44362</v>
      </c>
      <c r="Q215" s="109">
        <v>44561</v>
      </c>
      <c r="R215" s="193">
        <v>0</v>
      </c>
      <c r="S215" s="193">
        <v>0.1</v>
      </c>
      <c r="T215" s="194">
        <v>0.6</v>
      </c>
      <c r="U215" s="194">
        <v>1</v>
      </c>
      <c r="V215" s="192">
        <v>0</v>
      </c>
      <c r="W215" s="66"/>
      <c r="X215" s="66"/>
      <c r="Y215" s="19" t="str">
        <f t="shared" si="28"/>
        <v>Sin iniciar</v>
      </c>
      <c r="Z215" s="19" t="str">
        <f t="shared" si="29"/>
        <v>Sin iniciar</v>
      </c>
      <c r="AA215" s="66"/>
      <c r="AB215" s="596">
        <f>SUMPRODUCT(O215:O217,V215:V217)</f>
        <v>0</v>
      </c>
      <c r="AC215" s="597">
        <f>SUMPRODUCT(O215:O217,R215:R217)</f>
        <v>0</v>
      </c>
      <c r="AD215" s="611" t="str">
        <f>IF(AC215&lt;1%,"Sin iniciar",IF(AC215=100%,"Terminado","En gestión"))</f>
        <v>Sin iniciar</v>
      </c>
      <c r="AE215" s="611" t="str">
        <f>IF(AB215&lt;1%,"Sin iniciar",IF(AB215=100%,"Terminado","En gestión"))</f>
        <v>Sin iniciar</v>
      </c>
      <c r="AF215" s="66"/>
      <c r="AG215" s="66"/>
      <c r="AH215" s="66"/>
      <c r="AI215" s="66"/>
      <c r="AJ215" s="66"/>
      <c r="AK215" s="66"/>
      <c r="AL215" s="66"/>
      <c r="AM215" s="66"/>
      <c r="AN215" s="66"/>
      <c r="AO215" s="66"/>
      <c r="AP215" s="66"/>
      <c r="AQ215" s="50"/>
      <c r="AR215" s="1163">
        <v>0.1</v>
      </c>
      <c r="AS215" s="62" t="s">
        <v>936</v>
      </c>
      <c r="AT215" s="62" t="s">
        <v>3270</v>
      </c>
      <c r="AU215" s="66" t="str">
        <f t="shared" si="31"/>
        <v>En gestión</v>
      </c>
      <c r="AV215" s="66" t="str">
        <f t="shared" si="32"/>
        <v>En gestión</v>
      </c>
      <c r="AW215" s="532" t="s">
        <v>959</v>
      </c>
      <c r="AX215" s="599">
        <f>SUMPRODUCT(O215:O217,AR215:AR217)</f>
        <v>0.04</v>
      </c>
      <c r="AY215" s="600">
        <f>SUMPRODUCT(S215:S217,O215:O217)</f>
        <v>0.04</v>
      </c>
      <c r="AZ215" s="530" t="str">
        <f>IF(AY215&lt;1%,"Sin iniciar",IF(AY215=100%,"Terminado","En gestión"))</f>
        <v>En gestión</v>
      </c>
      <c r="BA215" s="530" t="str">
        <f>IF(AX215&lt;1%,"Sin iniciar",IF(AX215=100%,"Terminado","En gestión"))</f>
        <v>En gestión</v>
      </c>
      <c r="BB215" s="530"/>
      <c r="BC215" s="805">
        <v>3066672</v>
      </c>
      <c r="BD215" s="805">
        <v>3066672</v>
      </c>
      <c r="BE215" s="565">
        <v>0</v>
      </c>
      <c r="BF215" s="805">
        <v>355728860</v>
      </c>
      <c r="BG215" s="805">
        <v>355728860</v>
      </c>
      <c r="BH215" s="565">
        <v>0</v>
      </c>
      <c r="BI215" s="532" t="s">
        <v>2598</v>
      </c>
      <c r="BJ215" s="532" t="s">
        <v>2596</v>
      </c>
      <c r="BK215" s="532" t="s">
        <v>2597</v>
      </c>
      <c r="BL215" s="532" t="s">
        <v>2661</v>
      </c>
      <c r="BM215" s="532"/>
      <c r="BN215" s="532"/>
      <c r="BO215" s="347">
        <v>0.6</v>
      </c>
      <c r="BP215" s="24" t="s">
        <v>3271</v>
      </c>
      <c r="BQ215" s="24" t="s">
        <v>3272</v>
      </c>
      <c r="BR215" s="19" t="str">
        <f t="shared" si="33"/>
        <v>En gestión</v>
      </c>
      <c r="BS215" s="19" t="str">
        <f t="shared" si="30"/>
        <v>En gestión</v>
      </c>
      <c r="BT215" s="560" t="s">
        <v>3273</v>
      </c>
      <c r="BU215" s="561">
        <f>SUMPRODUCT(O215:O217,BO215:BO217)</f>
        <v>0.48</v>
      </c>
      <c r="BV215" s="562">
        <f>SUMPRODUCT(O215:O217,T215:T217)</f>
        <v>0.48</v>
      </c>
      <c r="BW215" s="611" t="str">
        <f>IF(BV215&lt;1%,"Sin iniciar",IF(BV215=100%,"Terminado","En gestión"))</f>
        <v>En gestión</v>
      </c>
      <c r="BX215" s="611" t="str">
        <f>IF(BU215&lt;1%,"Sin iniciar",IF(BU215=100%,"Terminado","En gestión"))</f>
        <v>En gestión</v>
      </c>
      <c r="BY215" s="578" t="s">
        <v>37</v>
      </c>
      <c r="BZ215" s="578"/>
      <c r="CA215" s="800">
        <v>3066672</v>
      </c>
      <c r="CB215" s="800">
        <v>3066672</v>
      </c>
      <c r="CC215" s="800">
        <v>1635557.1324422399</v>
      </c>
      <c r="CD215" s="800">
        <v>355728860</v>
      </c>
      <c r="CE215" s="800">
        <v>355728860</v>
      </c>
      <c r="CF215" s="800">
        <v>189721911.63207099</v>
      </c>
      <c r="CG215" s="560" t="s">
        <v>2598</v>
      </c>
      <c r="CH215" s="560" t="s">
        <v>2596</v>
      </c>
      <c r="CI215" s="560" t="s">
        <v>2597</v>
      </c>
      <c r="CJ215" s="560" t="s">
        <v>2661</v>
      </c>
    </row>
    <row r="216" spans="2:88" ht="171.95" customHeight="1" x14ac:dyDescent="0.25">
      <c r="B216" s="1227"/>
      <c r="C216" s="807"/>
      <c r="D216" s="105" t="s">
        <v>25</v>
      </c>
      <c r="E216" s="105" t="s">
        <v>160</v>
      </c>
      <c r="F216" s="711"/>
      <c r="G216" s="105" t="s">
        <v>28</v>
      </c>
      <c r="H216" s="105" t="s">
        <v>28</v>
      </c>
      <c r="I216" s="105" t="s">
        <v>29</v>
      </c>
      <c r="J216" s="105" t="s">
        <v>185</v>
      </c>
      <c r="K216" s="712"/>
      <c r="L216" s="106" t="s">
        <v>164</v>
      </c>
      <c r="M216" s="107" t="s">
        <v>881</v>
      </c>
      <c r="N216" s="108" t="s">
        <v>882</v>
      </c>
      <c r="O216" s="148">
        <v>0.3</v>
      </c>
      <c r="P216" s="109">
        <v>44362</v>
      </c>
      <c r="Q216" s="109">
        <v>44561</v>
      </c>
      <c r="R216" s="193">
        <v>0</v>
      </c>
      <c r="S216" s="193">
        <v>0.1</v>
      </c>
      <c r="T216" s="194">
        <v>0.6</v>
      </c>
      <c r="U216" s="194">
        <v>1</v>
      </c>
      <c r="V216" s="192">
        <v>0</v>
      </c>
      <c r="W216" s="66"/>
      <c r="X216" s="66"/>
      <c r="Y216" s="19" t="str">
        <f t="shared" si="28"/>
        <v>Sin iniciar</v>
      </c>
      <c r="Z216" s="19" t="str">
        <f t="shared" si="29"/>
        <v>Sin iniciar</v>
      </c>
      <c r="AA216" s="66"/>
      <c r="AB216" s="596"/>
      <c r="AC216" s="597"/>
      <c r="AD216" s="611"/>
      <c r="AE216" s="611"/>
      <c r="AF216" s="66"/>
      <c r="AG216" s="66"/>
      <c r="AH216" s="66"/>
      <c r="AI216" s="66"/>
      <c r="AJ216" s="66"/>
      <c r="AK216" s="66"/>
      <c r="AL216" s="66"/>
      <c r="AM216" s="66"/>
      <c r="AN216" s="66"/>
      <c r="AO216" s="66"/>
      <c r="AP216" s="66"/>
      <c r="AQ216" s="50"/>
      <c r="AR216" s="1163">
        <v>0.1</v>
      </c>
      <c r="AS216" s="62" t="s">
        <v>937</v>
      </c>
      <c r="AT216" s="62" t="s">
        <v>3266</v>
      </c>
      <c r="AU216" s="66" t="str">
        <f t="shared" si="31"/>
        <v>En gestión</v>
      </c>
      <c r="AV216" s="66" t="str">
        <f t="shared" si="32"/>
        <v>En gestión</v>
      </c>
      <c r="AW216" s="532"/>
      <c r="AX216" s="599"/>
      <c r="AY216" s="600"/>
      <c r="AZ216" s="530"/>
      <c r="BA216" s="530"/>
      <c r="BB216" s="530"/>
      <c r="BC216" s="805"/>
      <c r="BD216" s="805"/>
      <c r="BE216" s="565"/>
      <c r="BF216" s="805"/>
      <c r="BG216" s="805"/>
      <c r="BH216" s="565"/>
      <c r="BI216" s="532"/>
      <c r="BJ216" s="532"/>
      <c r="BK216" s="532"/>
      <c r="BL216" s="532"/>
      <c r="BM216" s="532"/>
      <c r="BN216" s="532"/>
      <c r="BO216" s="347">
        <v>0.6</v>
      </c>
      <c r="BP216" s="24" t="s">
        <v>3274</v>
      </c>
      <c r="BQ216" s="24" t="s">
        <v>3275</v>
      </c>
      <c r="BR216" s="19" t="str">
        <f t="shared" si="33"/>
        <v>En gestión</v>
      </c>
      <c r="BS216" s="19" t="str">
        <f t="shared" si="30"/>
        <v>En gestión</v>
      </c>
      <c r="BT216" s="560"/>
      <c r="BU216" s="561"/>
      <c r="BV216" s="562"/>
      <c r="BW216" s="611"/>
      <c r="BX216" s="611"/>
      <c r="BY216" s="578"/>
      <c r="BZ216" s="578"/>
      <c r="CA216" s="800"/>
      <c r="CB216" s="800"/>
      <c r="CC216" s="800"/>
      <c r="CD216" s="800"/>
      <c r="CE216" s="800"/>
      <c r="CF216" s="800"/>
      <c r="CG216" s="560"/>
      <c r="CH216" s="560"/>
      <c r="CI216" s="560"/>
      <c r="CJ216" s="560"/>
    </row>
    <row r="217" spans="2:88" ht="171.95" customHeight="1" x14ac:dyDescent="0.25">
      <c r="B217" s="1227"/>
      <c r="C217" s="807"/>
      <c r="D217" s="105" t="s">
        <v>25</v>
      </c>
      <c r="E217" s="105" t="s">
        <v>160</v>
      </c>
      <c r="F217" s="711"/>
      <c r="G217" s="105" t="s">
        <v>28</v>
      </c>
      <c r="H217" s="105" t="s">
        <v>28</v>
      </c>
      <c r="I217" s="105" t="s">
        <v>29</v>
      </c>
      <c r="J217" s="105" t="s">
        <v>185</v>
      </c>
      <c r="K217" s="712"/>
      <c r="L217" s="106" t="s">
        <v>164</v>
      </c>
      <c r="M217" s="107" t="s">
        <v>883</v>
      </c>
      <c r="N217" s="108" t="s">
        <v>884</v>
      </c>
      <c r="O217" s="148">
        <v>0.6</v>
      </c>
      <c r="P217" s="109">
        <v>44428</v>
      </c>
      <c r="Q217" s="109">
        <v>44561</v>
      </c>
      <c r="R217" s="193">
        <v>0</v>
      </c>
      <c r="S217" s="193">
        <v>0</v>
      </c>
      <c r="T217" s="194">
        <v>0.4</v>
      </c>
      <c r="U217" s="194">
        <v>1</v>
      </c>
      <c r="V217" s="192">
        <v>0</v>
      </c>
      <c r="W217" s="66"/>
      <c r="X217" s="66"/>
      <c r="Y217" s="19" t="str">
        <f t="shared" si="28"/>
        <v>Sin iniciar</v>
      </c>
      <c r="Z217" s="19" t="str">
        <f t="shared" si="29"/>
        <v>Sin iniciar</v>
      </c>
      <c r="AA217" s="66"/>
      <c r="AB217" s="596"/>
      <c r="AC217" s="597"/>
      <c r="AD217" s="611"/>
      <c r="AE217" s="611"/>
      <c r="AF217" s="66"/>
      <c r="AG217" s="66"/>
      <c r="AH217" s="66"/>
      <c r="AI217" s="66"/>
      <c r="AJ217" s="66"/>
      <c r="AK217" s="66"/>
      <c r="AL217" s="66"/>
      <c r="AM217" s="66"/>
      <c r="AN217" s="66"/>
      <c r="AO217" s="66"/>
      <c r="AP217" s="66"/>
      <c r="AQ217" s="50"/>
      <c r="AR217" s="1163">
        <v>0</v>
      </c>
      <c r="AS217" s="66" t="s">
        <v>2437</v>
      </c>
      <c r="AT217" s="66"/>
      <c r="AU217" s="66" t="str">
        <f t="shared" ref="AU217:AU223" si="34">IF(S217&lt;1%,"Sin iniciar",IF(S217=100%,"Terminado","En gestión"))</f>
        <v>Sin iniciar</v>
      </c>
      <c r="AV217" s="66" t="str">
        <f t="shared" ref="AV217:AV223" si="35">IF(AR217&lt;1%,"Sin iniciar",IF(AR217=100%,"Terminado","En gestión"))</f>
        <v>Sin iniciar</v>
      </c>
      <c r="AW217" s="532"/>
      <c r="AX217" s="599"/>
      <c r="AY217" s="600"/>
      <c r="AZ217" s="530"/>
      <c r="BA217" s="530"/>
      <c r="BB217" s="530"/>
      <c r="BC217" s="805"/>
      <c r="BD217" s="805"/>
      <c r="BE217" s="565"/>
      <c r="BF217" s="805"/>
      <c r="BG217" s="805"/>
      <c r="BH217" s="565"/>
      <c r="BI217" s="532"/>
      <c r="BJ217" s="532"/>
      <c r="BK217" s="532"/>
      <c r="BL217" s="532"/>
      <c r="BM217" s="532"/>
      <c r="BN217" s="532"/>
      <c r="BO217" s="347">
        <v>0.4</v>
      </c>
      <c r="BP217" s="24" t="s">
        <v>3276</v>
      </c>
      <c r="BQ217" s="24" t="s">
        <v>3277</v>
      </c>
      <c r="BR217" s="19" t="str">
        <f t="shared" ref="BR217:BR223" si="36">IF(T217&lt;1%,"Sin iniciar",IF(T217=100%,"Terminado","En gestión"))</f>
        <v>En gestión</v>
      </c>
      <c r="BS217" s="19" t="str">
        <f t="shared" si="30"/>
        <v>En gestión</v>
      </c>
      <c r="BT217" s="560"/>
      <c r="BU217" s="561"/>
      <c r="BV217" s="562"/>
      <c r="BW217" s="611"/>
      <c r="BX217" s="611"/>
      <c r="BY217" s="578"/>
      <c r="BZ217" s="578"/>
      <c r="CA217" s="800"/>
      <c r="CB217" s="800"/>
      <c r="CC217" s="800"/>
      <c r="CD217" s="800"/>
      <c r="CE217" s="800"/>
      <c r="CF217" s="800"/>
      <c r="CG217" s="560"/>
      <c r="CH217" s="560"/>
      <c r="CI217" s="560"/>
      <c r="CJ217" s="560"/>
    </row>
    <row r="218" spans="2:88" ht="171.95" customHeight="1" x14ac:dyDescent="0.25">
      <c r="B218" s="1227"/>
      <c r="C218" s="809" t="s">
        <v>885</v>
      </c>
      <c r="D218" s="95" t="s">
        <v>25</v>
      </c>
      <c r="E218" s="95" t="s">
        <v>160</v>
      </c>
      <c r="F218" s="701" t="s">
        <v>851</v>
      </c>
      <c r="G218" s="95" t="s">
        <v>28</v>
      </c>
      <c r="H218" s="95" t="s">
        <v>28</v>
      </c>
      <c r="I218" s="95" t="s">
        <v>29</v>
      </c>
      <c r="J218" s="95" t="s">
        <v>185</v>
      </c>
      <c r="K218" s="702" t="s">
        <v>886</v>
      </c>
      <c r="L218" s="96" t="s">
        <v>164</v>
      </c>
      <c r="M218" s="97" t="s">
        <v>887</v>
      </c>
      <c r="N218" s="93" t="s">
        <v>888</v>
      </c>
      <c r="O218" s="156">
        <v>0.25</v>
      </c>
      <c r="P218" s="98">
        <v>44348</v>
      </c>
      <c r="Q218" s="98">
        <v>44561</v>
      </c>
      <c r="R218" s="195">
        <v>0</v>
      </c>
      <c r="S218" s="195">
        <v>0.3</v>
      </c>
      <c r="T218" s="196">
        <v>0.6</v>
      </c>
      <c r="U218" s="196">
        <v>1</v>
      </c>
      <c r="V218" s="192">
        <v>0</v>
      </c>
      <c r="W218" s="56"/>
      <c r="X218" s="56"/>
      <c r="Y218" s="5" t="str">
        <f t="shared" si="28"/>
        <v>Sin iniciar</v>
      </c>
      <c r="Z218" s="5" t="str">
        <f t="shared" si="29"/>
        <v>Sin iniciar</v>
      </c>
      <c r="AA218" s="56"/>
      <c r="AB218" s="596">
        <f>SUMPRODUCT(O218:O220,V218:V220)</f>
        <v>0</v>
      </c>
      <c r="AC218" s="597">
        <f>SUMPRODUCT(O218:O220,R218:R220)</f>
        <v>0</v>
      </c>
      <c r="AD218" s="610" t="str">
        <f>IF(AC218&lt;1%,"Sin iniciar",IF(AC218=100%,"Terminado","En gestión"))</f>
        <v>Sin iniciar</v>
      </c>
      <c r="AE218" s="610" t="str">
        <f>IF(AB218&lt;1%,"Sin iniciar",IF(AB218=100%,"Terminado","En gestión"))</f>
        <v>Sin iniciar</v>
      </c>
      <c r="AF218" s="56"/>
      <c r="AG218" s="56"/>
      <c r="AH218" s="56"/>
      <c r="AI218" s="56"/>
      <c r="AJ218" s="56"/>
      <c r="AK218" s="56"/>
      <c r="AL218" s="56"/>
      <c r="AM218" s="56"/>
      <c r="AN218" s="56"/>
      <c r="AO218" s="56"/>
      <c r="AP218" s="56"/>
      <c r="AQ218" s="60"/>
      <c r="AR218" s="1163">
        <v>1</v>
      </c>
      <c r="AS218" s="13" t="s">
        <v>938</v>
      </c>
      <c r="AT218" s="13" t="s">
        <v>3278</v>
      </c>
      <c r="AU218" s="56" t="str">
        <f t="shared" si="34"/>
        <v>En gestión</v>
      </c>
      <c r="AV218" s="56" t="str">
        <f t="shared" si="35"/>
        <v>Terminado</v>
      </c>
      <c r="AW218" s="531" t="s">
        <v>960</v>
      </c>
      <c r="AX218" s="599">
        <f>SUMPRODUCT(O218:O220,AR218:AR220)</f>
        <v>0.47500000000000003</v>
      </c>
      <c r="AY218" s="600">
        <f>SUMPRODUCT(S218:S220,O218:O220)</f>
        <v>0.3</v>
      </c>
      <c r="AZ218" s="536" t="str">
        <f>IF(AY218&lt;1%,"Sin iniciar",IF(AY218=100%,"Terminado","En gestión"))</f>
        <v>En gestión</v>
      </c>
      <c r="BA218" s="536" t="str">
        <f>IF(AX218&lt;1%,"Sin iniciar",IF(AX218=100%,"Terminado","En gestión"))</f>
        <v>En gestión</v>
      </c>
      <c r="BB218" s="536"/>
      <c r="BC218" s="574">
        <v>0</v>
      </c>
      <c r="BD218" s="574">
        <v>0</v>
      </c>
      <c r="BE218" s="574">
        <v>0</v>
      </c>
      <c r="BF218" s="574">
        <v>11266740</v>
      </c>
      <c r="BG218" s="574">
        <v>11266740</v>
      </c>
      <c r="BH218" s="574">
        <v>0</v>
      </c>
      <c r="BI218" s="810" t="s">
        <v>2601</v>
      </c>
      <c r="BJ218" s="810" t="s">
        <v>2602</v>
      </c>
      <c r="BK218" s="810" t="s">
        <v>2580</v>
      </c>
      <c r="BL218" s="531" t="s">
        <v>2663</v>
      </c>
      <c r="BM218" s="531"/>
      <c r="BN218" s="531"/>
      <c r="BO218" s="347">
        <v>1</v>
      </c>
      <c r="BP218" s="12" t="s">
        <v>3141</v>
      </c>
      <c r="BQ218" s="12" t="s">
        <v>3141</v>
      </c>
      <c r="BR218" s="5" t="str">
        <f t="shared" si="36"/>
        <v>En gestión</v>
      </c>
      <c r="BS218" s="5" t="str">
        <f t="shared" si="30"/>
        <v>Terminado</v>
      </c>
      <c r="BT218" s="581" t="s">
        <v>3279</v>
      </c>
      <c r="BU218" s="561">
        <f>SUMPRODUCT(O218:O220,BO218:BO220)</f>
        <v>0.55000000000000004</v>
      </c>
      <c r="BV218" s="562">
        <f>SUMPRODUCT(O218:O220,T218:T220)</f>
        <v>0.6</v>
      </c>
      <c r="BW218" s="610" t="str">
        <f>IF(BV218&lt;1%,"Sin iniciar",IF(BV218=100%,"Terminado","En gestión"))</f>
        <v>En gestión</v>
      </c>
      <c r="BX218" s="610" t="str">
        <f>IF(BU218&lt;1%,"Sin iniciar",IF(BU218=100%,"Terminado","En gestión"))</f>
        <v>En gestión</v>
      </c>
      <c r="BY218" s="12" t="s">
        <v>37</v>
      </c>
      <c r="BZ218" s="573"/>
      <c r="CA218" s="810">
        <v>0</v>
      </c>
      <c r="CB218" s="810">
        <v>0</v>
      </c>
      <c r="CC218" s="810">
        <v>0</v>
      </c>
      <c r="CD218" s="804">
        <v>11266740</v>
      </c>
      <c r="CE218" s="804">
        <v>11266740</v>
      </c>
      <c r="CF218" s="804">
        <v>6760039.2679692004</v>
      </c>
      <c r="CG218" s="581" t="s">
        <v>2601</v>
      </c>
      <c r="CH218" s="581" t="s">
        <v>2602</v>
      </c>
      <c r="CI218" s="581" t="s">
        <v>2580</v>
      </c>
      <c r="CJ218" s="581" t="s">
        <v>2663</v>
      </c>
    </row>
    <row r="219" spans="2:88" ht="171.95" customHeight="1" x14ac:dyDescent="0.25">
      <c r="B219" s="1227"/>
      <c r="C219" s="809"/>
      <c r="D219" s="95" t="s">
        <v>25</v>
      </c>
      <c r="E219" s="95" t="s">
        <v>160</v>
      </c>
      <c r="F219" s="701"/>
      <c r="G219" s="95" t="s">
        <v>28</v>
      </c>
      <c r="H219" s="95" t="s">
        <v>28</v>
      </c>
      <c r="I219" s="95" t="s">
        <v>29</v>
      </c>
      <c r="J219" s="95" t="s">
        <v>185</v>
      </c>
      <c r="K219" s="702"/>
      <c r="L219" s="96" t="s">
        <v>164</v>
      </c>
      <c r="M219" s="97" t="s">
        <v>3280</v>
      </c>
      <c r="N219" s="93" t="s">
        <v>890</v>
      </c>
      <c r="O219" s="156">
        <v>0.5</v>
      </c>
      <c r="P219" s="98">
        <v>44348</v>
      </c>
      <c r="Q219" s="98">
        <v>44561</v>
      </c>
      <c r="R219" s="195">
        <v>0</v>
      </c>
      <c r="S219" s="195">
        <v>0.3</v>
      </c>
      <c r="T219" s="196">
        <v>0.6</v>
      </c>
      <c r="U219" s="196">
        <v>1</v>
      </c>
      <c r="V219" s="192">
        <v>0</v>
      </c>
      <c r="W219" s="56"/>
      <c r="X219" s="56"/>
      <c r="Y219" s="5" t="str">
        <f t="shared" si="28"/>
        <v>Sin iniciar</v>
      </c>
      <c r="Z219" s="5" t="str">
        <f t="shared" si="29"/>
        <v>Sin iniciar</v>
      </c>
      <c r="AA219" s="56"/>
      <c r="AB219" s="596"/>
      <c r="AC219" s="597"/>
      <c r="AD219" s="610"/>
      <c r="AE219" s="610"/>
      <c r="AF219" s="56"/>
      <c r="AG219" s="56"/>
      <c r="AH219" s="56"/>
      <c r="AI219" s="56"/>
      <c r="AJ219" s="56"/>
      <c r="AK219" s="56"/>
      <c r="AL219" s="56"/>
      <c r="AM219" s="56"/>
      <c r="AN219" s="56"/>
      <c r="AO219" s="56"/>
      <c r="AP219" s="56"/>
      <c r="AQ219" s="60"/>
      <c r="AR219" s="1163">
        <v>0.3</v>
      </c>
      <c r="AS219" s="13" t="s">
        <v>939</v>
      </c>
      <c r="AT219" s="13" t="s">
        <v>3239</v>
      </c>
      <c r="AU219" s="56" t="str">
        <f t="shared" si="34"/>
        <v>En gestión</v>
      </c>
      <c r="AV219" s="56" t="str">
        <f t="shared" si="35"/>
        <v>En gestión</v>
      </c>
      <c r="AW219" s="531"/>
      <c r="AX219" s="599"/>
      <c r="AY219" s="600"/>
      <c r="AZ219" s="536"/>
      <c r="BA219" s="536"/>
      <c r="BB219" s="536"/>
      <c r="BC219" s="574"/>
      <c r="BD219" s="574"/>
      <c r="BE219" s="574"/>
      <c r="BF219" s="574"/>
      <c r="BG219" s="574"/>
      <c r="BH219" s="574"/>
      <c r="BI219" s="810"/>
      <c r="BJ219" s="810"/>
      <c r="BK219" s="810"/>
      <c r="BL219" s="531"/>
      <c r="BM219" s="531"/>
      <c r="BN219" s="531"/>
      <c r="BO219" s="347">
        <v>0.4</v>
      </c>
      <c r="BP219" s="11" t="s">
        <v>3281</v>
      </c>
      <c r="BQ219" s="11" t="s">
        <v>3282</v>
      </c>
      <c r="BR219" s="5" t="str">
        <f t="shared" si="36"/>
        <v>En gestión</v>
      </c>
      <c r="BS219" s="5" t="str">
        <f t="shared" si="30"/>
        <v>En gestión</v>
      </c>
      <c r="BT219" s="581"/>
      <c r="BU219" s="561"/>
      <c r="BV219" s="562"/>
      <c r="BW219" s="610"/>
      <c r="BX219" s="610"/>
      <c r="BY219" s="11" t="s">
        <v>3283</v>
      </c>
      <c r="BZ219" s="573"/>
      <c r="CA219" s="810"/>
      <c r="CB219" s="810"/>
      <c r="CC219" s="810"/>
      <c r="CD219" s="804"/>
      <c r="CE219" s="804"/>
      <c r="CF219" s="804"/>
      <c r="CG219" s="581"/>
      <c r="CH219" s="581"/>
      <c r="CI219" s="581"/>
      <c r="CJ219" s="581"/>
    </row>
    <row r="220" spans="2:88" ht="171.95" customHeight="1" x14ac:dyDescent="0.25">
      <c r="B220" s="1227"/>
      <c r="C220" s="809"/>
      <c r="D220" s="95" t="s">
        <v>25</v>
      </c>
      <c r="E220" s="95" t="s">
        <v>160</v>
      </c>
      <c r="F220" s="701"/>
      <c r="G220" s="95" t="s">
        <v>28</v>
      </c>
      <c r="H220" s="95" t="s">
        <v>28</v>
      </c>
      <c r="I220" s="95" t="s">
        <v>29</v>
      </c>
      <c r="J220" s="95" t="s">
        <v>185</v>
      </c>
      <c r="K220" s="702"/>
      <c r="L220" s="96" t="s">
        <v>164</v>
      </c>
      <c r="M220" s="97" t="s">
        <v>3284</v>
      </c>
      <c r="N220" s="93" t="s">
        <v>892</v>
      </c>
      <c r="O220" s="156">
        <v>0.25</v>
      </c>
      <c r="P220" s="98">
        <v>44348</v>
      </c>
      <c r="Q220" s="98">
        <v>44561</v>
      </c>
      <c r="R220" s="195">
        <v>0</v>
      </c>
      <c r="S220" s="195">
        <v>0.3</v>
      </c>
      <c r="T220" s="196">
        <v>0.6</v>
      </c>
      <c r="U220" s="196">
        <v>1</v>
      </c>
      <c r="V220" s="192">
        <v>0</v>
      </c>
      <c r="W220" s="56"/>
      <c r="X220" s="56"/>
      <c r="Y220" s="5" t="str">
        <f t="shared" si="28"/>
        <v>Sin iniciar</v>
      </c>
      <c r="Z220" s="5" t="str">
        <f t="shared" si="29"/>
        <v>Sin iniciar</v>
      </c>
      <c r="AA220" s="56"/>
      <c r="AB220" s="596"/>
      <c r="AC220" s="597"/>
      <c r="AD220" s="610"/>
      <c r="AE220" s="610"/>
      <c r="AF220" s="56"/>
      <c r="AG220" s="56"/>
      <c r="AH220" s="56"/>
      <c r="AI220" s="56"/>
      <c r="AJ220" s="56"/>
      <c r="AK220" s="56"/>
      <c r="AL220" s="56"/>
      <c r="AM220" s="56"/>
      <c r="AN220" s="56"/>
      <c r="AO220" s="56"/>
      <c r="AP220" s="56"/>
      <c r="AQ220" s="60"/>
      <c r="AR220" s="1163">
        <v>0.3</v>
      </c>
      <c r="AS220" s="13" t="s">
        <v>940</v>
      </c>
      <c r="AT220" s="13" t="s">
        <v>3285</v>
      </c>
      <c r="AU220" s="56" t="str">
        <f t="shared" si="34"/>
        <v>En gestión</v>
      </c>
      <c r="AV220" s="56" t="str">
        <f t="shared" si="35"/>
        <v>En gestión</v>
      </c>
      <c r="AW220" s="531"/>
      <c r="AX220" s="599"/>
      <c r="AY220" s="600"/>
      <c r="AZ220" s="536"/>
      <c r="BA220" s="536"/>
      <c r="BB220" s="536"/>
      <c r="BC220" s="574"/>
      <c r="BD220" s="574"/>
      <c r="BE220" s="574"/>
      <c r="BF220" s="574"/>
      <c r="BG220" s="574"/>
      <c r="BH220" s="574"/>
      <c r="BI220" s="810"/>
      <c r="BJ220" s="810"/>
      <c r="BK220" s="810"/>
      <c r="BL220" s="531"/>
      <c r="BM220" s="531"/>
      <c r="BN220" s="531"/>
      <c r="BO220" s="347">
        <v>0.4</v>
      </c>
      <c r="BP220" s="11" t="s">
        <v>3286</v>
      </c>
      <c r="BQ220" s="11" t="s">
        <v>3287</v>
      </c>
      <c r="BR220" s="5" t="str">
        <f t="shared" si="36"/>
        <v>En gestión</v>
      </c>
      <c r="BS220" s="5" t="str">
        <f t="shared" si="30"/>
        <v>En gestión</v>
      </c>
      <c r="BT220" s="581"/>
      <c r="BU220" s="561"/>
      <c r="BV220" s="562"/>
      <c r="BW220" s="610"/>
      <c r="BX220" s="610"/>
      <c r="BY220" s="11" t="s">
        <v>37</v>
      </c>
      <c r="BZ220" s="573"/>
      <c r="CA220" s="810"/>
      <c r="CB220" s="810"/>
      <c r="CC220" s="810"/>
      <c r="CD220" s="804"/>
      <c r="CE220" s="804"/>
      <c r="CF220" s="804"/>
      <c r="CG220" s="581"/>
      <c r="CH220" s="581"/>
      <c r="CI220" s="581"/>
      <c r="CJ220" s="581"/>
    </row>
    <row r="221" spans="2:88" ht="171.95" customHeight="1" x14ac:dyDescent="0.25">
      <c r="B221" s="1227"/>
      <c r="C221" s="807" t="s">
        <v>893</v>
      </c>
      <c r="D221" s="105" t="s">
        <v>25</v>
      </c>
      <c r="E221" s="105" t="s">
        <v>160</v>
      </c>
      <c r="F221" s="711" t="s">
        <v>894</v>
      </c>
      <c r="G221" s="105" t="s">
        <v>28</v>
      </c>
      <c r="H221" s="105" t="s">
        <v>28</v>
      </c>
      <c r="I221" s="105" t="s">
        <v>29</v>
      </c>
      <c r="J221" s="105" t="s">
        <v>185</v>
      </c>
      <c r="K221" s="712" t="s">
        <v>895</v>
      </c>
      <c r="L221" s="106" t="s">
        <v>164</v>
      </c>
      <c r="M221" s="107" t="s">
        <v>896</v>
      </c>
      <c r="N221" s="108" t="s">
        <v>897</v>
      </c>
      <c r="O221" s="148">
        <v>0.25</v>
      </c>
      <c r="P221" s="109">
        <v>44348</v>
      </c>
      <c r="Q221" s="109">
        <v>44469</v>
      </c>
      <c r="R221" s="193">
        <v>0</v>
      </c>
      <c r="S221" s="193">
        <v>0.3</v>
      </c>
      <c r="T221" s="194">
        <v>1</v>
      </c>
      <c r="U221" s="194">
        <v>1</v>
      </c>
      <c r="V221" s="192">
        <v>0</v>
      </c>
      <c r="W221" s="66"/>
      <c r="X221" s="66"/>
      <c r="Y221" s="19" t="str">
        <f t="shared" si="28"/>
        <v>Sin iniciar</v>
      </c>
      <c r="Z221" s="19" t="str">
        <f t="shared" si="29"/>
        <v>Sin iniciar</v>
      </c>
      <c r="AA221" s="66"/>
      <c r="AB221" s="596">
        <f>SUMPRODUCT(O221:O223,V221:V223)</f>
        <v>0</v>
      </c>
      <c r="AC221" s="597">
        <f>SUMPRODUCT(O221:O223,R221:R223)</f>
        <v>0</v>
      </c>
      <c r="AD221" s="611" t="str">
        <f>IF(AC221&lt;1%,"Sin iniciar",IF(AC221=100%,"Terminado","En gestión"))</f>
        <v>Sin iniciar</v>
      </c>
      <c r="AE221" s="611" t="str">
        <f>IF(AB221&lt;1%,"Sin iniciar",IF(AB221=100%,"Terminado","En gestión"))</f>
        <v>Sin iniciar</v>
      </c>
      <c r="AF221" s="66"/>
      <c r="AG221" s="66"/>
      <c r="AH221" s="66"/>
      <c r="AI221" s="66"/>
      <c r="AJ221" s="66"/>
      <c r="AK221" s="66"/>
      <c r="AL221" s="66"/>
      <c r="AM221" s="66"/>
      <c r="AN221" s="66"/>
      <c r="AO221" s="66"/>
      <c r="AP221" s="66"/>
      <c r="AQ221" s="50"/>
      <c r="AR221" s="1163">
        <v>1</v>
      </c>
      <c r="AS221" s="62" t="s">
        <v>938</v>
      </c>
      <c r="AT221" s="62" t="s">
        <v>3288</v>
      </c>
      <c r="AU221" s="66" t="str">
        <f t="shared" si="34"/>
        <v>En gestión</v>
      </c>
      <c r="AV221" s="66" t="str">
        <f t="shared" si="35"/>
        <v>Terminado</v>
      </c>
      <c r="AW221" s="532" t="s">
        <v>961</v>
      </c>
      <c r="AX221" s="599">
        <f>SUMPRODUCT(O221:O223,AR221:AR223)</f>
        <v>0.32500000000000001</v>
      </c>
      <c r="AY221" s="600">
        <f>SUMPRODUCT(S221:S223,O221:O223)</f>
        <v>0.15</v>
      </c>
      <c r="AZ221" s="530" t="str">
        <f>IF(AY221&lt;1%,"Sin iniciar",IF(AY221=100%,"Terminado","En gestión"))</f>
        <v>En gestión</v>
      </c>
      <c r="BA221" s="530" t="str">
        <f>IF(AX221&lt;1%,"Sin iniciar",IF(AX221=100%,"Terminado","En gestión"))</f>
        <v>En gestión</v>
      </c>
      <c r="BB221" s="530"/>
      <c r="BC221" s="811">
        <v>0</v>
      </c>
      <c r="BD221" s="811">
        <v>0</v>
      </c>
      <c r="BE221" s="811">
        <v>0</v>
      </c>
      <c r="BF221" s="805">
        <v>8200000</v>
      </c>
      <c r="BG221" s="805">
        <v>8200000</v>
      </c>
      <c r="BH221" s="565">
        <v>0</v>
      </c>
      <c r="BI221" s="532" t="s">
        <v>2601</v>
      </c>
      <c r="BJ221" s="532" t="s">
        <v>2602</v>
      </c>
      <c r="BK221" s="532" t="s">
        <v>2580</v>
      </c>
      <c r="BL221" s="532" t="s">
        <v>2663</v>
      </c>
      <c r="BM221" s="532"/>
      <c r="BN221" s="532"/>
      <c r="BO221" s="347">
        <v>1</v>
      </c>
      <c r="BP221" s="25" t="s">
        <v>3141</v>
      </c>
      <c r="BQ221" s="25" t="s">
        <v>3141</v>
      </c>
      <c r="BR221" s="19" t="str">
        <f t="shared" si="36"/>
        <v>Terminado</v>
      </c>
      <c r="BS221" s="19" t="str">
        <f t="shared" si="30"/>
        <v>Terminado</v>
      </c>
      <c r="BT221" s="560" t="s">
        <v>3289</v>
      </c>
      <c r="BU221" s="561">
        <f>SUMPRODUCT(O221:O223,BO221:BO223)</f>
        <v>0.94750000000000001</v>
      </c>
      <c r="BV221" s="562">
        <f>SUMPRODUCT(O221:O223,T221:T223)</f>
        <v>1</v>
      </c>
      <c r="BW221" s="611" t="str">
        <f>IF(BV221&lt;1%,"Sin iniciar",IF(BV221=100%,"Terminado","En gestión"))</f>
        <v>Terminado</v>
      </c>
      <c r="BX221" s="611" t="str">
        <f>IF(BU221&lt;1%,"Sin iniciar",IF(BU221=100%,"Terminado","En gestión"))</f>
        <v>En gestión</v>
      </c>
      <c r="BY221" s="25" t="s">
        <v>37</v>
      </c>
      <c r="BZ221" s="578"/>
      <c r="CA221" s="565">
        <v>0</v>
      </c>
      <c r="CB221" s="565">
        <v>0</v>
      </c>
      <c r="CC221" s="565">
        <v>0</v>
      </c>
      <c r="CD221" s="800">
        <v>8200000</v>
      </c>
      <c r="CE221" s="800">
        <v>8200000</v>
      </c>
      <c r="CF221" s="800">
        <v>7844661.0851999996</v>
      </c>
      <c r="CG221" s="560" t="s">
        <v>2601</v>
      </c>
      <c r="CH221" s="560" t="s">
        <v>2602</v>
      </c>
      <c r="CI221" s="560" t="s">
        <v>2580</v>
      </c>
      <c r="CJ221" s="560" t="s">
        <v>2663</v>
      </c>
    </row>
    <row r="222" spans="2:88" ht="171.95" customHeight="1" x14ac:dyDescent="0.25">
      <c r="B222" s="1227"/>
      <c r="C222" s="807"/>
      <c r="D222" s="105" t="s">
        <v>25</v>
      </c>
      <c r="E222" s="105" t="s">
        <v>160</v>
      </c>
      <c r="F222" s="711"/>
      <c r="G222" s="105" t="s">
        <v>28</v>
      </c>
      <c r="H222" s="105" t="s">
        <v>28</v>
      </c>
      <c r="I222" s="105" t="s">
        <v>29</v>
      </c>
      <c r="J222" s="105" t="s">
        <v>185</v>
      </c>
      <c r="K222" s="712"/>
      <c r="L222" s="106" t="s">
        <v>164</v>
      </c>
      <c r="M222" s="107" t="s">
        <v>889</v>
      </c>
      <c r="N222" s="108" t="s">
        <v>898</v>
      </c>
      <c r="O222" s="148">
        <v>0.25</v>
      </c>
      <c r="P222" s="109">
        <v>44348</v>
      </c>
      <c r="Q222" s="109">
        <v>44469</v>
      </c>
      <c r="R222" s="193">
        <v>0</v>
      </c>
      <c r="S222" s="193">
        <v>0.3</v>
      </c>
      <c r="T222" s="194">
        <v>1</v>
      </c>
      <c r="U222" s="194">
        <v>1</v>
      </c>
      <c r="V222" s="192">
        <v>0</v>
      </c>
      <c r="W222" s="66"/>
      <c r="X222" s="66"/>
      <c r="Y222" s="19" t="str">
        <f t="shared" ref="Y222:Y285" si="37">IF(R222&lt;1%,"Sin iniciar",IF(R222=100%,"Terminado","En gestión"))</f>
        <v>Sin iniciar</v>
      </c>
      <c r="Z222" s="19" t="str">
        <f t="shared" ref="Z222:Z285" si="38">IF(V222&lt;1%,"Sin iniciar",IF(V222=100%,"Terminado","En gestión"))</f>
        <v>Sin iniciar</v>
      </c>
      <c r="AA222" s="66"/>
      <c r="AB222" s="596"/>
      <c r="AC222" s="597"/>
      <c r="AD222" s="611"/>
      <c r="AE222" s="611"/>
      <c r="AF222" s="66"/>
      <c r="AG222" s="66"/>
      <c r="AH222" s="66"/>
      <c r="AI222" s="66"/>
      <c r="AJ222" s="66"/>
      <c r="AK222" s="66"/>
      <c r="AL222" s="66"/>
      <c r="AM222" s="66"/>
      <c r="AN222" s="66"/>
      <c r="AO222" s="66"/>
      <c r="AP222" s="66"/>
      <c r="AQ222" s="50"/>
      <c r="AR222" s="1163">
        <v>0.3</v>
      </c>
      <c r="AS222" s="62" t="s">
        <v>941</v>
      </c>
      <c r="AT222" s="66" t="s">
        <v>3290</v>
      </c>
      <c r="AU222" s="66" t="str">
        <f t="shared" si="34"/>
        <v>En gestión</v>
      </c>
      <c r="AV222" s="66" t="str">
        <f t="shared" si="35"/>
        <v>En gestión</v>
      </c>
      <c r="AW222" s="532"/>
      <c r="AX222" s="599"/>
      <c r="AY222" s="600"/>
      <c r="AZ222" s="530"/>
      <c r="BA222" s="530"/>
      <c r="BB222" s="530"/>
      <c r="BC222" s="811"/>
      <c r="BD222" s="811"/>
      <c r="BE222" s="811"/>
      <c r="BF222" s="805"/>
      <c r="BG222" s="805"/>
      <c r="BH222" s="565"/>
      <c r="BI222" s="532"/>
      <c r="BJ222" s="532"/>
      <c r="BK222" s="532"/>
      <c r="BL222" s="532"/>
      <c r="BM222" s="532"/>
      <c r="BN222" s="532"/>
      <c r="BO222" s="347">
        <v>0.95</v>
      </c>
      <c r="BP222" s="24" t="s">
        <v>3291</v>
      </c>
      <c r="BQ222" s="24" t="s">
        <v>3292</v>
      </c>
      <c r="BR222" s="19" t="str">
        <f t="shared" si="36"/>
        <v>Terminado</v>
      </c>
      <c r="BS222" s="19" t="str">
        <f t="shared" ref="BS222:BS223" si="39">IF(BO222&lt;1%,"Sin iniciar",IF(BO222=100%,"Terminado","En gestión"))</f>
        <v>En gestión</v>
      </c>
      <c r="BT222" s="560"/>
      <c r="BU222" s="561"/>
      <c r="BV222" s="562"/>
      <c r="BW222" s="611"/>
      <c r="BX222" s="611"/>
      <c r="BY222" s="24" t="s">
        <v>3293</v>
      </c>
      <c r="BZ222" s="578"/>
      <c r="CA222" s="565"/>
      <c r="CB222" s="565"/>
      <c r="CC222" s="565"/>
      <c r="CD222" s="800"/>
      <c r="CE222" s="800"/>
      <c r="CF222" s="800"/>
      <c r="CG222" s="560"/>
      <c r="CH222" s="560"/>
      <c r="CI222" s="560"/>
      <c r="CJ222" s="560"/>
    </row>
    <row r="223" spans="2:88" ht="171.95" customHeight="1" x14ac:dyDescent="0.25">
      <c r="B223" s="1227"/>
      <c r="C223" s="807"/>
      <c r="D223" s="105" t="s">
        <v>25</v>
      </c>
      <c r="E223" s="105" t="s">
        <v>160</v>
      </c>
      <c r="F223" s="711"/>
      <c r="G223" s="105" t="s">
        <v>28</v>
      </c>
      <c r="H223" s="105" t="s">
        <v>28</v>
      </c>
      <c r="I223" s="105" t="s">
        <v>29</v>
      </c>
      <c r="J223" s="105" t="s">
        <v>185</v>
      </c>
      <c r="K223" s="712"/>
      <c r="L223" s="106" t="s">
        <v>164</v>
      </c>
      <c r="M223" s="107" t="s">
        <v>891</v>
      </c>
      <c r="N223" s="108" t="s">
        <v>899</v>
      </c>
      <c r="O223" s="148">
        <v>0.5</v>
      </c>
      <c r="P223" s="109">
        <v>44378</v>
      </c>
      <c r="Q223" s="109">
        <v>44469</v>
      </c>
      <c r="R223" s="193">
        <v>0</v>
      </c>
      <c r="S223" s="193">
        <v>0</v>
      </c>
      <c r="T223" s="194">
        <v>1</v>
      </c>
      <c r="U223" s="194">
        <v>1</v>
      </c>
      <c r="V223" s="192">
        <v>0</v>
      </c>
      <c r="W223" s="66"/>
      <c r="X223" s="66"/>
      <c r="Y223" s="19" t="str">
        <f t="shared" si="37"/>
        <v>Sin iniciar</v>
      </c>
      <c r="Z223" s="19" t="str">
        <f t="shared" si="38"/>
        <v>Sin iniciar</v>
      </c>
      <c r="AA223" s="66"/>
      <c r="AB223" s="596"/>
      <c r="AC223" s="597"/>
      <c r="AD223" s="611"/>
      <c r="AE223" s="611"/>
      <c r="AF223" s="66"/>
      <c r="AG223" s="66"/>
      <c r="AH223" s="66"/>
      <c r="AI223" s="66"/>
      <c r="AJ223" s="66"/>
      <c r="AK223" s="66"/>
      <c r="AL223" s="66"/>
      <c r="AM223" s="66"/>
      <c r="AN223" s="66"/>
      <c r="AO223" s="66"/>
      <c r="AP223" s="66"/>
      <c r="AQ223" s="50"/>
      <c r="AR223" s="1163">
        <v>0</v>
      </c>
      <c r="AS223" s="66" t="s">
        <v>2437</v>
      </c>
      <c r="AT223" s="66"/>
      <c r="AU223" s="66" t="str">
        <f t="shared" si="34"/>
        <v>Sin iniciar</v>
      </c>
      <c r="AV223" s="66" t="str">
        <f t="shared" si="35"/>
        <v>Sin iniciar</v>
      </c>
      <c r="AW223" s="532"/>
      <c r="AX223" s="599"/>
      <c r="AY223" s="600"/>
      <c r="AZ223" s="530"/>
      <c r="BA223" s="530"/>
      <c r="BB223" s="530"/>
      <c r="BC223" s="811"/>
      <c r="BD223" s="811"/>
      <c r="BE223" s="811"/>
      <c r="BF223" s="805"/>
      <c r="BG223" s="805"/>
      <c r="BH223" s="565"/>
      <c r="BI223" s="532"/>
      <c r="BJ223" s="532"/>
      <c r="BK223" s="532"/>
      <c r="BL223" s="532"/>
      <c r="BM223" s="532"/>
      <c r="BN223" s="532"/>
      <c r="BO223" s="347">
        <v>0.92</v>
      </c>
      <c r="BP223" s="24" t="s">
        <v>3294</v>
      </c>
      <c r="BQ223" s="24" t="s">
        <v>3295</v>
      </c>
      <c r="BR223" s="19" t="str">
        <f t="shared" si="36"/>
        <v>Terminado</v>
      </c>
      <c r="BS223" s="19" t="str">
        <f t="shared" si="39"/>
        <v>En gestión</v>
      </c>
      <c r="BT223" s="560"/>
      <c r="BU223" s="561"/>
      <c r="BV223" s="562"/>
      <c r="BW223" s="611"/>
      <c r="BX223" s="611"/>
      <c r="BY223" s="24" t="s">
        <v>3296</v>
      </c>
      <c r="BZ223" s="578"/>
      <c r="CA223" s="565"/>
      <c r="CB223" s="565"/>
      <c r="CC223" s="565"/>
      <c r="CD223" s="800"/>
      <c r="CE223" s="800"/>
      <c r="CF223" s="800"/>
      <c r="CG223" s="560"/>
      <c r="CH223" s="560"/>
      <c r="CI223" s="560"/>
      <c r="CJ223" s="560"/>
    </row>
    <row r="224" spans="2:88" ht="171.95" customHeight="1" x14ac:dyDescent="0.25">
      <c r="B224" s="1227" t="s">
        <v>5225</v>
      </c>
      <c r="C224" s="632" t="s">
        <v>962</v>
      </c>
      <c r="D224" s="33" t="s">
        <v>159</v>
      </c>
      <c r="E224" s="33" t="s">
        <v>160</v>
      </c>
      <c r="F224" s="633" t="s">
        <v>963</v>
      </c>
      <c r="G224" s="33" t="s">
        <v>585</v>
      </c>
      <c r="H224" s="33" t="s">
        <v>28</v>
      </c>
      <c r="I224" s="33" t="s">
        <v>162</v>
      </c>
      <c r="J224" s="33" t="s">
        <v>47</v>
      </c>
      <c r="K224" s="634" t="s">
        <v>964</v>
      </c>
      <c r="L224" s="51" t="s">
        <v>164</v>
      </c>
      <c r="M224" s="34" t="s">
        <v>965</v>
      </c>
      <c r="N224" s="35" t="s">
        <v>966</v>
      </c>
      <c r="O224" s="33">
        <v>0.3</v>
      </c>
      <c r="P224" s="36">
        <v>44211</v>
      </c>
      <c r="Q224" s="36">
        <v>44302</v>
      </c>
      <c r="R224" s="37">
        <v>0.8</v>
      </c>
      <c r="S224" s="37">
        <v>1</v>
      </c>
      <c r="T224" s="37">
        <v>1</v>
      </c>
      <c r="U224" s="37">
        <v>1</v>
      </c>
      <c r="V224" s="90">
        <v>1</v>
      </c>
      <c r="W224" s="13" t="s">
        <v>967</v>
      </c>
      <c r="X224" s="68" t="s">
        <v>3297</v>
      </c>
      <c r="Y224" s="5" t="str">
        <f t="shared" si="37"/>
        <v>En gestión</v>
      </c>
      <c r="Z224" s="5" t="str">
        <f t="shared" si="38"/>
        <v>Terminado</v>
      </c>
      <c r="AA224" s="531" t="s">
        <v>1025</v>
      </c>
      <c r="AB224" s="596">
        <f>SUMPRODUCT(O224:O226,V224:V226)</f>
        <v>0.3</v>
      </c>
      <c r="AC224" s="597">
        <f>SUMPRODUCT(O224:O226,R224:R226)</f>
        <v>0.24</v>
      </c>
      <c r="AD224" s="610" t="str">
        <f>IF(AC224&lt;1%,"Sin iniciar",IF(AC224=100%,"Terminado","En gestión"))</f>
        <v>En gestión</v>
      </c>
      <c r="AE224" s="610" t="str">
        <f>IF(AB224&lt;1%,"Sin iniciar",IF(AB224=100%,"Terminado","En gestión"))</f>
        <v>En gestión</v>
      </c>
      <c r="AF224" s="56" t="s">
        <v>28</v>
      </c>
      <c r="AG224" s="583">
        <v>9435952</v>
      </c>
      <c r="AH224" s="583">
        <v>9435952</v>
      </c>
      <c r="AI224" s="583">
        <v>2358988</v>
      </c>
      <c r="AJ224" s="583">
        <v>382293900</v>
      </c>
      <c r="AK224" s="583">
        <v>382293900</v>
      </c>
      <c r="AL224" s="583">
        <v>95573475</v>
      </c>
      <c r="AM224" s="593" t="s">
        <v>2472</v>
      </c>
      <c r="AN224" s="603" t="s">
        <v>2473</v>
      </c>
      <c r="AO224" s="520" t="s">
        <v>2476</v>
      </c>
      <c r="AP224" s="531" t="s">
        <v>2477</v>
      </c>
      <c r="AQ224" s="583">
        <f>+AK224</f>
        <v>382293900</v>
      </c>
      <c r="AR224" s="1163">
        <v>1</v>
      </c>
      <c r="AS224" s="13" t="s">
        <v>2434</v>
      </c>
      <c r="AT224" s="55" t="s">
        <v>28</v>
      </c>
      <c r="AU224" s="56" t="str">
        <f t="shared" ref="AU224:AU287" si="40">IF(S224&lt;1%,"Sin iniciar",IF(S224=100%,"Terminado","En gestión"))</f>
        <v>Terminado</v>
      </c>
      <c r="AV224" s="56" t="str">
        <f t="shared" ref="AV224:AV287" si="41">IF(AR224&lt;1%,"Sin iniciar",IF(AR224=100%,"Terminado","En gestión"))</f>
        <v>Terminado</v>
      </c>
      <c r="AW224" s="531" t="s">
        <v>5208</v>
      </c>
      <c r="AX224" s="599">
        <f>SUMPRODUCT(O224:O226,AR224:AR226)</f>
        <v>0.57000000000000006</v>
      </c>
      <c r="AY224" s="600">
        <f>SUMPRODUCT(S224:S226,O224:O226)</f>
        <v>0.57000000000000006</v>
      </c>
      <c r="AZ224" s="536" t="str">
        <f>IF(AY224&lt;1%,"Sin iniciar",IF(AY224=100%,"Terminado","En gestión"))</f>
        <v>En gestión</v>
      </c>
      <c r="BA224" s="536" t="str">
        <f>IF(AX224&lt;1%,"Sin iniciar",IF(AX224=100%,"Terminado","En gestión"))</f>
        <v>En gestión</v>
      </c>
      <c r="BB224" s="56"/>
      <c r="BC224" s="531" t="s">
        <v>47</v>
      </c>
      <c r="BD224" s="583">
        <v>9435952</v>
      </c>
      <c r="BE224" s="583">
        <v>9435952</v>
      </c>
      <c r="BF224" s="583">
        <v>4717976</v>
      </c>
      <c r="BG224" s="583">
        <v>382293900</v>
      </c>
      <c r="BH224" s="583">
        <v>389792552</v>
      </c>
      <c r="BI224" s="583">
        <v>105162013</v>
      </c>
      <c r="BJ224" s="593" t="s">
        <v>2534</v>
      </c>
      <c r="BK224" s="603" t="s">
        <v>3298</v>
      </c>
      <c r="BL224" s="520" t="s">
        <v>2605</v>
      </c>
      <c r="BM224" s="593" t="s">
        <v>2477</v>
      </c>
      <c r="BN224" s="659" t="s">
        <v>2537</v>
      </c>
      <c r="BO224" s="347">
        <v>1</v>
      </c>
      <c r="BP224" s="11" t="s">
        <v>2434</v>
      </c>
      <c r="BQ224" s="11" t="s">
        <v>28</v>
      </c>
      <c r="BR224" s="5" t="str">
        <f t="shared" ref="BR224:BR241" si="42">IF(T224&lt;1%,"Sin iniciar",IF(T224=100%,"Terminado","En gestión"))</f>
        <v>Terminado</v>
      </c>
      <c r="BS224" s="5" t="str">
        <f>IF(BO224&lt;1%,"Sin iniciar",IF(BO224=100%,"Terminado","En gestión"))</f>
        <v>Terminado</v>
      </c>
      <c r="BT224" s="581" t="s">
        <v>3299</v>
      </c>
      <c r="BU224" s="561">
        <f>SUMPRODUCT(O224:O226,BO224:BO226)</f>
        <v>0.92</v>
      </c>
      <c r="BV224" s="562">
        <f>SUMPRODUCT(O224:O226,T224:T226)</f>
        <v>0.8</v>
      </c>
      <c r="BW224" s="610" t="str">
        <f>IF(BV224&lt;1%,"Sin iniciar",IF(BV224=100%,"Terminado","En gestión"))</f>
        <v>En gestión</v>
      </c>
      <c r="BX224" s="610" t="str">
        <f>IF(BU224&lt;1%,"Sin iniciar",IF(BU224=100%,"Terminado","En gestión"))</f>
        <v>En gestión</v>
      </c>
      <c r="BY224" s="573" t="s">
        <v>37</v>
      </c>
      <c r="BZ224" s="573" t="s">
        <v>47</v>
      </c>
      <c r="CA224" s="812">
        <v>9435952</v>
      </c>
      <c r="CB224" s="812">
        <v>9435952</v>
      </c>
      <c r="CC224" s="750">
        <v>7076964</v>
      </c>
      <c r="CD224" s="812">
        <v>389792552</v>
      </c>
      <c r="CE224" s="813">
        <v>381698212</v>
      </c>
      <c r="CF224" s="813">
        <v>246116774</v>
      </c>
      <c r="CG224" s="581" t="s">
        <v>2534</v>
      </c>
      <c r="CH224" s="581" t="s">
        <v>2605</v>
      </c>
      <c r="CI224" s="581" t="s">
        <v>2477</v>
      </c>
      <c r="CJ224" s="581" t="s">
        <v>2537</v>
      </c>
    </row>
    <row r="225" spans="2:88" ht="171.95" customHeight="1" x14ac:dyDescent="0.25">
      <c r="B225" s="1227"/>
      <c r="C225" s="632"/>
      <c r="D225" s="33" t="s">
        <v>159</v>
      </c>
      <c r="E225" s="33" t="s">
        <v>160</v>
      </c>
      <c r="F225" s="633"/>
      <c r="G225" s="33" t="s">
        <v>585</v>
      </c>
      <c r="H225" s="33" t="s">
        <v>28</v>
      </c>
      <c r="I225" s="33" t="s">
        <v>162</v>
      </c>
      <c r="J225" s="33" t="s">
        <v>47</v>
      </c>
      <c r="K225" s="634"/>
      <c r="L225" s="51" t="s">
        <v>164</v>
      </c>
      <c r="M225" s="34" t="s">
        <v>968</v>
      </c>
      <c r="N225" s="35" t="s">
        <v>969</v>
      </c>
      <c r="O225" s="33">
        <v>0.3</v>
      </c>
      <c r="P225" s="36">
        <v>44292</v>
      </c>
      <c r="Q225" s="36">
        <v>44392</v>
      </c>
      <c r="R225" s="37">
        <v>0</v>
      </c>
      <c r="S225" s="37">
        <v>0.9</v>
      </c>
      <c r="T225" s="37">
        <v>1</v>
      </c>
      <c r="U225" s="37">
        <v>1</v>
      </c>
      <c r="V225" s="90">
        <v>0</v>
      </c>
      <c r="W225" s="13" t="s">
        <v>37</v>
      </c>
      <c r="X225" s="55" t="s">
        <v>37</v>
      </c>
      <c r="Y225" s="5" t="str">
        <f t="shared" si="37"/>
        <v>Sin iniciar</v>
      </c>
      <c r="Z225" s="5" t="str">
        <f t="shared" si="38"/>
        <v>Sin iniciar</v>
      </c>
      <c r="AA225" s="531"/>
      <c r="AB225" s="596"/>
      <c r="AC225" s="597"/>
      <c r="AD225" s="610"/>
      <c r="AE225" s="610"/>
      <c r="AF225" s="56" t="s">
        <v>28</v>
      </c>
      <c r="AG225" s="583"/>
      <c r="AH225" s="583"/>
      <c r="AI225" s="583"/>
      <c r="AJ225" s="583"/>
      <c r="AK225" s="583"/>
      <c r="AL225" s="583"/>
      <c r="AM225" s="593"/>
      <c r="AN225" s="603"/>
      <c r="AO225" s="520"/>
      <c r="AP225" s="531"/>
      <c r="AQ225" s="583"/>
      <c r="AR225" s="1163">
        <v>0.9</v>
      </c>
      <c r="AS225" s="8" t="s">
        <v>5209</v>
      </c>
      <c r="AT225" s="68" t="s">
        <v>3300</v>
      </c>
      <c r="AU225" s="56" t="str">
        <f t="shared" si="40"/>
        <v>En gestión</v>
      </c>
      <c r="AV225" s="56" t="str">
        <f t="shared" si="41"/>
        <v>En gestión</v>
      </c>
      <c r="AW225" s="531"/>
      <c r="AX225" s="599"/>
      <c r="AY225" s="600"/>
      <c r="AZ225" s="536"/>
      <c r="BA225" s="536"/>
      <c r="BB225" s="56"/>
      <c r="BC225" s="531"/>
      <c r="BD225" s="583"/>
      <c r="BE225" s="583"/>
      <c r="BF225" s="583"/>
      <c r="BG225" s="583"/>
      <c r="BH225" s="583"/>
      <c r="BI225" s="583"/>
      <c r="BJ225" s="593"/>
      <c r="BK225" s="603"/>
      <c r="BL225" s="520"/>
      <c r="BM225" s="593"/>
      <c r="BN225" s="659"/>
      <c r="BO225" s="347">
        <v>1</v>
      </c>
      <c r="BP225" s="11" t="s">
        <v>5210</v>
      </c>
      <c r="BQ225" s="372" t="s">
        <v>3301</v>
      </c>
      <c r="BR225" s="5" t="str">
        <f t="shared" si="42"/>
        <v>Terminado</v>
      </c>
      <c r="BS225" s="5" t="str">
        <f t="shared" ref="BS225:BS288" si="43">IF(BO225&lt;1%,"Sin iniciar",IF(BO225=100%,"Terminado","En gestión"))</f>
        <v>Terminado</v>
      </c>
      <c r="BT225" s="573"/>
      <c r="BU225" s="561"/>
      <c r="BV225" s="562"/>
      <c r="BW225" s="610"/>
      <c r="BX225" s="610"/>
      <c r="BY225" s="573"/>
      <c r="BZ225" s="573"/>
      <c r="CA225" s="812"/>
      <c r="CB225" s="812"/>
      <c r="CC225" s="812"/>
      <c r="CD225" s="812"/>
      <c r="CE225" s="813"/>
      <c r="CF225" s="813"/>
      <c r="CG225" s="581"/>
      <c r="CH225" s="581"/>
      <c r="CI225" s="581"/>
      <c r="CJ225" s="581"/>
    </row>
    <row r="226" spans="2:88" ht="171.95" customHeight="1" x14ac:dyDescent="0.25">
      <c r="B226" s="1227"/>
      <c r="C226" s="632"/>
      <c r="D226" s="33" t="s">
        <v>159</v>
      </c>
      <c r="E226" s="33" t="s">
        <v>160</v>
      </c>
      <c r="F226" s="633"/>
      <c r="G226" s="33" t="s">
        <v>585</v>
      </c>
      <c r="H226" s="33" t="s">
        <v>28</v>
      </c>
      <c r="I226" s="33" t="s">
        <v>162</v>
      </c>
      <c r="J226" s="33" t="s">
        <v>47</v>
      </c>
      <c r="K226" s="634"/>
      <c r="L226" s="51" t="s">
        <v>164</v>
      </c>
      <c r="M226" s="34" t="s">
        <v>970</v>
      </c>
      <c r="N226" s="35" t="s">
        <v>971</v>
      </c>
      <c r="O226" s="33">
        <v>0.4</v>
      </c>
      <c r="P226" s="36">
        <v>44393</v>
      </c>
      <c r="Q226" s="36">
        <v>44545</v>
      </c>
      <c r="R226" s="37">
        <v>0</v>
      </c>
      <c r="S226" s="37">
        <v>0</v>
      </c>
      <c r="T226" s="37">
        <v>0.5</v>
      </c>
      <c r="U226" s="37">
        <v>1</v>
      </c>
      <c r="V226" s="90">
        <v>0</v>
      </c>
      <c r="W226" s="13" t="s">
        <v>37</v>
      </c>
      <c r="X226" s="55" t="s">
        <v>37</v>
      </c>
      <c r="Y226" s="5" t="str">
        <f t="shared" si="37"/>
        <v>Sin iniciar</v>
      </c>
      <c r="Z226" s="5" t="str">
        <f t="shared" si="38"/>
        <v>Sin iniciar</v>
      </c>
      <c r="AA226" s="531"/>
      <c r="AB226" s="596"/>
      <c r="AC226" s="597"/>
      <c r="AD226" s="610"/>
      <c r="AE226" s="610"/>
      <c r="AF226" s="56" t="s">
        <v>28</v>
      </c>
      <c r="AG226" s="583"/>
      <c r="AH226" s="583"/>
      <c r="AI226" s="583"/>
      <c r="AJ226" s="583"/>
      <c r="AK226" s="583"/>
      <c r="AL226" s="583"/>
      <c r="AM226" s="593"/>
      <c r="AN226" s="603"/>
      <c r="AO226" s="520"/>
      <c r="AP226" s="531"/>
      <c r="AQ226" s="583"/>
      <c r="AR226" s="1163">
        <v>0</v>
      </c>
      <c r="AS226" s="13" t="s">
        <v>2437</v>
      </c>
      <c r="AT226" s="55" t="s">
        <v>28</v>
      </c>
      <c r="AU226" s="56" t="str">
        <f t="shared" si="40"/>
        <v>Sin iniciar</v>
      </c>
      <c r="AV226" s="56" t="str">
        <f t="shared" si="41"/>
        <v>Sin iniciar</v>
      </c>
      <c r="AW226" s="531"/>
      <c r="AX226" s="599"/>
      <c r="AY226" s="600"/>
      <c r="AZ226" s="536"/>
      <c r="BA226" s="536"/>
      <c r="BB226" s="56"/>
      <c r="BC226" s="531"/>
      <c r="BD226" s="583"/>
      <c r="BE226" s="583"/>
      <c r="BF226" s="583"/>
      <c r="BG226" s="583"/>
      <c r="BH226" s="583"/>
      <c r="BI226" s="583"/>
      <c r="BJ226" s="593"/>
      <c r="BK226" s="603"/>
      <c r="BL226" s="520"/>
      <c r="BM226" s="593"/>
      <c r="BN226" s="659"/>
      <c r="BO226" s="347">
        <v>0.8</v>
      </c>
      <c r="BP226" s="11" t="s">
        <v>3302</v>
      </c>
      <c r="BQ226" s="372" t="s">
        <v>3303</v>
      </c>
      <c r="BR226" s="5" t="str">
        <f t="shared" si="42"/>
        <v>En gestión</v>
      </c>
      <c r="BS226" s="5" t="str">
        <f t="shared" si="43"/>
        <v>En gestión</v>
      </c>
      <c r="BT226" s="573"/>
      <c r="BU226" s="561"/>
      <c r="BV226" s="562"/>
      <c r="BW226" s="610"/>
      <c r="BX226" s="610"/>
      <c r="BY226" s="573"/>
      <c r="BZ226" s="573"/>
      <c r="CA226" s="812"/>
      <c r="CB226" s="812"/>
      <c r="CC226" s="812"/>
      <c r="CD226" s="812"/>
      <c r="CE226" s="813"/>
      <c r="CF226" s="813"/>
      <c r="CG226" s="581"/>
      <c r="CH226" s="581"/>
      <c r="CI226" s="581"/>
      <c r="CJ226" s="581"/>
    </row>
    <row r="227" spans="2:88" ht="171.95" customHeight="1" x14ac:dyDescent="0.25">
      <c r="B227" s="1227"/>
      <c r="C227" s="639" t="s">
        <v>972</v>
      </c>
      <c r="D227" s="41" t="s">
        <v>267</v>
      </c>
      <c r="E227" s="41" t="s">
        <v>160</v>
      </c>
      <c r="F227" s="640" t="s">
        <v>973</v>
      </c>
      <c r="G227" s="41" t="s">
        <v>585</v>
      </c>
      <c r="H227" s="41" t="s">
        <v>28</v>
      </c>
      <c r="I227" s="41" t="s">
        <v>162</v>
      </c>
      <c r="J227" s="41" t="s">
        <v>47</v>
      </c>
      <c r="K227" s="641" t="s">
        <v>974</v>
      </c>
      <c r="L227" s="52" t="s">
        <v>164</v>
      </c>
      <c r="M227" s="42" t="s">
        <v>975</v>
      </c>
      <c r="N227" s="43" t="s">
        <v>976</v>
      </c>
      <c r="O227" s="147">
        <v>0.5</v>
      </c>
      <c r="P227" s="44">
        <v>44302</v>
      </c>
      <c r="Q227" s="44">
        <v>44424</v>
      </c>
      <c r="R227" s="170">
        <v>0</v>
      </c>
      <c r="S227" s="170">
        <v>0.7</v>
      </c>
      <c r="T227" s="170">
        <v>1</v>
      </c>
      <c r="U227" s="170">
        <v>1</v>
      </c>
      <c r="V227" s="90">
        <v>0</v>
      </c>
      <c r="W227" s="62" t="s">
        <v>37</v>
      </c>
      <c r="X227" s="63" t="s">
        <v>37</v>
      </c>
      <c r="Y227" s="19" t="str">
        <f t="shared" si="37"/>
        <v>Sin iniciar</v>
      </c>
      <c r="Z227" s="19" t="str">
        <f t="shared" si="38"/>
        <v>Sin iniciar</v>
      </c>
      <c r="AA227" s="532" t="s">
        <v>179</v>
      </c>
      <c r="AB227" s="596">
        <f>SUMPRODUCT(O227:O229,V227:V229)</f>
        <v>0</v>
      </c>
      <c r="AC227" s="597">
        <f>SUMPRODUCT(O227:O229,R227:R229)</f>
        <v>0</v>
      </c>
      <c r="AD227" s="611" t="str">
        <f>IF(AC227&lt;1%,"Sin iniciar",IF(AC227=100%,"Terminado","En gestión"))</f>
        <v>Sin iniciar</v>
      </c>
      <c r="AE227" s="611" t="str">
        <f>IF(AB227&lt;1%,"Sin iniciar",IF(AB227=100%,"Terminado","En gestión"))</f>
        <v>Sin iniciar</v>
      </c>
      <c r="AF227" s="66" t="s">
        <v>28</v>
      </c>
      <c r="AG227" s="579">
        <v>20966131</v>
      </c>
      <c r="AH227" s="579">
        <v>20966131</v>
      </c>
      <c r="AI227" s="579">
        <v>0</v>
      </c>
      <c r="AJ227" s="579">
        <v>8813680</v>
      </c>
      <c r="AK227" s="579">
        <v>8813680</v>
      </c>
      <c r="AL227" s="579">
        <v>0</v>
      </c>
      <c r="AM227" s="592" t="s">
        <v>2472</v>
      </c>
      <c r="AN227" s="598" t="s">
        <v>2473</v>
      </c>
      <c r="AO227" s="521" t="s">
        <v>2476</v>
      </c>
      <c r="AP227" s="532" t="s">
        <v>2477</v>
      </c>
      <c r="AQ227" s="579">
        <f>+AK227</f>
        <v>8813680</v>
      </c>
      <c r="AR227" s="1163">
        <v>0.7</v>
      </c>
      <c r="AS227" s="62" t="s">
        <v>5211</v>
      </c>
      <c r="AT227" s="198" t="s">
        <v>3304</v>
      </c>
      <c r="AU227" s="66" t="str">
        <f t="shared" si="40"/>
        <v>En gestión</v>
      </c>
      <c r="AV227" s="66" t="str">
        <f t="shared" si="41"/>
        <v>En gestión</v>
      </c>
      <c r="AW227" s="532" t="s">
        <v>1035</v>
      </c>
      <c r="AX227" s="599">
        <f>SUMPRODUCT(O227:O229,AR227:AR229)</f>
        <v>0.35</v>
      </c>
      <c r="AY227" s="600">
        <f>SUMPRODUCT(S227:S229,O227:O229)</f>
        <v>0.35</v>
      </c>
      <c r="AZ227" s="530" t="str">
        <f>IF(AY227&lt;1%,"Sin iniciar",IF(AY227=100%,"Terminado","En gestión"))</f>
        <v>En gestión</v>
      </c>
      <c r="BA227" s="530" t="str">
        <f>IF(AX227&lt;1%,"Sin iniciar",IF(AX227=100%,"Terminado","En gestión"))</f>
        <v>En gestión</v>
      </c>
      <c r="BB227" s="66"/>
      <c r="BC227" s="530" t="s">
        <v>47</v>
      </c>
      <c r="BD227" s="579">
        <v>20966131</v>
      </c>
      <c r="BE227" s="579">
        <v>20966131</v>
      </c>
      <c r="BF227" s="579">
        <v>3699905</v>
      </c>
      <c r="BG227" s="579">
        <v>8813680</v>
      </c>
      <c r="BH227" s="579">
        <v>8433780</v>
      </c>
      <c r="BI227" s="579">
        <v>1488314</v>
      </c>
      <c r="BJ227" s="592" t="s">
        <v>2534</v>
      </c>
      <c r="BK227" s="816">
        <v>2019011000147</v>
      </c>
      <c r="BL227" s="521" t="s">
        <v>2606</v>
      </c>
      <c r="BM227" s="532" t="s">
        <v>2477</v>
      </c>
      <c r="BN227" s="817" t="s">
        <v>2537</v>
      </c>
      <c r="BO227" s="347">
        <v>1</v>
      </c>
      <c r="BP227" s="24" t="s">
        <v>3305</v>
      </c>
      <c r="BQ227" s="373" t="s">
        <v>3306</v>
      </c>
      <c r="BR227" s="19" t="str">
        <f t="shared" si="42"/>
        <v>Terminado</v>
      </c>
      <c r="BS227" s="19" t="str">
        <f t="shared" si="43"/>
        <v>Terminado</v>
      </c>
      <c r="BT227" s="560" t="s">
        <v>3307</v>
      </c>
      <c r="BU227" s="561">
        <f>SUMPRODUCT(O227:O229,BO227:BO229)</f>
        <v>0.67500000000000004</v>
      </c>
      <c r="BV227" s="562">
        <f>SUMPRODUCT(O227:O229,T227:T229)</f>
        <v>0.67500000000000004</v>
      </c>
      <c r="BW227" s="611" t="str">
        <f>IF(BV227&lt;1%,"Sin iniciar",IF(BV227=100%,"Terminado","En gestión"))</f>
        <v>En gestión</v>
      </c>
      <c r="BX227" s="611" t="str">
        <f>IF(BU227&lt;1%,"Sin iniciar",IF(BU227=100%,"Terminado","En gestión"))</f>
        <v>En gestión</v>
      </c>
      <c r="BY227" s="578" t="s">
        <v>37</v>
      </c>
      <c r="BZ227" s="578" t="s">
        <v>47</v>
      </c>
      <c r="CA227" s="779">
        <v>20966131</v>
      </c>
      <c r="CB227" s="779">
        <v>20966131</v>
      </c>
      <c r="CC227" s="814">
        <v>11099716</v>
      </c>
      <c r="CD227" s="779">
        <v>8433780</v>
      </c>
      <c r="CE227" s="815">
        <v>8094340</v>
      </c>
      <c r="CF227" s="815">
        <v>4285239</v>
      </c>
      <c r="CG227" s="560" t="s">
        <v>2534</v>
      </c>
      <c r="CH227" s="560" t="s">
        <v>2606</v>
      </c>
      <c r="CI227" s="560" t="s">
        <v>2477</v>
      </c>
      <c r="CJ227" s="560" t="s">
        <v>2537</v>
      </c>
    </row>
    <row r="228" spans="2:88" ht="171.95" customHeight="1" x14ac:dyDescent="0.25">
      <c r="B228" s="1227"/>
      <c r="C228" s="639"/>
      <c r="D228" s="41" t="s">
        <v>267</v>
      </c>
      <c r="E228" s="41" t="s">
        <v>160</v>
      </c>
      <c r="F228" s="640"/>
      <c r="G228" s="41" t="s">
        <v>585</v>
      </c>
      <c r="H228" s="41" t="s">
        <v>28</v>
      </c>
      <c r="I228" s="41" t="s">
        <v>162</v>
      </c>
      <c r="J228" s="41" t="s">
        <v>47</v>
      </c>
      <c r="K228" s="641"/>
      <c r="L228" s="52" t="s">
        <v>164</v>
      </c>
      <c r="M228" s="42" t="s">
        <v>977</v>
      </c>
      <c r="N228" s="43" t="s">
        <v>978</v>
      </c>
      <c r="O228" s="147">
        <v>0.25</v>
      </c>
      <c r="P228" s="44">
        <v>44060</v>
      </c>
      <c r="Q228" s="44">
        <v>44496</v>
      </c>
      <c r="R228" s="170">
        <v>0</v>
      </c>
      <c r="S228" s="170">
        <v>0</v>
      </c>
      <c r="T228" s="170">
        <v>0.7</v>
      </c>
      <c r="U228" s="170">
        <v>1</v>
      </c>
      <c r="V228" s="90">
        <v>0</v>
      </c>
      <c r="W228" s="62" t="s">
        <v>37</v>
      </c>
      <c r="X228" s="63" t="s">
        <v>37</v>
      </c>
      <c r="Y228" s="19" t="str">
        <f t="shared" si="37"/>
        <v>Sin iniciar</v>
      </c>
      <c r="Z228" s="19" t="str">
        <f t="shared" si="38"/>
        <v>Sin iniciar</v>
      </c>
      <c r="AA228" s="532"/>
      <c r="AB228" s="596"/>
      <c r="AC228" s="597"/>
      <c r="AD228" s="611"/>
      <c r="AE228" s="611"/>
      <c r="AF228" s="66" t="s">
        <v>28</v>
      </c>
      <c r="AG228" s="579"/>
      <c r="AH228" s="579"/>
      <c r="AI228" s="579"/>
      <c r="AJ228" s="579"/>
      <c r="AK228" s="579"/>
      <c r="AL228" s="579"/>
      <c r="AM228" s="592"/>
      <c r="AN228" s="598"/>
      <c r="AO228" s="521"/>
      <c r="AP228" s="532"/>
      <c r="AQ228" s="579"/>
      <c r="AR228" s="1163">
        <v>0</v>
      </c>
      <c r="AS228" s="62" t="s">
        <v>2437</v>
      </c>
      <c r="AT228" s="63" t="s">
        <v>28</v>
      </c>
      <c r="AU228" s="66" t="str">
        <f t="shared" si="40"/>
        <v>Sin iniciar</v>
      </c>
      <c r="AV228" s="66" t="str">
        <f t="shared" si="41"/>
        <v>Sin iniciar</v>
      </c>
      <c r="AW228" s="532"/>
      <c r="AX228" s="599"/>
      <c r="AY228" s="600"/>
      <c r="AZ228" s="530"/>
      <c r="BA228" s="530"/>
      <c r="BB228" s="66"/>
      <c r="BC228" s="530"/>
      <c r="BD228" s="579"/>
      <c r="BE228" s="579"/>
      <c r="BF228" s="579"/>
      <c r="BG228" s="579"/>
      <c r="BH228" s="579"/>
      <c r="BI228" s="579"/>
      <c r="BJ228" s="592"/>
      <c r="BK228" s="816"/>
      <c r="BL228" s="521"/>
      <c r="BM228" s="532"/>
      <c r="BN228" s="817"/>
      <c r="BO228" s="347">
        <v>0.7</v>
      </c>
      <c r="BP228" s="24" t="s">
        <v>5212</v>
      </c>
      <c r="BQ228" s="373" t="s">
        <v>3308</v>
      </c>
      <c r="BR228" s="19" t="str">
        <f t="shared" si="42"/>
        <v>En gestión</v>
      </c>
      <c r="BS228" s="19" t="str">
        <f t="shared" si="43"/>
        <v>En gestión</v>
      </c>
      <c r="BT228" s="560"/>
      <c r="BU228" s="561"/>
      <c r="BV228" s="562"/>
      <c r="BW228" s="611"/>
      <c r="BX228" s="611"/>
      <c r="BY228" s="578"/>
      <c r="BZ228" s="578"/>
      <c r="CA228" s="779"/>
      <c r="CB228" s="779"/>
      <c r="CC228" s="814"/>
      <c r="CD228" s="779"/>
      <c r="CE228" s="815"/>
      <c r="CF228" s="815"/>
      <c r="CG228" s="560"/>
      <c r="CH228" s="560"/>
      <c r="CI228" s="560"/>
      <c r="CJ228" s="560"/>
    </row>
    <row r="229" spans="2:88" ht="171.95" customHeight="1" x14ac:dyDescent="0.25">
      <c r="B229" s="1227"/>
      <c r="C229" s="639"/>
      <c r="D229" s="41" t="s">
        <v>267</v>
      </c>
      <c r="E229" s="41" t="s">
        <v>160</v>
      </c>
      <c r="F229" s="640"/>
      <c r="G229" s="41" t="s">
        <v>585</v>
      </c>
      <c r="H229" s="41" t="s">
        <v>28</v>
      </c>
      <c r="I229" s="41" t="s">
        <v>162</v>
      </c>
      <c r="J229" s="41" t="s">
        <v>47</v>
      </c>
      <c r="K229" s="641"/>
      <c r="L229" s="52" t="s">
        <v>164</v>
      </c>
      <c r="M229" s="42" t="s">
        <v>979</v>
      </c>
      <c r="N229" s="43" t="s">
        <v>980</v>
      </c>
      <c r="O229" s="147">
        <v>0.25</v>
      </c>
      <c r="P229" s="44">
        <v>44497</v>
      </c>
      <c r="Q229" s="44">
        <v>44560</v>
      </c>
      <c r="R229" s="170">
        <v>0</v>
      </c>
      <c r="S229" s="170">
        <v>0</v>
      </c>
      <c r="T229" s="170">
        <v>0</v>
      </c>
      <c r="U229" s="170">
        <v>1</v>
      </c>
      <c r="V229" s="90">
        <v>0</v>
      </c>
      <c r="W229" s="62" t="s">
        <v>37</v>
      </c>
      <c r="X229" s="63" t="s">
        <v>37</v>
      </c>
      <c r="Y229" s="19" t="str">
        <f t="shared" si="37"/>
        <v>Sin iniciar</v>
      </c>
      <c r="Z229" s="19" t="str">
        <f t="shared" si="38"/>
        <v>Sin iniciar</v>
      </c>
      <c r="AA229" s="532"/>
      <c r="AB229" s="596"/>
      <c r="AC229" s="597"/>
      <c r="AD229" s="611"/>
      <c r="AE229" s="611"/>
      <c r="AF229" s="66" t="s">
        <v>28</v>
      </c>
      <c r="AG229" s="579"/>
      <c r="AH229" s="579"/>
      <c r="AI229" s="579"/>
      <c r="AJ229" s="579"/>
      <c r="AK229" s="579"/>
      <c r="AL229" s="579"/>
      <c r="AM229" s="592"/>
      <c r="AN229" s="598"/>
      <c r="AO229" s="521"/>
      <c r="AP229" s="532"/>
      <c r="AQ229" s="579"/>
      <c r="AR229" s="1163">
        <v>0</v>
      </c>
      <c r="AS229" s="62" t="s">
        <v>2437</v>
      </c>
      <c r="AT229" s="63" t="s">
        <v>28</v>
      </c>
      <c r="AU229" s="66" t="str">
        <f t="shared" si="40"/>
        <v>Sin iniciar</v>
      </c>
      <c r="AV229" s="66" t="str">
        <f t="shared" si="41"/>
        <v>Sin iniciar</v>
      </c>
      <c r="AW229" s="532"/>
      <c r="AX229" s="599"/>
      <c r="AY229" s="600"/>
      <c r="AZ229" s="530"/>
      <c r="BA229" s="530"/>
      <c r="BB229" s="66"/>
      <c r="BC229" s="530"/>
      <c r="BD229" s="579"/>
      <c r="BE229" s="579"/>
      <c r="BF229" s="579"/>
      <c r="BG229" s="579"/>
      <c r="BH229" s="579"/>
      <c r="BI229" s="579"/>
      <c r="BJ229" s="592"/>
      <c r="BK229" s="816"/>
      <c r="BL229" s="521"/>
      <c r="BM229" s="532"/>
      <c r="BN229" s="817"/>
      <c r="BO229" s="347">
        <v>0</v>
      </c>
      <c r="BP229" s="25" t="s">
        <v>28</v>
      </c>
      <c r="BQ229" s="25" t="s">
        <v>28</v>
      </c>
      <c r="BR229" s="19" t="str">
        <f t="shared" si="42"/>
        <v>Sin iniciar</v>
      </c>
      <c r="BS229" s="19" t="str">
        <f t="shared" si="43"/>
        <v>Sin iniciar</v>
      </c>
      <c r="BT229" s="560"/>
      <c r="BU229" s="561"/>
      <c r="BV229" s="562"/>
      <c r="BW229" s="611"/>
      <c r="BX229" s="611"/>
      <c r="BY229" s="578"/>
      <c r="BZ229" s="578"/>
      <c r="CA229" s="779"/>
      <c r="CB229" s="779"/>
      <c r="CC229" s="814"/>
      <c r="CD229" s="779"/>
      <c r="CE229" s="815"/>
      <c r="CF229" s="815"/>
      <c r="CG229" s="560"/>
      <c r="CH229" s="560"/>
      <c r="CI229" s="560"/>
      <c r="CJ229" s="560"/>
    </row>
    <row r="230" spans="2:88" ht="171.95" customHeight="1" x14ac:dyDescent="0.25">
      <c r="B230" s="1227"/>
      <c r="C230" s="632" t="s">
        <v>981</v>
      </c>
      <c r="D230" s="33" t="s">
        <v>267</v>
      </c>
      <c r="E230" s="33" t="s">
        <v>160</v>
      </c>
      <c r="F230" s="633" t="s">
        <v>982</v>
      </c>
      <c r="G230" s="33" t="s">
        <v>28</v>
      </c>
      <c r="H230" s="33" t="s">
        <v>28</v>
      </c>
      <c r="I230" s="33" t="s">
        <v>474</v>
      </c>
      <c r="J230" s="33" t="s">
        <v>47</v>
      </c>
      <c r="K230" s="634" t="s">
        <v>983</v>
      </c>
      <c r="L230" s="51" t="s">
        <v>164</v>
      </c>
      <c r="M230" s="34" t="s">
        <v>984</v>
      </c>
      <c r="N230" s="35" t="s">
        <v>985</v>
      </c>
      <c r="O230" s="33">
        <v>0.2</v>
      </c>
      <c r="P230" s="36">
        <v>44318</v>
      </c>
      <c r="Q230" s="36">
        <v>44392</v>
      </c>
      <c r="R230" s="37">
        <v>0</v>
      </c>
      <c r="S230" s="37">
        <v>0.1</v>
      </c>
      <c r="T230" s="37">
        <v>1</v>
      </c>
      <c r="U230" s="37">
        <v>1</v>
      </c>
      <c r="V230" s="90">
        <v>0</v>
      </c>
      <c r="W230" s="13" t="s">
        <v>37</v>
      </c>
      <c r="X230" s="55" t="s">
        <v>37</v>
      </c>
      <c r="Y230" s="5" t="str">
        <f t="shared" si="37"/>
        <v>Sin iniciar</v>
      </c>
      <c r="Z230" s="5" t="str">
        <f t="shared" si="38"/>
        <v>Sin iniciar</v>
      </c>
      <c r="AA230" s="531" t="s">
        <v>179</v>
      </c>
      <c r="AB230" s="596">
        <f>SUMPRODUCT(O230:O231,V230:V231)</f>
        <v>0</v>
      </c>
      <c r="AC230" s="597">
        <f>SUMPRODUCT(O230:O231,R230:R231)</f>
        <v>0</v>
      </c>
      <c r="AD230" s="610" t="str">
        <f>IF(AC230&lt;1%,"Sin iniciar",IF(AC230=100%,"Terminado","En gestión"))</f>
        <v>Sin iniciar</v>
      </c>
      <c r="AE230" s="610" t="str">
        <f>IF(AB230&lt;1%,"Sin iniciar",IF(AB230=100%,"Terminado","En gestión"))</f>
        <v>Sin iniciar</v>
      </c>
      <c r="AF230" s="56" t="s">
        <v>28</v>
      </c>
      <c r="AG230" s="659">
        <v>20966131</v>
      </c>
      <c r="AH230" s="583">
        <v>20966131</v>
      </c>
      <c r="AI230" s="583">
        <v>0</v>
      </c>
      <c r="AJ230" s="659">
        <v>81019800</v>
      </c>
      <c r="AK230" s="583">
        <v>81019800</v>
      </c>
      <c r="AL230" s="583">
        <v>0</v>
      </c>
      <c r="AM230" s="593" t="s">
        <v>2472</v>
      </c>
      <c r="AN230" s="603" t="s">
        <v>2473</v>
      </c>
      <c r="AO230" s="520" t="s">
        <v>2476</v>
      </c>
      <c r="AP230" s="531" t="s">
        <v>2477</v>
      </c>
      <c r="AQ230" s="583">
        <f>+AK230</f>
        <v>81019800</v>
      </c>
      <c r="AR230" s="1163">
        <v>0.1</v>
      </c>
      <c r="AS230" s="13" t="s">
        <v>1030</v>
      </c>
      <c r="AT230" s="68" t="s">
        <v>3309</v>
      </c>
      <c r="AU230" s="56" t="str">
        <f t="shared" si="40"/>
        <v>En gestión</v>
      </c>
      <c r="AV230" s="56" t="str">
        <f t="shared" si="41"/>
        <v>En gestión</v>
      </c>
      <c r="AW230" s="531" t="s">
        <v>1036</v>
      </c>
      <c r="AX230" s="599">
        <f>SUMPRODUCT(O230:O231,AR230:AR231)</f>
        <v>2.0000000000000004E-2</v>
      </c>
      <c r="AY230" s="600">
        <f>SUMPRODUCT(S230:S231,O230:O231)</f>
        <v>2.0000000000000004E-2</v>
      </c>
      <c r="AZ230" s="536" t="str">
        <f>IF(AY230&lt;1%,"Sin iniciar",IF(AY230=100%,"Terminado","En gestión"))</f>
        <v>En gestión</v>
      </c>
      <c r="BA230" s="536" t="str">
        <f>IF(AX230&lt;1%,"Sin iniciar",IF(AX230=100%,"Terminado","En gestión"))</f>
        <v>En gestión</v>
      </c>
      <c r="BB230" s="56"/>
      <c r="BC230" s="536" t="s">
        <v>47</v>
      </c>
      <c r="BD230" s="659">
        <v>20966131</v>
      </c>
      <c r="BE230" s="583">
        <v>20966131</v>
      </c>
      <c r="BF230" s="583">
        <v>3699905</v>
      </c>
      <c r="BG230" s="659">
        <v>81019800</v>
      </c>
      <c r="BH230" s="583">
        <v>78053233</v>
      </c>
      <c r="BI230" s="583">
        <v>28428000</v>
      </c>
      <c r="BJ230" s="593" t="s">
        <v>2534</v>
      </c>
      <c r="BK230" s="751">
        <v>2019011000147</v>
      </c>
      <c r="BL230" s="520" t="s">
        <v>2606</v>
      </c>
      <c r="BM230" s="531" t="s">
        <v>2477</v>
      </c>
      <c r="BN230" s="583" t="s">
        <v>2537</v>
      </c>
      <c r="BO230" s="347">
        <v>1</v>
      </c>
      <c r="BP230" s="11" t="s">
        <v>3310</v>
      </c>
      <c r="BQ230" s="372" t="s">
        <v>3311</v>
      </c>
      <c r="BR230" s="5" t="str">
        <f t="shared" si="42"/>
        <v>Terminado</v>
      </c>
      <c r="BS230" s="5" t="str">
        <f t="shared" si="43"/>
        <v>Terminado</v>
      </c>
      <c r="BT230" s="581" t="s">
        <v>3312</v>
      </c>
      <c r="BU230" s="561">
        <f>SUMPRODUCT(O230:O231,BO230:BO231)</f>
        <v>0.45</v>
      </c>
      <c r="BV230" s="562">
        <f>SUMPRODUCT(O230:O231,T230:T231)</f>
        <v>0.45</v>
      </c>
      <c r="BW230" s="610" t="str">
        <f>IF(BV230&lt;1%,"Sin iniciar",IF(BV230=100%,"Terminado","En gestión"))</f>
        <v>En gestión</v>
      </c>
      <c r="BX230" s="610" t="str">
        <f>IF(BU230&lt;1%,"Sin iniciar",IF(BU230=100%,"Terminado","En gestión"))</f>
        <v>En gestión</v>
      </c>
      <c r="BY230" s="573" t="s">
        <v>37</v>
      </c>
      <c r="BZ230" s="536" t="s">
        <v>47</v>
      </c>
      <c r="CA230" s="659">
        <v>20966131</v>
      </c>
      <c r="CB230" s="583">
        <v>20966131</v>
      </c>
      <c r="CC230" s="583">
        <v>11099716</v>
      </c>
      <c r="CD230" s="659">
        <v>78053233</v>
      </c>
      <c r="CE230" s="818">
        <v>78053233</v>
      </c>
      <c r="CF230" s="704">
        <v>50240000</v>
      </c>
      <c r="CG230" s="593" t="s">
        <v>2534</v>
      </c>
      <c r="CH230" s="520" t="s">
        <v>2606</v>
      </c>
      <c r="CI230" s="531" t="s">
        <v>2477</v>
      </c>
      <c r="CJ230" s="583" t="s">
        <v>2537</v>
      </c>
    </row>
    <row r="231" spans="2:88" ht="171.95" customHeight="1" x14ac:dyDescent="0.25">
      <c r="B231" s="1227"/>
      <c r="C231" s="632"/>
      <c r="D231" s="33" t="s">
        <v>267</v>
      </c>
      <c r="E231" s="33" t="s">
        <v>160</v>
      </c>
      <c r="F231" s="633"/>
      <c r="G231" s="33" t="s">
        <v>28</v>
      </c>
      <c r="H231" s="33" t="s">
        <v>28</v>
      </c>
      <c r="I231" s="33" t="s">
        <v>474</v>
      </c>
      <c r="J231" s="33" t="s">
        <v>47</v>
      </c>
      <c r="K231" s="634"/>
      <c r="L231" s="51" t="s">
        <v>164</v>
      </c>
      <c r="M231" s="34" t="s">
        <v>986</v>
      </c>
      <c r="N231" s="35" t="s">
        <v>987</v>
      </c>
      <c r="O231" s="33">
        <v>0.5</v>
      </c>
      <c r="P231" s="36">
        <v>44393</v>
      </c>
      <c r="Q231" s="36">
        <v>44560</v>
      </c>
      <c r="R231" s="37">
        <v>0</v>
      </c>
      <c r="S231" s="37">
        <v>0</v>
      </c>
      <c r="T231" s="37">
        <v>0.5</v>
      </c>
      <c r="U231" s="37">
        <v>1</v>
      </c>
      <c r="V231" s="90">
        <v>0</v>
      </c>
      <c r="W231" s="13" t="s">
        <v>37</v>
      </c>
      <c r="X231" s="55" t="s">
        <v>37</v>
      </c>
      <c r="Y231" s="5" t="str">
        <f t="shared" si="37"/>
        <v>Sin iniciar</v>
      </c>
      <c r="Z231" s="5" t="str">
        <f t="shared" si="38"/>
        <v>Sin iniciar</v>
      </c>
      <c r="AA231" s="531"/>
      <c r="AB231" s="596"/>
      <c r="AC231" s="597"/>
      <c r="AD231" s="610"/>
      <c r="AE231" s="610"/>
      <c r="AF231" s="56" t="s">
        <v>28</v>
      </c>
      <c r="AG231" s="659"/>
      <c r="AH231" s="583"/>
      <c r="AI231" s="583"/>
      <c r="AJ231" s="659"/>
      <c r="AK231" s="583"/>
      <c r="AL231" s="583"/>
      <c r="AM231" s="593"/>
      <c r="AN231" s="603"/>
      <c r="AO231" s="520"/>
      <c r="AP231" s="531"/>
      <c r="AQ231" s="583"/>
      <c r="AR231" s="1163">
        <v>0</v>
      </c>
      <c r="AS231" s="13" t="s">
        <v>2437</v>
      </c>
      <c r="AT231" s="55" t="s">
        <v>28</v>
      </c>
      <c r="AU231" s="56" t="str">
        <f t="shared" si="40"/>
        <v>Sin iniciar</v>
      </c>
      <c r="AV231" s="56" t="str">
        <f t="shared" si="41"/>
        <v>Sin iniciar</v>
      </c>
      <c r="AW231" s="531"/>
      <c r="AX231" s="599"/>
      <c r="AY231" s="600"/>
      <c r="AZ231" s="536"/>
      <c r="BA231" s="536"/>
      <c r="BB231" s="56"/>
      <c r="BC231" s="536"/>
      <c r="BD231" s="659"/>
      <c r="BE231" s="583"/>
      <c r="BF231" s="583"/>
      <c r="BG231" s="659"/>
      <c r="BH231" s="583"/>
      <c r="BI231" s="583"/>
      <c r="BJ231" s="593"/>
      <c r="BK231" s="751"/>
      <c r="BL231" s="520"/>
      <c r="BM231" s="531"/>
      <c r="BN231" s="583"/>
      <c r="BO231" s="347">
        <v>0.5</v>
      </c>
      <c r="BP231" s="11" t="s">
        <v>3313</v>
      </c>
      <c r="BQ231" s="372" t="s">
        <v>3314</v>
      </c>
      <c r="BR231" s="5" t="str">
        <f t="shared" si="42"/>
        <v>En gestión</v>
      </c>
      <c r="BS231" s="5" t="str">
        <f t="shared" si="43"/>
        <v>En gestión</v>
      </c>
      <c r="BT231" s="581"/>
      <c r="BU231" s="561"/>
      <c r="BV231" s="562"/>
      <c r="BW231" s="610"/>
      <c r="BX231" s="610"/>
      <c r="BY231" s="573"/>
      <c r="BZ231" s="536"/>
      <c r="CA231" s="659"/>
      <c r="CB231" s="583"/>
      <c r="CC231" s="583"/>
      <c r="CD231" s="659"/>
      <c r="CE231" s="818"/>
      <c r="CF231" s="704"/>
      <c r="CG231" s="593"/>
      <c r="CH231" s="520"/>
      <c r="CI231" s="531"/>
      <c r="CJ231" s="583"/>
    </row>
    <row r="232" spans="2:88" ht="171.95" customHeight="1" x14ac:dyDescent="0.25">
      <c r="B232" s="1227"/>
      <c r="C232" s="639" t="s">
        <v>988</v>
      </c>
      <c r="D232" s="41" t="s">
        <v>267</v>
      </c>
      <c r="E232" s="41" t="s">
        <v>26</v>
      </c>
      <c r="F232" s="640" t="s">
        <v>989</v>
      </c>
      <c r="G232" s="41" t="s">
        <v>28</v>
      </c>
      <c r="H232" s="41" t="s">
        <v>28</v>
      </c>
      <c r="I232" s="41" t="s">
        <v>474</v>
      </c>
      <c r="J232" s="41" t="s">
        <v>47</v>
      </c>
      <c r="K232" s="641" t="s">
        <v>990</v>
      </c>
      <c r="L232" s="52" t="s">
        <v>164</v>
      </c>
      <c r="M232" s="42" t="s">
        <v>991</v>
      </c>
      <c r="N232" s="43" t="s">
        <v>992</v>
      </c>
      <c r="O232" s="41">
        <v>0.5</v>
      </c>
      <c r="P232" s="44">
        <v>44211</v>
      </c>
      <c r="Q232" s="44">
        <v>44243</v>
      </c>
      <c r="R232" s="45">
        <v>1</v>
      </c>
      <c r="S232" s="45">
        <v>1</v>
      </c>
      <c r="T232" s="45">
        <v>1</v>
      </c>
      <c r="U232" s="45">
        <v>1</v>
      </c>
      <c r="V232" s="90">
        <v>1</v>
      </c>
      <c r="W232" s="62" t="s">
        <v>5213</v>
      </c>
      <c r="X232" s="124" t="s">
        <v>3315</v>
      </c>
      <c r="Y232" s="19" t="str">
        <f t="shared" si="37"/>
        <v>Terminado</v>
      </c>
      <c r="Z232" s="19" t="str">
        <f t="shared" si="38"/>
        <v>Terminado</v>
      </c>
      <c r="AA232" s="532" t="s">
        <v>1026</v>
      </c>
      <c r="AB232" s="596">
        <f>SUMPRODUCT(O232:O233,V232:V233)</f>
        <v>0.625</v>
      </c>
      <c r="AC232" s="597">
        <f>SUMPRODUCT(O232:O233,R232:R233)</f>
        <v>0.625</v>
      </c>
      <c r="AD232" s="611" t="str">
        <f>IF(AC232&lt;1%,"Sin iniciar",IF(AC232=100%,"Terminado","En gestión"))</f>
        <v>En gestión</v>
      </c>
      <c r="AE232" s="611" t="str">
        <f>IF(AB232&lt;1%,"Sin iniciar",IF(AB232=100%,"Terminado","En gestión"))</f>
        <v>En gestión</v>
      </c>
      <c r="AF232" s="66" t="s">
        <v>28</v>
      </c>
      <c r="AG232" s="579">
        <v>10483066</v>
      </c>
      <c r="AH232" s="579">
        <v>10483066</v>
      </c>
      <c r="AI232" s="579">
        <v>2620766</v>
      </c>
      <c r="AJ232" s="658">
        <v>137498400</v>
      </c>
      <c r="AK232" s="579">
        <v>137498400</v>
      </c>
      <c r="AL232" s="579">
        <v>6067000</v>
      </c>
      <c r="AM232" s="592" t="s">
        <v>2472</v>
      </c>
      <c r="AN232" s="598" t="s">
        <v>2473</v>
      </c>
      <c r="AO232" s="521" t="s">
        <v>2476</v>
      </c>
      <c r="AP232" s="532" t="s">
        <v>2477</v>
      </c>
      <c r="AQ232" s="579">
        <f>+AK232</f>
        <v>137498400</v>
      </c>
      <c r="AR232" s="1163">
        <v>1</v>
      </c>
      <c r="AS232" s="62" t="s">
        <v>2434</v>
      </c>
      <c r="AT232" s="199" t="s">
        <v>28</v>
      </c>
      <c r="AU232" s="66" t="str">
        <f t="shared" si="40"/>
        <v>Terminado</v>
      </c>
      <c r="AV232" s="66" t="str">
        <f t="shared" si="41"/>
        <v>Terminado</v>
      </c>
      <c r="AW232" s="532" t="s">
        <v>1037</v>
      </c>
      <c r="AX232" s="599">
        <f>SUMPRODUCT(O232:O233,AR232:AR233)</f>
        <v>0.75</v>
      </c>
      <c r="AY232" s="600">
        <f>SUMPRODUCT(S232:S233,O232:O233)</f>
        <v>0.75</v>
      </c>
      <c r="AZ232" s="530" t="str">
        <f>IF(AY232&lt;1%,"Sin iniciar",IF(AY232=100%,"Terminado","En gestión"))</f>
        <v>En gestión</v>
      </c>
      <c r="BA232" s="530" t="str">
        <f>IF(AX232&lt;1%,"Sin iniciar",IF(AX232=100%,"Terminado","En gestión"))</f>
        <v>En gestión</v>
      </c>
      <c r="BB232" s="66"/>
      <c r="BC232" s="530" t="s">
        <v>47</v>
      </c>
      <c r="BD232" s="579">
        <v>10483066</v>
      </c>
      <c r="BE232" s="579">
        <v>10483066</v>
      </c>
      <c r="BF232" s="579">
        <v>5241532</v>
      </c>
      <c r="BG232" s="658">
        <v>137498400</v>
      </c>
      <c r="BH232" s="579">
        <v>133969350</v>
      </c>
      <c r="BI232" s="579">
        <v>64642000</v>
      </c>
      <c r="BJ232" s="592" t="s">
        <v>2534</v>
      </c>
      <c r="BK232" s="753">
        <v>2019011000147</v>
      </c>
      <c r="BL232" s="521" t="s">
        <v>2606</v>
      </c>
      <c r="BM232" s="532" t="s">
        <v>2477</v>
      </c>
      <c r="BN232" s="817" t="s">
        <v>2537</v>
      </c>
      <c r="BO232" s="347">
        <v>1</v>
      </c>
      <c r="BP232" s="24" t="s">
        <v>2434</v>
      </c>
      <c r="BQ232" s="25" t="s">
        <v>28</v>
      </c>
      <c r="BR232" s="19" t="str">
        <f t="shared" si="42"/>
        <v>Terminado</v>
      </c>
      <c r="BS232" s="19" t="str">
        <f t="shared" si="43"/>
        <v>Terminado</v>
      </c>
      <c r="BT232" s="560" t="s">
        <v>5214</v>
      </c>
      <c r="BU232" s="561">
        <f>SUMPRODUCT(O232:O233,BO232:BO233)</f>
        <v>0.89</v>
      </c>
      <c r="BV232" s="562">
        <f>SUMPRODUCT(O232:O233,T232:T233)</f>
        <v>0.875</v>
      </c>
      <c r="BW232" s="611" t="str">
        <f>IF(BV232&lt;1%,"Sin iniciar",IF(BV232=100%,"Terminado","En gestión"))</f>
        <v>En gestión</v>
      </c>
      <c r="BX232" s="611" t="str">
        <f>IF(BU232&lt;1%,"Sin iniciar",IF(BU232=100%,"Terminado","En gestión"))</f>
        <v>En gestión</v>
      </c>
      <c r="BY232" s="578" t="s">
        <v>37</v>
      </c>
      <c r="BZ232" s="530" t="s">
        <v>47</v>
      </c>
      <c r="CA232" s="579">
        <v>10483066</v>
      </c>
      <c r="CB232" s="579">
        <v>10483066</v>
      </c>
      <c r="CC232" s="579">
        <v>7862299</v>
      </c>
      <c r="CD232" s="658">
        <v>133969350</v>
      </c>
      <c r="CE232" s="715">
        <v>133969350</v>
      </c>
      <c r="CF232" s="715">
        <v>69563250</v>
      </c>
      <c r="CG232" s="592" t="s">
        <v>2534</v>
      </c>
      <c r="CH232" s="521" t="s">
        <v>2606</v>
      </c>
      <c r="CI232" s="532" t="s">
        <v>2477</v>
      </c>
      <c r="CJ232" s="817" t="s">
        <v>2537</v>
      </c>
    </row>
    <row r="233" spans="2:88" ht="171.95" customHeight="1" x14ac:dyDescent="0.25">
      <c r="B233" s="1227"/>
      <c r="C233" s="639"/>
      <c r="D233" s="41" t="s">
        <v>267</v>
      </c>
      <c r="E233" s="41" t="s">
        <v>160</v>
      </c>
      <c r="F233" s="640"/>
      <c r="G233" s="41" t="s">
        <v>28</v>
      </c>
      <c r="H233" s="41" t="s">
        <v>28</v>
      </c>
      <c r="I233" s="41" t="s">
        <v>474</v>
      </c>
      <c r="J233" s="41" t="s">
        <v>47</v>
      </c>
      <c r="K233" s="641"/>
      <c r="L233" s="52" t="s">
        <v>164</v>
      </c>
      <c r="M233" s="42" t="s">
        <v>993</v>
      </c>
      <c r="N233" s="43" t="s">
        <v>994</v>
      </c>
      <c r="O233" s="41">
        <v>0.5</v>
      </c>
      <c r="P233" s="44">
        <v>44243</v>
      </c>
      <c r="Q233" s="44">
        <v>44560</v>
      </c>
      <c r="R233" s="45">
        <v>0.25</v>
      </c>
      <c r="S233" s="45">
        <v>0.5</v>
      </c>
      <c r="T233" s="45">
        <v>0.75</v>
      </c>
      <c r="U233" s="45">
        <v>1</v>
      </c>
      <c r="V233" s="90">
        <v>0.25</v>
      </c>
      <c r="W233" s="62" t="s">
        <v>995</v>
      </c>
      <c r="X233" s="200" t="s">
        <v>3316</v>
      </c>
      <c r="Y233" s="19" t="str">
        <f t="shared" si="37"/>
        <v>En gestión</v>
      </c>
      <c r="Z233" s="19" t="str">
        <f t="shared" si="38"/>
        <v>En gestión</v>
      </c>
      <c r="AA233" s="532"/>
      <c r="AB233" s="596"/>
      <c r="AC233" s="597"/>
      <c r="AD233" s="611"/>
      <c r="AE233" s="611"/>
      <c r="AF233" s="66" t="s">
        <v>28</v>
      </c>
      <c r="AG233" s="579"/>
      <c r="AH233" s="579"/>
      <c r="AI233" s="579"/>
      <c r="AJ233" s="658"/>
      <c r="AK233" s="579"/>
      <c r="AL233" s="579"/>
      <c r="AM233" s="592"/>
      <c r="AN233" s="598"/>
      <c r="AO233" s="521"/>
      <c r="AP233" s="532"/>
      <c r="AQ233" s="579"/>
      <c r="AR233" s="1163">
        <v>0.5</v>
      </c>
      <c r="AS233" s="62" t="s">
        <v>1031</v>
      </c>
      <c r="AT233" s="198" t="s">
        <v>3317</v>
      </c>
      <c r="AU233" s="66" t="str">
        <f t="shared" si="40"/>
        <v>En gestión</v>
      </c>
      <c r="AV233" s="66" t="str">
        <f t="shared" si="41"/>
        <v>En gestión</v>
      </c>
      <c r="AW233" s="532"/>
      <c r="AX233" s="599"/>
      <c r="AY233" s="600"/>
      <c r="AZ233" s="530"/>
      <c r="BA233" s="530"/>
      <c r="BB233" s="66"/>
      <c r="BC233" s="530"/>
      <c r="BD233" s="579"/>
      <c r="BE233" s="579"/>
      <c r="BF233" s="579"/>
      <c r="BG233" s="658"/>
      <c r="BH233" s="579"/>
      <c r="BI233" s="579"/>
      <c r="BJ233" s="592"/>
      <c r="BK233" s="753"/>
      <c r="BL233" s="521"/>
      <c r="BM233" s="532"/>
      <c r="BN233" s="817"/>
      <c r="BO233" s="347">
        <v>0.78</v>
      </c>
      <c r="BP233" s="24" t="s">
        <v>3318</v>
      </c>
      <c r="BQ233" s="373" t="s">
        <v>3319</v>
      </c>
      <c r="BR233" s="19" t="str">
        <f t="shared" si="42"/>
        <v>En gestión</v>
      </c>
      <c r="BS233" s="19" t="str">
        <f t="shared" si="43"/>
        <v>En gestión</v>
      </c>
      <c r="BT233" s="560"/>
      <c r="BU233" s="561"/>
      <c r="BV233" s="562"/>
      <c r="BW233" s="611"/>
      <c r="BX233" s="611"/>
      <c r="BY233" s="578"/>
      <c r="BZ233" s="530"/>
      <c r="CA233" s="579"/>
      <c r="CB233" s="579"/>
      <c r="CC233" s="579"/>
      <c r="CD233" s="658"/>
      <c r="CE233" s="715"/>
      <c r="CF233" s="715"/>
      <c r="CG233" s="592"/>
      <c r="CH233" s="521"/>
      <c r="CI233" s="532"/>
      <c r="CJ233" s="817"/>
    </row>
    <row r="234" spans="2:88" ht="171.95" customHeight="1" x14ac:dyDescent="0.25">
      <c r="B234" s="1227"/>
      <c r="C234" s="632" t="s">
        <v>996</v>
      </c>
      <c r="D234" s="33" t="s">
        <v>267</v>
      </c>
      <c r="E234" s="33" t="s">
        <v>26</v>
      </c>
      <c r="F234" s="633" t="s">
        <v>997</v>
      </c>
      <c r="G234" s="33" t="s">
        <v>28</v>
      </c>
      <c r="H234" s="33" t="s">
        <v>28</v>
      </c>
      <c r="I234" s="33" t="s">
        <v>474</v>
      </c>
      <c r="J234" s="33" t="s">
        <v>47</v>
      </c>
      <c r="K234" s="634" t="s">
        <v>998</v>
      </c>
      <c r="L234" s="51" t="s">
        <v>187</v>
      </c>
      <c r="M234" s="34" t="s">
        <v>999</v>
      </c>
      <c r="N234" s="35" t="s">
        <v>1000</v>
      </c>
      <c r="O234" s="33">
        <v>0.7</v>
      </c>
      <c r="P234" s="36">
        <v>44378</v>
      </c>
      <c r="Q234" s="36">
        <v>44469</v>
      </c>
      <c r="R234" s="37">
        <v>0</v>
      </c>
      <c r="S234" s="37">
        <v>0</v>
      </c>
      <c r="T234" s="37">
        <v>1</v>
      </c>
      <c r="U234" s="37">
        <v>1</v>
      </c>
      <c r="V234" s="90">
        <v>0</v>
      </c>
      <c r="W234" s="56" t="s">
        <v>37</v>
      </c>
      <c r="X234" s="94" t="s">
        <v>37</v>
      </c>
      <c r="Y234" s="5" t="str">
        <f t="shared" si="37"/>
        <v>Sin iniciar</v>
      </c>
      <c r="Z234" s="5" t="str">
        <f t="shared" si="38"/>
        <v>Sin iniciar</v>
      </c>
      <c r="AA234" s="531" t="s">
        <v>1027</v>
      </c>
      <c r="AB234" s="596">
        <f>SUMPRODUCT(O234:O235,V234:V235)</f>
        <v>0</v>
      </c>
      <c r="AC234" s="597">
        <f>SUMPRODUCT(O234:O235,R234:R235)</f>
        <v>0</v>
      </c>
      <c r="AD234" s="610" t="str">
        <f>IF(AC234&lt;1%,"Sin iniciar",IF(AC234=100%,"Terminado","En gestión"))</f>
        <v>Sin iniciar</v>
      </c>
      <c r="AE234" s="610" t="str">
        <f>IF(AB234&lt;1%,"Sin iniciar",IF(AB234=100%,"Terminado","En gestión"))</f>
        <v>Sin iniciar</v>
      </c>
      <c r="AF234" s="56" t="s">
        <v>28</v>
      </c>
      <c r="AG234" s="583">
        <v>57842344</v>
      </c>
      <c r="AH234" s="583">
        <v>57842344</v>
      </c>
      <c r="AI234" s="583">
        <v>0</v>
      </c>
      <c r="AJ234" s="583">
        <v>190150633.33000001</v>
      </c>
      <c r="AK234" s="583">
        <v>190150633</v>
      </c>
      <c r="AL234" s="583">
        <v>0</v>
      </c>
      <c r="AM234" s="593" t="s">
        <v>2472</v>
      </c>
      <c r="AN234" s="603" t="s">
        <v>2473</v>
      </c>
      <c r="AO234" s="520" t="s">
        <v>2474</v>
      </c>
      <c r="AP234" s="531" t="s">
        <v>2475</v>
      </c>
      <c r="AQ234" s="583">
        <f>+AK234</f>
        <v>190150633</v>
      </c>
      <c r="AR234" s="1163">
        <v>0</v>
      </c>
      <c r="AS234" s="13" t="s">
        <v>2437</v>
      </c>
      <c r="AT234" s="94" t="s">
        <v>3320</v>
      </c>
      <c r="AU234" s="56" t="str">
        <f t="shared" si="40"/>
        <v>Sin iniciar</v>
      </c>
      <c r="AV234" s="56" t="str">
        <f t="shared" si="41"/>
        <v>Sin iniciar</v>
      </c>
      <c r="AW234" s="531" t="s">
        <v>2437</v>
      </c>
      <c r="AX234" s="599">
        <f>SUMPRODUCT(O234:O235,AR234:AR235)</f>
        <v>0</v>
      </c>
      <c r="AY234" s="600">
        <f>SUMPRODUCT(S234:S235,O234:O235)</f>
        <v>0</v>
      </c>
      <c r="AZ234" s="536" t="str">
        <f>IF(AY234&lt;1%,"Sin iniciar",IF(AY234=100%,"Terminado","En gestión"))</f>
        <v>Sin iniciar</v>
      </c>
      <c r="BA234" s="536" t="str">
        <f>IF(AX234&lt;1%,"Sin iniciar",IF(AX234=100%,"Terminado","En gestión"))</f>
        <v>Sin iniciar</v>
      </c>
      <c r="BB234" s="56"/>
      <c r="BC234" s="536" t="s">
        <v>47</v>
      </c>
      <c r="BD234" s="583">
        <v>57842344</v>
      </c>
      <c r="BE234" s="583">
        <v>57842344</v>
      </c>
      <c r="BF234" s="583">
        <v>0</v>
      </c>
      <c r="BG234" s="583">
        <v>190150633.33000001</v>
      </c>
      <c r="BH234" s="583">
        <v>219200200</v>
      </c>
      <c r="BI234" s="583">
        <v>0</v>
      </c>
      <c r="BJ234" s="593" t="s">
        <v>2534</v>
      </c>
      <c r="BK234" s="751">
        <v>2019011000147</v>
      </c>
      <c r="BL234" s="520" t="s">
        <v>2474</v>
      </c>
      <c r="BM234" s="531" t="s">
        <v>2475</v>
      </c>
      <c r="BN234" s="531" t="s">
        <v>2535</v>
      </c>
      <c r="BO234" s="347">
        <v>1</v>
      </c>
      <c r="BP234" s="11" t="s">
        <v>3321</v>
      </c>
      <c r="BQ234" s="372" t="s">
        <v>3322</v>
      </c>
      <c r="BR234" s="5" t="str">
        <f t="shared" si="42"/>
        <v>Terminado</v>
      </c>
      <c r="BS234" s="5" t="str">
        <f t="shared" si="43"/>
        <v>Terminado</v>
      </c>
      <c r="BT234" s="581" t="s">
        <v>3323</v>
      </c>
      <c r="BU234" s="561">
        <f>SUMPRODUCT(O234:O235,BO234:BO235)</f>
        <v>0.7</v>
      </c>
      <c r="BV234" s="562">
        <f>SUMPRODUCT(O234:O235,T234:T235)</f>
        <v>0.7</v>
      </c>
      <c r="BW234" s="610" t="str">
        <f>IF(BV234&lt;1%,"Sin iniciar",IF(BV234=100%,"Terminado","En gestión"))</f>
        <v>En gestión</v>
      </c>
      <c r="BX234" s="610" t="str">
        <f>IF(BU234&lt;1%,"Sin iniciar",IF(BU234=100%,"Terminado","En gestión"))</f>
        <v>En gestión</v>
      </c>
      <c r="BY234" s="573" t="s">
        <v>37</v>
      </c>
      <c r="BZ234" s="573" t="s">
        <v>47</v>
      </c>
      <c r="CA234" s="812">
        <v>57842344</v>
      </c>
      <c r="CB234" s="812">
        <v>57842344</v>
      </c>
      <c r="CC234" s="812">
        <v>28921172</v>
      </c>
      <c r="CD234" s="812">
        <v>219200200</v>
      </c>
      <c r="CE234" s="813">
        <v>219200200</v>
      </c>
      <c r="CF234" s="813">
        <v>143512000</v>
      </c>
      <c r="CG234" s="593" t="s">
        <v>2534</v>
      </c>
      <c r="CH234" s="520" t="s">
        <v>2474</v>
      </c>
      <c r="CI234" s="531" t="s">
        <v>2475</v>
      </c>
      <c r="CJ234" s="531" t="s">
        <v>2535</v>
      </c>
    </row>
    <row r="235" spans="2:88" ht="171.95" customHeight="1" x14ac:dyDescent="0.25">
      <c r="B235" s="1227"/>
      <c r="C235" s="632"/>
      <c r="D235" s="33" t="s">
        <v>267</v>
      </c>
      <c r="E235" s="33" t="s">
        <v>26</v>
      </c>
      <c r="F235" s="633"/>
      <c r="G235" s="33" t="s">
        <v>28</v>
      </c>
      <c r="H235" s="33" t="s">
        <v>28</v>
      </c>
      <c r="I235" s="33" t="s">
        <v>474</v>
      </c>
      <c r="J235" s="33" t="s">
        <v>47</v>
      </c>
      <c r="K235" s="634"/>
      <c r="L235" s="51" t="s">
        <v>187</v>
      </c>
      <c r="M235" s="34" t="s">
        <v>1001</v>
      </c>
      <c r="N235" s="35" t="s">
        <v>1002</v>
      </c>
      <c r="O235" s="33">
        <v>0.3</v>
      </c>
      <c r="P235" s="36">
        <v>44470</v>
      </c>
      <c r="Q235" s="36">
        <v>44560</v>
      </c>
      <c r="R235" s="37">
        <v>0</v>
      </c>
      <c r="S235" s="37">
        <v>0</v>
      </c>
      <c r="T235" s="37">
        <v>0</v>
      </c>
      <c r="U235" s="37">
        <v>1</v>
      </c>
      <c r="V235" s="90">
        <v>0</v>
      </c>
      <c r="W235" s="56" t="s">
        <v>37</v>
      </c>
      <c r="X235" s="94" t="s">
        <v>37</v>
      </c>
      <c r="Y235" s="5" t="str">
        <f t="shared" si="37"/>
        <v>Sin iniciar</v>
      </c>
      <c r="Z235" s="5" t="str">
        <f t="shared" si="38"/>
        <v>Sin iniciar</v>
      </c>
      <c r="AA235" s="531"/>
      <c r="AB235" s="596"/>
      <c r="AC235" s="597"/>
      <c r="AD235" s="610"/>
      <c r="AE235" s="610"/>
      <c r="AF235" s="56" t="s">
        <v>28</v>
      </c>
      <c r="AG235" s="583"/>
      <c r="AH235" s="583"/>
      <c r="AI235" s="583"/>
      <c r="AJ235" s="583"/>
      <c r="AK235" s="583"/>
      <c r="AL235" s="583"/>
      <c r="AM235" s="593"/>
      <c r="AN235" s="603"/>
      <c r="AO235" s="520"/>
      <c r="AP235" s="531"/>
      <c r="AQ235" s="583"/>
      <c r="AR235" s="1163">
        <v>0</v>
      </c>
      <c r="AS235" s="13" t="s">
        <v>2437</v>
      </c>
      <c r="AT235" s="94" t="s">
        <v>3320</v>
      </c>
      <c r="AU235" s="56" t="str">
        <f t="shared" si="40"/>
        <v>Sin iniciar</v>
      </c>
      <c r="AV235" s="56" t="str">
        <f t="shared" si="41"/>
        <v>Sin iniciar</v>
      </c>
      <c r="AW235" s="531"/>
      <c r="AX235" s="599"/>
      <c r="AY235" s="600"/>
      <c r="AZ235" s="536"/>
      <c r="BA235" s="536"/>
      <c r="BB235" s="56"/>
      <c r="BC235" s="536"/>
      <c r="BD235" s="583"/>
      <c r="BE235" s="583"/>
      <c r="BF235" s="583"/>
      <c r="BG235" s="583"/>
      <c r="BH235" s="583"/>
      <c r="BI235" s="583"/>
      <c r="BJ235" s="593"/>
      <c r="BK235" s="751"/>
      <c r="BL235" s="520"/>
      <c r="BM235" s="531"/>
      <c r="BN235" s="531"/>
      <c r="BO235" s="347">
        <v>0</v>
      </c>
      <c r="BP235" s="12" t="s">
        <v>28</v>
      </c>
      <c r="BQ235" s="12" t="s">
        <v>28</v>
      </c>
      <c r="BR235" s="5" t="str">
        <f t="shared" si="42"/>
        <v>Sin iniciar</v>
      </c>
      <c r="BS235" s="5" t="str">
        <f t="shared" si="43"/>
        <v>Sin iniciar</v>
      </c>
      <c r="BT235" s="573"/>
      <c r="BU235" s="561"/>
      <c r="BV235" s="562"/>
      <c r="BW235" s="610"/>
      <c r="BX235" s="610"/>
      <c r="BY235" s="573"/>
      <c r="BZ235" s="573"/>
      <c r="CA235" s="812"/>
      <c r="CB235" s="812"/>
      <c r="CC235" s="812"/>
      <c r="CD235" s="812"/>
      <c r="CE235" s="813"/>
      <c r="CF235" s="813"/>
      <c r="CG235" s="593"/>
      <c r="CH235" s="520"/>
      <c r="CI235" s="531"/>
      <c r="CJ235" s="531"/>
    </row>
    <row r="236" spans="2:88" ht="171.95" customHeight="1" x14ac:dyDescent="0.25">
      <c r="B236" s="1227"/>
      <c r="C236" s="639" t="s">
        <v>1003</v>
      </c>
      <c r="D236" s="41" t="s">
        <v>267</v>
      </c>
      <c r="E236" s="41" t="s">
        <v>26</v>
      </c>
      <c r="F236" s="640" t="s">
        <v>1004</v>
      </c>
      <c r="G236" s="41" t="s">
        <v>28</v>
      </c>
      <c r="H236" s="41" t="s">
        <v>28</v>
      </c>
      <c r="I236" s="41" t="s">
        <v>474</v>
      </c>
      <c r="J236" s="41" t="s">
        <v>47</v>
      </c>
      <c r="K236" s="641" t="s">
        <v>1005</v>
      </c>
      <c r="L236" s="52" t="s">
        <v>187</v>
      </c>
      <c r="M236" s="42" t="s">
        <v>1006</v>
      </c>
      <c r="N236" s="43" t="s">
        <v>1007</v>
      </c>
      <c r="O236" s="41">
        <v>0.2</v>
      </c>
      <c r="P236" s="44">
        <v>44288</v>
      </c>
      <c r="Q236" s="44">
        <v>44362</v>
      </c>
      <c r="R236" s="45">
        <v>0</v>
      </c>
      <c r="S236" s="45">
        <v>1</v>
      </c>
      <c r="T236" s="45">
        <v>1</v>
      </c>
      <c r="U236" s="45">
        <v>1</v>
      </c>
      <c r="V236" s="90">
        <v>0</v>
      </c>
      <c r="W236" s="66" t="s">
        <v>37</v>
      </c>
      <c r="X236" s="91" t="s">
        <v>37</v>
      </c>
      <c r="Y236" s="19" t="str">
        <f t="shared" si="37"/>
        <v>Sin iniciar</v>
      </c>
      <c r="Z236" s="19" t="str">
        <f t="shared" si="38"/>
        <v>Sin iniciar</v>
      </c>
      <c r="AA236" s="532" t="s">
        <v>1027</v>
      </c>
      <c r="AB236" s="596">
        <f>SUMPRODUCT(O236:O237,V236:V237)</f>
        <v>0</v>
      </c>
      <c r="AC236" s="597">
        <f>SUMPRODUCT(O236:O237,R236:R237)</f>
        <v>0</v>
      </c>
      <c r="AD236" s="611" t="str">
        <f>IF(AC236&lt;1%,"Sin iniciar",IF(AC236=100%,"Terminado","En gestión"))</f>
        <v>Sin iniciar</v>
      </c>
      <c r="AE236" s="611" t="str">
        <f>IF(AB236&lt;1%,"Sin iniciar",IF(AB236=100%,"Terminado","En gestión"))</f>
        <v>Sin iniciar</v>
      </c>
      <c r="AF236" s="66" t="s">
        <v>28</v>
      </c>
      <c r="AG236" s="579">
        <v>0</v>
      </c>
      <c r="AH236" s="579">
        <v>0</v>
      </c>
      <c r="AI236" s="579">
        <v>0</v>
      </c>
      <c r="AJ236" s="579">
        <v>36911200</v>
      </c>
      <c r="AK236" s="579">
        <v>36911200</v>
      </c>
      <c r="AL236" s="579">
        <v>0</v>
      </c>
      <c r="AM236" s="592" t="s">
        <v>2472</v>
      </c>
      <c r="AN236" s="598" t="s">
        <v>2473</v>
      </c>
      <c r="AO236" s="521" t="s">
        <v>2474</v>
      </c>
      <c r="AP236" s="532" t="s">
        <v>2475</v>
      </c>
      <c r="AQ236" s="579">
        <f>+AK236</f>
        <v>36911200</v>
      </c>
      <c r="AR236" s="1163">
        <v>1</v>
      </c>
      <c r="AS236" s="62" t="s">
        <v>1032</v>
      </c>
      <c r="AT236" s="198" t="s">
        <v>3324</v>
      </c>
      <c r="AU236" s="66" t="str">
        <f t="shared" si="40"/>
        <v>Terminado</v>
      </c>
      <c r="AV236" s="66" t="str">
        <f t="shared" si="41"/>
        <v>Terminado</v>
      </c>
      <c r="AW236" s="532" t="s">
        <v>1032</v>
      </c>
      <c r="AX236" s="599">
        <f>SUMPRODUCT(O236:O237,AR236:AR237)</f>
        <v>0.2</v>
      </c>
      <c r="AY236" s="600">
        <f>SUMPRODUCT(S236:S237,O236:O237)</f>
        <v>0.2</v>
      </c>
      <c r="AZ236" s="530" t="str">
        <f>IF(AY236&lt;1%,"Sin iniciar",IF(AY236=100%,"Terminado","En gestión"))</f>
        <v>En gestión</v>
      </c>
      <c r="BA236" s="530" t="str">
        <f>IF(AX236&lt;1%,"Sin iniciar",IF(AX236=100%,"Terminado","En gestión"))</f>
        <v>En gestión</v>
      </c>
      <c r="BB236" s="66"/>
      <c r="BC236" s="530" t="s">
        <v>47</v>
      </c>
      <c r="BD236" s="579">
        <v>0</v>
      </c>
      <c r="BE236" s="579">
        <v>0</v>
      </c>
      <c r="BF236" s="579">
        <v>0</v>
      </c>
      <c r="BG236" s="579">
        <v>36911200</v>
      </c>
      <c r="BH236" s="579">
        <v>35320200</v>
      </c>
      <c r="BI236" s="579">
        <v>12728000</v>
      </c>
      <c r="BJ236" s="592" t="s">
        <v>2534</v>
      </c>
      <c r="BK236" s="598">
        <v>2019011000147</v>
      </c>
      <c r="BL236" s="521" t="s">
        <v>2474</v>
      </c>
      <c r="BM236" s="532" t="s">
        <v>2475</v>
      </c>
      <c r="BN236" s="579" t="s">
        <v>2535</v>
      </c>
      <c r="BO236" s="347">
        <v>1</v>
      </c>
      <c r="BP236" s="25" t="s">
        <v>2434</v>
      </c>
      <c r="BQ236" s="25" t="s">
        <v>3320</v>
      </c>
      <c r="BR236" s="19" t="str">
        <f t="shared" si="42"/>
        <v>Terminado</v>
      </c>
      <c r="BS236" s="19" t="str">
        <f t="shared" si="43"/>
        <v>Terminado</v>
      </c>
      <c r="BT236" s="560" t="s">
        <v>3325</v>
      </c>
      <c r="BU236" s="561">
        <f>SUMPRODUCT(O236:O237,BO236:BO237)</f>
        <v>0.65</v>
      </c>
      <c r="BV236" s="562">
        <f>SUMPRODUCT(O236:O237,T236:T237)</f>
        <v>0.27500000000000002</v>
      </c>
      <c r="BW236" s="611" t="str">
        <f>IF(BV236&lt;1%,"Sin iniciar",IF(BV236=100%,"Terminado","En gestión"))</f>
        <v>En gestión</v>
      </c>
      <c r="BX236" s="611" t="str">
        <f>IF(BU236&lt;1%,"Sin iniciar",IF(BU236=100%,"Terminado","En gestión"))</f>
        <v>En gestión</v>
      </c>
      <c r="BY236" s="578" t="s">
        <v>37</v>
      </c>
      <c r="BZ236" s="530" t="s">
        <v>47</v>
      </c>
      <c r="CA236" s="579">
        <v>0</v>
      </c>
      <c r="CB236" s="579">
        <v>0</v>
      </c>
      <c r="CC236" s="579">
        <v>0</v>
      </c>
      <c r="CD236" s="779">
        <v>35320200</v>
      </c>
      <c r="CE236" s="815">
        <v>35320200</v>
      </c>
      <c r="CF236" s="815">
        <v>22274000</v>
      </c>
      <c r="CG236" s="592" t="s">
        <v>2534</v>
      </c>
      <c r="CH236" s="521" t="s">
        <v>2474</v>
      </c>
      <c r="CI236" s="532" t="s">
        <v>2475</v>
      </c>
      <c r="CJ236" s="579" t="s">
        <v>2535</v>
      </c>
    </row>
    <row r="237" spans="2:88" ht="171.95" customHeight="1" x14ac:dyDescent="0.25">
      <c r="B237" s="1227"/>
      <c r="C237" s="639"/>
      <c r="D237" s="41" t="s">
        <v>267</v>
      </c>
      <c r="E237" s="41" t="s">
        <v>26</v>
      </c>
      <c r="F237" s="640"/>
      <c r="G237" s="41" t="s">
        <v>28</v>
      </c>
      <c r="H237" s="41" t="s">
        <v>28</v>
      </c>
      <c r="I237" s="41" t="s">
        <v>474</v>
      </c>
      <c r="J237" s="41" t="s">
        <v>47</v>
      </c>
      <c r="K237" s="641"/>
      <c r="L237" s="52" t="s">
        <v>187</v>
      </c>
      <c r="M237" s="42" t="s">
        <v>1008</v>
      </c>
      <c r="N237" s="43" t="s">
        <v>1009</v>
      </c>
      <c r="O237" s="41">
        <v>0.5</v>
      </c>
      <c r="P237" s="44">
        <v>44378</v>
      </c>
      <c r="Q237" s="44">
        <v>44560</v>
      </c>
      <c r="R237" s="45">
        <v>0</v>
      </c>
      <c r="S237" s="45">
        <v>0</v>
      </c>
      <c r="T237" s="45">
        <v>0.15</v>
      </c>
      <c r="U237" s="45">
        <v>1</v>
      </c>
      <c r="V237" s="90">
        <v>0</v>
      </c>
      <c r="W237" s="66" t="s">
        <v>37</v>
      </c>
      <c r="X237" s="91" t="s">
        <v>37</v>
      </c>
      <c r="Y237" s="19" t="str">
        <f t="shared" si="37"/>
        <v>Sin iniciar</v>
      </c>
      <c r="Z237" s="19" t="str">
        <f t="shared" si="38"/>
        <v>Sin iniciar</v>
      </c>
      <c r="AA237" s="532"/>
      <c r="AB237" s="596"/>
      <c r="AC237" s="597"/>
      <c r="AD237" s="611"/>
      <c r="AE237" s="611"/>
      <c r="AF237" s="66" t="s">
        <v>28</v>
      </c>
      <c r="AG237" s="579"/>
      <c r="AH237" s="579"/>
      <c r="AI237" s="579"/>
      <c r="AJ237" s="579"/>
      <c r="AK237" s="579"/>
      <c r="AL237" s="579"/>
      <c r="AM237" s="592"/>
      <c r="AN237" s="598"/>
      <c r="AO237" s="521"/>
      <c r="AP237" s="532"/>
      <c r="AQ237" s="579"/>
      <c r="AR237" s="1163">
        <v>0</v>
      </c>
      <c r="AS237" s="62" t="s">
        <v>2437</v>
      </c>
      <c r="AT237" s="91" t="s">
        <v>28</v>
      </c>
      <c r="AU237" s="66" t="str">
        <f t="shared" si="40"/>
        <v>Sin iniciar</v>
      </c>
      <c r="AV237" s="66" t="str">
        <f t="shared" si="41"/>
        <v>Sin iniciar</v>
      </c>
      <c r="AW237" s="532"/>
      <c r="AX237" s="599"/>
      <c r="AY237" s="600"/>
      <c r="AZ237" s="530"/>
      <c r="BA237" s="530"/>
      <c r="BB237" s="66"/>
      <c r="BC237" s="530"/>
      <c r="BD237" s="579"/>
      <c r="BE237" s="579"/>
      <c r="BF237" s="579"/>
      <c r="BG237" s="579"/>
      <c r="BH237" s="579"/>
      <c r="BI237" s="579"/>
      <c r="BJ237" s="592"/>
      <c r="BK237" s="598"/>
      <c r="BL237" s="521"/>
      <c r="BM237" s="532"/>
      <c r="BN237" s="579"/>
      <c r="BO237" s="347">
        <v>0.9</v>
      </c>
      <c r="BP237" s="24" t="s">
        <v>3326</v>
      </c>
      <c r="BQ237" s="373" t="s">
        <v>3327</v>
      </c>
      <c r="BR237" s="19" t="str">
        <f t="shared" si="42"/>
        <v>En gestión</v>
      </c>
      <c r="BS237" s="19" t="str">
        <f t="shared" si="43"/>
        <v>En gestión</v>
      </c>
      <c r="BT237" s="560"/>
      <c r="BU237" s="561"/>
      <c r="BV237" s="562"/>
      <c r="BW237" s="611"/>
      <c r="BX237" s="611"/>
      <c r="BY237" s="578"/>
      <c r="BZ237" s="530"/>
      <c r="CA237" s="579"/>
      <c r="CB237" s="579"/>
      <c r="CC237" s="579"/>
      <c r="CD237" s="779"/>
      <c r="CE237" s="815"/>
      <c r="CF237" s="815"/>
      <c r="CG237" s="592"/>
      <c r="CH237" s="521"/>
      <c r="CI237" s="532"/>
      <c r="CJ237" s="579"/>
    </row>
    <row r="238" spans="2:88" ht="171.95" customHeight="1" x14ac:dyDescent="0.25">
      <c r="B238" s="1227"/>
      <c r="C238" s="632" t="s">
        <v>1010</v>
      </c>
      <c r="D238" s="33" t="s">
        <v>267</v>
      </c>
      <c r="E238" s="33" t="s">
        <v>26</v>
      </c>
      <c r="F238" s="633" t="s">
        <v>1011</v>
      </c>
      <c r="G238" s="33" t="s">
        <v>585</v>
      </c>
      <c r="H238" s="33" t="s">
        <v>28</v>
      </c>
      <c r="I238" s="33" t="s">
        <v>326</v>
      </c>
      <c r="J238" s="33" t="s">
        <v>47</v>
      </c>
      <c r="K238" s="634" t="s">
        <v>1012</v>
      </c>
      <c r="L238" s="51" t="s">
        <v>187</v>
      </c>
      <c r="M238" s="34" t="s">
        <v>1013</v>
      </c>
      <c r="N238" s="35" t="s">
        <v>1014</v>
      </c>
      <c r="O238" s="33">
        <v>0.8</v>
      </c>
      <c r="P238" s="36">
        <v>44256</v>
      </c>
      <c r="Q238" s="36">
        <v>44286</v>
      </c>
      <c r="R238" s="37">
        <v>1</v>
      </c>
      <c r="S238" s="37">
        <v>1</v>
      </c>
      <c r="T238" s="37">
        <v>1</v>
      </c>
      <c r="U238" s="37">
        <v>1</v>
      </c>
      <c r="V238" s="90">
        <v>1</v>
      </c>
      <c r="W238" s="13" t="s">
        <v>1015</v>
      </c>
      <c r="X238" s="201" t="s">
        <v>3328</v>
      </c>
      <c r="Y238" s="5" t="str">
        <f t="shared" si="37"/>
        <v>Terminado</v>
      </c>
      <c r="Z238" s="5" t="str">
        <f t="shared" si="38"/>
        <v>Terminado</v>
      </c>
      <c r="AA238" s="531" t="s">
        <v>1028</v>
      </c>
      <c r="AB238" s="596">
        <f>SUMPRODUCT(O238:O239,V238:V239)</f>
        <v>0.8</v>
      </c>
      <c r="AC238" s="597">
        <f>SUMPRODUCT(O238:O239,R238:R239)</f>
        <v>0.8</v>
      </c>
      <c r="AD238" s="610" t="str">
        <f>IF(AC238&lt;1%,"Sin iniciar",IF(AC238=100%,"Terminado","En gestión"))</f>
        <v>En gestión</v>
      </c>
      <c r="AE238" s="610" t="str">
        <f>IF(AB238&lt;1%,"Sin iniciar",IF(AB238=100%,"Terminado","En gestión"))</f>
        <v>En gestión</v>
      </c>
      <c r="AF238" s="56" t="s">
        <v>28</v>
      </c>
      <c r="AG238" s="583">
        <v>17143967</v>
      </c>
      <c r="AH238" s="583">
        <v>17143967</v>
      </c>
      <c r="AI238" s="583">
        <v>2358987</v>
      </c>
      <c r="AJ238" s="583">
        <v>178660183</v>
      </c>
      <c r="AK238" s="583">
        <v>178660183</v>
      </c>
      <c r="AL238" s="583">
        <v>34016175</v>
      </c>
      <c r="AM238" s="593" t="s">
        <v>2472</v>
      </c>
      <c r="AN238" s="603" t="s">
        <v>2473</v>
      </c>
      <c r="AO238" s="520" t="s">
        <v>2603</v>
      </c>
      <c r="AP238" s="531" t="s">
        <v>2604</v>
      </c>
      <c r="AQ238" s="583">
        <f>+AK238</f>
        <v>178660183</v>
      </c>
      <c r="AR238" s="1163">
        <v>1</v>
      </c>
      <c r="AS238" s="13" t="s">
        <v>2434</v>
      </c>
      <c r="AT238" s="94" t="s">
        <v>3320</v>
      </c>
      <c r="AU238" s="56" t="str">
        <f t="shared" si="40"/>
        <v>Terminado</v>
      </c>
      <c r="AV238" s="56" t="str">
        <f t="shared" si="41"/>
        <v>Terminado</v>
      </c>
      <c r="AW238" s="531" t="s">
        <v>1038</v>
      </c>
      <c r="AX238" s="599">
        <f>SUMPRODUCT(O238:O239,AR238:AR239)</f>
        <v>0.84000000000000008</v>
      </c>
      <c r="AY238" s="600">
        <f>SUMPRODUCT(S238:S239,O238:O239)</f>
        <v>0.9</v>
      </c>
      <c r="AZ238" s="536" t="str">
        <f>IF(AY238&lt;1%,"Sin iniciar",IF(AY238=100%,"Terminado","En gestión"))</f>
        <v>En gestión</v>
      </c>
      <c r="BA238" s="536" t="str">
        <f>IF(AX238&lt;1%,"Sin iniciar",IF(AX238=100%,"Terminado","En gestión"))</f>
        <v>En gestión</v>
      </c>
      <c r="BB238" s="56"/>
      <c r="BC238" s="536" t="s">
        <v>47</v>
      </c>
      <c r="BD238" s="583">
        <v>17143967</v>
      </c>
      <c r="BE238" s="583">
        <v>17143967</v>
      </c>
      <c r="BF238" s="583">
        <v>8571983</v>
      </c>
      <c r="BG238" s="583">
        <v>178660183</v>
      </c>
      <c r="BH238" s="583">
        <v>176627250</v>
      </c>
      <c r="BI238" s="583">
        <v>77889506</v>
      </c>
      <c r="BJ238" s="593" t="s">
        <v>2534</v>
      </c>
      <c r="BK238" s="751">
        <v>2019011000147</v>
      </c>
      <c r="BL238" s="520" t="s">
        <v>2607</v>
      </c>
      <c r="BM238" s="531" t="s">
        <v>2604</v>
      </c>
      <c r="BN238" s="531" t="s">
        <v>2608</v>
      </c>
      <c r="BO238" s="347">
        <v>1</v>
      </c>
      <c r="BP238" s="12" t="s">
        <v>2434</v>
      </c>
      <c r="BQ238" s="12" t="s">
        <v>3320</v>
      </c>
      <c r="BR238" s="5" t="str">
        <f t="shared" si="42"/>
        <v>Terminado</v>
      </c>
      <c r="BS238" s="5" t="str">
        <f t="shared" si="43"/>
        <v>Terminado</v>
      </c>
      <c r="BT238" s="581" t="s">
        <v>3329</v>
      </c>
      <c r="BU238" s="561">
        <f>SUMPRODUCT(O238:O239,BO238:BO239)</f>
        <v>0.95000000000000007</v>
      </c>
      <c r="BV238" s="562">
        <f>SUMPRODUCT(O238:O239,T238:T239)</f>
        <v>0.95000000000000007</v>
      </c>
      <c r="BW238" s="610" t="str">
        <f>IF(BV238&lt;1%,"Sin iniciar",IF(BV238=100%,"Terminado","En gestión"))</f>
        <v>En gestión</v>
      </c>
      <c r="BX238" s="610" t="str">
        <f>IF(BU238&lt;1%,"Sin iniciar",IF(BU238=100%,"Terminado","En gestión"))</f>
        <v>En gestión</v>
      </c>
      <c r="BY238" s="573" t="s">
        <v>37</v>
      </c>
      <c r="BZ238" s="573" t="s">
        <v>47</v>
      </c>
      <c r="CA238" s="812">
        <v>17143967</v>
      </c>
      <c r="CB238" s="812">
        <v>17143967</v>
      </c>
      <c r="CC238" s="812">
        <v>12857975</v>
      </c>
      <c r="CD238" s="812">
        <v>176627250</v>
      </c>
      <c r="CE238" s="813">
        <v>176627250</v>
      </c>
      <c r="CF238" s="813">
        <v>128197075</v>
      </c>
      <c r="CG238" s="593" t="s">
        <v>2534</v>
      </c>
      <c r="CH238" s="520" t="s">
        <v>2607</v>
      </c>
      <c r="CI238" s="531" t="s">
        <v>2604</v>
      </c>
      <c r="CJ238" s="531" t="s">
        <v>2608</v>
      </c>
    </row>
    <row r="239" spans="2:88" ht="171.95" customHeight="1" x14ac:dyDescent="0.25">
      <c r="B239" s="1227"/>
      <c r="C239" s="632"/>
      <c r="D239" s="33" t="s">
        <v>267</v>
      </c>
      <c r="E239" s="33" t="s">
        <v>26</v>
      </c>
      <c r="F239" s="633"/>
      <c r="G239" s="33" t="s">
        <v>585</v>
      </c>
      <c r="H239" s="33" t="s">
        <v>28</v>
      </c>
      <c r="I239" s="33" t="s">
        <v>326</v>
      </c>
      <c r="J239" s="33" t="s">
        <v>47</v>
      </c>
      <c r="K239" s="634"/>
      <c r="L239" s="51" t="s">
        <v>187</v>
      </c>
      <c r="M239" s="34" t="s">
        <v>1016</v>
      </c>
      <c r="N239" s="35" t="s">
        <v>1017</v>
      </c>
      <c r="O239" s="33">
        <v>0.2</v>
      </c>
      <c r="P239" s="36">
        <v>44287</v>
      </c>
      <c r="Q239" s="36">
        <v>44560</v>
      </c>
      <c r="R239" s="37">
        <v>0</v>
      </c>
      <c r="S239" s="37">
        <v>0.5</v>
      </c>
      <c r="T239" s="37">
        <v>0.75</v>
      </c>
      <c r="U239" s="37">
        <v>1</v>
      </c>
      <c r="V239" s="90">
        <v>0</v>
      </c>
      <c r="W239" s="56" t="s">
        <v>37</v>
      </c>
      <c r="X239" s="94" t="s">
        <v>37</v>
      </c>
      <c r="Y239" s="5" t="str">
        <f t="shared" si="37"/>
        <v>Sin iniciar</v>
      </c>
      <c r="Z239" s="5" t="str">
        <f t="shared" si="38"/>
        <v>Sin iniciar</v>
      </c>
      <c r="AA239" s="531"/>
      <c r="AB239" s="596"/>
      <c r="AC239" s="597"/>
      <c r="AD239" s="610"/>
      <c r="AE239" s="610"/>
      <c r="AF239" s="56" t="s">
        <v>28</v>
      </c>
      <c r="AG239" s="583"/>
      <c r="AH239" s="583"/>
      <c r="AI239" s="583"/>
      <c r="AJ239" s="583"/>
      <c r="AK239" s="583"/>
      <c r="AL239" s="583"/>
      <c r="AM239" s="593" t="s">
        <v>2472</v>
      </c>
      <c r="AN239" s="603" t="s">
        <v>2473</v>
      </c>
      <c r="AO239" s="520" t="s">
        <v>2603</v>
      </c>
      <c r="AP239" s="531" t="s">
        <v>2604</v>
      </c>
      <c r="AQ239" s="583"/>
      <c r="AR239" s="1163">
        <v>0.2</v>
      </c>
      <c r="AS239" s="13" t="s">
        <v>1033</v>
      </c>
      <c r="AT239" s="68" t="s">
        <v>3330</v>
      </c>
      <c r="AU239" s="56" t="str">
        <f t="shared" si="40"/>
        <v>En gestión</v>
      </c>
      <c r="AV239" s="56" t="str">
        <f t="shared" si="41"/>
        <v>En gestión</v>
      </c>
      <c r="AW239" s="531"/>
      <c r="AX239" s="599"/>
      <c r="AY239" s="600"/>
      <c r="AZ239" s="536"/>
      <c r="BA239" s="536"/>
      <c r="BB239" s="56"/>
      <c r="BC239" s="536"/>
      <c r="BD239" s="583"/>
      <c r="BE239" s="583"/>
      <c r="BF239" s="583"/>
      <c r="BG239" s="583"/>
      <c r="BH239" s="583"/>
      <c r="BI239" s="583"/>
      <c r="BJ239" s="593"/>
      <c r="BK239" s="751"/>
      <c r="BL239" s="520"/>
      <c r="BM239" s="531"/>
      <c r="BN239" s="531"/>
      <c r="BO239" s="347">
        <v>0.75</v>
      </c>
      <c r="BP239" s="11" t="s">
        <v>3331</v>
      </c>
      <c r="BQ239" s="372" t="s">
        <v>3332</v>
      </c>
      <c r="BR239" s="5" t="str">
        <f t="shared" si="42"/>
        <v>En gestión</v>
      </c>
      <c r="BS239" s="5" t="str">
        <f t="shared" si="43"/>
        <v>En gestión</v>
      </c>
      <c r="BT239" s="573"/>
      <c r="BU239" s="561"/>
      <c r="BV239" s="562"/>
      <c r="BW239" s="610"/>
      <c r="BX239" s="610"/>
      <c r="BY239" s="573"/>
      <c r="BZ239" s="573"/>
      <c r="CA239" s="812"/>
      <c r="CB239" s="812"/>
      <c r="CC239" s="812"/>
      <c r="CD239" s="812"/>
      <c r="CE239" s="813"/>
      <c r="CF239" s="813"/>
      <c r="CG239" s="593"/>
      <c r="CH239" s="520"/>
      <c r="CI239" s="531"/>
      <c r="CJ239" s="531"/>
    </row>
    <row r="240" spans="2:88" ht="171.95" customHeight="1" x14ac:dyDescent="0.25">
      <c r="B240" s="1227"/>
      <c r="C240" s="639" t="s">
        <v>1018</v>
      </c>
      <c r="D240" s="41" t="s">
        <v>267</v>
      </c>
      <c r="E240" s="41" t="s">
        <v>160</v>
      </c>
      <c r="F240" s="640" t="s">
        <v>1011</v>
      </c>
      <c r="G240" s="41" t="s">
        <v>585</v>
      </c>
      <c r="H240" s="41" t="s">
        <v>28</v>
      </c>
      <c r="I240" s="41" t="s">
        <v>326</v>
      </c>
      <c r="J240" s="41" t="s">
        <v>47</v>
      </c>
      <c r="K240" s="641" t="s">
        <v>1019</v>
      </c>
      <c r="L240" s="52" t="s">
        <v>187</v>
      </c>
      <c r="M240" s="42" t="s">
        <v>1020</v>
      </c>
      <c r="N240" s="43" t="s">
        <v>1021</v>
      </c>
      <c r="O240" s="41">
        <v>0.8</v>
      </c>
      <c r="P240" s="44">
        <v>44256</v>
      </c>
      <c r="Q240" s="44">
        <v>44286</v>
      </c>
      <c r="R240" s="45">
        <v>1</v>
      </c>
      <c r="S240" s="45">
        <v>1</v>
      </c>
      <c r="T240" s="45">
        <v>1</v>
      </c>
      <c r="U240" s="45">
        <v>1</v>
      </c>
      <c r="V240" s="90">
        <v>1</v>
      </c>
      <c r="W240" s="62" t="s">
        <v>1022</v>
      </c>
      <c r="X240" s="200" t="s">
        <v>3333</v>
      </c>
      <c r="Y240" s="19" t="str">
        <f t="shared" si="37"/>
        <v>Terminado</v>
      </c>
      <c r="Z240" s="19" t="str">
        <f t="shared" si="38"/>
        <v>Terminado</v>
      </c>
      <c r="AA240" s="532" t="s">
        <v>1029</v>
      </c>
      <c r="AB240" s="596">
        <f>SUMPRODUCT(O240:O241,V240:V241)</f>
        <v>0.8</v>
      </c>
      <c r="AC240" s="597">
        <f>SUMPRODUCT(O240:O241,R240:R241)</f>
        <v>0.8</v>
      </c>
      <c r="AD240" s="611" t="str">
        <f>IF(AC240&lt;1%,"Sin iniciar",IF(AC240=100%,"Terminado","En gestión"))</f>
        <v>En gestión</v>
      </c>
      <c r="AE240" s="611" t="str">
        <f>IF(AB240&lt;1%,"Sin iniciar",IF(AB240=100%,"Terminado","En gestión"))</f>
        <v>En gestión</v>
      </c>
      <c r="AF240" s="66" t="s">
        <v>28</v>
      </c>
      <c r="AG240" s="579">
        <v>17143967</v>
      </c>
      <c r="AH240" s="579">
        <v>17143967</v>
      </c>
      <c r="AI240" s="579">
        <v>2358987</v>
      </c>
      <c r="AJ240" s="579">
        <v>20193600</v>
      </c>
      <c r="AK240" s="579">
        <v>20193600</v>
      </c>
      <c r="AL240" s="579">
        <v>5048400</v>
      </c>
      <c r="AM240" s="592" t="s">
        <v>2472</v>
      </c>
      <c r="AN240" s="598" t="s">
        <v>2473</v>
      </c>
      <c r="AO240" s="521" t="s">
        <v>2603</v>
      </c>
      <c r="AP240" s="532" t="s">
        <v>2604</v>
      </c>
      <c r="AQ240" s="579">
        <f>+AK240</f>
        <v>20193600</v>
      </c>
      <c r="AR240" s="1163">
        <v>1</v>
      </c>
      <c r="AS240" s="62" t="s">
        <v>2434</v>
      </c>
      <c r="AT240" s="91" t="s">
        <v>28</v>
      </c>
      <c r="AU240" s="66" t="str">
        <f t="shared" si="40"/>
        <v>Terminado</v>
      </c>
      <c r="AV240" s="66" t="str">
        <f t="shared" si="41"/>
        <v>Terminado</v>
      </c>
      <c r="AW240" s="532" t="s">
        <v>1034</v>
      </c>
      <c r="AX240" s="599">
        <f>SUMPRODUCT(O240:O241,AR240:AR241)</f>
        <v>0.9</v>
      </c>
      <c r="AY240" s="600">
        <f>SUMPRODUCT(S240:S241,O240:O241)</f>
        <v>0.9</v>
      </c>
      <c r="AZ240" s="530" t="str">
        <f>IF(AY240&lt;1%,"Sin iniciar",IF(AY240=100%,"Terminado","En gestión"))</f>
        <v>En gestión</v>
      </c>
      <c r="BA240" s="530" t="str">
        <f>IF(AX240&lt;1%,"Sin iniciar",IF(AX240=100%,"Terminado","En gestión"))</f>
        <v>En gestión</v>
      </c>
      <c r="BB240" s="66"/>
      <c r="BC240" s="530" t="s">
        <v>47</v>
      </c>
      <c r="BD240" s="579">
        <v>17143967</v>
      </c>
      <c r="BE240" s="579">
        <v>17143967</v>
      </c>
      <c r="BF240" s="579">
        <v>8571983</v>
      </c>
      <c r="BG240" s="579">
        <v>20193600</v>
      </c>
      <c r="BH240" s="579">
        <v>19833333</v>
      </c>
      <c r="BI240" s="579">
        <v>7212000</v>
      </c>
      <c r="BJ240" s="592" t="s">
        <v>2534</v>
      </c>
      <c r="BK240" s="598">
        <v>2019011000147</v>
      </c>
      <c r="BL240" s="521" t="s">
        <v>2607</v>
      </c>
      <c r="BM240" s="532" t="s">
        <v>2604</v>
      </c>
      <c r="BN240" s="579" t="s">
        <v>2608</v>
      </c>
      <c r="BO240" s="347">
        <v>1</v>
      </c>
      <c r="BP240" s="25" t="s">
        <v>2434</v>
      </c>
      <c r="BQ240" s="25" t="s">
        <v>3320</v>
      </c>
      <c r="BR240" s="19" t="str">
        <f t="shared" si="42"/>
        <v>Terminado</v>
      </c>
      <c r="BS240" s="19" t="str">
        <f t="shared" si="43"/>
        <v>Terminado</v>
      </c>
      <c r="BT240" s="560" t="s">
        <v>3334</v>
      </c>
      <c r="BU240" s="561">
        <f>SUMPRODUCT(O240:O241,BO240:BO241)</f>
        <v>0.95000000000000007</v>
      </c>
      <c r="BV240" s="562">
        <f>SUMPRODUCT(O240:O241,T240:T241)</f>
        <v>0.95000000000000007</v>
      </c>
      <c r="BW240" s="611" t="str">
        <f>IF(BV240&lt;1%,"Sin iniciar",IF(BV240=100%,"Terminado","En gestión"))</f>
        <v>En gestión</v>
      </c>
      <c r="BX240" s="611" t="str">
        <f>IF(BU240&lt;1%,"Sin iniciar",IF(BU240=100%,"Terminado","En gestión"))</f>
        <v>En gestión</v>
      </c>
      <c r="BY240" s="578" t="s">
        <v>28</v>
      </c>
      <c r="BZ240" s="560" t="s">
        <v>47</v>
      </c>
      <c r="CA240" s="814">
        <v>17143967</v>
      </c>
      <c r="CB240" s="814">
        <v>17143967</v>
      </c>
      <c r="CC240" s="779">
        <v>12857975</v>
      </c>
      <c r="CD240" s="779">
        <v>19833333</v>
      </c>
      <c r="CE240" s="815">
        <v>19833333</v>
      </c>
      <c r="CF240" s="815">
        <v>12621000</v>
      </c>
      <c r="CG240" s="592" t="s">
        <v>2534</v>
      </c>
      <c r="CH240" s="521" t="s">
        <v>2607</v>
      </c>
      <c r="CI240" s="532" t="s">
        <v>2604</v>
      </c>
      <c r="CJ240" s="579" t="s">
        <v>2608</v>
      </c>
    </row>
    <row r="241" spans="2:88" ht="171.95" customHeight="1" x14ac:dyDescent="0.25">
      <c r="B241" s="1227"/>
      <c r="C241" s="639"/>
      <c r="D241" s="41" t="s">
        <v>267</v>
      </c>
      <c r="E241" s="41" t="s">
        <v>160</v>
      </c>
      <c r="F241" s="640"/>
      <c r="G241" s="41" t="s">
        <v>585</v>
      </c>
      <c r="H241" s="41" t="s">
        <v>28</v>
      </c>
      <c r="I241" s="41" t="s">
        <v>326</v>
      </c>
      <c r="J241" s="41" t="s">
        <v>47</v>
      </c>
      <c r="K241" s="641"/>
      <c r="L241" s="52" t="s">
        <v>187</v>
      </c>
      <c r="M241" s="42" t="s">
        <v>1023</v>
      </c>
      <c r="N241" s="43" t="s">
        <v>1024</v>
      </c>
      <c r="O241" s="41">
        <v>0.2</v>
      </c>
      <c r="P241" s="44">
        <v>44287</v>
      </c>
      <c r="Q241" s="44">
        <v>44560</v>
      </c>
      <c r="R241" s="45">
        <v>0</v>
      </c>
      <c r="S241" s="45">
        <v>0.5</v>
      </c>
      <c r="T241" s="45">
        <v>0.75</v>
      </c>
      <c r="U241" s="45">
        <v>1</v>
      </c>
      <c r="V241" s="90">
        <v>0</v>
      </c>
      <c r="W241" s="66" t="s">
        <v>37</v>
      </c>
      <c r="X241" s="91" t="s">
        <v>37</v>
      </c>
      <c r="Y241" s="19" t="str">
        <f t="shared" si="37"/>
        <v>Sin iniciar</v>
      </c>
      <c r="Z241" s="19" t="str">
        <f t="shared" si="38"/>
        <v>Sin iniciar</v>
      </c>
      <c r="AA241" s="532"/>
      <c r="AB241" s="596"/>
      <c r="AC241" s="597"/>
      <c r="AD241" s="611"/>
      <c r="AE241" s="611"/>
      <c r="AF241" s="66" t="s">
        <v>28</v>
      </c>
      <c r="AG241" s="579"/>
      <c r="AH241" s="579"/>
      <c r="AI241" s="579"/>
      <c r="AJ241" s="579"/>
      <c r="AK241" s="579"/>
      <c r="AL241" s="579"/>
      <c r="AM241" s="592" t="s">
        <v>2472</v>
      </c>
      <c r="AN241" s="598" t="s">
        <v>2473</v>
      </c>
      <c r="AO241" s="521" t="s">
        <v>2603</v>
      </c>
      <c r="AP241" s="532" t="s">
        <v>2604</v>
      </c>
      <c r="AQ241" s="579"/>
      <c r="AR241" s="1163">
        <v>0.5</v>
      </c>
      <c r="AS241" s="62" t="s">
        <v>1034</v>
      </c>
      <c r="AT241" s="198" t="s">
        <v>3335</v>
      </c>
      <c r="AU241" s="66" t="str">
        <f t="shared" si="40"/>
        <v>En gestión</v>
      </c>
      <c r="AV241" s="66" t="str">
        <f t="shared" si="41"/>
        <v>En gestión</v>
      </c>
      <c r="AW241" s="532"/>
      <c r="AX241" s="599"/>
      <c r="AY241" s="600"/>
      <c r="AZ241" s="530"/>
      <c r="BA241" s="530"/>
      <c r="BB241" s="66"/>
      <c r="BC241" s="530"/>
      <c r="BD241" s="579"/>
      <c r="BE241" s="579"/>
      <c r="BF241" s="579"/>
      <c r="BG241" s="579"/>
      <c r="BH241" s="579"/>
      <c r="BI241" s="579"/>
      <c r="BJ241" s="592"/>
      <c r="BK241" s="598"/>
      <c r="BL241" s="521"/>
      <c r="BM241" s="532"/>
      <c r="BN241" s="579"/>
      <c r="BO241" s="347">
        <v>0.75</v>
      </c>
      <c r="BP241" s="24" t="s">
        <v>3336</v>
      </c>
      <c r="BQ241" s="373" t="s">
        <v>3337</v>
      </c>
      <c r="BR241" s="19" t="str">
        <f t="shared" si="42"/>
        <v>En gestión</v>
      </c>
      <c r="BS241" s="19" t="str">
        <f t="shared" si="43"/>
        <v>En gestión</v>
      </c>
      <c r="BT241" s="560"/>
      <c r="BU241" s="561"/>
      <c r="BV241" s="562"/>
      <c r="BW241" s="611"/>
      <c r="BX241" s="611"/>
      <c r="BY241" s="578"/>
      <c r="BZ241" s="560"/>
      <c r="CA241" s="814"/>
      <c r="CB241" s="814"/>
      <c r="CC241" s="779"/>
      <c r="CD241" s="779"/>
      <c r="CE241" s="815"/>
      <c r="CF241" s="815"/>
      <c r="CG241" s="592"/>
      <c r="CH241" s="521"/>
      <c r="CI241" s="532"/>
      <c r="CJ241" s="579"/>
    </row>
    <row r="242" spans="2:88" ht="171.95" customHeight="1" x14ac:dyDescent="0.25">
      <c r="B242" s="1227" t="s">
        <v>5226</v>
      </c>
      <c r="C242" s="610" t="s">
        <v>4482</v>
      </c>
      <c r="D242" s="601" t="s">
        <v>686</v>
      </c>
      <c r="E242" s="601" t="s">
        <v>160</v>
      </c>
      <c r="F242" s="601" t="s">
        <v>963</v>
      </c>
      <c r="G242" s="601" t="s">
        <v>473</v>
      </c>
      <c r="H242" s="601" t="s">
        <v>28</v>
      </c>
      <c r="I242" s="601" t="s">
        <v>326</v>
      </c>
      <c r="J242" s="601" t="s">
        <v>30</v>
      </c>
      <c r="K242" s="602" t="s">
        <v>4500</v>
      </c>
      <c r="L242" s="593" t="s">
        <v>164</v>
      </c>
      <c r="M242" s="202" t="s">
        <v>4501</v>
      </c>
      <c r="N242" s="203" t="s">
        <v>4502</v>
      </c>
      <c r="O242" s="204">
        <v>0.1</v>
      </c>
      <c r="P242" s="205">
        <v>44211</v>
      </c>
      <c r="Q242" s="205">
        <v>44347</v>
      </c>
      <c r="R242" s="204">
        <v>0.8</v>
      </c>
      <c r="S242" s="204">
        <v>1</v>
      </c>
      <c r="T242" s="206">
        <v>1</v>
      </c>
      <c r="U242" s="204">
        <v>1</v>
      </c>
      <c r="V242" s="90">
        <v>0.7</v>
      </c>
      <c r="W242" s="13" t="s">
        <v>4503</v>
      </c>
      <c r="X242" s="207" t="s">
        <v>4504</v>
      </c>
      <c r="Y242" s="56" t="str">
        <f t="shared" si="37"/>
        <v>En gestión</v>
      </c>
      <c r="Z242" s="56" t="str">
        <f t="shared" si="38"/>
        <v>En gestión</v>
      </c>
      <c r="AA242" s="531" t="s">
        <v>4505</v>
      </c>
      <c r="AB242" s="596">
        <f>SUMPRODUCT(O242:O248,R242:R248)</f>
        <v>0.17100000000000001</v>
      </c>
      <c r="AC242" s="597">
        <f>SUMPRODUCT(O242:O248,R242:R248)</f>
        <v>0.17100000000000001</v>
      </c>
      <c r="AD242" s="536" t="str">
        <f>IF(AC242&lt;1%,"Sin iniciar",IF(AC242=100%,"Terminado","En gestión"))</f>
        <v>En gestión</v>
      </c>
      <c r="AE242" s="536" t="str">
        <f>IF(AB242&lt;1%,"Sin iniciar",IF(AB242=100%,"Terminado","En gestión"))</f>
        <v>En gestión</v>
      </c>
      <c r="AF242" s="13" t="s">
        <v>4506</v>
      </c>
      <c r="AG242" s="583">
        <v>10862787</v>
      </c>
      <c r="AH242" s="583">
        <v>10862787</v>
      </c>
      <c r="AI242" s="583">
        <v>2715696.75</v>
      </c>
      <c r="AJ242" s="583">
        <v>308258646.39999998</v>
      </c>
      <c r="AK242" s="583">
        <v>308753398</v>
      </c>
      <c r="AL242" s="583">
        <v>153013990</v>
      </c>
      <c r="AM242" s="593" t="s">
        <v>4435</v>
      </c>
      <c r="AN242" s="603" t="s">
        <v>4436</v>
      </c>
      <c r="AO242" s="520" t="s">
        <v>4470</v>
      </c>
      <c r="AP242" s="531" t="s">
        <v>2479</v>
      </c>
      <c r="AQ242" s="608">
        <v>308258646.39999998</v>
      </c>
      <c r="AR242" s="1163">
        <v>1</v>
      </c>
      <c r="AS242" s="13" t="s">
        <v>4507</v>
      </c>
      <c r="AT242" s="207" t="s">
        <v>4508</v>
      </c>
      <c r="AU242" s="56" t="str">
        <f t="shared" si="40"/>
        <v>Terminado</v>
      </c>
      <c r="AV242" s="56" t="str">
        <f t="shared" si="41"/>
        <v>Terminado</v>
      </c>
      <c r="AW242" s="531" t="s">
        <v>4509</v>
      </c>
      <c r="AX242" s="599">
        <f>SUMPRODUCT(O242:O248,AR242:AR248)</f>
        <v>0.39800000000000008</v>
      </c>
      <c r="AY242" s="600">
        <f>SUMPRODUCT(S242:S248,O242:O248)</f>
        <v>0.39800000000000008</v>
      </c>
      <c r="AZ242" s="536" t="str">
        <f>IF(AY242&lt;1%,"Sin iniciar",IF(AY242=100%,"Terminado","En gestión"))</f>
        <v>En gestión</v>
      </c>
      <c r="BA242" s="536" t="str">
        <f>IF(AX242&lt;1%,"Sin iniciar",IF(AX242=100%,"Terminado","En gestión"))</f>
        <v>En gestión</v>
      </c>
      <c r="BB242" s="13"/>
      <c r="BC242" s="531" t="s">
        <v>4510</v>
      </c>
      <c r="BD242" s="583">
        <v>10862787</v>
      </c>
      <c r="BE242" s="583">
        <v>10862787</v>
      </c>
      <c r="BF242" s="583">
        <v>5431393.5</v>
      </c>
      <c r="BG242" s="583">
        <v>308258646.39999998</v>
      </c>
      <c r="BH242" s="583">
        <v>199231726.40000001</v>
      </c>
      <c r="BI242" s="583">
        <v>107462441.22666666</v>
      </c>
      <c r="BJ242" s="593" t="s">
        <v>4435</v>
      </c>
      <c r="BK242" s="520"/>
      <c r="BL242" s="520" t="s">
        <v>4470</v>
      </c>
      <c r="BM242" s="531" t="s">
        <v>2479</v>
      </c>
      <c r="BN242" s="583" t="s">
        <v>4880</v>
      </c>
      <c r="BO242" s="347">
        <v>1</v>
      </c>
      <c r="BP242" s="11" t="s">
        <v>2875</v>
      </c>
      <c r="BQ242" s="11" t="s">
        <v>2875</v>
      </c>
      <c r="BR242" s="56" t="str">
        <f t="shared" ref="BR242:BR304" si="44">IF(U242&lt;1%,"Sin iniciar",IF(U242=100%,"Terminado","En gestión"))</f>
        <v>Terminado</v>
      </c>
      <c r="BS242" s="56" t="str">
        <f t="shared" si="43"/>
        <v>Terminado</v>
      </c>
      <c r="BT242" s="581" t="s">
        <v>4881</v>
      </c>
      <c r="BU242" s="561">
        <f>SUMPRODUCT(O242:O248,BO242:BO248)</f>
        <v>0.64439999999999997</v>
      </c>
      <c r="BV242" s="562">
        <f>SUMPRODUCT(O242:O248,T242:T248)</f>
        <v>0.85599999999999998</v>
      </c>
      <c r="BW242" s="536" t="str">
        <f>IF(BV242&lt;1%,"Sin iniciar",IF(BV242=100%,"Terminado","En gestión"))</f>
        <v>En gestión</v>
      </c>
      <c r="BX242" s="536" t="str">
        <f>IF(BU242&lt;1%,"Sin iniciar",IF(BU242=100%,"Terminado","En gestión"))</f>
        <v>En gestión</v>
      </c>
      <c r="BY242" s="573" t="s">
        <v>37</v>
      </c>
      <c r="BZ242" s="576" t="s">
        <v>4510</v>
      </c>
      <c r="CA242" s="571">
        <v>10862787</v>
      </c>
      <c r="CB242" s="571">
        <v>10862787</v>
      </c>
      <c r="CC242" s="572">
        <f>+CB242/4*3</f>
        <v>8147090.25</v>
      </c>
      <c r="CD242" s="571">
        <f>BH242</f>
        <v>199231726.40000001</v>
      </c>
      <c r="CE242" s="571">
        <v>189005000</v>
      </c>
      <c r="CF242" s="571">
        <v>160268000</v>
      </c>
      <c r="CG242" s="575" t="s">
        <v>4435</v>
      </c>
      <c r="CH242" s="529" t="s">
        <v>4470</v>
      </c>
      <c r="CI242" s="576" t="s">
        <v>2479</v>
      </c>
      <c r="CJ242" s="571" t="s">
        <v>4880</v>
      </c>
    </row>
    <row r="243" spans="2:88" ht="171.95" customHeight="1" x14ac:dyDescent="0.25">
      <c r="B243" s="1227"/>
      <c r="C243" s="610"/>
      <c r="D243" s="601"/>
      <c r="E243" s="601"/>
      <c r="F243" s="601"/>
      <c r="G243" s="601"/>
      <c r="H243" s="601"/>
      <c r="I243" s="601"/>
      <c r="J243" s="601"/>
      <c r="K243" s="602"/>
      <c r="L243" s="593"/>
      <c r="M243" s="202" t="s">
        <v>4511</v>
      </c>
      <c r="N243" s="203" t="s">
        <v>4512</v>
      </c>
      <c r="O243" s="204">
        <v>0.1</v>
      </c>
      <c r="P243" s="205">
        <v>44271</v>
      </c>
      <c r="Q243" s="205">
        <v>44400</v>
      </c>
      <c r="R243" s="204">
        <v>0.05</v>
      </c>
      <c r="S243" s="204">
        <v>0.8</v>
      </c>
      <c r="T243" s="206">
        <v>1</v>
      </c>
      <c r="U243" s="204">
        <v>1</v>
      </c>
      <c r="V243" s="90">
        <v>0</v>
      </c>
      <c r="W243" s="56" t="s">
        <v>37</v>
      </c>
      <c r="X243" s="94" t="s">
        <v>37</v>
      </c>
      <c r="Y243" s="56" t="str">
        <f t="shared" si="37"/>
        <v>En gestión</v>
      </c>
      <c r="Z243" s="56" t="str">
        <f t="shared" si="38"/>
        <v>Sin iniciar</v>
      </c>
      <c r="AA243" s="531"/>
      <c r="AB243" s="596"/>
      <c r="AC243" s="597"/>
      <c r="AD243" s="536"/>
      <c r="AE243" s="536"/>
      <c r="AF243" s="13" t="s">
        <v>4506</v>
      </c>
      <c r="AG243" s="583"/>
      <c r="AH243" s="583"/>
      <c r="AI243" s="583"/>
      <c r="AJ243" s="583"/>
      <c r="AK243" s="583"/>
      <c r="AL243" s="583"/>
      <c r="AM243" s="593"/>
      <c r="AN243" s="603"/>
      <c r="AO243" s="520"/>
      <c r="AP243" s="531"/>
      <c r="AQ243" s="608"/>
      <c r="AR243" s="1163">
        <v>0.8</v>
      </c>
      <c r="AS243" s="13" t="s">
        <v>4513</v>
      </c>
      <c r="AT243" s="55" t="s">
        <v>4514</v>
      </c>
      <c r="AU243" s="56" t="str">
        <f t="shared" si="40"/>
        <v>En gestión</v>
      </c>
      <c r="AV243" s="56" t="str">
        <f t="shared" si="41"/>
        <v>En gestión</v>
      </c>
      <c r="AW243" s="531"/>
      <c r="AX243" s="599"/>
      <c r="AY243" s="600"/>
      <c r="AZ243" s="536"/>
      <c r="BA243" s="536"/>
      <c r="BB243" s="13"/>
      <c r="BC243" s="531"/>
      <c r="BD243" s="583"/>
      <c r="BE243" s="583"/>
      <c r="BF243" s="583"/>
      <c r="BG243" s="583"/>
      <c r="BH243" s="583"/>
      <c r="BI243" s="583"/>
      <c r="BJ243" s="593"/>
      <c r="BK243" s="520"/>
      <c r="BL243" s="520"/>
      <c r="BM243" s="531"/>
      <c r="BN243" s="583"/>
      <c r="BO243" s="347">
        <v>1</v>
      </c>
      <c r="BP243" s="11" t="s">
        <v>4882</v>
      </c>
      <c r="BQ243" s="11" t="s">
        <v>4883</v>
      </c>
      <c r="BR243" s="56" t="str">
        <f t="shared" si="44"/>
        <v>Terminado</v>
      </c>
      <c r="BS243" s="56" t="str">
        <f t="shared" si="43"/>
        <v>Terminado</v>
      </c>
      <c r="BT243" s="581"/>
      <c r="BU243" s="561"/>
      <c r="BV243" s="562"/>
      <c r="BW243" s="536"/>
      <c r="BX243" s="536"/>
      <c r="BY243" s="573"/>
      <c r="BZ243" s="576"/>
      <c r="CA243" s="571"/>
      <c r="CB243" s="571"/>
      <c r="CC243" s="572"/>
      <c r="CD243" s="571"/>
      <c r="CE243" s="571"/>
      <c r="CF243" s="571"/>
      <c r="CG243" s="575"/>
      <c r="CH243" s="529"/>
      <c r="CI243" s="576"/>
      <c r="CJ243" s="571"/>
    </row>
    <row r="244" spans="2:88" ht="171.95" customHeight="1" x14ac:dyDescent="0.25">
      <c r="B244" s="1227"/>
      <c r="C244" s="610"/>
      <c r="D244" s="601"/>
      <c r="E244" s="601"/>
      <c r="F244" s="601"/>
      <c r="G244" s="601"/>
      <c r="H244" s="601"/>
      <c r="I244" s="601"/>
      <c r="J244" s="601"/>
      <c r="K244" s="602"/>
      <c r="L244" s="593"/>
      <c r="M244" s="202" t="s">
        <v>4515</v>
      </c>
      <c r="N244" s="203" t="s">
        <v>4516</v>
      </c>
      <c r="O244" s="204">
        <v>0.12</v>
      </c>
      <c r="P244" s="205">
        <v>44403</v>
      </c>
      <c r="Q244" s="205">
        <v>44519</v>
      </c>
      <c r="R244" s="204">
        <v>0</v>
      </c>
      <c r="S244" s="204">
        <v>0.05</v>
      </c>
      <c r="T244" s="206">
        <v>0.5</v>
      </c>
      <c r="U244" s="204">
        <v>1</v>
      </c>
      <c r="V244" s="90">
        <v>0</v>
      </c>
      <c r="W244" s="56" t="s">
        <v>37</v>
      </c>
      <c r="X244" s="94" t="s">
        <v>37</v>
      </c>
      <c r="Y244" s="56" t="str">
        <f t="shared" si="37"/>
        <v>Sin iniciar</v>
      </c>
      <c r="Z244" s="56" t="str">
        <f t="shared" si="38"/>
        <v>Sin iniciar</v>
      </c>
      <c r="AA244" s="531"/>
      <c r="AB244" s="596"/>
      <c r="AC244" s="597"/>
      <c r="AD244" s="536"/>
      <c r="AE244" s="536"/>
      <c r="AF244" s="56"/>
      <c r="AG244" s="583"/>
      <c r="AH244" s="583"/>
      <c r="AI244" s="583"/>
      <c r="AJ244" s="583"/>
      <c r="AK244" s="583"/>
      <c r="AL244" s="583"/>
      <c r="AM244" s="593"/>
      <c r="AN244" s="603"/>
      <c r="AO244" s="520"/>
      <c r="AP244" s="531"/>
      <c r="AQ244" s="608"/>
      <c r="AR244" s="1163">
        <v>0.05</v>
      </c>
      <c r="AS244" s="13" t="s">
        <v>4517</v>
      </c>
      <c r="AT244" s="55" t="s">
        <v>4518</v>
      </c>
      <c r="AU244" s="56" t="str">
        <f t="shared" si="40"/>
        <v>En gestión</v>
      </c>
      <c r="AV244" s="56" t="str">
        <f t="shared" si="41"/>
        <v>En gestión</v>
      </c>
      <c r="AW244" s="531"/>
      <c r="AX244" s="599"/>
      <c r="AY244" s="600"/>
      <c r="AZ244" s="536"/>
      <c r="BA244" s="536"/>
      <c r="BB244" s="56"/>
      <c r="BC244" s="531"/>
      <c r="BD244" s="583"/>
      <c r="BE244" s="583"/>
      <c r="BF244" s="583"/>
      <c r="BG244" s="583"/>
      <c r="BH244" s="583"/>
      <c r="BI244" s="583"/>
      <c r="BJ244" s="593"/>
      <c r="BK244" s="520"/>
      <c r="BL244" s="520"/>
      <c r="BM244" s="531"/>
      <c r="BN244" s="583"/>
      <c r="BO244" s="347">
        <v>0.35</v>
      </c>
      <c r="BP244" s="11" t="s">
        <v>4884</v>
      </c>
      <c r="BQ244" s="11" t="s">
        <v>4885</v>
      </c>
      <c r="BR244" s="56" t="str">
        <f t="shared" si="44"/>
        <v>Terminado</v>
      </c>
      <c r="BS244" s="56" t="str">
        <f t="shared" si="43"/>
        <v>En gestión</v>
      </c>
      <c r="BT244" s="581"/>
      <c r="BU244" s="561"/>
      <c r="BV244" s="562"/>
      <c r="BW244" s="536"/>
      <c r="BX244" s="536"/>
      <c r="BY244" s="11" t="s">
        <v>4886</v>
      </c>
      <c r="BZ244" s="576"/>
      <c r="CA244" s="571"/>
      <c r="CB244" s="571"/>
      <c r="CC244" s="572"/>
      <c r="CD244" s="571"/>
      <c r="CE244" s="571"/>
      <c r="CF244" s="571"/>
      <c r="CG244" s="575"/>
      <c r="CH244" s="529"/>
      <c r="CI244" s="576"/>
      <c r="CJ244" s="571"/>
    </row>
    <row r="245" spans="2:88" ht="171.95" customHeight="1" x14ac:dyDescent="0.25">
      <c r="B245" s="1227"/>
      <c r="C245" s="610"/>
      <c r="D245" s="601"/>
      <c r="E245" s="601"/>
      <c r="F245" s="601"/>
      <c r="G245" s="601"/>
      <c r="H245" s="601"/>
      <c r="I245" s="601"/>
      <c r="J245" s="601"/>
      <c r="K245" s="602"/>
      <c r="L245" s="593"/>
      <c r="M245" s="202" t="s">
        <v>4519</v>
      </c>
      <c r="N245" s="203" t="s">
        <v>4520</v>
      </c>
      <c r="O245" s="204">
        <v>0.28000000000000003</v>
      </c>
      <c r="P245" s="205">
        <v>44362</v>
      </c>
      <c r="Q245" s="205">
        <v>44530</v>
      </c>
      <c r="R245" s="204">
        <v>0</v>
      </c>
      <c r="S245" s="204">
        <v>0.05</v>
      </c>
      <c r="T245" s="206">
        <v>0.8</v>
      </c>
      <c r="U245" s="204">
        <v>1</v>
      </c>
      <c r="V245" s="90">
        <v>0</v>
      </c>
      <c r="W245" s="56" t="s">
        <v>37</v>
      </c>
      <c r="X245" s="94" t="s">
        <v>37</v>
      </c>
      <c r="Y245" s="56" t="str">
        <f t="shared" si="37"/>
        <v>Sin iniciar</v>
      </c>
      <c r="Z245" s="56" t="str">
        <f t="shared" si="38"/>
        <v>Sin iniciar</v>
      </c>
      <c r="AA245" s="531"/>
      <c r="AB245" s="596"/>
      <c r="AC245" s="597"/>
      <c r="AD245" s="536"/>
      <c r="AE245" s="536"/>
      <c r="AF245" s="56"/>
      <c r="AG245" s="583"/>
      <c r="AH245" s="583"/>
      <c r="AI245" s="583"/>
      <c r="AJ245" s="583"/>
      <c r="AK245" s="583"/>
      <c r="AL245" s="583"/>
      <c r="AM245" s="593"/>
      <c r="AN245" s="603"/>
      <c r="AO245" s="520"/>
      <c r="AP245" s="531"/>
      <c r="AQ245" s="608"/>
      <c r="AR245" s="1163">
        <v>0.05</v>
      </c>
      <c r="AS245" s="13" t="s">
        <v>4521</v>
      </c>
      <c r="AT245" s="55" t="s">
        <v>4522</v>
      </c>
      <c r="AU245" s="56" t="str">
        <f t="shared" si="40"/>
        <v>En gestión</v>
      </c>
      <c r="AV245" s="56" t="str">
        <f t="shared" si="41"/>
        <v>En gestión</v>
      </c>
      <c r="AW245" s="531"/>
      <c r="AX245" s="599"/>
      <c r="AY245" s="600"/>
      <c r="AZ245" s="536"/>
      <c r="BA245" s="536"/>
      <c r="BB245" s="56"/>
      <c r="BC245" s="531"/>
      <c r="BD245" s="583"/>
      <c r="BE245" s="583"/>
      <c r="BF245" s="583"/>
      <c r="BG245" s="583"/>
      <c r="BH245" s="583"/>
      <c r="BI245" s="583"/>
      <c r="BJ245" s="593"/>
      <c r="BK245" s="520"/>
      <c r="BL245" s="520"/>
      <c r="BM245" s="531"/>
      <c r="BN245" s="583"/>
      <c r="BO245" s="347">
        <v>0.27</v>
      </c>
      <c r="BP245" s="11" t="s">
        <v>4887</v>
      </c>
      <c r="BQ245" s="368" t="s">
        <v>4888</v>
      </c>
      <c r="BR245" s="56" t="str">
        <f t="shared" si="44"/>
        <v>Terminado</v>
      </c>
      <c r="BS245" s="56" t="str">
        <f t="shared" si="43"/>
        <v>En gestión</v>
      </c>
      <c r="BT245" s="581"/>
      <c r="BU245" s="561"/>
      <c r="BV245" s="562"/>
      <c r="BW245" s="536"/>
      <c r="BX245" s="536"/>
      <c r="BY245" s="11" t="s">
        <v>4889</v>
      </c>
      <c r="BZ245" s="576"/>
      <c r="CA245" s="571"/>
      <c r="CB245" s="571"/>
      <c r="CC245" s="572"/>
      <c r="CD245" s="571"/>
      <c r="CE245" s="571"/>
      <c r="CF245" s="571"/>
      <c r="CG245" s="575"/>
      <c r="CH245" s="529"/>
      <c r="CI245" s="576"/>
      <c r="CJ245" s="571"/>
    </row>
    <row r="246" spans="2:88" ht="171.95" customHeight="1" x14ac:dyDescent="0.25">
      <c r="B246" s="1227"/>
      <c r="C246" s="610"/>
      <c r="D246" s="601"/>
      <c r="E246" s="601"/>
      <c r="F246" s="601"/>
      <c r="G246" s="601"/>
      <c r="H246" s="601"/>
      <c r="I246" s="601"/>
      <c r="J246" s="601"/>
      <c r="K246" s="602"/>
      <c r="L246" s="593"/>
      <c r="M246" s="202" t="s">
        <v>4523</v>
      </c>
      <c r="N246" s="203" t="s">
        <v>4524</v>
      </c>
      <c r="O246" s="204">
        <v>0.06</v>
      </c>
      <c r="P246" s="205">
        <v>44211</v>
      </c>
      <c r="Q246" s="205">
        <v>44379</v>
      </c>
      <c r="R246" s="204">
        <v>0.3</v>
      </c>
      <c r="S246" s="204">
        <v>0.8</v>
      </c>
      <c r="T246" s="206">
        <v>1</v>
      </c>
      <c r="U246" s="204">
        <v>1</v>
      </c>
      <c r="V246" s="90">
        <v>0.3</v>
      </c>
      <c r="W246" s="13" t="s">
        <v>4525</v>
      </c>
      <c r="X246" s="207" t="s">
        <v>4526</v>
      </c>
      <c r="Y246" s="56" t="str">
        <f t="shared" si="37"/>
        <v>En gestión</v>
      </c>
      <c r="Z246" s="56" t="str">
        <f t="shared" si="38"/>
        <v>En gestión</v>
      </c>
      <c r="AA246" s="531"/>
      <c r="AB246" s="596"/>
      <c r="AC246" s="597"/>
      <c r="AD246" s="536"/>
      <c r="AE246" s="536"/>
      <c r="AF246" s="56"/>
      <c r="AG246" s="583"/>
      <c r="AH246" s="583"/>
      <c r="AI246" s="583"/>
      <c r="AJ246" s="583"/>
      <c r="AK246" s="583"/>
      <c r="AL246" s="583"/>
      <c r="AM246" s="593"/>
      <c r="AN246" s="603"/>
      <c r="AO246" s="520"/>
      <c r="AP246" s="531"/>
      <c r="AQ246" s="608"/>
      <c r="AR246" s="1163">
        <v>0.8</v>
      </c>
      <c r="AS246" s="13" t="s">
        <v>4527</v>
      </c>
      <c r="AT246" s="207" t="s">
        <v>4528</v>
      </c>
      <c r="AU246" s="56" t="str">
        <f t="shared" si="40"/>
        <v>En gestión</v>
      </c>
      <c r="AV246" s="56" t="str">
        <f t="shared" si="41"/>
        <v>En gestión</v>
      </c>
      <c r="AW246" s="531"/>
      <c r="AX246" s="599"/>
      <c r="AY246" s="600"/>
      <c r="AZ246" s="536"/>
      <c r="BA246" s="536"/>
      <c r="BB246" s="56"/>
      <c r="BC246" s="531"/>
      <c r="BD246" s="583"/>
      <c r="BE246" s="583"/>
      <c r="BF246" s="583"/>
      <c r="BG246" s="583"/>
      <c r="BH246" s="583">
        <v>108677275</v>
      </c>
      <c r="BI246" s="583">
        <v>106760698.56</v>
      </c>
      <c r="BJ246" s="593"/>
      <c r="BK246" s="520"/>
      <c r="BL246" s="520"/>
      <c r="BM246" s="531"/>
      <c r="BN246" s="583" t="s">
        <v>4474</v>
      </c>
      <c r="BO246" s="347">
        <v>0.98</v>
      </c>
      <c r="BP246" s="11" t="s">
        <v>4890</v>
      </c>
      <c r="BQ246" s="11" t="s">
        <v>4891</v>
      </c>
      <c r="BR246" s="56" t="str">
        <f t="shared" si="44"/>
        <v>Terminado</v>
      </c>
      <c r="BS246" s="56" t="str">
        <f t="shared" si="43"/>
        <v>En gestión</v>
      </c>
      <c r="BT246" s="581"/>
      <c r="BU246" s="561"/>
      <c r="BV246" s="562"/>
      <c r="BW246" s="536"/>
      <c r="BX246" s="536"/>
      <c r="BY246" s="11" t="s">
        <v>4892</v>
      </c>
      <c r="BZ246" s="576"/>
      <c r="CA246" s="571"/>
      <c r="CB246" s="571"/>
      <c r="CC246" s="572"/>
      <c r="CD246" s="571"/>
      <c r="CE246" s="588">
        <v>120143908</v>
      </c>
      <c r="CF246" s="588">
        <v>115836918</v>
      </c>
      <c r="CG246" s="575"/>
      <c r="CH246" s="529"/>
      <c r="CI246" s="576"/>
      <c r="CJ246" s="588" t="s">
        <v>4474</v>
      </c>
    </row>
    <row r="247" spans="2:88" ht="171.95" customHeight="1" x14ac:dyDescent="0.25">
      <c r="B247" s="1227"/>
      <c r="C247" s="610"/>
      <c r="D247" s="601"/>
      <c r="E247" s="601"/>
      <c r="F247" s="601"/>
      <c r="G247" s="601"/>
      <c r="H247" s="601"/>
      <c r="I247" s="601"/>
      <c r="J247" s="601"/>
      <c r="K247" s="602"/>
      <c r="L247" s="593"/>
      <c r="M247" s="202" t="s">
        <v>4529</v>
      </c>
      <c r="N247" s="203" t="s">
        <v>4530</v>
      </c>
      <c r="O247" s="204">
        <v>0.2</v>
      </c>
      <c r="P247" s="205">
        <v>44211</v>
      </c>
      <c r="Q247" s="205">
        <v>44428</v>
      </c>
      <c r="R247" s="204">
        <v>0.2</v>
      </c>
      <c r="S247" s="204">
        <v>0.4</v>
      </c>
      <c r="T247" s="206">
        <v>1</v>
      </c>
      <c r="U247" s="204">
        <v>1</v>
      </c>
      <c r="V247" s="90">
        <v>0.2</v>
      </c>
      <c r="W247" s="13" t="s">
        <v>4531</v>
      </c>
      <c r="X247" s="207" t="s">
        <v>4532</v>
      </c>
      <c r="Y247" s="56" t="str">
        <f t="shared" si="37"/>
        <v>En gestión</v>
      </c>
      <c r="Z247" s="56" t="str">
        <f t="shared" si="38"/>
        <v>En gestión</v>
      </c>
      <c r="AA247" s="531"/>
      <c r="AB247" s="596"/>
      <c r="AC247" s="597"/>
      <c r="AD247" s="536"/>
      <c r="AE247" s="536"/>
      <c r="AF247" s="56"/>
      <c r="AG247" s="583"/>
      <c r="AH247" s="583"/>
      <c r="AI247" s="583"/>
      <c r="AJ247" s="583"/>
      <c r="AK247" s="583"/>
      <c r="AL247" s="583"/>
      <c r="AM247" s="593"/>
      <c r="AN247" s="603"/>
      <c r="AO247" s="520"/>
      <c r="AP247" s="531"/>
      <c r="AQ247" s="608"/>
      <c r="AR247" s="1163">
        <v>0.4</v>
      </c>
      <c r="AS247" s="13" t="s">
        <v>4533</v>
      </c>
      <c r="AT247" s="207" t="s">
        <v>4528</v>
      </c>
      <c r="AU247" s="56" t="str">
        <f t="shared" si="40"/>
        <v>En gestión</v>
      </c>
      <c r="AV247" s="56" t="str">
        <f t="shared" si="41"/>
        <v>En gestión</v>
      </c>
      <c r="AW247" s="531"/>
      <c r="AX247" s="599"/>
      <c r="AY247" s="600"/>
      <c r="AZ247" s="536"/>
      <c r="BA247" s="536"/>
      <c r="BB247" s="56"/>
      <c r="BC247" s="531"/>
      <c r="BD247" s="583"/>
      <c r="BE247" s="583"/>
      <c r="BF247" s="583"/>
      <c r="BG247" s="583"/>
      <c r="BH247" s="583"/>
      <c r="BI247" s="583"/>
      <c r="BJ247" s="593"/>
      <c r="BK247" s="520"/>
      <c r="BL247" s="520"/>
      <c r="BM247" s="531"/>
      <c r="BN247" s="583"/>
      <c r="BO247" s="347">
        <v>0.78</v>
      </c>
      <c r="BP247" s="11" t="s">
        <v>4893</v>
      </c>
      <c r="BQ247" s="368" t="s">
        <v>4894</v>
      </c>
      <c r="BR247" s="56" t="str">
        <f t="shared" si="44"/>
        <v>Terminado</v>
      </c>
      <c r="BS247" s="56" t="str">
        <f t="shared" si="43"/>
        <v>En gestión</v>
      </c>
      <c r="BT247" s="581"/>
      <c r="BU247" s="561"/>
      <c r="BV247" s="562"/>
      <c r="BW247" s="536"/>
      <c r="BX247" s="536"/>
      <c r="BY247" s="11" t="s">
        <v>4895</v>
      </c>
      <c r="BZ247" s="576"/>
      <c r="CA247" s="571"/>
      <c r="CB247" s="571"/>
      <c r="CC247" s="572"/>
      <c r="CD247" s="571"/>
      <c r="CE247" s="588"/>
      <c r="CF247" s="588"/>
      <c r="CG247" s="575"/>
      <c r="CH247" s="529"/>
      <c r="CI247" s="576"/>
      <c r="CJ247" s="588"/>
    </row>
    <row r="248" spans="2:88" ht="171.95" customHeight="1" x14ac:dyDescent="0.25">
      <c r="B248" s="1227"/>
      <c r="C248" s="610"/>
      <c r="D248" s="601"/>
      <c r="E248" s="601"/>
      <c r="F248" s="601"/>
      <c r="G248" s="601"/>
      <c r="H248" s="601"/>
      <c r="I248" s="601"/>
      <c r="J248" s="601"/>
      <c r="K248" s="602"/>
      <c r="L248" s="593"/>
      <c r="M248" s="202" t="s">
        <v>4534</v>
      </c>
      <c r="N248" s="203" t="s">
        <v>4535</v>
      </c>
      <c r="O248" s="204">
        <v>0.14000000000000001</v>
      </c>
      <c r="P248" s="205">
        <v>44211</v>
      </c>
      <c r="Q248" s="205">
        <v>44560</v>
      </c>
      <c r="R248" s="204">
        <v>0.2</v>
      </c>
      <c r="S248" s="204">
        <v>0.5</v>
      </c>
      <c r="T248" s="206">
        <v>0.8</v>
      </c>
      <c r="U248" s="204">
        <v>1</v>
      </c>
      <c r="V248" s="90">
        <v>0.2</v>
      </c>
      <c r="W248" s="13" t="s">
        <v>4536</v>
      </c>
      <c r="X248" s="55" t="s">
        <v>4537</v>
      </c>
      <c r="Y248" s="56" t="str">
        <f t="shared" si="37"/>
        <v>En gestión</v>
      </c>
      <c r="Z248" s="56" t="str">
        <f t="shared" si="38"/>
        <v>En gestión</v>
      </c>
      <c r="AA248" s="531"/>
      <c r="AB248" s="596"/>
      <c r="AC248" s="597"/>
      <c r="AD248" s="536"/>
      <c r="AE248" s="536"/>
      <c r="AF248" s="56"/>
      <c r="AG248" s="583"/>
      <c r="AH248" s="583"/>
      <c r="AI248" s="583"/>
      <c r="AJ248" s="583"/>
      <c r="AK248" s="583"/>
      <c r="AL248" s="583"/>
      <c r="AM248" s="593"/>
      <c r="AN248" s="603"/>
      <c r="AO248" s="520"/>
      <c r="AP248" s="531"/>
      <c r="AQ248" s="608"/>
      <c r="AR248" s="1163">
        <v>0.5</v>
      </c>
      <c r="AS248" s="13" t="s">
        <v>4538</v>
      </c>
      <c r="AT248" s="55" t="s">
        <v>4528</v>
      </c>
      <c r="AU248" s="56" t="str">
        <f t="shared" si="40"/>
        <v>En gestión</v>
      </c>
      <c r="AV248" s="56" t="str">
        <f t="shared" si="41"/>
        <v>En gestión</v>
      </c>
      <c r="AW248" s="531"/>
      <c r="AX248" s="599"/>
      <c r="AY248" s="600"/>
      <c r="AZ248" s="536"/>
      <c r="BA248" s="536"/>
      <c r="BB248" s="56"/>
      <c r="BC248" s="531"/>
      <c r="BD248" s="583"/>
      <c r="BE248" s="583"/>
      <c r="BF248" s="583"/>
      <c r="BG248" s="583"/>
      <c r="BH248" s="583"/>
      <c r="BI248" s="583"/>
      <c r="BJ248" s="593"/>
      <c r="BK248" s="520"/>
      <c r="BL248" s="520"/>
      <c r="BM248" s="531"/>
      <c r="BN248" s="583"/>
      <c r="BO248" s="347">
        <v>0.8</v>
      </c>
      <c r="BP248" s="11" t="s">
        <v>4896</v>
      </c>
      <c r="BQ248" s="11" t="s">
        <v>4897</v>
      </c>
      <c r="BR248" s="56" t="str">
        <f t="shared" si="44"/>
        <v>Terminado</v>
      </c>
      <c r="BS248" s="56" t="str">
        <f t="shared" si="43"/>
        <v>En gestión</v>
      </c>
      <c r="BT248" s="581"/>
      <c r="BU248" s="561"/>
      <c r="BV248" s="562"/>
      <c r="BW248" s="536"/>
      <c r="BX248" s="536"/>
      <c r="BY248" s="12" t="s">
        <v>37</v>
      </c>
      <c r="BZ248" s="576"/>
      <c r="CA248" s="571"/>
      <c r="CB248" s="571"/>
      <c r="CC248" s="572"/>
      <c r="CD248" s="571"/>
      <c r="CE248" s="588"/>
      <c r="CF248" s="588"/>
      <c r="CG248" s="575"/>
      <c r="CH248" s="529"/>
      <c r="CI248" s="576"/>
      <c r="CJ248" s="588"/>
    </row>
    <row r="249" spans="2:88" ht="171.95" customHeight="1" x14ac:dyDescent="0.25">
      <c r="B249" s="1227"/>
      <c r="C249" s="611" t="s">
        <v>4483</v>
      </c>
      <c r="D249" s="594" t="s">
        <v>159</v>
      </c>
      <c r="E249" s="594" t="s">
        <v>160</v>
      </c>
      <c r="F249" s="594" t="s">
        <v>4539</v>
      </c>
      <c r="G249" s="594" t="s">
        <v>28</v>
      </c>
      <c r="H249" s="594" t="s">
        <v>28</v>
      </c>
      <c r="I249" s="594" t="s">
        <v>326</v>
      </c>
      <c r="J249" s="594" t="s">
        <v>1039</v>
      </c>
      <c r="K249" s="595" t="s">
        <v>4540</v>
      </c>
      <c r="L249" s="592" t="s">
        <v>4430</v>
      </c>
      <c r="M249" s="208" t="s">
        <v>4541</v>
      </c>
      <c r="N249" s="209" t="s">
        <v>4542</v>
      </c>
      <c r="O249" s="210">
        <v>0.1</v>
      </c>
      <c r="P249" s="211">
        <v>44228</v>
      </c>
      <c r="Q249" s="211">
        <v>44346</v>
      </c>
      <c r="R249" s="210">
        <v>0.6</v>
      </c>
      <c r="S249" s="210">
        <v>1</v>
      </c>
      <c r="T249" s="212">
        <v>1</v>
      </c>
      <c r="U249" s="210">
        <v>1</v>
      </c>
      <c r="V249" s="90">
        <v>0.6</v>
      </c>
      <c r="W249" s="62" t="s">
        <v>4543</v>
      </c>
      <c r="X249" s="63" t="s">
        <v>4544</v>
      </c>
      <c r="Y249" s="66" t="str">
        <f t="shared" si="37"/>
        <v>En gestión</v>
      </c>
      <c r="Z249" s="66" t="str">
        <f t="shared" si="38"/>
        <v>En gestión</v>
      </c>
      <c r="AA249" s="532" t="s">
        <v>4545</v>
      </c>
      <c r="AB249" s="604">
        <f>SUMPRODUCT(O249:O252,V249:V252)</f>
        <v>0.06</v>
      </c>
      <c r="AC249" s="597">
        <f>SUMPRODUCT(O249:O252,R249:R252)</f>
        <v>0.06</v>
      </c>
      <c r="AD249" s="530" t="str">
        <f>IF(AC249&lt;1%,"Sin iniciar",IF(AC249=100%,"Terminado","En gestión"))</f>
        <v>En gestión</v>
      </c>
      <c r="AE249" s="530" t="str">
        <f>IF(AB249&lt;1%,"Sin iniciar",IF(AB249=100%,"Terminado","En gestión"))</f>
        <v>En gestión</v>
      </c>
      <c r="AF249" s="66"/>
      <c r="AG249" s="579">
        <v>288765784.45000005</v>
      </c>
      <c r="AH249" s="579">
        <v>288765784.45000005</v>
      </c>
      <c r="AI249" s="579">
        <v>72191446.112500012</v>
      </c>
      <c r="AJ249" s="579">
        <v>142176800</v>
      </c>
      <c r="AK249" s="579">
        <v>132877299.3344</v>
      </c>
      <c r="AL249" s="579">
        <v>14971466.666666668</v>
      </c>
      <c r="AM249" s="532" t="s">
        <v>4435</v>
      </c>
      <c r="AN249" s="607" t="s">
        <v>4436</v>
      </c>
      <c r="AO249" s="532" t="s">
        <v>4546</v>
      </c>
      <c r="AP249" s="532" t="s">
        <v>4547</v>
      </c>
      <c r="AQ249" s="579">
        <f>+AK249</f>
        <v>132877299.3344</v>
      </c>
      <c r="AR249" s="1163">
        <v>1</v>
      </c>
      <c r="AS249" s="62" t="s">
        <v>4548</v>
      </c>
      <c r="AT249" s="63" t="s">
        <v>4549</v>
      </c>
      <c r="AU249" s="66" t="str">
        <f t="shared" si="40"/>
        <v>Terminado</v>
      </c>
      <c r="AV249" s="66" t="str">
        <f t="shared" si="41"/>
        <v>Terminado</v>
      </c>
      <c r="AW249" s="532" t="s">
        <v>4550</v>
      </c>
      <c r="AX249" s="599">
        <f>SUMPRODUCT(O249:O252,AR249:AR252)</f>
        <v>0.12000000000000001</v>
      </c>
      <c r="AY249" s="600">
        <f>SUMPRODUCT(S249:S252,O249:O252)</f>
        <v>0.12000000000000001</v>
      </c>
      <c r="AZ249" s="530" t="str">
        <f>IF(AY249&lt;1%,"Sin iniciar",IF(AY249=100%,"Terminado","En gestión"))</f>
        <v>En gestión</v>
      </c>
      <c r="BA249" s="530" t="str">
        <f>IF(AX249&lt;1%,"Sin iniciar",IF(AX249=100%,"Terminado","En gestión"))</f>
        <v>En gestión</v>
      </c>
      <c r="BB249" s="66"/>
      <c r="BC249" s="530" t="s">
        <v>4441</v>
      </c>
      <c r="BD249" s="579">
        <v>288765784.45000005</v>
      </c>
      <c r="BE249" s="579">
        <v>288765784.45000005</v>
      </c>
      <c r="BF249" s="579">
        <v>144382892.22499999</v>
      </c>
      <c r="BG249" s="579">
        <v>142176800</v>
      </c>
      <c r="BH249" s="579">
        <v>123702466.89950001</v>
      </c>
      <c r="BI249" s="579">
        <v>52951913.333333336</v>
      </c>
      <c r="BJ249" s="532" t="s">
        <v>4435</v>
      </c>
      <c r="BK249" s="532"/>
      <c r="BL249" s="532" t="s">
        <v>4546</v>
      </c>
      <c r="BM249" s="532" t="s">
        <v>4547</v>
      </c>
      <c r="BN249" s="579" t="s">
        <v>4898</v>
      </c>
      <c r="BO249" s="347">
        <v>1</v>
      </c>
      <c r="BP249" s="24" t="s">
        <v>4899</v>
      </c>
      <c r="BQ249" s="24" t="s">
        <v>4899</v>
      </c>
      <c r="BR249" s="66" t="str">
        <f t="shared" si="44"/>
        <v>Terminado</v>
      </c>
      <c r="BS249" s="66" t="str">
        <f t="shared" si="43"/>
        <v>Terminado</v>
      </c>
      <c r="BT249" s="560" t="s">
        <v>4900</v>
      </c>
      <c r="BU249" s="561">
        <f>SUMPRODUCT(O249:O252,BO249:BO252)</f>
        <v>0.31</v>
      </c>
      <c r="BV249" s="562">
        <f>SUMPRODUCT(O249:O252,T249:T252)</f>
        <v>0.34</v>
      </c>
      <c r="BW249" s="530" t="str">
        <f>IF(BV249&lt;1%,"Sin iniciar",IF(BV249=100%,"Terminado","En gestión"))</f>
        <v>En gestión</v>
      </c>
      <c r="BX249" s="530" t="str">
        <f>IF(BU249&lt;1%,"Sin iniciar",IF(BU249=100%,"Terminado","En gestión"))</f>
        <v>En gestión</v>
      </c>
      <c r="BY249" s="25" t="s">
        <v>37</v>
      </c>
      <c r="BZ249" s="563" t="s">
        <v>4441</v>
      </c>
      <c r="CA249" s="564">
        <v>288765784.45000005</v>
      </c>
      <c r="CB249" s="564">
        <v>288765784.45000005</v>
      </c>
      <c r="CC249" s="582">
        <v>216574338.33750004</v>
      </c>
      <c r="CD249" s="564">
        <f>BH249</f>
        <v>123702466.89950001</v>
      </c>
      <c r="CE249" s="565">
        <v>170218696</v>
      </c>
      <c r="CF249" s="565">
        <v>96554189</v>
      </c>
      <c r="CG249" s="585" t="s">
        <v>4435</v>
      </c>
      <c r="CH249" s="585" t="s">
        <v>4546</v>
      </c>
      <c r="CI249" s="585" t="s">
        <v>4547</v>
      </c>
      <c r="CJ249" s="564" t="s">
        <v>4898</v>
      </c>
    </row>
    <row r="250" spans="2:88" ht="171.95" customHeight="1" x14ac:dyDescent="0.25">
      <c r="B250" s="1227"/>
      <c r="C250" s="611"/>
      <c r="D250" s="594"/>
      <c r="E250" s="594"/>
      <c r="F250" s="594"/>
      <c r="G250" s="594"/>
      <c r="H250" s="594"/>
      <c r="I250" s="594"/>
      <c r="J250" s="594"/>
      <c r="K250" s="595"/>
      <c r="L250" s="592"/>
      <c r="M250" s="208" t="s">
        <v>4551</v>
      </c>
      <c r="N250" s="213" t="s">
        <v>4552</v>
      </c>
      <c r="O250" s="210">
        <v>0.2</v>
      </c>
      <c r="P250" s="211">
        <v>44287</v>
      </c>
      <c r="Q250" s="211">
        <v>44560</v>
      </c>
      <c r="R250" s="210">
        <v>0</v>
      </c>
      <c r="S250" s="210">
        <v>0.1</v>
      </c>
      <c r="T250" s="212">
        <v>0.5</v>
      </c>
      <c r="U250" s="210">
        <v>1</v>
      </c>
      <c r="V250" s="90">
        <v>0</v>
      </c>
      <c r="W250" s="66" t="s">
        <v>37</v>
      </c>
      <c r="X250" s="91" t="s">
        <v>37</v>
      </c>
      <c r="Y250" s="66" t="str">
        <f t="shared" si="37"/>
        <v>Sin iniciar</v>
      </c>
      <c r="Z250" s="66" t="str">
        <f t="shared" si="38"/>
        <v>Sin iniciar</v>
      </c>
      <c r="AA250" s="532"/>
      <c r="AB250" s="604"/>
      <c r="AC250" s="597"/>
      <c r="AD250" s="530"/>
      <c r="AE250" s="530"/>
      <c r="AF250" s="66"/>
      <c r="AG250" s="579"/>
      <c r="AH250" s="579"/>
      <c r="AI250" s="579"/>
      <c r="AJ250" s="579"/>
      <c r="AK250" s="579"/>
      <c r="AL250" s="579"/>
      <c r="AM250" s="532"/>
      <c r="AN250" s="607"/>
      <c r="AO250" s="532"/>
      <c r="AP250" s="532" t="s">
        <v>2466</v>
      </c>
      <c r="AQ250" s="579"/>
      <c r="AR250" s="1163">
        <v>0.1</v>
      </c>
      <c r="AS250" s="62" t="s">
        <v>4553</v>
      </c>
      <c r="AT250" s="63" t="s">
        <v>4554</v>
      </c>
      <c r="AU250" s="66" t="str">
        <f t="shared" si="40"/>
        <v>En gestión</v>
      </c>
      <c r="AV250" s="66" t="str">
        <f t="shared" si="41"/>
        <v>En gestión</v>
      </c>
      <c r="AW250" s="532"/>
      <c r="AX250" s="599"/>
      <c r="AY250" s="600"/>
      <c r="AZ250" s="530"/>
      <c r="BA250" s="530"/>
      <c r="BB250" s="66"/>
      <c r="BC250" s="530"/>
      <c r="BD250" s="579"/>
      <c r="BE250" s="579"/>
      <c r="BF250" s="579"/>
      <c r="BG250" s="579"/>
      <c r="BH250" s="579"/>
      <c r="BI250" s="579"/>
      <c r="BJ250" s="532"/>
      <c r="BK250" s="532"/>
      <c r="BL250" s="532"/>
      <c r="BM250" s="532" t="s">
        <v>2466</v>
      </c>
      <c r="BN250" s="579"/>
      <c r="BO250" s="347">
        <v>0.35</v>
      </c>
      <c r="BP250" s="24" t="s">
        <v>4901</v>
      </c>
      <c r="BQ250" s="24" t="s">
        <v>5237</v>
      </c>
      <c r="BR250" s="66" t="str">
        <f t="shared" si="44"/>
        <v>Terminado</v>
      </c>
      <c r="BS250" s="66" t="str">
        <f t="shared" si="43"/>
        <v>En gestión</v>
      </c>
      <c r="BT250" s="560"/>
      <c r="BU250" s="561"/>
      <c r="BV250" s="562"/>
      <c r="BW250" s="530"/>
      <c r="BX250" s="530"/>
      <c r="BY250" s="24" t="s">
        <v>4902</v>
      </c>
      <c r="BZ250" s="563"/>
      <c r="CA250" s="564"/>
      <c r="CB250" s="564"/>
      <c r="CC250" s="578"/>
      <c r="CD250" s="564"/>
      <c r="CE250" s="565"/>
      <c r="CF250" s="565"/>
      <c r="CG250" s="585"/>
      <c r="CH250" s="585"/>
      <c r="CI250" s="585" t="s">
        <v>2466</v>
      </c>
      <c r="CJ250" s="564"/>
    </row>
    <row r="251" spans="2:88" ht="171.95" customHeight="1" x14ac:dyDescent="0.25">
      <c r="B251" s="1227"/>
      <c r="C251" s="611"/>
      <c r="D251" s="594"/>
      <c r="E251" s="594"/>
      <c r="F251" s="594"/>
      <c r="G251" s="594"/>
      <c r="H251" s="594"/>
      <c r="I251" s="594"/>
      <c r="J251" s="594"/>
      <c r="K251" s="595"/>
      <c r="L251" s="592"/>
      <c r="M251" s="208" t="s">
        <v>4555</v>
      </c>
      <c r="N251" s="213" t="s">
        <v>4556</v>
      </c>
      <c r="O251" s="210">
        <v>0.6</v>
      </c>
      <c r="P251" s="211">
        <v>44378</v>
      </c>
      <c r="Q251" s="211">
        <v>44560</v>
      </c>
      <c r="R251" s="210">
        <v>0</v>
      </c>
      <c r="S251" s="210">
        <v>0</v>
      </c>
      <c r="T251" s="212">
        <v>0.2</v>
      </c>
      <c r="U251" s="210">
        <v>1</v>
      </c>
      <c r="V251" s="90">
        <v>0</v>
      </c>
      <c r="W251" s="66" t="s">
        <v>37</v>
      </c>
      <c r="X251" s="91" t="s">
        <v>37</v>
      </c>
      <c r="Y251" s="66" t="str">
        <f t="shared" si="37"/>
        <v>Sin iniciar</v>
      </c>
      <c r="Z251" s="66" t="str">
        <f t="shared" si="38"/>
        <v>Sin iniciar</v>
      </c>
      <c r="AA251" s="532"/>
      <c r="AB251" s="604"/>
      <c r="AC251" s="597"/>
      <c r="AD251" s="530"/>
      <c r="AE251" s="530"/>
      <c r="AF251" s="66"/>
      <c r="AG251" s="579"/>
      <c r="AH251" s="579"/>
      <c r="AI251" s="579"/>
      <c r="AJ251" s="579"/>
      <c r="AK251" s="579"/>
      <c r="AL251" s="579"/>
      <c r="AM251" s="532"/>
      <c r="AN251" s="607"/>
      <c r="AO251" s="532"/>
      <c r="AP251" s="532" t="s">
        <v>2466</v>
      </c>
      <c r="AQ251" s="579"/>
      <c r="AR251" s="1163">
        <v>0</v>
      </c>
      <c r="AS251" s="66" t="s">
        <v>2437</v>
      </c>
      <c r="AT251" s="91"/>
      <c r="AU251" s="66" t="str">
        <f t="shared" si="40"/>
        <v>Sin iniciar</v>
      </c>
      <c r="AV251" s="66" t="str">
        <f t="shared" si="41"/>
        <v>Sin iniciar</v>
      </c>
      <c r="AW251" s="532"/>
      <c r="AX251" s="599"/>
      <c r="AY251" s="600"/>
      <c r="AZ251" s="530"/>
      <c r="BA251" s="530"/>
      <c r="BB251" s="66"/>
      <c r="BC251" s="530"/>
      <c r="BD251" s="579"/>
      <c r="BE251" s="579"/>
      <c r="BF251" s="579"/>
      <c r="BG251" s="579"/>
      <c r="BH251" s="579"/>
      <c r="BI251" s="579"/>
      <c r="BJ251" s="532"/>
      <c r="BK251" s="532"/>
      <c r="BL251" s="532"/>
      <c r="BM251" s="532" t="s">
        <v>2466</v>
      </c>
      <c r="BN251" s="579"/>
      <c r="BO251" s="347">
        <v>0.2</v>
      </c>
      <c r="BP251" s="24" t="s">
        <v>4903</v>
      </c>
      <c r="BQ251" s="24" t="s">
        <v>4904</v>
      </c>
      <c r="BR251" s="66" t="str">
        <f t="shared" si="44"/>
        <v>Terminado</v>
      </c>
      <c r="BS251" s="66" t="str">
        <f t="shared" si="43"/>
        <v>En gestión</v>
      </c>
      <c r="BT251" s="560"/>
      <c r="BU251" s="561"/>
      <c r="BV251" s="562"/>
      <c r="BW251" s="530"/>
      <c r="BX251" s="530"/>
      <c r="BY251" s="560" t="s">
        <v>37</v>
      </c>
      <c r="BZ251" s="563"/>
      <c r="CA251" s="564"/>
      <c r="CB251" s="564"/>
      <c r="CC251" s="578"/>
      <c r="CD251" s="564"/>
      <c r="CE251" s="565"/>
      <c r="CF251" s="565"/>
      <c r="CG251" s="585"/>
      <c r="CH251" s="585"/>
      <c r="CI251" s="585" t="s">
        <v>2466</v>
      </c>
      <c r="CJ251" s="564"/>
    </row>
    <row r="252" spans="2:88" ht="171.95" customHeight="1" x14ac:dyDescent="0.25">
      <c r="B252" s="1227"/>
      <c r="C252" s="611"/>
      <c r="D252" s="594"/>
      <c r="E252" s="594"/>
      <c r="F252" s="594"/>
      <c r="G252" s="594"/>
      <c r="H252" s="594"/>
      <c r="I252" s="594"/>
      <c r="J252" s="594"/>
      <c r="K252" s="595"/>
      <c r="L252" s="592"/>
      <c r="M252" s="208" t="s">
        <v>4557</v>
      </c>
      <c r="N252" s="213" t="s">
        <v>4558</v>
      </c>
      <c r="O252" s="210">
        <v>0.1</v>
      </c>
      <c r="P252" s="211">
        <v>44378</v>
      </c>
      <c r="Q252" s="211">
        <v>44560</v>
      </c>
      <c r="R252" s="210">
        <v>0</v>
      </c>
      <c r="S252" s="210">
        <v>0</v>
      </c>
      <c r="T252" s="212">
        <v>0.2</v>
      </c>
      <c r="U252" s="210">
        <v>1</v>
      </c>
      <c r="V252" s="90">
        <v>0</v>
      </c>
      <c r="W252" s="66" t="s">
        <v>37</v>
      </c>
      <c r="X252" s="91" t="s">
        <v>37</v>
      </c>
      <c r="Y252" s="66" t="str">
        <f t="shared" si="37"/>
        <v>Sin iniciar</v>
      </c>
      <c r="Z252" s="66" t="str">
        <f t="shared" si="38"/>
        <v>Sin iniciar</v>
      </c>
      <c r="AA252" s="532"/>
      <c r="AB252" s="604"/>
      <c r="AC252" s="597"/>
      <c r="AD252" s="530"/>
      <c r="AE252" s="530"/>
      <c r="AF252" s="66"/>
      <c r="AG252" s="579"/>
      <c r="AH252" s="579"/>
      <c r="AI252" s="579"/>
      <c r="AJ252" s="579"/>
      <c r="AK252" s="579"/>
      <c r="AL252" s="579"/>
      <c r="AM252" s="532"/>
      <c r="AN252" s="607"/>
      <c r="AO252" s="532"/>
      <c r="AP252" s="532" t="s">
        <v>2466</v>
      </c>
      <c r="AQ252" s="579"/>
      <c r="AR252" s="1163">
        <v>0</v>
      </c>
      <c r="AS252" s="66" t="s">
        <v>2437</v>
      </c>
      <c r="AT252" s="91"/>
      <c r="AU252" s="66" t="str">
        <f t="shared" si="40"/>
        <v>Sin iniciar</v>
      </c>
      <c r="AV252" s="66" t="str">
        <f t="shared" si="41"/>
        <v>Sin iniciar</v>
      </c>
      <c r="AW252" s="532"/>
      <c r="AX252" s="599"/>
      <c r="AY252" s="600"/>
      <c r="AZ252" s="530"/>
      <c r="BA252" s="530"/>
      <c r="BB252" s="66"/>
      <c r="BC252" s="530"/>
      <c r="BD252" s="579"/>
      <c r="BE252" s="579"/>
      <c r="BF252" s="579"/>
      <c r="BG252" s="579"/>
      <c r="BH252" s="579"/>
      <c r="BI252" s="579"/>
      <c r="BJ252" s="532"/>
      <c r="BK252" s="532"/>
      <c r="BL252" s="532"/>
      <c r="BM252" s="532" t="s">
        <v>2466</v>
      </c>
      <c r="BN252" s="579"/>
      <c r="BO252" s="347">
        <v>0.2</v>
      </c>
      <c r="BP252" s="24" t="s">
        <v>4905</v>
      </c>
      <c r="BQ252" s="24" t="s">
        <v>4906</v>
      </c>
      <c r="BR252" s="66" t="str">
        <f t="shared" si="44"/>
        <v>Terminado</v>
      </c>
      <c r="BS252" s="66" t="str">
        <f t="shared" si="43"/>
        <v>En gestión</v>
      </c>
      <c r="BT252" s="560"/>
      <c r="BU252" s="561"/>
      <c r="BV252" s="562"/>
      <c r="BW252" s="530"/>
      <c r="BX252" s="530"/>
      <c r="BY252" s="560"/>
      <c r="BZ252" s="563"/>
      <c r="CA252" s="564"/>
      <c r="CB252" s="564"/>
      <c r="CC252" s="578"/>
      <c r="CD252" s="564"/>
      <c r="CE252" s="565"/>
      <c r="CF252" s="565"/>
      <c r="CG252" s="585"/>
      <c r="CH252" s="585"/>
      <c r="CI252" s="585" t="s">
        <v>2466</v>
      </c>
      <c r="CJ252" s="564"/>
    </row>
    <row r="253" spans="2:88" ht="171.95" customHeight="1" x14ac:dyDescent="0.25">
      <c r="B253" s="1227"/>
      <c r="C253" s="610" t="s">
        <v>4484</v>
      </c>
      <c r="D253" s="601" t="s">
        <v>686</v>
      </c>
      <c r="E253" s="601" t="s">
        <v>26</v>
      </c>
      <c r="F253" s="601" t="s">
        <v>4559</v>
      </c>
      <c r="G253" s="601" t="s">
        <v>28</v>
      </c>
      <c r="H253" s="601" t="s">
        <v>28</v>
      </c>
      <c r="I253" s="601" t="s">
        <v>162</v>
      </c>
      <c r="J253" s="601" t="s">
        <v>1039</v>
      </c>
      <c r="K253" s="602" t="s">
        <v>4560</v>
      </c>
      <c r="L253" s="593" t="s">
        <v>164</v>
      </c>
      <c r="M253" s="202" t="s">
        <v>4561</v>
      </c>
      <c r="N253" s="203" t="s">
        <v>4562</v>
      </c>
      <c r="O253" s="204">
        <v>0.1</v>
      </c>
      <c r="P253" s="205">
        <v>44228</v>
      </c>
      <c r="Q253" s="205">
        <v>44346</v>
      </c>
      <c r="R253" s="204">
        <v>0.6</v>
      </c>
      <c r="S253" s="204">
        <v>1</v>
      </c>
      <c r="T253" s="206">
        <v>1</v>
      </c>
      <c r="U253" s="204">
        <v>1</v>
      </c>
      <c r="V253" s="90">
        <v>0.6</v>
      </c>
      <c r="W253" s="13" t="s">
        <v>4563</v>
      </c>
      <c r="X253" s="55" t="s">
        <v>4564</v>
      </c>
      <c r="Y253" s="56" t="str">
        <f t="shared" si="37"/>
        <v>En gestión</v>
      </c>
      <c r="Z253" s="56" t="str">
        <f t="shared" si="38"/>
        <v>En gestión</v>
      </c>
      <c r="AA253" s="531" t="s">
        <v>4565</v>
      </c>
      <c r="AB253" s="604">
        <f>SUMPRODUCT(O253:O256,V253:V256)</f>
        <v>0.16</v>
      </c>
      <c r="AC253" s="597">
        <f>SUMPRODUCT(O253:O256,R253:R256)</f>
        <v>0.16</v>
      </c>
      <c r="AD253" s="536" t="str">
        <f>IF(AC253&lt;1%,"Sin iniciar",IF(AC253=100%,"Terminado","En gestión"))</f>
        <v>En gestión</v>
      </c>
      <c r="AE253" s="536" t="str">
        <f>IF(AB253&lt;1%,"Sin iniciar",IF(AB253=100%,"Terminado","En gestión"))</f>
        <v>En gestión</v>
      </c>
      <c r="AF253" s="56"/>
      <c r="AG253" s="583">
        <v>143121802</v>
      </c>
      <c r="AH253" s="583">
        <v>143121802</v>
      </c>
      <c r="AI253" s="583">
        <v>35780450.5</v>
      </c>
      <c r="AJ253" s="583">
        <f>AQ253</f>
        <v>162746400</v>
      </c>
      <c r="AK253" s="583">
        <v>151229233.05000001</v>
      </c>
      <c r="AL253" s="583">
        <v>17806133.333333332</v>
      </c>
      <c r="AM253" s="593" t="s">
        <v>4435</v>
      </c>
      <c r="AN253" s="605" t="s">
        <v>4436</v>
      </c>
      <c r="AO253" s="520" t="s">
        <v>4470</v>
      </c>
      <c r="AP253" s="531" t="s">
        <v>2479</v>
      </c>
      <c r="AQ253" s="568">
        <v>162746400</v>
      </c>
      <c r="AR253" s="1163">
        <v>1</v>
      </c>
      <c r="AS253" s="13" t="s">
        <v>4566</v>
      </c>
      <c r="AT253" s="55" t="s">
        <v>4567</v>
      </c>
      <c r="AU253" s="56" t="str">
        <f t="shared" si="40"/>
        <v>Terminado</v>
      </c>
      <c r="AV253" s="56" t="str">
        <f t="shared" si="41"/>
        <v>Terminado</v>
      </c>
      <c r="AW253" s="531" t="s">
        <v>4568</v>
      </c>
      <c r="AX253" s="599">
        <f>SUMPRODUCT(O253:O256,AR253:AR256)</f>
        <v>0.26</v>
      </c>
      <c r="AY253" s="600">
        <f>SUMPRODUCT(S253:S256,O253:O256)</f>
        <v>0.26</v>
      </c>
      <c r="AZ253" s="536" t="str">
        <f>IF(AY253&lt;1%,"Sin iniciar",IF(AY253=100%,"Terminado","En gestión"))</f>
        <v>En gestión</v>
      </c>
      <c r="BA253" s="536" t="str">
        <f>IF(AX253&lt;1%,"Sin iniciar",IF(AX253=100%,"Terminado","En gestión"))</f>
        <v>En gestión</v>
      </c>
      <c r="BB253" s="56"/>
      <c r="BC253" s="536" t="s">
        <v>4441</v>
      </c>
      <c r="BD253" s="583">
        <v>143121802</v>
      </c>
      <c r="BE253" s="583">
        <v>143121802</v>
      </c>
      <c r="BF253" s="583">
        <v>71560901</v>
      </c>
      <c r="BG253" s="583">
        <v>162746400</v>
      </c>
      <c r="BH253" s="583">
        <v>148551400.03</v>
      </c>
      <c r="BI253" s="583">
        <v>64448753.333333328</v>
      </c>
      <c r="BJ253" s="593" t="s">
        <v>4435</v>
      </c>
      <c r="BK253" s="520"/>
      <c r="BL253" s="520" t="s">
        <v>4470</v>
      </c>
      <c r="BM253" s="531" t="s">
        <v>2479</v>
      </c>
      <c r="BN253" s="568" t="s">
        <v>4880</v>
      </c>
      <c r="BO253" s="347">
        <v>1</v>
      </c>
      <c r="BP253" s="11" t="s">
        <v>4907</v>
      </c>
      <c r="BQ253" s="11" t="s">
        <v>4907</v>
      </c>
      <c r="BR253" s="56" t="str">
        <f t="shared" si="44"/>
        <v>Terminado</v>
      </c>
      <c r="BS253" s="56" t="str">
        <f t="shared" si="43"/>
        <v>Terminado</v>
      </c>
      <c r="BT253" s="581" t="s">
        <v>4908</v>
      </c>
      <c r="BU253" s="561">
        <f>SUMPRODUCT(O253:O256,BO253:BO256)</f>
        <v>0.44000000000000006</v>
      </c>
      <c r="BV253" s="562">
        <f>SUMPRODUCT(O253:O256,T253:T256)</f>
        <v>0.44000000000000006</v>
      </c>
      <c r="BW253" s="536" t="str">
        <f>IF(BV253&lt;1%,"Sin iniciar",IF(BV253=100%,"Terminado","En gestión"))</f>
        <v>En gestión</v>
      </c>
      <c r="BX253" s="536" t="str">
        <f>IF(BU253&lt;1%,"Sin iniciar",IF(BU253=100%,"Terminado","En gestión"))</f>
        <v>En gestión</v>
      </c>
      <c r="BY253" s="573" t="s">
        <v>37</v>
      </c>
      <c r="BZ253" s="573" t="s">
        <v>4441</v>
      </c>
      <c r="CA253" s="583">
        <v>143121802</v>
      </c>
      <c r="CB253" s="583">
        <v>143121802</v>
      </c>
      <c r="CC253" s="572">
        <v>107341351.5</v>
      </c>
      <c r="CD253" s="583">
        <f>BH253</f>
        <v>148551400.03</v>
      </c>
      <c r="CE253" s="583">
        <v>148551400.03</v>
      </c>
      <c r="CF253" s="574">
        <v>114357848</v>
      </c>
      <c r="CG253" s="584" t="s">
        <v>4435</v>
      </c>
      <c r="CH253" s="520" t="s">
        <v>4470</v>
      </c>
      <c r="CI253" s="581" t="s">
        <v>2479</v>
      </c>
      <c r="CJ253" s="568" t="s">
        <v>4880</v>
      </c>
    </row>
    <row r="254" spans="2:88" ht="171.95" customHeight="1" x14ac:dyDescent="0.25">
      <c r="B254" s="1227"/>
      <c r="C254" s="610"/>
      <c r="D254" s="601"/>
      <c r="E254" s="601"/>
      <c r="F254" s="601"/>
      <c r="G254" s="601"/>
      <c r="H254" s="601"/>
      <c r="I254" s="601"/>
      <c r="J254" s="601"/>
      <c r="K254" s="602"/>
      <c r="L254" s="593"/>
      <c r="M254" s="202" t="s">
        <v>4569</v>
      </c>
      <c r="N254" s="203" t="s">
        <v>4570</v>
      </c>
      <c r="O254" s="204">
        <v>0.2</v>
      </c>
      <c r="P254" s="205">
        <v>44228</v>
      </c>
      <c r="Q254" s="205">
        <v>44438</v>
      </c>
      <c r="R254" s="204">
        <v>0.5</v>
      </c>
      <c r="S254" s="204">
        <v>0.8</v>
      </c>
      <c r="T254" s="206">
        <v>1</v>
      </c>
      <c r="U254" s="204">
        <v>1</v>
      </c>
      <c r="V254" s="90">
        <v>0.5</v>
      </c>
      <c r="W254" s="13" t="s">
        <v>4571</v>
      </c>
      <c r="X254" s="55" t="s">
        <v>4564</v>
      </c>
      <c r="Y254" s="56" t="str">
        <f t="shared" si="37"/>
        <v>En gestión</v>
      </c>
      <c r="Z254" s="56" t="str">
        <f t="shared" si="38"/>
        <v>En gestión</v>
      </c>
      <c r="AA254" s="531"/>
      <c r="AB254" s="604"/>
      <c r="AC254" s="597"/>
      <c r="AD254" s="536"/>
      <c r="AE254" s="536"/>
      <c r="AF254" s="56"/>
      <c r="AG254" s="583"/>
      <c r="AH254" s="583"/>
      <c r="AI254" s="583"/>
      <c r="AJ254" s="583"/>
      <c r="AK254" s="583"/>
      <c r="AL254" s="583"/>
      <c r="AM254" s="593"/>
      <c r="AN254" s="605"/>
      <c r="AO254" s="520"/>
      <c r="AP254" s="531"/>
      <c r="AQ254" s="568"/>
      <c r="AR254" s="1163">
        <v>0.8</v>
      </c>
      <c r="AS254" s="13" t="s">
        <v>4572</v>
      </c>
      <c r="AT254" s="55" t="s">
        <v>4567</v>
      </c>
      <c r="AU254" s="56" t="str">
        <f t="shared" si="40"/>
        <v>En gestión</v>
      </c>
      <c r="AV254" s="56" t="str">
        <f t="shared" si="41"/>
        <v>En gestión</v>
      </c>
      <c r="AW254" s="531"/>
      <c r="AX254" s="599"/>
      <c r="AY254" s="600"/>
      <c r="AZ254" s="536"/>
      <c r="BA254" s="536"/>
      <c r="BB254" s="56"/>
      <c r="BC254" s="536"/>
      <c r="BD254" s="583"/>
      <c r="BE254" s="583"/>
      <c r="BF254" s="583"/>
      <c r="BG254" s="583"/>
      <c r="BH254" s="583"/>
      <c r="BI254" s="583"/>
      <c r="BJ254" s="593"/>
      <c r="BK254" s="520"/>
      <c r="BL254" s="520"/>
      <c r="BM254" s="531"/>
      <c r="BN254" s="568"/>
      <c r="BO254" s="347">
        <v>1</v>
      </c>
      <c r="BP254" s="11" t="s">
        <v>4909</v>
      </c>
      <c r="BQ254" s="11" t="s">
        <v>4910</v>
      </c>
      <c r="BR254" s="56" t="str">
        <f t="shared" si="44"/>
        <v>Terminado</v>
      </c>
      <c r="BS254" s="56" t="str">
        <f t="shared" si="43"/>
        <v>Terminado</v>
      </c>
      <c r="BT254" s="581"/>
      <c r="BU254" s="561"/>
      <c r="BV254" s="562"/>
      <c r="BW254" s="536"/>
      <c r="BX254" s="536"/>
      <c r="BY254" s="573"/>
      <c r="BZ254" s="573"/>
      <c r="CA254" s="583"/>
      <c r="CB254" s="583"/>
      <c r="CC254" s="573"/>
      <c r="CD254" s="583"/>
      <c r="CE254" s="583"/>
      <c r="CF254" s="574"/>
      <c r="CG254" s="584"/>
      <c r="CH254" s="520"/>
      <c r="CI254" s="581"/>
      <c r="CJ254" s="568"/>
    </row>
    <row r="255" spans="2:88" ht="171.95" customHeight="1" x14ac:dyDescent="0.25">
      <c r="B255" s="1227"/>
      <c r="C255" s="610"/>
      <c r="D255" s="601"/>
      <c r="E255" s="601"/>
      <c r="F255" s="601"/>
      <c r="G255" s="601"/>
      <c r="H255" s="601"/>
      <c r="I255" s="601"/>
      <c r="J255" s="601"/>
      <c r="K255" s="602"/>
      <c r="L255" s="593"/>
      <c r="M255" s="202" t="s">
        <v>4573</v>
      </c>
      <c r="N255" s="203" t="s">
        <v>4574</v>
      </c>
      <c r="O255" s="204">
        <v>0.6</v>
      </c>
      <c r="P255" s="205">
        <v>44378</v>
      </c>
      <c r="Q255" s="205">
        <v>44560</v>
      </c>
      <c r="R255" s="204">
        <v>0</v>
      </c>
      <c r="S255" s="204">
        <v>0</v>
      </c>
      <c r="T255" s="206">
        <v>0.2</v>
      </c>
      <c r="U255" s="204">
        <v>1</v>
      </c>
      <c r="V255" s="90">
        <v>0</v>
      </c>
      <c r="W255" s="56" t="s">
        <v>37</v>
      </c>
      <c r="X255" s="94" t="s">
        <v>37</v>
      </c>
      <c r="Y255" s="56" t="str">
        <f t="shared" si="37"/>
        <v>Sin iniciar</v>
      </c>
      <c r="Z255" s="56" t="str">
        <f t="shared" si="38"/>
        <v>Sin iniciar</v>
      </c>
      <c r="AA255" s="531"/>
      <c r="AB255" s="604"/>
      <c r="AC255" s="597"/>
      <c r="AD255" s="536"/>
      <c r="AE255" s="536"/>
      <c r="AF255" s="56"/>
      <c r="AG255" s="583"/>
      <c r="AH255" s="583"/>
      <c r="AI255" s="583"/>
      <c r="AJ255" s="583"/>
      <c r="AK255" s="583"/>
      <c r="AL255" s="583"/>
      <c r="AM255" s="593"/>
      <c r="AN255" s="605"/>
      <c r="AO255" s="520"/>
      <c r="AP255" s="531"/>
      <c r="AQ255" s="568"/>
      <c r="AR255" s="1163">
        <v>0</v>
      </c>
      <c r="AS255" s="56" t="s">
        <v>2437</v>
      </c>
      <c r="AT255" s="94"/>
      <c r="AU255" s="56" t="str">
        <f t="shared" si="40"/>
        <v>Sin iniciar</v>
      </c>
      <c r="AV255" s="56" t="str">
        <f t="shared" si="41"/>
        <v>Sin iniciar</v>
      </c>
      <c r="AW255" s="531"/>
      <c r="AX255" s="599"/>
      <c r="AY255" s="600"/>
      <c r="AZ255" s="536"/>
      <c r="BA255" s="536"/>
      <c r="BB255" s="56"/>
      <c r="BC255" s="536"/>
      <c r="BD255" s="583"/>
      <c r="BE255" s="583"/>
      <c r="BF255" s="583"/>
      <c r="BG255" s="583"/>
      <c r="BH255" s="583"/>
      <c r="BI255" s="583"/>
      <c r="BJ255" s="593"/>
      <c r="BK255" s="520"/>
      <c r="BL255" s="520"/>
      <c r="BM255" s="531"/>
      <c r="BN255" s="568"/>
      <c r="BO255" s="347">
        <v>0.2</v>
      </c>
      <c r="BP255" s="11" t="s">
        <v>4911</v>
      </c>
      <c r="BQ255" s="11" t="s">
        <v>4912</v>
      </c>
      <c r="BR255" s="56" t="str">
        <f t="shared" si="44"/>
        <v>Terminado</v>
      </c>
      <c r="BS255" s="56" t="str">
        <f t="shared" si="43"/>
        <v>En gestión</v>
      </c>
      <c r="BT255" s="581"/>
      <c r="BU255" s="561"/>
      <c r="BV255" s="562"/>
      <c r="BW255" s="536"/>
      <c r="BX255" s="536"/>
      <c r="BY255" s="573"/>
      <c r="BZ255" s="573"/>
      <c r="CA255" s="583"/>
      <c r="CB255" s="583"/>
      <c r="CC255" s="573"/>
      <c r="CD255" s="583"/>
      <c r="CE255" s="583"/>
      <c r="CF255" s="574"/>
      <c r="CG255" s="584"/>
      <c r="CH255" s="520"/>
      <c r="CI255" s="581"/>
      <c r="CJ255" s="568"/>
    </row>
    <row r="256" spans="2:88" ht="171.95" customHeight="1" x14ac:dyDescent="0.25">
      <c r="B256" s="1227"/>
      <c r="C256" s="610"/>
      <c r="D256" s="601"/>
      <c r="E256" s="601"/>
      <c r="F256" s="601"/>
      <c r="G256" s="601"/>
      <c r="H256" s="601"/>
      <c r="I256" s="601"/>
      <c r="J256" s="601"/>
      <c r="K256" s="602"/>
      <c r="L256" s="593"/>
      <c r="M256" s="202" t="s">
        <v>4575</v>
      </c>
      <c r="N256" s="203" t="s">
        <v>4576</v>
      </c>
      <c r="O256" s="204">
        <v>0.1</v>
      </c>
      <c r="P256" s="205">
        <v>44378</v>
      </c>
      <c r="Q256" s="205">
        <v>44560</v>
      </c>
      <c r="R256" s="204">
        <v>0</v>
      </c>
      <c r="S256" s="204">
        <v>0</v>
      </c>
      <c r="T256" s="206">
        <v>0.2</v>
      </c>
      <c r="U256" s="204">
        <v>1</v>
      </c>
      <c r="V256" s="90">
        <v>0</v>
      </c>
      <c r="W256" s="56" t="s">
        <v>37</v>
      </c>
      <c r="X256" s="94" t="s">
        <v>37</v>
      </c>
      <c r="Y256" s="56" t="str">
        <f t="shared" si="37"/>
        <v>Sin iniciar</v>
      </c>
      <c r="Z256" s="56" t="str">
        <f t="shared" si="38"/>
        <v>Sin iniciar</v>
      </c>
      <c r="AA256" s="531"/>
      <c r="AB256" s="604"/>
      <c r="AC256" s="597"/>
      <c r="AD256" s="536"/>
      <c r="AE256" s="536"/>
      <c r="AF256" s="56"/>
      <c r="AG256" s="583"/>
      <c r="AH256" s="583"/>
      <c r="AI256" s="583"/>
      <c r="AJ256" s="583"/>
      <c r="AK256" s="583"/>
      <c r="AL256" s="583"/>
      <c r="AM256" s="593"/>
      <c r="AN256" s="605"/>
      <c r="AO256" s="520"/>
      <c r="AP256" s="531"/>
      <c r="AQ256" s="568"/>
      <c r="AR256" s="1163">
        <v>0</v>
      </c>
      <c r="AS256" s="56" t="s">
        <v>2437</v>
      </c>
      <c r="AT256" s="94"/>
      <c r="AU256" s="56" t="str">
        <f t="shared" si="40"/>
        <v>Sin iniciar</v>
      </c>
      <c r="AV256" s="56" t="str">
        <f t="shared" si="41"/>
        <v>Sin iniciar</v>
      </c>
      <c r="AW256" s="531"/>
      <c r="AX256" s="599"/>
      <c r="AY256" s="600"/>
      <c r="AZ256" s="536"/>
      <c r="BA256" s="536"/>
      <c r="BB256" s="56"/>
      <c r="BC256" s="536"/>
      <c r="BD256" s="583"/>
      <c r="BE256" s="583"/>
      <c r="BF256" s="583"/>
      <c r="BG256" s="583"/>
      <c r="BH256" s="583"/>
      <c r="BI256" s="583"/>
      <c r="BJ256" s="593"/>
      <c r="BK256" s="520"/>
      <c r="BL256" s="520"/>
      <c r="BM256" s="531"/>
      <c r="BN256" s="568"/>
      <c r="BO256" s="347">
        <v>0.2</v>
      </c>
      <c r="BP256" s="11" t="s">
        <v>4913</v>
      </c>
      <c r="BQ256" s="11" t="s">
        <v>4914</v>
      </c>
      <c r="BR256" s="56" t="str">
        <f t="shared" si="44"/>
        <v>Terminado</v>
      </c>
      <c r="BS256" s="56" t="str">
        <f t="shared" si="43"/>
        <v>En gestión</v>
      </c>
      <c r="BT256" s="581"/>
      <c r="BU256" s="561"/>
      <c r="BV256" s="562"/>
      <c r="BW256" s="536"/>
      <c r="BX256" s="536"/>
      <c r="BY256" s="573"/>
      <c r="BZ256" s="573"/>
      <c r="CA256" s="583"/>
      <c r="CB256" s="583"/>
      <c r="CC256" s="573"/>
      <c r="CD256" s="583"/>
      <c r="CE256" s="583"/>
      <c r="CF256" s="574"/>
      <c r="CG256" s="584"/>
      <c r="CH256" s="520"/>
      <c r="CI256" s="581"/>
      <c r="CJ256" s="568"/>
    </row>
    <row r="257" spans="2:88" ht="171.95" customHeight="1" x14ac:dyDescent="0.25">
      <c r="B257" s="1227"/>
      <c r="C257" s="611" t="s">
        <v>4485</v>
      </c>
      <c r="D257" s="594" t="s">
        <v>1040</v>
      </c>
      <c r="E257" s="594" t="s">
        <v>160</v>
      </c>
      <c r="F257" s="980" t="s">
        <v>5201</v>
      </c>
      <c r="G257" s="594" t="s">
        <v>28</v>
      </c>
      <c r="H257" s="594" t="s">
        <v>28</v>
      </c>
      <c r="I257" s="594" t="s">
        <v>29</v>
      </c>
      <c r="J257" s="594" t="s">
        <v>47</v>
      </c>
      <c r="K257" s="595" t="s">
        <v>4577</v>
      </c>
      <c r="L257" s="592" t="s">
        <v>1041</v>
      </c>
      <c r="M257" s="208" t="s">
        <v>4578</v>
      </c>
      <c r="N257" s="209" t="s">
        <v>4579</v>
      </c>
      <c r="O257" s="210">
        <v>0.15</v>
      </c>
      <c r="P257" s="211">
        <v>44200</v>
      </c>
      <c r="Q257" s="211">
        <v>44560</v>
      </c>
      <c r="R257" s="210">
        <v>0.2</v>
      </c>
      <c r="S257" s="210">
        <v>0.4</v>
      </c>
      <c r="T257" s="212">
        <v>0.65</v>
      </c>
      <c r="U257" s="210">
        <v>1</v>
      </c>
      <c r="V257" s="90">
        <v>0</v>
      </c>
      <c r="W257" s="66" t="s">
        <v>37</v>
      </c>
      <c r="X257" s="91" t="s">
        <v>37</v>
      </c>
      <c r="Y257" s="66" t="str">
        <f t="shared" si="37"/>
        <v>En gestión</v>
      </c>
      <c r="Z257" s="66" t="str">
        <f t="shared" si="38"/>
        <v>Sin iniciar</v>
      </c>
      <c r="AA257" s="532" t="s">
        <v>4580</v>
      </c>
      <c r="AB257" s="596">
        <f>SUMPRODUCT(O257:O263,V257:V263)</f>
        <v>0</v>
      </c>
      <c r="AC257" s="597">
        <f>SUMPRODUCT(O257:O263,R257:R263)</f>
        <v>0.19500000000000001</v>
      </c>
      <c r="AD257" s="530" t="str">
        <f>IF(AC257&lt;1%,"Sin iniciar",IF(AC257=100%,"Terminado","En gestión"))</f>
        <v>En gestión</v>
      </c>
      <c r="AE257" s="530" t="str">
        <f>IF(AB257&lt;1%,"Sin iniciar",IF(AB257=100%,"Terminado","En gestión"))</f>
        <v>Sin iniciar</v>
      </c>
      <c r="AF257" s="66"/>
      <c r="AG257" s="579">
        <v>389067102</v>
      </c>
      <c r="AH257" s="579">
        <v>389067102</v>
      </c>
      <c r="AI257" s="579">
        <f>+AH257/4</f>
        <v>97266775.5</v>
      </c>
      <c r="AJ257" s="579">
        <v>83854320</v>
      </c>
      <c r="AK257" s="579">
        <v>83854320</v>
      </c>
      <c r="AL257" s="579">
        <v>7207373.6666666679</v>
      </c>
      <c r="AM257" s="532" t="s">
        <v>4435</v>
      </c>
      <c r="AN257" s="607" t="s">
        <v>4436</v>
      </c>
      <c r="AO257" s="532" t="s">
        <v>4581</v>
      </c>
      <c r="AP257" s="532" t="s">
        <v>4582</v>
      </c>
      <c r="AQ257" s="590">
        <f>+AK257</f>
        <v>83854320</v>
      </c>
      <c r="AR257" s="1163">
        <v>0</v>
      </c>
      <c r="AS257" s="62" t="s">
        <v>4583</v>
      </c>
      <c r="AT257" s="91"/>
      <c r="AU257" s="66" t="str">
        <f t="shared" si="40"/>
        <v>En gestión</v>
      </c>
      <c r="AV257" s="66" t="str">
        <f t="shared" si="41"/>
        <v>Sin iniciar</v>
      </c>
      <c r="AW257" s="532" t="s">
        <v>4584</v>
      </c>
      <c r="AX257" s="599">
        <f>SUMPRODUCT(O257:O263,AR257:AR263)</f>
        <v>0.315</v>
      </c>
      <c r="AY257" s="600">
        <f>SUMPRODUCT(S257:S263,O257:O263)</f>
        <v>0.39</v>
      </c>
      <c r="AZ257" s="530" t="str">
        <f>IF(AY257&lt;1%,"Sin iniciar",IF(AY257=100%,"Terminado","En gestión"))</f>
        <v>En gestión</v>
      </c>
      <c r="BA257" s="530" t="str">
        <f>IF(AX257&lt;1%,"Sin iniciar",IF(AX257=100%,"Terminado","En gestión"))</f>
        <v>En gestión</v>
      </c>
      <c r="BB257" s="66" t="s">
        <v>4585</v>
      </c>
      <c r="BC257" s="530" t="s">
        <v>358</v>
      </c>
      <c r="BD257" s="579">
        <v>389067102</v>
      </c>
      <c r="BE257" s="579">
        <v>389067102</v>
      </c>
      <c r="BF257" s="579">
        <v>194533551</v>
      </c>
      <c r="BG257" s="579">
        <v>83854320</v>
      </c>
      <c r="BH257" s="579">
        <v>65771135</v>
      </c>
      <c r="BI257" s="579">
        <v>35702136.666666664</v>
      </c>
      <c r="BJ257" s="532" t="s">
        <v>4435</v>
      </c>
      <c r="BK257" s="533"/>
      <c r="BL257" s="532" t="s">
        <v>4581</v>
      </c>
      <c r="BM257" s="532" t="s">
        <v>4582</v>
      </c>
      <c r="BN257" s="590" t="s">
        <v>4915</v>
      </c>
      <c r="BO257" s="347">
        <v>0.5</v>
      </c>
      <c r="BP257" s="24" t="s">
        <v>4916</v>
      </c>
      <c r="BQ257" s="24" t="s">
        <v>5238</v>
      </c>
      <c r="BR257" s="66" t="str">
        <f t="shared" si="44"/>
        <v>Terminado</v>
      </c>
      <c r="BS257" s="66" t="str">
        <f t="shared" si="43"/>
        <v>En gestión</v>
      </c>
      <c r="BT257" s="560" t="s">
        <v>4917</v>
      </c>
      <c r="BU257" s="561">
        <f>SUMPRODUCT(O257:O263,BO257:BO263)</f>
        <v>0.60500000000000009</v>
      </c>
      <c r="BV257" s="562">
        <f>SUMPRODUCT(O257:O263,T257:T263)</f>
        <v>0.66500000000000004</v>
      </c>
      <c r="BW257" s="530" t="str">
        <f>IF(BV257&lt;1%,"Sin iniciar",IF(BV257=100%,"Terminado","En gestión"))</f>
        <v>En gestión</v>
      </c>
      <c r="BX257" s="530" t="str">
        <f>IF(BU257&lt;1%,"Sin iniciar",IF(BU257=100%,"Terminado","En gestión"))</f>
        <v>En gestión</v>
      </c>
      <c r="BY257" s="24" t="s">
        <v>4918</v>
      </c>
      <c r="BZ257" s="578" t="s">
        <v>358</v>
      </c>
      <c r="CA257" s="579">
        <v>389067102</v>
      </c>
      <c r="CB257" s="579">
        <v>389067102</v>
      </c>
      <c r="CC257" s="582">
        <v>291800326.5</v>
      </c>
      <c r="CD257" s="579">
        <f>BH257</f>
        <v>65771135</v>
      </c>
      <c r="CE257" s="579">
        <v>280988554.67753804</v>
      </c>
      <c r="CF257" s="579">
        <v>64472959.333333328</v>
      </c>
      <c r="CG257" s="560" t="s">
        <v>4435</v>
      </c>
      <c r="CH257" s="560" t="s">
        <v>4581</v>
      </c>
      <c r="CI257" s="560" t="s">
        <v>4582</v>
      </c>
      <c r="CJ257" s="582" t="s">
        <v>4915</v>
      </c>
    </row>
    <row r="258" spans="2:88" ht="171.95" customHeight="1" x14ac:dyDescent="0.25">
      <c r="B258" s="1227"/>
      <c r="C258" s="611"/>
      <c r="D258" s="594"/>
      <c r="E258" s="594"/>
      <c r="F258" s="981"/>
      <c r="G258" s="594"/>
      <c r="H258" s="594"/>
      <c r="I258" s="594"/>
      <c r="J258" s="594"/>
      <c r="K258" s="595"/>
      <c r="L258" s="592"/>
      <c r="M258" s="208" t="s">
        <v>4586</v>
      </c>
      <c r="N258" s="209" t="s">
        <v>5215</v>
      </c>
      <c r="O258" s="210">
        <v>0.15</v>
      </c>
      <c r="P258" s="211">
        <v>44200</v>
      </c>
      <c r="Q258" s="211">
        <v>44560</v>
      </c>
      <c r="R258" s="210">
        <v>0.2</v>
      </c>
      <c r="S258" s="210">
        <v>0.4</v>
      </c>
      <c r="T258" s="212">
        <v>0.65</v>
      </c>
      <c r="U258" s="210">
        <v>1</v>
      </c>
      <c r="V258" s="90">
        <v>0</v>
      </c>
      <c r="W258" s="66" t="s">
        <v>37</v>
      </c>
      <c r="X258" s="91" t="s">
        <v>37</v>
      </c>
      <c r="Y258" s="66" t="str">
        <f t="shared" si="37"/>
        <v>En gestión</v>
      </c>
      <c r="Z258" s="66" t="str">
        <f t="shared" si="38"/>
        <v>Sin iniciar</v>
      </c>
      <c r="AA258" s="532"/>
      <c r="AB258" s="596"/>
      <c r="AC258" s="597"/>
      <c r="AD258" s="530"/>
      <c r="AE258" s="530"/>
      <c r="AF258" s="66"/>
      <c r="AG258" s="579"/>
      <c r="AH258" s="579"/>
      <c r="AI258" s="579"/>
      <c r="AJ258" s="579"/>
      <c r="AK258" s="579"/>
      <c r="AL258" s="579"/>
      <c r="AM258" s="532"/>
      <c r="AN258" s="607"/>
      <c r="AO258" s="532"/>
      <c r="AP258" s="532"/>
      <c r="AQ258" s="530"/>
      <c r="AR258" s="1163">
        <v>0.45</v>
      </c>
      <c r="AS258" s="62" t="s">
        <v>4587</v>
      </c>
      <c r="AT258" s="63" t="s">
        <v>4588</v>
      </c>
      <c r="AU258" s="66" t="str">
        <f t="shared" si="40"/>
        <v>En gestión</v>
      </c>
      <c r="AV258" s="66" t="str">
        <f t="shared" si="41"/>
        <v>En gestión</v>
      </c>
      <c r="AW258" s="532"/>
      <c r="AX258" s="599"/>
      <c r="AY258" s="600"/>
      <c r="AZ258" s="530"/>
      <c r="BA258" s="530"/>
      <c r="BB258" s="66"/>
      <c r="BC258" s="530"/>
      <c r="BD258" s="579"/>
      <c r="BE258" s="579"/>
      <c r="BF258" s="579"/>
      <c r="BG258" s="579"/>
      <c r="BH258" s="579"/>
      <c r="BI258" s="579"/>
      <c r="BJ258" s="532"/>
      <c r="BK258" s="534"/>
      <c r="BL258" s="532"/>
      <c r="BM258" s="532"/>
      <c r="BN258" s="530"/>
      <c r="BO258" s="347">
        <v>0.65</v>
      </c>
      <c r="BP258" s="24" t="s">
        <v>4919</v>
      </c>
      <c r="BQ258" s="24" t="s">
        <v>5239</v>
      </c>
      <c r="BR258" s="66" t="str">
        <f t="shared" si="44"/>
        <v>Terminado</v>
      </c>
      <c r="BS258" s="66" t="str">
        <f t="shared" si="43"/>
        <v>En gestión</v>
      </c>
      <c r="BT258" s="560"/>
      <c r="BU258" s="561"/>
      <c r="BV258" s="562"/>
      <c r="BW258" s="530"/>
      <c r="BX258" s="530"/>
      <c r="BY258" s="578" t="s">
        <v>37</v>
      </c>
      <c r="BZ258" s="578"/>
      <c r="CA258" s="579"/>
      <c r="CB258" s="579"/>
      <c r="CC258" s="578"/>
      <c r="CD258" s="579"/>
      <c r="CE258" s="579"/>
      <c r="CF258" s="579"/>
      <c r="CG258" s="560"/>
      <c r="CH258" s="560"/>
      <c r="CI258" s="560"/>
      <c r="CJ258" s="578"/>
    </row>
    <row r="259" spans="2:88" ht="171.95" customHeight="1" x14ac:dyDescent="0.25">
      <c r="B259" s="1227"/>
      <c r="C259" s="611"/>
      <c r="D259" s="594"/>
      <c r="E259" s="594"/>
      <c r="F259" s="981"/>
      <c r="G259" s="594"/>
      <c r="H259" s="594"/>
      <c r="I259" s="594"/>
      <c r="J259" s="594"/>
      <c r="K259" s="595"/>
      <c r="L259" s="592"/>
      <c r="M259" s="208" t="s">
        <v>4589</v>
      </c>
      <c r="N259" s="209" t="s">
        <v>4590</v>
      </c>
      <c r="O259" s="210">
        <v>0.15</v>
      </c>
      <c r="P259" s="211">
        <v>44200</v>
      </c>
      <c r="Q259" s="211">
        <v>44560</v>
      </c>
      <c r="R259" s="210">
        <v>0.2</v>
      </c>
      <c r="S259" s="210">
        <v>0.4</v>
      </c>
      <c r="T259" s="212">
        <v>0.65</v>
      </c>
      <c r="U259" s="210">
        <v>1</v>
      </c>
      <c r="V259" s="90">
        <v>0</v>
      </c>
      <c r="W259" s="66" t="s">
        <v>37</v>
      </c>
      <c r="X259" s="91" t="s">
        <v>37</v>
      </c>
      <c r="Y259" s="66" t="str">
        <f t="shared" si="37"/>
        <v>En gestión</v>
      </c>
      <c r="Z259" s="66" t="str">
        <f t="shared" si="38"/>
        <v>Sin iniciar</v>
      </c>
      <c r="AA259" s="532"/>
      <c r="AB259" s="596"/>
      <c r="AC259" s="597"/>
      <c r="AD259" s="530"/>
      <c r="AE259" s="530"/>
      <c r="AF259" s="66"/>
      <c r="AG259" s="579"/>
      <c r="AH259" s="579"/>
      <c r="AI259" s="579"/>
      <c r="AJ259" s="579"/>
      <c r="AK259" s="579"/>
      <c r="AL259" s="579"/>
      <c r="AM259" s="532"/>
      <c r="AN259" s="607"/>
      <c r="AO259" s="532"/>
      <c r="AP259" s="532"/>
      <c r="AQ259" s="530"/>
      <c r="AR259" s="1163">
        <v>0.45</v>
      </c>
      <c r="AS259" s="62" t="s">
        <v>4591</v>
      </c>
      <c r="AT259" s="91" t="s">
        <v>4592</v>
      </c>
      <c r="AU259" s="66" t="str">
        <f t="shared" si="40"/>
        <v>En gestión</v>
      </c>
      <c r="AV259" s="66" t="str">
        <f t="shared" si="41"/>
        <v>En gestión</v>
      </c>
      <c r="AW259" s="532"/>
      <c r="AX259" s="599"/>
      <c r="AY259" s="600"/>
      <c r="AZ259" s="530"/>
      <c r="BA259" s="530"/>
      <c r="BB259" s="66"/>
      <c r="BC259" s="530"/>
      <c r="BD259" s="579"/>
      <c r="BE259" s="579"/>
      <c r="BF259" s="579"/>
      <c r="BG259" s="579"/>
      <c r="BH259" s="579"/>
      <c r="BI259" s="579"/>
      <c r="BJ259" s="532"/>
      <c r="BK259" s="534"/>
      <c r="BL259" s="532"/>
      <c r="BM259" s="532"/>
      <c r="BN259" s="530"/>
      <c r="BO259" s="347">
        <v>0.65</v>
      </c>
      <c r="BP259" s="24" t="s">
        <v>4920</v>
      </c>
      <c r="BQ259" s="24" t="s">
        <v>5257</v>
      </c>
      <c r="BR259" s="66" t="str">
        <f t="shared" si="44"/>
        <v>Terminado</v>
      </c>
      <c r="BS259" s="66" t="str">
        <f t="shared" si="43"/>
        <v>En gestión</v>
      </c>
      <c r="BT259" s="560"/>
      <c r="BU259" s="561"/>
      <c r="BV259" s="562"/>
      <c r="BW259" s="530"/>
      <c r="BX259" s="530"/>
      <c r="BY259" s="578"/>
      <c r="BZ259" s="578"/>
      <c r="CA259" s="579"/>
      <c r="CB259" s="579"/>
      <c r="CC259" s="578"/>
      <c r="CD259" s="579"/>
      <c r="CE259" s="579"/>
      <c r="CF259" s="579"/>
      <c r="CG259" s="560"/>
      <c r="CH259" s="560"/>
      <c r="CI259" s="560"/>
      <c r="CJ259" s="578"/>
    </row>
    <row r="260" spans="2:88" ht="171.95" customHeight="1" x14ac:dyDescent="0.25">
      <c r="B260" s="1227"/>
      <c r="C260" s="611"/>
      <c r="D260" s="594"/>
      <c r="E260" s="594"/>
      <c r="F260" s="981"/>
      <c r="G260" s="594"/>
      <c r="H260" s="594"/>
      <c r="I260" s="594"/>
      <c r="J260" s="594"/>
      <c r="K260" s="595"/>
      <c r="L260" s="592"/>
      <c r="M260" s="208" t="s">
        <v>4593</v>
      </c>
      <c r="N260" s="209" t="s">
        <v>4594</v>
      </c>
      <c r="O260" s="210">
        <v>0.15</v>
      </c>
      <c r="P260" s="211">
        <v>44200</v>
      </c>
      <c r="Q260" s="211">
        <v>44560</v>
      </c>
      <c r="R260" s="210">
        <v>0.2</v>
      </c>
      <c r="S260" s="210">
        <v>0.4</v>
      </c>
      <c r="T260" s="212">
        <v>0.65</v>
      </c>
      <c r="U260" s="210">
        <v>1</v>
      </c>
      <c r="V260" s="90">
        <v>0</v>
      </c>
      <c r="W260" s="66" t="s">
        <v>37</v>
      </c>
      <c r="X260" s="91" t="s">
        <v>37</v>
      </c>
      <c r="Y260" s="66" t="str">
        <f t="shared" si="37"/>
        <v>En gestión</v>
      </c>
      <c r="Z260" s="66" t="str">
        <f t="shared" si="38"/>
        <v>Sin iniciar</v>
      </c>
      <c r="AA260" s="532"/>
      <c r="AB260" s="596"/>
      <c r="AC260" s="597"/>
      <c r="AD260" s="530"/>
      <c r="AE260" s="530"/>
      <c r="AF260" s="66"/>
      <c r="AG260" s="579"/>
      <c r="AH260" s="579"/>
      <c r="AI260" s="579"/>
      <c r="AJ260" s="579"/>
      <c r="AK260" s="579"/>
      <c r="AL260" s="579"/>
      <c r="AM260" s="532"/>
      <c r="AN260" s="607"/>
      <c r="AO260" s="532"/>
      <c r="AP260" s="532"/>
      <c r="AQ260" s="530"/>
      <c r="AR260" s="1163">
        <v>0.4</v>
      </c>
      <c r="AS260" s="62" t="s">
        <v>4595</v>
      </c>
      <c r="AT260" s="91" t="s">
        <v>4596</v>
      </c>
      <c r="AU260" s="66" t="str">
        <f t="shared" si="40"/>
        <v>En gestión</v>
      </c>
      <c r="AV260" s="66" t="str">
        <f t="shared" si="41"/>
        <v>En gestión</v>
      </c>
      <c r="AW260" s="532"/>
      <c r="AX260" s="599"/>
      <c r="AY260" s="600"/>
      <c r="AZ260" s="530"/>
      <c r="BA260" s="530"/>
      <c r="BB260" s="66"/>
      <c r="BC260" s="530"/>
      <c r="BD260" s="579"/>
      <c r="BE260" s="579"/>
      <c r="BF260" s="579"/>
      <c r="BG260" s="579"/>
      <c r="BH260" s="579"/>
      <c r="BI260" s="579"/>
      <c r="BJ260" s="532"/>
      <c r="BK260" s="534"/>
      <c r="BL260" s="532"/>
      <c r="BM260" s="532"/>
      <c r="BN260" s="530"/>
      <c r="BO260" s="347">
        <v>0.65</v>
      </c>
      <c r="BP260" s="24" t="s">
        <v>4921</v>
      </c>
      <c r="BQ260" s="24" t="s">
        <v>5240</v>
      </c>
      <c r="BR260" s="66" t="str">
        <f t="shared" si="44"/>
        <v>Terminado</v>
      </c>
      <c r="BS260" s="66" t="str">
        <f t="shared" si="43"/>
        <v>En gestión</v>
      </c>
      <c r="BT260" s="560"/>
      <c r="BU260" s="561"/>
      <c r="BV260" s="562"/>
      <c r="BW260" s="530"/>
      <c r="BX260" s="530"/>
      <c r="BY260" s="578"/>
      <c r="BZ260" s="578"/>
      <c r="CA260" s="579"/>
      <c r="CB260" s="579"/>
      <c r="CC260" s="578"/>
      <c r="CD260" s="579"/>
      <c r="CE260" s="579"/>
      <c r="CF260" s="579"/>
      <c r="CG260" s="560"/>
      <c r="CH260" s="560"/>
      <c r="CI260" s="560"/>
      <c r="CJ260" s="578"/>
    </row>
    <row r="261" spans="2:88" ht="171.95" customHeight="1" x14ac:dyDescent="0.25">
      <c r="B261" s="1227"/>
      <c r="C261" s="611"/>
      <c r="D261" s="594"/>
      <c r="E261" s="594"/>
      <c r="F261" s="981"/>
      <c r="G261" s="594"/>
      <c r="H261" s="594"/>
      <c r="I261" s="594"/>
      <c r="J261" s="594"/>
      <c r="K261" s="595"/>
      <c r="L261" s="592"/>
      <c r="M261" s="208" t="s">
        <v>4597</v>
      </c>
      <c r="N261" s="209" t="s">
        <v>4598</v>
      </c>
      <c r="O261" s="210">
        <v>0.15</v>
      </c>
      <c r="P261" s="211">
        <v>44200</v>
      </c>
      <c r="Q261" s="211">
        <v>44560</v>
      </c>
      <c r="R261" s="210">
        <v>0.25</v>
      </c>
      <c r="S261" s="210">
        <v>0.5</v>
      </c>
      <c r="T261" s="212">
        <v>0.75</v>
      </c>
      <c r="U261" s="210">
        <v>1</v>
      </c>
      <c r="V261" s="90">
        <v>0</v>
      </c>
      <c r="W261" s="66" t="s">
        <v>37</v>
      </c>
      <c r="X261" s="91" t="s">
        <v>37</v>
      </c>
      <c r="Y261" s="66" t="str">
        <f t="shared" si="37"/>
        <v>En gestión</v>
      </c>
      <c r="Z261" s="66" t="str">
        <f t="shared" si="38"/>
        <v>Sin iniciar</v>
      </c>
      <c r="AA261" s="532"/>
      <c r="AB261" s="596"/>
      <c r="AC261" s="597"/>
      <c r="AD261" s="530"/>
      <c r="AE261" s="530"/>
      <c r="AF261" s="66"/>
      <c r="AG261" s="579"/>
      <c r="AH261" s="579"/>
      <c r="AI261" s="579"/>
      <c r="AJ261" s="579">
        <v>45226726.399999999</v>
      </c>
      <c r="AK261" s="579">
        <v>45226726.399999999</v>
      </c>
      <c r="AL261" s="579">
        <v>8045007.4666666668</v>
      </c>
      <c r="AM261" s="532"/>
      <c r="AN261" s="607"/>
      <c r="AO261" s="532" t="s">
        <v>4470</v>
      </c>
      <c r="AP261" s="532" t="s">
        <v>2479</v>
      </c>
      <c r="AQ261" s="590">
        <f>+AL261</f>
        <v>8045007.4666666668</v>
      </c>
      <c r="AR261" s="1163">
        <v>0.3</v>
      </c>
      <c r="AS261" s="62" t="s">
        <v>4599</v>
      </c>
      <c r="AT261" s="63" t="s">
        <v>4600</v>
      </c>
      <c r="AU261" s="66" t="str">
        <f t="shared" si="40"/>
        <v>En gestión</v>
      </c>
      <c r="AV261" s="66" t="str">
        <f t="shared" si="41"/>
        <v>En gestión</v>
      </c>
      <c r="AW261" s="532"/>
      <c r="AX261" s="599"/>
      <c r="AY261" s="600"/>
      <c r="AZ261" s="530"/>
      <c r="BA261" s="530"/>
      <c r="BB261" s="62" t="s">
        <v>4601</v>
      </c>
      <c r="BC261" s="530"/>
      <c r="BD261" s="579"/>
      <c r="BE261" s="579"/>
      <c r="BF261" s="579"/>
      <c r="BG261" s="579">
        <v>45226726.399999999</v>
      </c>
      <c r="BH261" s="579">
        <v>45226726.399999999</v>
      </c>
      <c r="BI261" s="579">
        <v>22539307.893333331</v>
      </c>
      <c r="BJ261" s="532"/>
      <c r="BK261" s="534"/>
      <c r="BL261" s="532" t="s">
        <v>4470</v>
      </c>
      <c r="BM261" s="532" t="s">
        <v>2479</v>
      </c>
      <c r="BN261" s="590" t="s">
        <v>4474</v>
      </c>
      <c r="BO261" s="347">
        <v>0.5</v>
      </c>
      <c r="BP261" s="24" t="s">
        <v>4922</v>
      </c>
      <c r="BQ261" s="24" t="s">
        <v>4600</v>
      </c>
      <c r="BR261" s="66" t="str">
        <f t="shared" si="44"/>
        <v>Terminado</v>
      </c>
      <c r="BS261" s="66" t="str">
        <f t="shared" si="43"/>
        <v>En gestión</v>
      </c>
      <c r="BT261" s="560"/>
      <c r="BU261" s="561"/>
      <c r="BV261" s="562"/>
      <c r="BW261" s="530"/>
      <c r="BX261" s="530"/>
      <c r="BY261" s="24" t="s">
        <v>4923</v>
      </c>
      <c r="BZ261" s="578"/>
      <c r="CA261" s="579"/>
      <c r="CB261" s="579"/>
      <c r="CC261" s="578"/>
      <c r="CD261" s="579">
        <f>BH261</f>
        <v>45226726.399999999</v>
      </c>
      <c r="CE261" s="579">
        <v>48383210.239999995</v>
      </c>
      <c r="CF261" s="579">
        <v>37192886.346666664</v>
      </c>
      <c r="CG261" s="560"/>
      <c r="CH261" s="560" t="s">
        <v>4470</v>
      </c>
      <c r="CI261" s="560" t="s">
        <v>2479</v>
      </c>
      <c r="CJ261" s="591" t="s">
        <v>4474</v>
      </c>
    </row>
    <row r="262" spans="2:88" ht="171.95" customHeight="1" x14ac:dyDescent="0.25">
      <c r="B262" s="1227"/>
      <c r="C262" s="611"/>
      <c r="D262" s="594"/>
      <c r="E262" s="594"/>
      <c r="F262" s="981"/>
      <c r="G262" s="594"/>
      <c r="H262" s="594"/>
      <c r="I262" s="594"/>
      <c r="J262" s="594"/>
      <c r="K262" s="595"/>
      <c r="L262" s="592"/>
      <c r="M262" s="208" t="s">
        <v>4602</v>
      </c>
      <c r="N262" s="209" t="s">
        <v>4603</v>
      </c>
      <c r="O262" s="210">
        <v>0.15</v>
      </c>
      <c r="P262" s="211">
        <v>44200</v>
      </c>
      <c r="Q262" s="211">
        <v>44560</v>
      </c>
      <c r="R262" s="210">
        <v>0.25</v>
      </c>
      <c r="S262" s="210">
        <v>0.5</v>
      </c>
      <c r="T262" s="212">
        <v>0.75</v>
      </c>
      <c r="U262" s="210">
        <v>1</v>
      </c>
      <c r="V262" s="90">
        <v>0</v>
      </c>
      <c r="W262" s="66" t="s">
        <v>37</v>
      </c>
      <c r="X262" s="91" t="s">
        <v>37</v>
      </c>
      <c r="Y262" s="66" t="str">
        <f t="shared" si="37"/>
        <v>En gestión</v>
      </c>
      <c r="Z262" s="66" t="str">
        <f t="shared" si="38"/>
        <v>Sin iniciar</v>
      </c>
      <c r="AA262" s="532"/>
      <c r="AB262" s="596"/>
      <c r="AC262" s="597"/>
      <c r="AD262" s="530"/>
      <c r="AE262" s="530"/>
      <c r="AF262" s="66"/>
      <c r="AG262" s="579"/>
      <c r="AH262" s="579"/>
      <c r="AI262" s="579"/>
      <c r="AJ262" s="579"/>
      <c r="AK262" s="579"/>
      <c r="AL262" s="579"/>
      <c r="AM262" s="532"/>
      <c r="AN262" s="607"/>
      <c r="AO262" s="532"/>
      <c r="AP262" s="532"/>
      <c r="AQ262" s="530"/>
      <c r="AR262" s="1163">
        <v>0.5</v>
      </c>
      <c r="AS262" s="62" t="s">
        <v>4604</v>
      </c>
      <c r="AT262" s="91" t="s">
        <v>4605</v>
      </c>
      <c r="AU262" s="66" t="str">
        <f t="shared" si="40"/>
        <v>En gestión</v>
      </c>
      <c r="AV262" s="66" t="str">
        <f t="shared" si="41"/>
        <v>En gestión</v>
      </c>
      <c r="AW262" s="532"/>
      <c r="AX262" s="599"/>
      <c r="AY262" s="600"/>
      <c r="AZ262" s="530"/>
      <c r="BA262" s="530"/>
      <c r="BB262" s="66"/>
      <c r="BC262" s="530"/>
      <c r="BD262" s="579"/>
      <c r="BE262" s="579"/>
      <c r="BF262" s="579"/>
      <c r="BG262" s="579"/>
      <c r="BH262" s="579"/>
      <c r="BI262" s="579"/>
      <c r="BJ262" s="532"/>
      <c r="BK262" s="534"/>
      <c r="BL262" s="532"/>
      <c r="BM262" s="532"/>
      <c r="BN262" s="530"/>
      <c r="BO262" s="347">
        <v>0.75</v>
      </c>
      <c r="BP262" s="24" t="s">
        <v>4924</v>
      </c>
      <c r="BQ262" s="24" t="s">
        <v>4925</v>
      </c>
      <c r="BR262" s="66" t="str">
        <f t="shared" si="44"/>
        <v>Terminado</v>
      </c>
      <c r="BS262" s="66" t="str">
        <f t="shared" si="43"/>
        <v>En gestión</v>
      </c>
      <c r="BT262" s="560"/>
      <c r="BU262" s="561"/>
      <c r="BV262" s="562"/>
      <c r="BW262" s="530"/>
      <c r="BX262" s="530"/>
      <c r="BY262" s="578" t="s">
        <v>37</v>
      </c>
      <c r="BZ262" s="578"/>
      <c r="CA262" s="579"/>
      <c r="CB262" s="579"/>
      <c r="CC262" s="578"/>
      <c r="CD262" s="579"/>
      <c r="CE262" s="579"/>
      <c r="CF262" s="579"/>
      <c r="CG262" s="560"/>
      <c r="CH262" s="560"/>
      <c r="CI262" s="560"/>
      <c r="CJ262" s="560"/>
    </row>
    <row r="263" spans="2:88" ht="171.95" customHeight="1" x14ac:dyDescent="0.25">
      <c r="B263" s="1227"/>
      <c r="C263" s="611"/>
      <c r="D263" s="594"/>
      <c r="E263" s="594"/>
      <c r="F263" s="982"/>
      <c r="G263" s="594"/>
      <c r="H263" s="594"/>
      <c r="I263" s="594"/>
      <c r="J263" s="594"/>
      <c r="K263" s="595"/>
      <c r="L263" s="592"/>
      <c r="M263" s="208" t="s">
        <v>4606</v>
      </c>
      <c r="N263" s="209" t="s">
        <v>4607</v>
      </c>
      <c r="O263" s="210">
        <v>0.1</v>
      </c>
      <c r="P263" s="211">
        <v>43876</v>
      </c>
      <c r="Q263" s="211">
        <v>44560</v>
      </c>
      <c r="R263" s="210">
        <v>0</v>
      </c>
      <c r="S263" s="210">
        <v>0</v>
      </c>
      <c r="T263" s="212">
        <v>0.5</v>
      </c>
      <c r="U263" s="210">
        <v>1</v>
      </c>
      <c r="V263" s="90">
        <v>0</v>
      </c>
      <c r="W263" s="62" t="s">
        <v>4608</v>
      </c>
      <c r="X263" s="91" t="s">
        <v>37</v>
      </c>
      <c r="Y263" s="66" t="str">
        <f t="shared" si="37"/>
        <v>Sin iniciar</v>
      </c>
      <c r="Z263" s="66" t="str">
        <f t="shared" si="38"/>
        <v>Sin iniciar</v>
      </c>
      <c r="AA263" s="532"/>
      <c r="AB263" s="596"/>
      <c r="AC263" s="597"/>
      <c r="AD263" s="530"/>
      <c r="AE263" s="530"/>
      <c r="AF263" s="66"/>
      <c r="AG263" s="579"/>
      <c r="AH263" s="579"/>
      <c r="AI263" s="579"/>
      <c r="AJ263" s="579"/>
      <c r="AK263" s="579"/>
      <c r="AL263" s="579"/>
      <c r="AM263" s="532"/>
      <c r="AN263" s="607"/>
      <c r="AO263" s="532"/>
      <c r="AP263" s="532"/>
      <c r="AQ263" s="530"/>
      <c r="AR263" s="1163">
        <v>0</v>
      </c>
      <c r="AS263" s="62" t="s">
        <v>2448</v>
      </c>
      <c r="AT263" s="91"/>
      <c r="AU263" s="66" t="str">
        <f t="shared" si="40"/>
        <v>Sin iniciar</v>
      </c>
      <c r="AV263" s="66" t="str">
        <f t="shared" si="41"/>
        <v>Sin iniciar</v>
      </c>
      <c r="AW263" s="532"/>
      <c r="AX263" s="599"/>
      <c r="AY263" s="600"/>
      <c r="AZ263" s="530"/>
      <c r="BA263" s="530"/>
      <c r="BB263" s="62" t="s">
        <v>4609</v>
      </c>
      <c r="BC263" s="530"/>
      <c r="BD263" s="579"/>
      <c r="BE263" s="579"/>
      <c r="BF263" s="579"/>
      <c r="BG263" s="579"/>
      <c r="BH263" s="579"/>
      <c r="BI263" s="579"/>
      <c r="BJ263" s="532"/>
      <c r="BK263" s="535"/>
      <c r="BL263" s="532"/>
      <c r="BM263" s="532"/>
      <c r="BN263" s="530"/>
      <c r="BO263" s="347">
        <v>0.5</v>
      </c>
      <c r="BP263" s="24" t="s">
        <v>4926</v>
      </c>
      <c r="BQ263" s="24" t="s">
        <v>4927</v>
      </c>
      <c r="BR263" s="66" t="str">
        <f t="shared" si="44"/>
        <v>Terminado</v>
      </c>
      <c r="BS263" s="66" t="str">
        <f t="shared" si="43"/>
        <v>En gestión</v>
      </c>
      <c r="BT263" s="560"/>
      <c r="BU263" s="561"/>
      <c r="BV263" s="562"/>
      <c r="BW263" s="530"/>
      <c r="BX263" s="530"/>
      <c r="BY263" s="578"/>
      <c r="BZ263" s="578"/>
      <c r="CA263" s="579"/>
      <c r="CB263" s="579"/>
      <c r="CC263" s="578"/>
      <c r="CD263" s="579"/>
      <c r="CE263" s="579"/>
      <c r="CF263" s="579"/>
      <c r="CG263" s="560"/>
      <c r="CH263" s="560"/>
      <c r="CI263" s="560"/>
      <c r="CJ263" s="560"/>
    </row>
    <row r="264" spans="2:88" ht="171.95" customHeight="1" x14ac:dyDescent="0.25">
      <c r="B264" s="1227"/>
      <c r="C264" s="610" t="s">
        <v>4486</v>
      </c>
      <c r="D264" s="601" t="s">
        <v>233</v>
      </c>
      <c r="E264" s="204" t="s">
        <v>26</v>
      </c>
      <c r="F264" s="601" t="s">
        <v>4610</v>
      </c>
      <c r="G264" s="601" t="s">
        <v>28</v>
      </c>
      <c r="H264" s="601" t="s">
        <v>28</v>
      </c>
      <c r="I264" s="601" t="s">
        <v>29</v>
      </c>
      <c r="J264" s="601" t="s">
        <v>47</v>
      </c>
      <c r="K264" s="602" t="s">
        <v>4611</v>
      </c>
      <c r="L264" s="593" t="s">
        <v>164</v>
      </c>
      <c r="M264" s="202" t="s">
        <v>4612</v>
      </c>
      <c r="N264" s="203" t="s">
        <v>4613</v>
      </c>
      <c r="O264" s="204">
        <v>0.2</v>
      </c>
      <c r="P264" s="205">
        <v>44208</v>
      </c>
      <c r="Q264" s="205">
        <v>44285</v>
      </c>
      <c r="R264" s="204">
        <v>1</v>
      </c>
      <c r="S264" s="204">
        <v>1</v>
      </c>
      <c r="T264" s="206">
        <v>1</v>
      </c>
      <c r="U264" s="204">
        <v>1</v>
      </c>
      <c r="V264" s="90">
        <v>1</v>
      </c>
      <c r="W264" s="13" t="s">
        <v>4614</v>
      </c>
      <c r="X264" s="94" t="s">
        <v>4615</v>
      </c>
      <c r="Y264" s="56" t="str">
        <f t="shared" si="37"/>
        <v>Terminado</v>
      </c>
      <c r="Z264" s="56" t="str">
        <f t="shared" si="38"/>
        <v>Terminado</v>
      </c>
      <c r="AA264" s="531" t="s">
        <v>4616</v>
      </c>
      <c r="AB264" s="596">
        <f>SUMPRODUCT(O264:O266,V264:V266)</f>
        <v>0.26750000000000002</v>
      </c>
      <c r="AC264" s="597">
        <f>SUMPRODUCT(O264:O266,R264:R266)</f>
        <v>0.26750000000000002</v>
      </c>
      <c r="AD264" s="536" t="str">
        <f>IF(AC264&lt;1%,"Sin iniciar",IF(AC264=100%,"Terminado","En gestión"))</f>
        <v>En gestión</v>
      </c>
      <c r="AE264" s="536" t="str">
        <f>IF(AB264&lt;1%,"Sin iniciar",IF(AB264=100%,"Terminado","En gestión"))</f>
        <v>En gestión</v>
      </c>
      <c r="AF264" s="56"/>
      <c r="AG264" s="583">
        <v>133229133</v>
      </c>
      <c r="AH264" s="583">
        <v>133229133</v>
      </c>
      <c r="AI264" s="583">
        <v>33307283.25</v>
      </c>
      <c r="AJ264" s="583">
        <f>AQ264+AQ266</f>
        <v>93474861</v>
      </c>
      <c r="AK264" s="583">
        <v>26400000</v>
      </c>
      <c r="AL264" s="583">
        <v>0</v>
      </c>
      <c r="AM264" s="593" t="s">
        <v>4435</v>
      </c>
      <c r="AN264" s="603" t="s">
        <v>4436</v>
      </c>
      <c r="AO264" s="520" t="s">
        <v>4617</v>
      </c>
      <c r="AP264" s="531" t="s">
        <v>4618</v>
      </c>
      <c r="AQ264" s="568">
        <f>+AK264</f>
        <v>26400000</v>
      </c>
      <c r="AR264" s="1163">
        <v>1</v>
      </c>
      <c r="AS264" s="13" t="s">
        <v>2434</v>
      </c>
      <c r="AT264" s="94"/>
      <c r="AU264" s="56" t="str">
        <f t="shared" si="40"/>
        <v>Terminado</v>
      </c>
      <c r="AV264" s="56" t="str">
        <f t="shared" si="41"/>
        <v>Terminado</v>
      </c>
      <c r="AW264" s="531" t="s">
        <v>4619</v>
      </c>
      <c r="AX264" s="599">
        <f>SUMPRODUCT(O264:O266,AR264:AR266)</f>
        <v>0.495</v>
      </c>
      <c r="AY264" s="600">
        <f>SUMPRODUCT(S264:S266,O264:O266)</f>
        <v>0.495</v>
      </c>
      <c r="AZ264" s="536" t="str">
        <f>IF(AY264&lt;1%,"Sin iniciar",IF(AY264=100%,"Terminado","En gestión"))</f>
        <v>En gestión</v>
      </c>
      <c r="BA264" s="536" t="str">
        <f>IF(AX264&lt;1%,"Sin iniciar",IF(AX264=100%,"Terminado","En gestión"))</f>
        <v>En gestión</v>
      </c>
      <c r="BB264" s="56"/>
      <c r="BC264" s="536" t="s">
        <v>358</v>
      </c>
      <c r="BD264" s="583">
        <v>133229133</v>
      </c>
      <c r="BE264" s="583">
        <v>133229133</v>
      </c>
      <c r="BF264" s="583">
        <v>66614566.5</v>
      </c>
      <c r="BG264" s="583">
        <v>93474861</v>
      </c>
      <c r="BH264" s="583">
        <v>35450000</v>
      </c>
      <c r="BI264" s="583">
        <v>9900000</v>
      </c>
      <c r="BJ264" s="593" t="s">
        <v>4435</v>
      </c>
      <c r="BK264" s="514"/>
      <c r="BL264" s="520" t="s">
        <v>4617</v>
      </c>
      <c r="BM264" s="531" t="s">
        <v>4618</v>
      </c>
      <c r="BN264" s="568" t="s">
        <v>4928</v>
      </c>
      <c r="BO264" s="347">
        <v>1</v>
      </c>
      <c r="BP264" s="11" t="s">
        <v>2434</v>
      </c>
      <c r="BQ264" s="11" t="s">
        <v>2434</v>
      </c>
      <c r="BR264" s="56" t="str">
        <f t="shared" si="44"/>
        <v>Terminado</v>
      </c>
      <c r="BS264" s="56" t="str">
        <f t="shared" si="43"/>
        <v>Terminado</v>
      </c>
      <c r="BT264" s="581" t="s">
        <v>4929</v>
      </c>
      <c r="BU264" s="561">
        <f>SUMPRODUCT(O264:O266,BO264:BO266)</f>
        <v>0.74750000000000005</v>
      </c>
      <c r="BV264" s="562">
        <f>SUMPRODUCT(O264:O266,T264:T266)</f>
        <v>0.74750000000000005</v>
      </c>
      <c r="BW264" s="536" t="str">
        <f>IF(BV264&lt;1%,"Sin iniciar",IF(BV264=100%,"Terminado","En gestión"))</f>
        <v>En gestión</v>
      </c>
      <c r="BX264" s="536" t="str">
        <f>IF(BU264&lt;1%,"Sin iniciar",IF(BU264=100%,"Terminado","En gestión"))</f>
        <v>En gestión</v>
      </c>
      <c r="BY264" s="573" t="s">
        <v>37</v>
      </c>
      <c r="BZ264" s="570" t="s">
        <v>358</v>
      </c>
      <c r="CA264" s="583">
        <f>BE264</f>
        <v>133229133</v>
      </c>
      <c r="CB264" s="583">
        <f>BF264</f>
        <v>66614566.5</v>
      </c>
      <c r="CC264" s="572">
        <v>99921849.75</v>
      </c>
      <c r="CD264" s="583">
        <v>35450000</v>
      </c>
      <c r="CE264" s="583">
        <v>30996666.681000002</v>
      </c>
      <c r="CF264" s="583">
        <v>25566666.666666668</v>
      </c>
      <c r="CG264" s="584" t="s">
        <v>4435</v>
      </c>
      <c r="CH264" s="520" t="s">
        <v>4617</v>
      </c>
      <c r="CI264" s="581" t="s">
        <v>4618</v>
      </c>
      <c r="CJ264" s="568" t="s">
        <v>4928</v>
      </c>
    </row>
    <row r="265" spans="2:88" ht="171.95" customHeight="1" x14ac:dyDescent="0.25">
      <c r="B265" s="1227"/>
      <c r="C265" s="610"/>
      <c r="D265" s="601"/>
      <c r="E265" s="204" t="s">
        <v>26</v>
      </c>
      <c r="F265" s="601"/>
      <c r="G265" s="601"/>
      <c r="H265" s="601"/>
      <c r="I265" s="601"/>
      <c r="J265" s="601"/>
      <c r="K265" s="602"/>
      <c r="L265" s="593"/>
      <c r="M265" s="202" t="s">
        <v>4620</v>
      </c>
      <c r="N265" s="203" t="s">
        <v>4621</v>
      </c>
      <c r="O265" s="204">
        <v>0.35</v>
      </c>
      <c r="P265" s="205">
        <v>44298</v>
      </c>
      <c r="Q265" s="205">
        <v>44498</v>
      </c>
      <c r="R265" s="204">
        <v>0</v>
      </c>
      <c r="S265" s="204">
        <v>0.2</v>
      </c>
      <c r="T265" s="206">
        <v>0.6</v>
      </c>
      <c r="U265" s="204">
        <v>1</v>
      </c>
      <c r="V265" s="90">
        <v>0</v>
      </c>
      <c r="W265" s="56" t="s">
        <v>37</v>
      </c>
      <c r="X265" s="94" t="s">
        <v>37</v>
      </c>
      <c r="Y265" s="56" t="str">
        <f t="shared" si="37"/>
        <v>Sin iniciar</v>
      </c>
      <c r="Z265" s="56" t="str">
        <f t="shared" si="38"/>
        <v>Sin iniciar</v>
      </c>
      <c r="AA265" s="531"/>
      <c r="AB265" s="596"/>
      <c r="AC265" s="597"/>
      <c r="AD265" s="536"/>
      <c r="AE265" s="536"/>
      <c r="AF265" s="56"/>
      <c r="AG265" s="583"/>
      <c r="AH265" s="583"/>
      <c r="AI265" s="583"/>
      <c r="AJ265" s="583"/>
      <c r="AK265" s="583"/>
      <c r="AL265" s="583"/>
      <c r="AM265" s="593"/>
      <c r="AN265" s="603"/>
      <c r="AO265" s="520"/>
      <c r="AP265" s="531"/>
      <c r="AQ265" s="568"/>
      <c r="AR265" s="1163">
        <v>0.2</v>
      </c>
      <c r="AS265" s="13" t="s">
        <v>4622</v>
      </c>
      <c r="AT265" s="55" t="s">
        <v>4623</v>
      </c>
      <c r="AU265" s="56" t="str">
        <f t="shared" si="40"/>
        <v>En gestión</v>
      </c>
      <c r="AV265" s="56" t="str">
        <f t="shared" si="41"/>
        <v>En gestión</v>
      </c>
      <c r="AW265" s="531"/>
      <c r="AX265" s="599"/>
      <c r="AY265" s="600"/>
      <c r="AZ265" s="536"/>
      <c r="BA265" s="536"/>
      <c r="BB265" s="56"/>
      <c r="BC265" s="536"/>
      <c r="BD265" s="583"/>
      <c r="BE265" s="583"/>
      <c r="BF265" s="583"/>
      <c r="BG265" s="583"/>
      <c r="BH265" s="583"/>
      <c r="BI265" s="583"/>
      <c r="BJ265" s="593"/>
      <c r="BK265" s="515"/>
      <c r="BL265" s="520"/>
      <c r="BM265" s="531"/>
      <c r="BN265" s="568"/>
      <c r="BO265" s="347">
        <v>0.6</v>
      </c>
      <c r="BP265" s="11" t="s">
        <v>4930</v>
      </c>
      <c r="BQ265" s="11" t="s">
        <v>4931</v>
      </c>
      <c r="BR265" s="56" t="str">
        <f t="shared" si="44"/>
        <v>Terminado</v>
      </c>
      <c r="BS265" s="56" t="str">
        <f t="shared" si="43"/>
        <v>En gestión</v>
      </c>
      <c r="BT265" s="581"/>
      <c r="BU265" s="561"/>
      <c r="BV265" s="562"/>
      <c r="BW265" s="536"/>
      <c r="BX265" s="536"/>
      <c r="BY265" s="573"/>
      <c r="BZ265" s="570"/>
      <c r="CA265" s="583"/>
      <c r="CB265" s="583"/>
      <c r="CC265" s="573"/>
      <c r="CD265" s="583"/>
      <c r="CE265" s="583"/>
      <c r="CF265" s="583"/>
      <c r="CG265" s="584"/>
      <c r="CH265" s="520"/>
      <c r="CI265" s="581"/>
      <c r="CJ265" s="568"/>
    </row>
    <row r="266" spans="2:88" ht="171.95" customHeight="1" x14ac:dyDescent="0.25">
      <c r="B266" s="1227"/>
      <c r="C266" s="610"/>
      <c r="D266" s="601"/>
      <c r="E266" s="204" t="s">
        <v>160</v>
      </c>
      <c r="F266" s="204" t="s">
        <v>4624</v>
      </c>
      <c r="G266" s="601"/>
      <c r="H266" s="601"/>
      <c r="I266" s="601"/>
      <c r="J266" s="601"/>
      <c r="K266" s="602"/>
      <c r="L266" s="593"/>
      <c r="M266" s="202" t="s">
        <v>4625</v>
      </c>
      <c r="N266" s="203" t="s">
        <v>4626</v>
      </c>
      <c r="O266" s="204">
        <v>0.45</v>
      </c>
      <c r="P266" s="205">
        <v>44259</v>
      </c>
      <c r="Q266" s="205">
        <v>44498</v>
      </c>
      <c r="R266" s="204">
        <v>0.15</v>
      </c>
      <c r="S266" s="204">
        <v>0.5</v>
      </c>
      <c r="T266" s="206">
        <v>0.75</v>
      </c>
      <c r="U266" s="204">
        <v>1</v>
      </c>
      <c r="V266" s="90">
        <v>0.15</v>
      </c>
      <c r="W266" s="13" t="s">
        <v>4627</v>
      </c>
      <c r="X266" s="55" t="s">
        <v>4628</v>
      </c>
      <c r="Y266" s="56" t="str">
        <f t="shared" si="37"/>
        <v>En gestión</v>
      </c>
      <c r="Z266" s="56" t="str">
        <f t="shared" si="38"/>
        <v>En gestión</v>
      </c>
      <c r="AA266" s="531"/>
      <c r="AB266" s="596"/>
      <c r="AC266" s="597"/>
      <c r="AD266" s="536"/>
      <c r="AE266" s="536"/>
      <c r="AF266" s="56"/>
      <c r="AG266" s="583"/>
      <c r="AH266" s="583"/>
      <c r="AI266" s="583"/>
      <c r="AJ266" s="583"/>
      <c r="AK266" s="57">
        <v>67074861</v>
      </c>
      <c r="AL266" s="57">
        <v>13869041.216666667</v>
      </c>
      <c r="AM266" s="593"/>
      <c r="AN266" s="603"/>
      <c r="AO266" s="203" t="s">
        <v>4470</v>
      </c>
      <c r="AP266" s="59" t="s">
        <v>2479</v>
      </c>
      <c r="AQ266" s="59">
        <f>+AK266</f>
        <v>67074861</v>
      </c>
      <c r="AR266" s="1163">
        <v>0.5</v>
      </c>
      <c r="AS266" s="13" t="s">
        <v>4629</v>
      </c>
      <c r="AT266" s="55" t="s">
        <v>4630</v>
      </c>
      <c r="AU266" s="56" t="str">
        <f t="shared" si="40"/>
        <v>En gestión</v>
      </c>
      <c r="AV266" s="56" t="str">
        <f t="shared" si="41"/>
        <v>En gestión</v>
      </c>
      <c r="AW266" s="531"/>
      <c r="AX266" s="599"/>
      <c r="AY266" s="600"/>
      <c r="AZ266" s="536"/>
      <c r="BA266" s="536"/>
      <c r="BB266" s="56"/>
      <c r="BC266" s="536"/>
      <c r="BD266" s="583"/>
      <c r="BE266" s="583"/>
      <c r="BF266" s="583"/>
      <c r="BG266" s="583"/>
      <c r="BH266" s="57">
        <v>67074861.399999999</v>
      </c>
      <c r="BI266" s="57">
        <v>36543675.92666667</v>
      </c>
      <c r="BJ266" s="593"/>
      <c r="BK266" s="516"/>
      <c r="BL266" s="203" t="s">
        <v>4470</v>
      </c>
      <c r="BM266" s="59" t="s">
        <v>2479</v>
      </c>
      <c r="BN266" s="59" t="s">
        <v>4474</v>
      </c>
      <c r="BO266" s="347">
        <v>0.75</v>
      </c>
      <c r="BP266" s="11" t="s">
        <v>4932</v>
      </c>
      <c r="BQ266" s="11" t="s">
        <v>4933</v>
      </c>
      <c r="BR266" s="56" t="str">
        <f t="shared" si="44"/>
        <v>Terminado</v>
      </c>
      <c r="BS266" s="56" t="str">
        <f t="shared" si="43"/>
        <v>En gestión</v>
      </c>
      <c r="BT266" s="581"/>
      <c r="BU266" s="561"/>
      <c r="BV266" s="562"/>
      <c r="BW266" s="536"/>
      <c r="BX266" s="536"/>
      <c r="BY266" s="573"/>
      <c r="BZ266" s="570"/>
      <c r="CA266" s="583"/>
      <c r="CB266" s="583"/>
      <c r="CC266" s="573"/>
      <c r="CD266" s="57">
        <v>67074861</v>
      </c>
      <c r="CE266" s="57">
        <v>70231345</v>
      </c>
      <c r="CF266" s="214">
        <v>59467482.446666665</v>
      </c>
      <c r="CG266" s="584"/>
      <c r="CH266" s="203" t="s">
        <v>4470</v>
      </c>
      <c r="CI266" s="59" t="s">
        <v>2479</v>
      </c>
      <c r="CJ266" s="59" t="s">
        <v>4474</v>
      </c>
    </row>
    <row r="267" spans="2:88" ht="171.95" customHeight="1" x14ac:dyDescent="0.25">
      <c r="B267" s="1227"/>
      <c r="C267" s="611" t="s">
        <v>4487</v>
      </c>
      <c r="D267" s="594" t="s">
        <v>233</v>
      </c>
      <c r="E267" s="594" t="s">
        <v>26</v>
      </c>
      <c r="F267" s="594" t="s">
        <v>4631</v>
      </c>
      <c r="G267" s="594" t="s">
        <v>28</v>
      </c>
      <c r="H267" s="594" t="s">
        <v>28</v>
      </c>
      <c r="I267" s="594" t="s">
        <v>29</v>
      </c>
      <c r="J267" s="594" t="s">
        <v>47</v>
      </c>
      <c r="K267" s="595" t="s">
        <v>4632</v>
      </c>
      <c r="L267" s="592" t="s">
        <v>164</v>
      </c>
      <c r="M267" s="208" t="s">
        <v>4633</v>
      </c>
      <c r="N267" s="209" t="s">
        <v>4634</v>
      </c>
      <c r="O267" s="210">
        <v>0.12</v>
      </c>
      <c r="P267" s="211">
        <v>44228</v>
      </c>
      <c r="Q267" s="211">
        <v>44560</v>
      </c>
      <c r="R267" s="210">
        <v>0.25</v>
      </c>
      <c r="S267" s="210">
        <v>0.5</v>
      </c>
      <c r="T267" s="212">
        <v>0.75</v>
      </c>
      <c r="U267" s="210">
        <v>1</v>
      </c>
      <c r="V267" s="90">
        <v>0.25</v>
      </c>
      <c r="W267" s="62" t="s">
        <v>4635</v>
      </c>
      <c r="X267" s="91" t="s">
        <v>4636</v>
      </c>
      <c r="Y267" s="66" t="str">
        <f t="shared" si="37"/>
        <v>En gestión</v>
      </c>
      <c r="Z267" s="66" t="str">
        <f t="shared" si="38"/>
        <v>En gestión</v>
      </c>
      <c r="AA267" s="532" t="s">
        <v>4637</v>
      </c>
      <c r="AB267" s="596">
        <f>SUMPRODUCT(O267:O271,V267:V271)</f>
        <v>0.1525</v>
      </c>
      <c r="AC267" s="597">
        <f>SUMPRODUCT(O267:O271,R267:R271)</f>
        <v>0.1525</v>
      </c>
      <c r="AD267" s="530" t="str">
        <f>IF(AC267&lt;1%,"Sin iniciar",IF(AC267=100%,"Terminado","En gestión"))</f>
        <v>En gestión</v>
      </c>
      <c r="AE267" s="530" t="str">
        <f>IF(AB267&lt;1%,"Sin iniciar",IF(AB267=100%,"Terminado","En gestión"))</f>
        <v>En gestión</v>
      </c>
      <c r="AF267" s="66"/>
      <c r="AG267" s="579">
        <v>133229133</v>
      </c>
      <c r="AH267" s="579">
        <v>133229133</v>
      </c>
      <c r="AI267" s="579">
        <v>33307283.25</v>
      </c>
      <c r="AJ267" s="579">
        <f>AQ267+AQ269</f>
        <v>145928409.40000001</v>
      </c>
      <c r="AK267" s="579">
        <v>100573548</v>
      </c>
      <c r="AL267" s="579">
        <v>29355000</v>
      </c>
      <c r="AM267" s="592" t="s">
        <v>4435</v>
      </c>
      <c r="AN267" s="598" t="s">
        <v>4436</v>
      </c>
      <c r="AO267" s="521" t="s">
        <v>4617</v>
      </c>
      <c r="AP267" s="532" t="s">
        <v>4618</v>
      </c>
      <c r="AQ267" s="567">
        <f>+AK267</f>
        <v>100573548</v>
      </c>
      <c r="AR267" s="1163">
        <v>0.5</v>
      </c>
      <c r="AS267" s="62" t="s">
        <v>4638</v>
      </c>
      <c r="AT267" s="63" t="s">
        <v>4639</v>
      </c>
      <c r="AU267" s="66" t="str">
        <f t="shared" si="40"/>
        <v>En gestión</v>
      </c>
      <c r="AV267" s="66" t="str">
        <f t="shared" si="41"/>
        <v>En gestión</v>
      </c>
      <c r="AW267" s="532" t="s">
        <v>4640</v>
      </c>
      <c r="AX267" s="599">
        <f>SUMPRODUCT(O267:O271,AR267:AR271)</f>
        <v>0.435</v>
      </c>
      <c r="AY267" s="600">
        <f>SUMPRODUCT(S267:S271,O267:O271)</f>
        <v>0.435</v>
      </c>
      <c r="AZ267" s="530" t="str">
        <f>IF(AY267&lt;1%,"Sin iniciar",IF(AY267=100%,"Terminado","En gestión"))</f>
        <v>En gestión</v>
      </c>
      <c r="BA267" s="530" t="str">
        <f>IF(AX267&lt;1%,"Sin iniciar",IF(AX267=100%,"Terminado","En gestión"))</f>
        <v>En gestión</v>
      </c>
      <c r="BB267" s="66"/>
      <c r="BC267" s="530" t="s">
        <v>358</v>
      </c>
      <c r="BD267" s="579">
        <v>133229133</v>
      </c>
      <c r="BE267" s="579">
        <v>133229133</v>
      </c>
      <c r="BF267" s="579">
        <v>66614566.5</v>
      </c>
      <c r="BG267" s="579">
        <v>145928409.40000001</v>
      </c>
      <c r="BH267" s="579">
        <v>96065000</v>
      </c>
      <c r="BI267" s="579">
        <v>64972400</v>
      </c>
      <c r="BJ267" s="592" t="s">
        <v>4435</v>
      </c>
      <c r="BK267" s="517"/>
      <c r="BL267" s="521" t="s">
        <v>4617</v>
      </c>
      <c r="BM267" s="532" t="s">
        <v>4618</v>
      </c>
      <c r="BN267" s="567" t="s">
        <v>4928</v>
      </c>
      <c r="BO267" s="347">
        <v>1</v>
      </c>
      <c r="BP267" s="24" t="s">
        <v>4934</v>
      </c>
      <c r="BQ267" s="24" t="s">
        <v>5241</v>
      </c>
      <c r="BR267" s="66" t="str">
        <f t="shared" si="44"/>
        <v>Terminado</v>
      </c>
      <c r="BS267" s="66" t="str">
        <f t="shared" si="43"/>
        <v>Terminado</v>
      </c>
      <c r="BT267" s="560" t="s">
        <v>4935</v>
      </c>
      <c r="BU267" s="561">
        <f>SUMPRODUCT(O267:O271,BO267:BO271)</f>
        <v>0.78549999999999998</v>
      </c>
      <c r="BV267" s="562">
        <f>SUMPRODUCT(O267:O271,T267:T271)</f>
        <v>0.71750000000000003</v>
      </c>
      <c r="BW267" s="530" t="str">
        <f>IF(BV267&lt;1%,"Sin iniciar",IF(BV267=100%,"Terminado","En gestión"))</f>
        <v>En gestión</v>
      </c>
      <c r="BX267" s="530" t="str">
        <f>IF(BU267&lt;1%,"Sin iniciar",IF(BU267=100%,"Terminado","En gestión"))</f>
        <v>En gestión</v>
      </c>
      <c r="BY267" s="578" t="s">
        <v>37</v>
      </c>
      <c r="BZ267" s="578" t="s">
        <v>358</v>
      </c>
      <c r="CA267" s="579">
        <v>133229133</v>
      </c>
      <c r="CB267" s="579">
        <v>133229133</v>
      </c>
      <c r="CC267" s="582">
        <v>99921849.75</v>
      </c>
      <c r="CD267" s="589">
        <v>88065000</v>
      </c>
      <c r="CE267" s="589">
        <v>127376999.99999999</v>
      </c>
      <c r="CF267" s="589">
        <v>100981200</v>
      </c>
      <c r="CG267" s="580" t="s">
        <v>4435</v>
      </c>
      <c r="CH267" s="521" t="s">
        <v>4617</v>
      </c>
      <c r="CI267" s="560" t="s">
        <v>4618</v>
      </c>
      <c r="CJ267" s="567" t="s">
        <v>4928</v>
      </c>
    </row>
    <row r="268" spans="2:88" ht="171.95" customHeight="1" x14ac:dyDescent="0.25">
      <c r="B268" s="1227"/>
      <c r="C268" s="611"/>
      <c r="D268" s="594"/>
      <c r="E268" s="594"/>
      <c r="F268" s="594"/>
      <c r="G268" s="594"/>
      <c r="H268" s="594"/>
      <c r="I268" s="594"/>
      <c r="J268" s="594"/>
      <c r="K268" s="595"/>
      <c r="L268" s="592"/>
      <c r="M268" s="208" t="s">
        <v>4641</v>
      </c>
      <c r="N268" s="209" t="s">
        <v>4642</v>
      </c>
      <c r="O268" s="210">
        <v>0.12</v>
      </c>
      <c r="P268" s="211">
        <v>44228</v>
      </c>
      <c r="Q268" s="211">
        <v>44560</v>
      </c>
      <c r="R268" s="210">
        <v>0.25</v>
      </c>
      <c r="S268" s="210">
        <v>0.5</v>
      </c>
      <c r="T268" s="212">
        <v>0.75</v>
      </c>
      <c r="U268" s="210">
        <v>1</v>
      </c>
      <c r="V268" s="90">
        <v>0.25</v>
      </c>
      <c r="W268" s="62" t="s">
        <v>4643</v>
      </c>
      <c r="X268" s="91" t="s">
        <v>4644</v>
      </c>
      <c r="Y268" s="66" t="str">
        <f t="shared" si="37"/>
        <v>En gestión</v>
      </c>
      <c r="Z268" s="66" t="str">
        <f t="shared" si="38"/>
        <v>En gestión</v>
      </c>
      <c r="AA268" s="532"/>
      <c r="AB268" s="596"/>
      <c r="AC268" s="597"/>
      <c r="AD268" s="530"/>
      <c r="AE268" s="530"/>
      <c r="AF268" s="66"/>
      <c r="AG268" s="579"/>
      <c r="AH268" s="579"/>
      <c r="AI268" s="579"/>
      <c r="AJ268" s="579"/>
      <c r="AK268" s="579"/>
      <c r="AL268" s="579"/>
      <c r="AM268" s="592"/>
      <c r="AN268" s="598"/>
      <c r="AO268" s="521"/>
      <c r="AP268" s="532"/>
      <c r="AQ268" s="567"/>
      <c r="AR268" s="1163">
        <v>0.5</v>
      </c>
      <c r="AS268" s="62" t="s">
        <v>4645</v>
      </c>
      <c r="AT268" s="63" t="s">
        <v>4646</v>
      </c>
      <c r="AU268" s="66" t="str">
        <f t="shared" si="40"/>
        <v>En gestión</v>
      </c>
      <c r="AV268" s="66" t="str">
        <f t="shared" si="41"/>
        <v>En gestión</v>
      </c>
      <c r="AW268" s="532"/>
      <c r="AX268" s="599"/>
      <c r="AY268" s="600"/>
      <c r="AZ268" s="530"/>
      <c r="BA268" s="530"/>
      <c r="BB268" s="66"/>
      <c r="BC268" s="530"/>
      <c r="BD268" s="579"/>
      <c r="BE268" s="579"/>
      <c r="BF268" s="579"/>
      <c r="BG268" s="579"/>
      <c r="BH268" s="579"/>
      <c r="BI268" s="579"/>
      <c r="BJ268" s="592"/>
      <c r="BK268" s="519"/>
      <c r="BL268" s="521"/>
      <c r="BM268" s="532"/>
      <c r="BN268" s="567"/>
      <c r="BO268" s="347">
        <v>0.75</v>
      </c>
      <c r="BP268" s="24" t="s">
        <v>4936</v>
      </c>
      <c r="BQ268" s="24" t="s">
        <v>5242</v>
      </c>
      <c r="BR268" s="66" t="str">
        <f t="shared" si="44"/>
        <v>Terminado</v>
      </c>
      <c r="BS268" s="66" t="str">
        <f t="shared" si="43"/>
        <v>En gestión</v>
      </c>
      <c r="BT268" s="560"/>
      <c r="BU268" s="561"/>
      <c r="BV268" s="562"/>
      <c r="BW268" s="530"/>
      <c r="BX268" s="530"/>
      <c r="BY268" s="578"/>
      <c r="BZ268" s="578"/>
      <c r="CA268" s="579"/>
      <c r="CB268" s="579"/>
      <c r="CC268" s="578"/>
      <c r="CD268" s="589"/>
      <c r="CE268" s="589"/>
      <c r="CF268" s="589"/>
      <c r="CG268" s="580"/>
      <c r="CH268" s="521"/>
      <c r="CI268" s="560"/>
      <c r="CJ268" s="567"/>
    </row>
    <row r="269" spans="2:88" ht="171.95" customHeight="1" x14ac:dyDescent="0.25">
      <c r="B269" s="1227"/>
      <c r="C269" s="611"/>
      <c r="D269" s="594"/>
      <c r="E269" s="594"/>
      <c r="F269" s="594"/>
      <c r="G269" s="594"/>
      <c r="H269" s="594"/>
      <c r="I269" s="594"/>
      <c r="J269" s="594"/>
      <c r="K269" s="595"/>
      <c r="L269" s="592"/>
      <c r="M269" s="208" t="s">
        <v>4647</v>
      </c>
      <c r="N269" s="209" t="s">
        <v>4648</v>
      </c>
      <c r="O269" s="210">
        <v>0.11</v>
      </c>
      <c r="P269" s="211">
        <v>44228</v>
      </c>
      <c r="Q269" s="211">
        <v>44560</v>
      </c>
      <c r="R269" s="210">
        <v>0.25</v>
      </c>
      <c r="S269" s="210">
        <v>0.5</v>
      </c>
      <c r="T269" s="212">
        <v>0.75</v>
      </c>
      <c r="U269" s="210">
        <v>1</v>
      </c>
      <c r="V269" s="90">
        <v>0.25</v>
      </c>
      <c r="W269" s="62" t="s">
        <v>4649</v>
      </c>
      <c r="X269" s="91" t="s">
        <v>4650</v>
      </c>
      <c r="Y269" s="66" t="str">
        <f t="shared" si="37"/>
        <v>En gestión</v>
      </c>
      <c r="Z269" s="66" t="str">
        <f t="shared" si="38"/>
        <v>En gestión</v>
      </c>
      <c r="AA269" s="532"/>
      <c r="AB269" s="596"/>
      <c r="AC269" s="597"/>
      <c r="AD269" s="530"/>
      <c r="AE269" s="530"/>
      <c r="AF269" s="66"/>
      <c r="AG269" s="579"/>
      <c r="AH269" s="579"/>
      <c r="AI269" s="579"/>
      <c r="AJ269" s="579"/>
      <c r="AK269" s="579"/>
      <c r="AL269" s="579"/>
      <c r="AM269" s="592"/>
      <c r="AN269" s="598"/>
      <c r="AO269" s="521" t="s">
        <v>4470</v>
      </c>
      <c r="AP269" s="532" t="s">
        <v>2479</v>
      </c>
      <c r="AQ269" s="567">
        <f>+AK270</f>
        <v>45354861.399999999</v>
      </c>
      <c r="AR269" s="1163">
        <v>0.5</v>
      </c>
      <c r="AS269" s="62" t="s">
        <v>4651</v>
      </c>
      <c r="AT269" s="63" t="s">
        <v>4652</v>
      </c>
      <c r="AU269" s="66" t="str">
        <f t="shared" si="40"/>
        <v>En gestión</v>
      </c>
      <c r="AV269" s="66" t="str">
        <f t="shared" si="41"/>
        <v>En gestión</v>
      </c>
      <c r="AW269" s="532"/>
      <c r="AX269" s="599"/>
      <c r="AY269" s="600"/>
      <c r="AZ269" s="530"/>
      <c r="BA269" s="530"/>
      <c r="BB269" s="66"/>
      <c r="BC269" s="530"/>
      <c r="BD269" s="579"/>
      <c r="BE269" s="579"/>
      <c r="BF269" s="579"/>
      <c r="BG269" s="579"/>
      <c r="BH269" s="579"/>
      <c r="BI269" s="579"/>
      <c r="BJ269" s="592"/>
      <c r="BK269" s="519"/>
      <c r="BL269" s="521" t="s">
        <v>4470</v>
      </c>
      <c r="BM269" s="532" t="s">
        <v>2479</v>
      </c>
      <c r="BN269" s="567" t="s">
        <v>4474</v>
      </c>
      <c r="BO269" s="347">
        <v>0.8</v>
      </c>
      <c r="BP269" s="24" t="s">
        <v>4937</v>
      </c>
      <c r="BQ269" s="24" t="s">
        <v>5256</v>
      </c>
      <c r="BR269" s="66" t="str">
        <f t="shared" si="44"/>
        <v>Terminado</v>
      </c>
      <c r="BS269" s="66" t="str">
        <f t="shared" si="43"/>
        <v>En gestión</v>
      </c>
      <c r="BT269" s="560"/>
      <c r="BU269" s="561"/>
      <c r="BV269" s="562"/>
      <c r="BW269" s="530"/>
      <c r="BX269" s="530"/>
      <c r="BY269" s="578"/>
      <c r="BZ269" s="578"/>
      <c r="CA269" s="579"/>
      <c r="CB269" s="579"/>
      <c r="CC269" s="578"/>
      <c r="CD269" s="589">
        <v>44847361.298499994</v>
      </c>
      <c r="CE269" s="589">
        <v>48003845.138499998</v>
      </c>
      <c r="CF269" s="589">
        <v>33561815.780000001</v>
      </c>
      <c r="CG269" s="580"/>
      <c r="CH269" s="521" t="s">
        <v>4470</v>
      </c>
      <c r="CI269" s="560" t="s">
        <v>2479</v>
      </c>
      <c r="CJ269" s="567" t="s">
        <v>4474</v>
      </c>
    </row>
    <row r="270" spans="2:88" ht="171.95" customHeight="1" x14ac:dyDescent="0.25">
      <c r="B270" s="1227"/>
      <c r="C270" s="611"/>
      <c r="D270" s="594"/>
      <c r="E270" s="594"/>
      <c r="F270" s="594"/>
      <c r="G270" s="594"/>
      <c r="H270" s="594"/>
      <c r="I270" s="594"/>
      <c r="J270" s="594"/>
      <c r="K270" s="595"/>
      <c r="L270" s="592"/>
      <c r="M270" s="208" t="s">
        <v>4653</v>
      </c>
      <c r="N270" s="209" t="s">
        <v>4654</v>
      </c>
      <c r="O270" s="210">
        <v>0.15</v>
      </c>
      <c r="P270" s="211">
        <v>44392</v>
      </c>
      <c r="Q270" s="211">
        <v>44560</v>
      </c>
      <c r="R270" s="210">
        <v>0.1</v>
      </c>
      <c r="S270" s="210">
        <v>0.4</v>
      </c>
      <c r="T270" s="212">
        <v>0.7</v>
      </c>
      <c r="U270" s="210">
        <v>1</v>
      </c>
      <c r="V270" s="90">
        <v>0.1</v>
      </c>
      <c r="W270" s="62" t="s">
        <v>4655</v>
      </c>
      <c r="X270" s="63" t="s">
        <v>4656</v>
      </c>
      <c r="Y270" s="66" t="str">
        <f t="shared" si="37"/>
        <v>En gestión</v>
      </c>
      <c r="Z270" s="66" t="str">
        <f t="shared" si="38"/>
        <v>En gestión</v>
      </c>
      <c r="AA270" s="532"/>
      <c r="AB270" s="596"/>
      <c r="AC270" s="597"/>
      <c r="AD270" s="530"/>
      <c r="AE270" s="530"/>
      <c r="AF270" s="66"/>
      <c r="AG270" s="579"/>
      <c r="AH270" s="579"/>
      <c r="AI270" s="579"/>
      <c r="AJ270" s="579"/>
      <c r="AK270" s="579">
        <v>45354861.399999999</v>
      </c>
      <c r="AL270" s="579">
        <v>3970374.55</v>
      </c>
      <c r="AM270" s="592"/>
      <c r="AN270" s="598"/>
      <c r="AO270" s="521"/>
      <c r="AP270" s="532"/>
      <c r="AQ270" s="567"/>
      <c r="AR270" s="1163">
        <v>0.4</v>
      </c>
      <c r="AS270" s="62" t="s">
        <v>4657</v>
      </c>
      <c r="AT270" s="63" t="s">
        <v>4658</v>
      </c>
      <c r="AU270" s="66" t="str">
        <f t="shared" si="40"/>
        <v>En gestión</v>
      </c>
      <c r="AV270" s="66" t="str">
        <f t="shared" si="41"/>
        <v>En gestión</v>
      </c>
      <c r="AW270" s="532"/>
      <c r="AX270" s="599"/>
      <c r="AY270" s="600"/>
      <c r="AZ270" s="530"/>
      <c r="BA270" s="530"/>
      <c r="BB270" s="66"/>
      <c r="BC270" s="530"/>
      <c r="BD270" s="579"/>
      <c r="BE270" s="579"/>
      <c r="BF270" s="579"/>
      <c r="BG270" s="579"/>
      <c r="BH270" s="579">
        <v>44847361.298499994</v>
      </c>
      <c r="BI270" s="579">
        <v>17001342.593333334</v>
      </c>
      <c r="BJ270" s="592"/>
      <c r="BK270" s="519"/>
      <c r="BL270" s="521"/>
      <c r="BM270" s="532"/>
      <c r="BN270" s="567"/>
      <c r="BO270" s="347">
        <v>0.75</v>
      </c>
      <c r="BP270" s="24" t="s">
        <v>4938</v>
      </c>
      <c r="BQ270" s="24" t="s">
        <v>5243</v>
      </c>
      <c r="BR270" s="66" t="str">
        <f t="shared" si="44"/>
        <v>Terminado</v>
      </c>
      <c r="BS270" s="66" t="str">
        <f t="shared" si="43"/>
        <v>En gestión</v>
      </c>
      <c r="BT270" s="560"/>
      <c r="BU270" s="561"/>
      <c r="BV270" s="562"/>
      <c r="BW270" s="530"/>
      <c r="BX270" s="530"/>
      <c r="BY270" s="578"/>
      <c r="BZ270" s="578"/>
      <c r="CA270" s="579"/>
      <c r="CB270" s="579"/>
      <c r="CC270" s="578"/>
      <c r="CD270" s="589"/>
      <c r="CE270" s="589"/>
      <c r="CF270" s="589"/>
      <c r="CG270" s="580"/>
      <c r="CH270" s="521"/>
      <c r="CI270" s="560"/>
      <c r="CJ270" s="567"/>
    </row>
    <row r="271" spans="2:88" ht="171.95" customHeight="1" x14ac:dyDescent="0.25">
      <c r="B271" s="1227"/>
      <c r="C271" s="611"/>
      <c r="D271" s="594"/>
      <c r="E271" s="594"/>
      <c r="F271" s="594"/>
      <c r="G271" s="594"/>
      <c r="H271" s="594"/>
      <c r="I271" s="594"/>
      <c r="J271" s="594"/>
      <c r="K271" s="595"/>
      <c r="L271" s="592"/>
      <c r="M271" s="208" t="s">
        <v>4659</v>
      </c>
      <c r="N271" s="209" t="s">
        <v>4660</v>
      </c>
      <c r="O271" s="210">
        <v>0.5</v>
      </c>
      <c r="P271" s="211">
        <v>44228</v>
      </c>
      <c r="Q271" s="211">
        <v>44560</v>
      </c>
      <c r="R271" s="210">
        <v>0.1</v>
      </c>
      <c r="S271" s="210">
        <v>0.4</v>
      </c>
      <c r="T271" s="212">
        <v>0.7</v>
      </c>
      <c r="U271" s="210">
        <v>1</v>
      </c>
      <c r="V271" s="90">
        <v>0.1</v>
      </c>
      <c r="W271" s="62" t="s">
        <v>4661</v>
      </c>
      <c r="X271" s="63" t="s">
        <v>4662</v>
      </c>
      <c r="Y271" s="66" t="str">
        <f t="shared" si="37"/>
        <v>En gestión</v>
      </c>
      <c r="Z271" s="66" t="str">
        <f t="shared" si="38"/>
        <v>En gestión</v>
      </c>
      <c r="AA271" s="532"/>
      <c r="AB271" s="596"/>
      <c r="AC271" s="597"/>
      <c r="AD271" s="530"/>
      <c r="AE271" s="530"/>
      <c r="AF271" s="66"/>
      <c r="AG271" s="579"/>
      <c r="AH271" s="579"/>
      <c r="AI271" s="579"/>
      <c r="AJ271" s="579"/>
      <c r="AK271" s="579"/>
      <c r="AL271" s="579"/>
      <c r="AM271" s="592"/>
      <c r="AN271" s="598"/>
      <c r="AO271" s="521"/>
      <c r="AP271" s="532"/>
      <c r="AQ271" s="567"/>
      <c r="AR271" s="1163">
        <v>0.4</v>
      </c>
      <c r="AS271" s="62" t="s">
        <v>4663</v>
      </c>
      <c r="AT271" s="63" t="s">
        <v>4664</v>
      </c>
      <c r="AU271" s="66" t="str">
        <f t="shared" si="40"/>
        <v>En gestión</v>
      </c>
      <c r="AV271" s="66" t="str">
        <f t="shared" si="41"/>
        <v>En gestión</v>
      </c>
      <c r="AW271" s="532"/>
      <c r="AX271" s="599"/>
      <c r="AY271" s="600"/>
      <c r="AZ271" s="530"/>
      <c r="BA271" s="530"/>
      <c r="BB271" s="66"/>
      <c r="BC271" s="530"/>
      <c r="BD271" s="579"/>
      <c r="BE271" s="579"/>
      <c r="BF271" s="579"/>
      <c r="BG271" s="579"/>
      <c r="BH271" s="579"/>
      <c r="BI271" s="579"/>
      <c r="BJ271" s="592"/>
      <c r="BK271" s="518"/>
      <c r="BL271" s="521"/>
      <c r="BM271" s="532"/>
      <c r="BN271" s="567"/>
      <c r="BO271" s="347">
        <v>0.75</v>
      </c>
      <c r="BP271" s="24" t="s">
        <v>4939</v>
      </c>
      <c r="BQ271" s="24" t="s">
        <v>5255</v>
      </c>
      <c r="BR271" s="66" t="str">
        <f t="shared" si="44"/>
        <v>Terminado</v>
      </c>
      <c r="BS271" s="66" t="str">
        <f t="shared" si="43"/>
        <v>En gestión</v>
      </c>
      <c r="BT271" s="560"/>
      <c r="BU271" s="561"/>
      <c r="BV271" s="562"/>
      <c r="BW271" s="530"/>
      <c r="BX271" s="530"/>
      <c r="BY271" s="578"/>
      <c r="BZ271" s="578"/>
      <c r="CA271" s="579"/>
      <c r="CB271" s="579"/>
      <c r="CC271" s="578"/>
      <c r="CD271" s="589"/>
      <c r="CE271" s="589"/>
      <c r="CF271" s="589"/>
      <c r="CG271" s="580"/>
      <c r="CH271" s="521"/>
      <c r="CI271" s="560"/>
      <c r="CJ271" s="567"/>
    </row>
    <row r="272" spans="2:88" ht="171.95" customHeight="1" x14ac:dyDescent="0.25">
      <c r="B272" s="1227"/>
      <c r="C272" s="610" t="s">
        <v>4488</v>
      </c>
      <c r="D272" s="601" t="s">
        <v>4665</v>
      </c>
      <c r="E272" s="601" t="s">
        <v>160</v>
      </c>
      <c r="F272" s="601" t="s">
        <v>4666</v>
      </c>
      <c r="G272" s="601" t="s">
        <v>28</v>
      </c>
      <c r="H272" s="601" t="s">
        <v>28</v>
      </c>
      <c r="I272" s="601" t="s">
        <v>29</v>
      </c>
      <c r="J272" s="601" t="s">
        <v>47</v>
      </c>
      <c r="K272" s="602" t="s">
        <v>4667</v>
      </c>
      <c r="L272" s="593" t="s">
        <v>187</v>
      </c>
      <c r="M272" s="202" t="s">
        <v>4668</v>
      </c>
      <c r="N272" s="203" t="s">
        <v>4669</v>
      </c>
      <c r="O272" s="204">
        <v>0.1</v>
      </c>
      <c r="P272" s="205">
        <v>44214</v>
      </c>
      <c r="Q272" s="205">
        <v>44494</v>
      </c>
      <c r="R272" s="204">
        <v>0</v>
      </c>
      <c r="S272" s="204">
        <v>0.3</v>
      </c>
      <c r="T272" s="206">
        <v>0.5</v>
      </c>
      <c r="U272" s="204">
        <v>1</v>
      </c>
      <c r="V272" s="90">
        <v>0.1</v>
      </c>
      <c r="W272" s="13" t="s">
        <v>4670</v>
      </c>
      <c r="X272" s="55" t="s">
        <v>4671</v>
      </c>
      <c r="Y272" s="56" t="str">
        <f t="shared" si="37"/>
        <v>Sin iniciar</v>
      </c>
      <c r="Z272" s="56" t="str">
        <f t="shared" si="38"/>
        <v>En gestión</v>
      </c>
      <c r="AA272" s="531" t="s">
        <v>4672</v>
      </c>
      <c r="AB272" s="604">
        <f>SUMPRODUCT(O272:O275,V272:V275)</f>
        <v>6.0000000000000005E-2</v>
      </c>
      <c r="AC272" s="597">
        <f>SUMPRODUCT(O272:O275,R272:R275)</f>
        <v>0.05</v>
      </c>
      <c r="AD272" s="536" t="str">
        <f>IF(AC272&lt;1%,"Sin iniciar",IF(AC272=100%,"Terminado","En gestión"))</f>
        <v>En gestión</v>
      </c>
      <c r="AE272" s="536" t="str">
        <f>IF(AB272&lt;1%,"Sin iniciar",IF(AB272=100%,"Terminado","En gestión"))</f>
        <v>En gestión</v>
      </c>
      <c r="AF272" s="56"/>
      <c r="AG272" s="583">
        <v>495044704</v>
      </c>
      <c r="AH272" s="583">
        <v>495044704</v>
      </c>
      <c r="AI272" s="583">
        <v>123761176</v>
      </c>
      <c r="AJ272" s="583">
        <f>AQ272</f>
        <v>231707070</v>
      </c>
      <c r="AK272" s="583">
        <v>231707070</v>
      </c>
      <c r="AL272" s="583">
        <v>65300544.666666664</v>
      </c>
      <c r="AM272" s="593" t="s">
        <v>4435</v>
      </c>
      <c r="AN272" s="603" t="s">
        <v>4436</v>
      </c>
      <c r="AO272" s="520" t="s">
        <v>2478</v>
      </c>
      <c r="AP272" s="531" t="s">
        <v>4454</v>
      </c>
      <c r="AQ272" s="568">
        <v>231707070</v>
      </c>
      <c r="AR272" s="1163">
        <v>0.3</v>
      </c>
      <c r="AS272" s="215" t="s">
        <v>4673</v>
      </c>
      <c r="AT272" s="216" t="s">
        <v>4674</v>
      </c>
      <c r="AU272" s="56" t="str">
        <f t="shared" si="40"/>
        <v>En gestión</v>
      </c>
      <c r="AV272" s="56" t="str">
        <f t="shared" si="41"/>
        <v>En gestión</v>
      </c>
      <c r="AW272" s="531" t="s">
        <v>4675</v>
      </c>
      <c r="AX272" s="599">
        <f>SUMPRODUCT(O272:O275,AR272:AR275)</f>
        <v>0.15000000000000002</v>
      </c>
      <c r="AY272" s="600">
        <f>SUMPRODUCT(S272:S275,O272:O275)</f>
        <v>0.15000000000000002</v>
      </c>
      <c r="AZ272" s="536" t="str">
        <f>IF(AY272&lt;1%,"Sin iniciar",IF(AY272=100%,"Terminado","En gestión"))</f>
        <v>En gestión</v>
      </c>
      <c r="BA272" s="536" t="str">
        <f>IF(AX272&lt;1%,"Sin iniciar",IF(AX272=100%,"Terminado","En gestión"))</f>
        <v>En gestión</v>
      </c>
      <c r="BB272" s="56"/>
      <c r="BC272" s="536" t="s">
        <v>366</v>
      </c>
      <c r="BD272" s="583">
        <v>495044704</v>
      </c>
      <c r="BE272" s="583">
        <v>495044704</v>
      </c>
      <c r="BF272" s="583">
        <v>247522352</v>
      </c>
      <c r="BG272" s="583">
        <v>231707070</v>
      </c>
      <c r="BH272" s="583">
        <v>225984078</v>
      </c>
      <c r="BI272" s="583">
        <v>90956942.333333328</v>
      </c>
      <c r="BJ272" s="593" t="s">
        <v>4435</v>
      </c>
      <c r="BK272" s="514"/>
      <c r="BL272" s="520" t="s">
        <v>2478</v>
      </c>
      <c r="BM272" s="531" t="s">
        <v>4454</v>
      </c>
      <c r="BN272" s="568" t="s">
        <v>4458</v>
      </c>
      <c r="BO272" s="347">
        <v>1</v>
      </c>
      <c r="BP272" s="11" t="s">
        <v>4940</v>
      </c>
      <c r="BQ272" s="11" t="s">
        <v>4941</v>
      </c>
      <c r="BR272" s="56" t="str">
        <f t="shared" si="44"/>
        <v>Terminado</v>
      </c>
      <c r="BS272" s="56" t="str">
        <f t="shared" si="43"/>
        <v>Terminado</v>
      </c>
      <c r="BT272" s="581" t="s">
        <v>4942</v>
      </c>
      <c r="BU272" s="561">
        <f>SUMPRODUCT(O272:O275,BO272:BO275)</f>
        <v>0.41</v>
      </c>
      <c r="BV272" s="562">
        <f>SUMPRODUCT(O272:O275,T272:T275)</f>
        <v>0.36000000000000004</v>
      </c>
      <c r="BW272" s="536" t="str">
        <f>IF(BV272&lt;1%,"Sin iniciar",IF(BV272=100%,"Terminado","En gestión"))</f>
        <v>En gestión</v>
      </c>
      <c r="BX272" s="536" t="str">
        <f>IF(BU272&lt;1%,"Sin iniciar",IF(BU272=100%,"Terminado","En gestión"))</f>
        <v>En gestión</v>
      </c>
      <c r="BY272" s="573" t="s">
        <v>37</v>
      </c>
      <c r="BZ272" s="570" t="s">
        <v>366</v>
      </c>
      <c r="CA272" s="571">
        <v>495044704</v>
      </c>
      <c r="CB272" s="571">
        <v>495044704</v>
      </c>
      <c r="CC272" s="574">
        <v>371283528</v>
      </c>
      <c r="CD272" s="571">
        <f>BH272</f>
        <v>225984078</v>
      </c>
      <c r="CE272" s="571">
        <v>260198996.31999999</v>
      </c>
      <c r="CF272" s="574">
        <v>216580288.73333329</v>
      </c>
      <c r="CG272" s="575" t="s">
        <v>4435</v>
      </c>
      <c r="CH272" s="529" t="s">
        <v>2478</v>
      </c>
      <c r="CI272" s="576" t="s">
        <v>4454</v>
      </c>
      <c r="CJ272" s="577" t="s">
        <v>4458</v>
      </c>
    </row>
    <row r="273" spans="2:88" ht="171.95" customHeight="1" x14ac:dyDescent="0.25">
      <c r="B273" s="1227"/>
      <c r="C273" s="610"/>
      <c r="D273" s="601"/>
      <c r="E273" s="601"/>
      <c r="F273" s="601"/>
      <c r="G273" s="601"/>
      <c r="H273" s="601"/>
      <c r="I273" s="601"/>
      <c r="J273" s="601"/>
      <c r="K273" s="602"/>
      <c r="L273" s="593"/>
      <c r="M273" s="202" t="s">
        <v>4676</v>
      </c>
      <c r="N273" s="203" t="s">
        <v>4677</v>
      </c>
      <c r="O273" s="204">
        <v>0.2</v>
      </c>
      <c r="P273" s="205">
        <v>44214</v>
      </c>
      <c r="Q273" s="205">
        <v>44530</v>
      </c>
      <c r="R273" s="204">
        <v>0.1</v>
      </c>
      <c r="S273" s="204">
        <v>0.2</v>
      </c>
      <c r="T273" s="206">
        <v>0.7</v>
      </c>
      <c r="U273" s="204">
        <v>1</v>
      </c>
      <c r="V273" s="90">
        <v>0.1</v>
      </c>
      <c r="W273" s="13" t="s">
        <v>4678</v>
      </c>
      <c r="X273" s="55" t="s">
        <v>4679</v>
      </c>
      <c r="Y273" s="56" t="str">
        <f t="shared" si="37"/>
        <v>En gestión</v>
      </c>
      <c r="Z273" s="56" t="str">
        <f t="shared" si="38"/>
        <v>En gestión</v>
      </c>
      <c r="AA273" s="536"/>
      <c r="AB273" s="604"/>
      <c r="AC273" s="597"/>
      <c r="AD273" s="536"/>
      <c r="AE273" s="536"/>
      <c r="AF273" s="56"/>
      <c r="AG273" s="583"/>
      <c r="AH273" s="583"/>
      <c r="AI273" s="583"/>
      <c r="AJ273" s="583"/>
      <c r="AK273" s="583"/>
      <c r="AL273" s="583"/>
      <c r="AM273" s="593"/>
      <c r="AN273" s="603"/>
      <c r="AO273" s="520"/>
      <c r="AP273" s="531"/>
      <c r="AQ273" s="568"/>
      <c r="AR273" s="1163">
        <v>0.2</v>
      </c>
      <c r="AS273" s="215" t="s">
        <v>4680</v>
      </c>
      <c r="AT273" s="216" t="s">
        <v>4681</v>
      </c>
      <c r="AU273" s="56" t="str">
        <f t="shared" si="40"/>
        <v>En gestión</v>
      </c>
      <c r="AV273" s="56" t="str">
        <f t="shared" si="41"/>
        <v>En gestión</v>
      </c>
      <c r="AW273" s="536"/>
      <c r="AX273" s="599"/>
      <c r="AY273" s="600"/>
      <c r="AZ273" s="536"/>
      <c r="BA273" s="536"/>
      <c r="BB273" s="56"/>
      <c r="BC273" s="536"/>
      <c r="BD273" s="583"/>
      <c r="BE273" s="583"/>
      <c r="BF273" s="583"/>
      <c r="BG273" s="583"/>
      <c r="BH273" s="583"/>
      <c r="BI273" s="583"/>
      <c r="BJ273" s="593"/>
      <c r="BK273" s="515"/>
      <c r="BL273" s="520"/>
      <c r="BM273" s="531"/>
      <c r="BN273" s="568"/>
      <c r="BO273" s="347">
        <v>0.7</v>
      </c>
      <c r="BP273" s="11" t="s">
        <v>4943</v>
      </c>
      <c r="BQ273" s="11" t="s">
        <v>4944</v>
      </c>
      <c r="BR273" s="56" t="str">
        <f t="shared" si="44"/>
        <v>Terminado</v>
      </c>
      <c r="BS273" s="56" t="str">
        <f t="shared" si="43"/>
        <v>En gestión</v>
      </c>
      <c r="BT273" s="581"/>
      <c r="BU273" s="561"/>
      <c r="BV273" s="562"/>
      <c r="BW273" s="536"/>
      <c r="BX273" s="536"/>
      <c r="BY273" s="573"/>
      <c r="BZ273" s="570"/>
      <c r="CA273" s="571"/>
      <c r="CB273" s="571"/>
      <c r="CC273" s="574"/>
      <c r="CD273" s="571"/>
      <c r="CE273" s="571"/>
      <c r="CF273" s="574"/>
      <c r="CG273" s="575"/>
      <c r="CH273" s="529"/>
      <c r="CI273" s="576"/>
      <c r="CJ273" s="577"/>
    </row>
    <row r="274" spans="2:88" ht="171.95" customHeight="1" x14ac:dyDescent="0.25">
      <c r="B274" s="1227"/>
      <c r="C274" s="610"/>
      <c r="D274" s="601"/>
      <c r="E274" s="601"/>
      <c r="F274" s="601"/>
      <c r="G274" s="601"/>
      <c r="H274" s="601"/>
      <c r="I274" s="601"/>
      <c r="J274" s="601"/>
      <c r="K274" s="602"/>
      <c r="L274" s="593"/>
      <c r="M274" s="202" t="s">
        <v>4682</v>
      </c>
      <c r="N274" s="203" t="s">
        <v>4683</v>
      </c>
      <c r="O274" s="204">
        <v>0.3</v>
      </c>
      <c r="P274" s="205">
        <v>44256</v>
      </c>
      <c r="Q274" s="205">
        <v>44550</v>
      </c>
      <c r="R274" s="204">
        <v>0.1</v>
      </c>
      <c r="S274" s="204">
        <v>0.2</v>
      </c>
      <c r="T274" s="206">
        <v>0.3</v>
      </c>
      <c r="U274" s="204">
        <v>1</v>
      </c>
      <c r="V274" s="90">
        <v>0.1</v>
      </c>
      <c r="W274" s="13" t="s">
        <v>4684</v>
      </c>
      <c r="X274" s="55" t="s">
        <v>4685</v>
      </c>
      <c r="Y274" s="56" t="str">
        <f t="shared" si="37"/>
        <v>En gestión</v>
      </c>
      <c r="Z274" s="56" t="str">
        <f t="shared" si="38"/>
        <v>En gestión</v>
      </c>
      <c r="AA274" s="536"/>
      <c r="AB274" s="604"/>
      <c r="AC274" s="597"/>
      <c r="AD274" s="536"/>
      <c r="AE274" s="536"/>
      <c r="AF274" s="56"/>
      <c r="AG274" s="583"/>
      <c r="AH274" s="583"/>
      <c r="AI274" s="583"/>
      <c r="AJ274" s="583"/>
      <c r="AK274" s="583"/>
      <c r="AL274" s="583"/>
      <c r="AM274" s="593"/>
      <c r="AN274" s="603"/>
      <c r="AO274" s="520"/>
      <c r="AP274" s="531"/>
      <c r="AQ274" s="568"/>
      <c r="AR274" s="1163">
        <v>0.2</v>
      </c>
      <c r="AS274" s="13" t="s">
        <v>4686</v>
      </c>
      <c r="AT274" s="55" t="s">
        <v>4687</v>
      </c>
      <c r="AU274" s="56" t="str">
        <f t="shared" si="40"/>
        <v>En gestión</v>
      </c>
      <c r="AV274" s="56" t="str">
        <f t="shared" si="41"/>
        <v>En gestión</v>
      </c>
      <c r="AW274" s="536"/>
      <c r="AX274" s="599"/>
      <c r="AY274" s="600"/>
      <c r="AZ274" s="536"/>
      <c r="BA274" s="536"/>
      <c r="BB274" s="56"/>
      <c r="BC274" s="536"/>
      <c r="BD274" s="583"/>
      <c r="BE274" s="583"/>
      <c r="BF274" s="583"/>
      <c r="BG274" s="583"/>
      <c r="BH274" s="583"/>
      <c r="BI274" s="583"/>
      <c r="BJ274" s="593"/>
      <c r="BK274" s="515"/>
      <c r="BL274" s="520"/>
      <c r="BM274" s="531"/>
      <c r="BN274" s="568"/>
      <c r="BO274" s="347">
        <v>0.3</v>
      </c>
      <c r="BP274" s="11" t="s">
        <v>4945</v>
      </c>
      <c r="BQ274" s="11" t="s">
        <v>4946</v>
      </c>
      <c r="BR274" s="56" t="str">
        <f t="shared" si="44"/>
        <v>Terminado</v>
      </c>
      <c r="BS274" s="56" t="str">
        <f t="shared" si="43"/>
        <v>En gestión</v>
      </c>
      <c r="BT274" s="581"/>
      <c r="BU274" s="561"/>
      <c r="BV274" s="562"/>
      <c r="BW274" s="536"/>
      <c r="BX274" s="536"/>
      <c r="BY274" s="573"/>
      <c r="BZ274" s="570"/>
      <c r="CA274" s="571"/>
      <c r="CB274" s="571"/>
      <c r="CC274" s="574"/>
      <c r="CD274" s="571"/>
      <c r="CE274" s="571"/>
      <c r="CF274" s="574"/>
      <c r="CG274" s="575"/>
      <c r="CH274" s="529"/>
      <c r="CI274" s="576"/>
      <c r="CJ274" s="577"/>
    </row>
    <row r="275" spans="2:88" ht="171.95" customHeight="1" x14ac:dyDescent="0.25">
      <c r="B275" s="1227"/>
      <c r="C275" s="610"/>
      <c r="D275" s="601"/>
      <c r="E275" s="601"/>
      <c r="F275" s="601"/>
      <c r="G275" s="601"/>
      <c r="H275" s="601"/>
      <c r="I275" s="601"/>
      <c r="J275" s="601"/>
      <c r="K275" s="602"/>
      <c r="L275" s="593"/>
      <c r="M275" s="202" t="s">
        <v>4688</v>
      </c>
      <c r="N275" s="203" t="s">
        <v>4689</v>
      </c>
      <c r="O275" s="204">
        <v>0.4</v>
      </c>
      <c r="P275" s="205">
        <v>44287</v>
      </c>
      <c r="Q275" s="205">
        <v>44561</v>
      </c>
      <c r="R275" s="204">
        <v>0</v>
      </c>
      <c r="S275" s="204">
        <v>0.05</v>
      </c>
      <c r="T275" s="206">
        <v>0.2</v>
      </c>
      <c r="U275" s="204">
        <v>1</v>
      </c>
      <c r="V275" s="90">
        <v>0</v>
      </c>
      <c r="W275" s="56" t="s">
        <v>37</v>
      </c>
      <c r="X275" s="94" t="s">
        <v>37</v>
      </c>
      <c r="Y275" s="56" t="str">
        <f t="shared" si="37"/>
        <v>Sin iniciar</v>
      </c>
      <c r="Z275" s="56" t="str">
        <f t="shared" si="38"/>
        <v>Sin iniciar</v>
      </c>
      <c r="AA275" s="536"/>
      <c r="AB275" s="604"/>
      <c r="AC275" s="597"/>
      <c r="AD275" s="536"/>
      <c r="AE275" s="536"/>
      <c r="AF275" s="56"/>
      <c r="AG275" s="583"/>
      <c r="AH275" s="583"/>
      <c r="AI275" s="583"/>
      <c r="AJ275" s="583"/>
      <c r="AK275" s="583"/>
      <c r="AL275" s="583"/>
      <c r="AM275" s="593"/>
      <c r="AN275" s="603"/>
      <c r="AO275" s="520"/>
      <c r="AP275" s="531"/>
      <c r="AQ275" s="568"/>
      <c r="AR275" s="1163">
        <v>0.05</v>
      </c>
      <c r="AS275" s="13" t="s">
        <v>4690</v>
      </c>
      <c r="AT275" s="55" t="s">
        <v>4691</v>
      </c>
      <c r="AU275" s="56" t="str">
        <f t="shared" si="40"/>
        <v>En gestión</v>
      </c>
      <c r="AV275" s="56" t="str">
        <f t="shared" si="41"/>
        <v>En gestión</v>
      </c>
      <c r="AW275" s="536"/>
      <c r="AX275" s="599"/>
      <c r="AY275" s="600"/>
      <c r="AZ275" s="536"/>
      <c r="BA275" s="536"/>
      <c r="BB275" s="56"/>
      <c r="BC275" s="536"/>
      <c r="BD275" s="583"/>
      <c r="BE275" s="583"/>
      <c r="BF275" s="583"/>
      <c r="BG275" s="583"/>
      <c r="BH275" s="583"/>
      <c r="BI275" s="583"/>
      <c r="BJ275" s="593"/>
      <c r="BK275" s="516"/>
      <c r="BL275" s="520"/>
      <c r="BM275" s="531"/>
      <c r="BN275" s="568"/>
      <c r="BO275" s="347">
        <v>0.2</v>
      </c>
      <c r="BP275" s="11" t="s">
        <v>4947</v>
      </c>
      <c r="BQ275" s="11" t="s">
        <v>5244</v>
      </c>
      <c r="BR275" s="56" t="str">
        <f t="shared" si="44"/>
        <v>Terminado</v>
      </c>
      <c r="BS275" s="56" t="str">
        <f t="shared" si="43"/>
        <v>En gestión</v>
      </c>
      <c r="BT275" s="581"/>
      <c r="BU275" s="561"/>
      <c r="BV275" s="562"/>
      <c r="BW275" s="536"/>
      <c r="BX275" s="536"/>
      <c r="BY275" s="573"/>
      <c r="BZ275" s="570"/>
      <c r="CA275" s="571"/>
      <c r="CB275" s="571"/>
      <c r="CC275" s="574"/>
      <c r="CD275" s="571"/>
      <c r="CE275" s="571"/>
      <c r="CF275" s="574"/>
      <c r="CG275" s="575"/>
      <c r="CH275" s="529"/>
      <c r="CI275" s="576"/>
      <c r="CJ275" s="577"/>
    </row>
    <row r="276" spans="2:88" ht="171.95" customHeight="1" x14ac:dyDescent="0.25">
      <c r="B276" s="1227"/>
      <c r="C276" s="611" t="s">
        <v>4489</v>
      </c>
      <c r="D276" s="594" t="s">
        <v>25</v>
      </c>
      <c r="E276" s="594" t="s">
        <v>26</v>
      </c>
      <c r="F276" s="594" t="s">
        <v>4692</v>
      </c>
      <c r="G276" s="594" t="s">
        <v>28</v>
      </c>
      <c r="H276" s="594" t="s">
        <v>28</v>
      </c>
      <c r="I276" s="594" t="s">
        <v>29</v>
      </c>
      <c r="J276" s="594" t="s">
        <v>47</v>
      </c>
      <c r="K276" s="595" t="s">
        <v>4693</v>
      </c>
      <c r="L276" s="592" t="s">
        <v>164</v>
      </c>
      <c r="M276" s="208" t="s">
        <v>4694</v>
      </c>
      <c r="N276" s="209" t="s">
        <v>4695</v>
      </c>
      <c r="O276" s="210">
        <v>0.5</v>
      </c>
      <c r="P276" s="211">
        <v>44228</v>
      </c>
      <c r="Q276" s="211">
        <v>44348</v>
      </c>
      <c r="R276" s="210">
        <v>0.4</v>
      </c>
      <c r="S276" s="210">
        <v>1</v>
      </c>
      <c r="T276" s="212">
        <v>1</v>
      </c>
      <c r="U276" s="210">
        <v>1</v>
      </c>
      <c r="V276" s="90">
        <v>0.3</v>
      </c>
      <c r="W276" s="62" t="s">
        <v>4696</v>
      </c>
      <c r="X276" s="63" t="s">
        <v>4697</v>
      </c>
      <c r="Y276" s="66" t="str">
        <f t="shared" si="37"/>
        <v>En gestión</v>
      </c>
      <c r="Z276" s="66" t="str">
        <f t="shared" si="38"/>
        <v>En gestión</v>
      </c>
      <c r="AA276" s="532" t="s">
        <v>4698</v>
      </c>
      <c r="AB276" s="596">
        <f>SUMPRODUCT(O276:O277,V276:V277)</f>
        <v>0.15</v>
      </c>
      <c r="AC276" s="597">
        <f>SUMPRODUCT(O276:O277,R276:R277)</f>
        <v>0.2</v>
      </c>
      <c r="AD276" s="530" t="str">
        <f>IF(AC276&lt;1%,"Sin iniciar",IF(AC276=100%,"Terminado","En gestión"))</f>
        <v>En gestión</v>
      </c>
      <c r="AE276" s="530" t="str">
        <f>IF(AB276&lt;1%,"Sin iniciar",IF(AB276=100%,"Terminado","En gestión"))</f>
        <v>En gestión</v>
      </c>
      <c r="AF276" s="62" t="s">
        <v>4699</v>
      </c>
      <c r="AG276" s="579">
        <v>25032086</v>
      </c>
      <c r="AH276" s="579">
        <v>25032086</v>
      </c>
      <c r="AI276" s="579">
        <v>6258021.5</v>
      </c>
      <c r="AJ276" s="579">
        <f>AQ276</f>
        <v>21111000</v>
      </c>
      <c r="AK276" s="579">
        <v>21111000</v>
      </c>
      <c r="AL276" s="579">
        <v>2610000</v>
      </c>
      <c r="AM276" s="532" t="s">
        <v>4435</v>
      </c>
      <c r="AN276" s="598" t="s">
        <v>4436</v>
      </c>
      <c r="AO276" s="521" t="s">
        <v>2478</v>
      </c>
      <c r="AP276" s="532" t="s">
        <v>4454</v>
      </c>
      <c r="AQ276" s="567">
        <v>21111000</v>
      </c>
      <c r="AR276" s="1163">
        <v>1</v>
      </c>
      <c r="AS276" s="62" t="s">
        <v>4700</v>
      </c>
      <c r="AT276" s="63" t="s">
        <v>4701</v>
      </c>
      <c r="AU276" s="66" t="str">
        <f t="shared" si="40"/>
        <v>Terminado</v>
      </c>
      <c r="AV276" s="66" t="str">
        <f t="shared" si="41"/>
        <v>Terminado</v>
      </c>
      <c r="AW276" s="532" t="s">
        <v>4702</v>
      </c>
      <c r="AX276" s="599">
        <f>SUMPRODUCT(O276:O277,AR276:AR277)</f>
        <v>0.52500000000000002</v>
      </c>
      <c r="AY276" s="600">
        <f>SUMPRODUCT(S276:S277,O276:O277)</f>
        <v>0.55000000000000004</v>
      </c>
      <c r="AZ276" s="530" t="str">
        <f>IF(AY276&lt;1%,"Sin iniciar",IF(AY276=100%,"Terminado","En gestión"))</f>
        <v>En gestión</v>
      </c>
      <c r="BA276" s="530" t="str">
        <f>IF(AX276&lt;1%,"Sin iniciar",IF(AX276=100%,"Terminado","En gestión"))</f>
        <v>En gestión</v>
      </c>
      <c r="BB276" s="62"/>
      <c r="BC276" s="532" t="s">
        <v>366</v>
      </c>
      <c r="BD276" s="579">
        <v>25032086</v>
      </c>
      <c r="BE276" s="579">
        <v>25032086</v>
      </c>
      <c r="BF276" s="579">
        <v>12516043</v>
      </c>
      <c r="BG276" s="579">
        <v>21111000</v>
      </c>
      <c r="BH276" s="579">
        <v>29830252.292881969</v>
      </c>
      <c r="BI276" s="579">
        <v>6705000</v>
      </c>
      <c r="BJ276" s="532" t="s">
        <v>4435</v>
      </c>
      <c r="BK276" s="517"/>
      <c r="BL276" s="521" t="s">
        <v>2478</v>
      </c>
      <c r="BM276" s="532" t="s">
        <v>4454</v>
      </c>
      <c r="BN276" s="567" t="s">
        <v>4458</v>
      </c>
      <c r="BO276" s="347">
        <v>1</v>
      </c>
      <c r="BP276" s="24" t="s">
        <v>3141</v>
      </c>
      <c r="BQ276" s="24" t="s">
        <v>3141</v>
      </c>
      <c r="BR276" s="66" t="str">
        <f t="shared" si="44"/>
        <v>Terminado</v>
      </c>
      <c r="BS276" s="66" t="str">
        <f t="shared" si="43"/>
        <v>Terminado</v>
      </c>
      <c r="BT276" s="560" t="s">
        <v>4948</v>
      </c>
      <c r="BU276" s="561">
        <f>SUMPRODUCT(O276:O277,BO276:BO277)</f>
        <v>0.65</v>
      </c>
      <c r="BV276" s="562">
        <f>SUMPRODUCT(O276:O277,T276:T277)</f>
        <v>0.65</v>
      </c>
      <c r="BW276" s="530" t="str">
        <f>IF(BV276&lt;1%,"Sin iniciar",IF(BV276=100%,"Terminado","En gestión"))</f>
        <v>En gestión</v>
      </c>
      <c r="BX276" s="530" t="str">
        <f>IF(BU276&lt;1%,"Sin iniciar",IF(BU276=100%,"Terminado","En gestión"))</f>
        <v>En gestión</v>
      </c>
      <c r="BY276" s="578" t="s">
        <v>37</v>
      </c>
      <c r="BZ276" s="585" t="s">
        <v>366</v>
      </c>
      <c r="CA276" s="564">
        <v>25032086</v>
      </c>
      <c r="CB276" s="564">
        <v>25032086</v>
      </c>
      <c r="CC276" s="582">
        <v>18774064.5</v>
      </c>
      <c r="CD276" s="564">
        <f>BH276</f>
        <v>29830252.292881969</v>
      </c>
      <c r="CE276" s="565">
        <v>12150000</v>
      </c>
      <c r="CF276" s="565">
        <v>10845000</v>
      </c>
      <c r="CG276" s="585" t="s">
        <v>4435</v>
      </c>
      <c r="CH276" s="587" t="s">
        <v>2478</v>
      </c>
      <c r="CI276" s="585" t="s">
        <v>4454</v>
      </c>
      <c r="CJ276" s="586" t="s">
        <v>4458</v>
      </c>
    </row>
    <row r="277" spans="2:88" ht="171.95" customHeight="1" x14ac:dyDescent="0.25">
      <c r="B277" s="1227"/>
      <c r="C277" s="611"/>
      <c r="D277" s="594"/>
      <c r="E277" s="594"/>
      <c r="F277" s="594"/>
      <c r="G277" s="594"/>
      <c r="H277" s="594"/>
      <c r="I277" s="594"/>
      <c r="J277" s="594"/>
      <c r="K277" s="595"/>
      <c r="L277" s="592"/>
      <c r="M277" s="208" t="s">
        <v>4703</v>
      </c>
      <c r="N277" s="209" t="s">
        <v>4704</v>
      </c>
      <c r="O277" s="210">
        <v>0.5</v>
      </c>
      <c r="P277" s="211">
        <v>44348</v>
      </c>
      <c r="Q277" s="211">
        <v>44552</v>
      </c>
      <c r="R277" s="210">
        <v>0</v>
      </c>
      <c r="S277" s="210">
        <v>0.1</v>
      </c>
      <c r="T277" s="212">
        <v>0.3</v>
      </c>
      <c r="U277" s="210">
        <v>1</v>
      </c>
      <c r="V277" s="90">
        <v>0</v>
      </c>
      <c r="W277" s="66" t="s">
        <v>37</v>
      </c>
      <c r="X277" s="91" t="s">
        <v>37</v>
      </c>
      <c r="Y277" s="66" t="str">
        <f t="shared" si="37"/>
        <v>Sin iniciar</v>
      </c>
      <c r="Z277" s="66" t="str">
        <f t="shared" si="38"/>
        <v>Sin iniciar</v>
      </c>
      <c r="AA277" s="532"/>
      <c r="AB277" s="596"/>
      <c r="AC277" s="597"/>
      <c r="AD277" s="530"/>
      <c r="AE277" s="530"/>
      <c r="AF277" s="66"/>
      <c r="AG277" s="579"/>
      <c r="AH277" s="579"/>
      <c r="AI277" s="579"/>
      <c r="AJ277" s="579"/>
      <c r="AK277" s="579"/>
      <c r="AL277" s="579"/>
      <c r="AM277" s="532"/>
      <c r="AN277" s="598"/>
      <c r="AO277" s="521"/>
      <c r="AP277" s="532"/>
      <c r="AQ277" s="567"/>
      <c r="AR277" s="1163">
        <v>0.05</v>
      </c>
      <c r="AS277" s="62" t="s">
        <v>4705</v>
      </c>
      <c r="AT277" s="63" t="s">
        <v>4706</v>
      </c>
      <c r="AU277" s="66" t="str">
        <f t="shared" si="40"/>
        <v>En gestión</v>
      </c>
      <c r="AV277" s="66" t="str">
        <f t="shared" si="41"/>
        <v>En gestión</v>
      </c>
      <c r="AW277" s="532"/>
      <c r="AX277" s="599"/>
      <c r="AY277" s="600"/>
      <c r="AZ277" s="530"/>
      <c r="BA277" s="530"/>
      <c r="BB277" s="66"/>
      <c r="BC277" s="532"/>
      <c r="BD277" s="579"/>
      <c r="BE277" s="579"/>
      <c r="BF277" s="579"/>
      <c r="BG277" s="579"/>
      <c r="BH277" s="579"/>
      <c r="BI277" s="579"/>
      <c r="BJ277" s="532"/>
      <c r="BK277" s="518"/>
      <c r="BL277" s="521"/>
      <c r="BM277" s="532"/>
      <c r="BN277" s="567"/>
      <c r="BO277" s="347">
        <v>0.3</v>
      </c>
      <c r="BP277" s="24" t="s">
        <v>4948</v>
      </c>
      <c r="BQ277" s="24" t="s">
        <v>5245</v>
      </c>
      <c r="BR277" s="66" t="str">
        <f t="shared" si="44"/>
        <v>Terminado</v>
      </c>
      <c r="BS277" s="66" t="str">
        <f t="shared" si="43"/>
        <v>En gestión</v>
      </c>
      <c r="BT277" s="578"/>
      <c r="BU277" s="561"/>
      <c r="BV277" s="562"/>
      <c r="BW277" s="530"/>
      <c r="BX277" s="530"/>
      <c r="BY277" s="578"/>
      <c r="BZ277" s="585"/>
      <c r="CA277" s="564"/>
      <c r="CB277" s="564"/>
      <c r="CC277" s="578"/>
      <c r="CD277" s="564"/>
      <c r="CE277" s="565"/>
      <c r="CF277" s="565"/>
      <c r="CG277" s="585"/>
      <c r="CH277" s="587"/>
      <c r="CI277" s="585"/>
      <c r="CJ277" s="586"/>
    </row>
    <row r="278" spans="2:88" ht="171.95" customHeight="1" x14ac:dyDescent="0.25">
      <c r="B278" s="1227"/>
      <c r="C278" s="610" t="s">
        <v>4490</v>
      </c>
      <c r="D278" s="601" t="s">
        <v>25</v>
      </c>
      <c r="E278" s="601" t="s">
        <v>26</v>
      </c>
      <c r="F278" s="601" t="s">
        <v>4707</v>
      </c>
      <c r="G278" s="601" t="s">
        <v>28</v>
      </c>
      <c r="H278" s="601" t="s">
        <v>28</v>
      </c>
      <c r="I278" s="601" t="s">
        <v>29</v>
      </c>
      <c r="J278" s="601" t="s">
        <v>47</v>
      </c>
      <c r="K278" s="602" t="s">
        <v>4708</v>
      </c>
      <c r="L278" s="593" t="s">
        <v>164</v>
      </c>
      <c r="M278" s="202" t="s">
        <v>4709</v>
      </c>
      <c r="N278" s="203" t="s">
        <v>4710</v>
      </c>
      <c r="O278" s="204">
        <v>0.4</v>
      </c>
      <c r="P278" s="205">
        <v>44228</v>
      </c>
      <c r="Q278" s="205">
        <v>44545</v>
      </c>
      <c r="R278" s="204">
        <v>0.2</v>
      </c>
      <c r="S278" s="204">
        <v>0.45</v>
      </c>
      <c r="T278" s="206">
        <v>0.75</v>
      </c>
      <c r="U278" s="204">
        <v>1</v>
      </c>
      <c r="V278" s="90">
        <v>0.2</v>
      </c>
      <c r="W278" s="13" t="s">
        <v>4711</v>
      </c>
      <c r="X278" s="55" t="s">
        <v>4712</v>
      </c>
      <c r="Y278" s="56" t="str">
        <f t="shared" si="37"/>
        <v>En gestión</v>
      </c>
      <c r="Z278" s="56" t="str">
        <f t="shared" si="38"/>
        <v>En gestión</v>
      </c>
      <c r="AA278" s="531" t="s">
        <v>4713</v>
      </c>
      <c r="AB278" s="596">
        <f>SUMPRODUCT(O278:O280,V278:V280)</f>
        <v>0.2</v>
      </c>
      <c r="AC278" s="597">
        <f>SUMPRODUCT(O278:O280,R278:R280)</f>
        <v>0.2</v>
      </c>
      <c r="AD278" s="536" t="str">
        <f>IF(AC278&lt;1%,"Sin iniciar",IF(AC278=100%,"Terminado","En gestión"))</f>
        <v>En gestión</v>
      </c>
      <c r="AE278" s="536" t="str">
        <f>IF(AB278&lt;1%,"Sin iniciar",IF(AB278=100%,"Terminado","En gestión"))</f>
        <v>En gestión</v>
      </c>
      <c r="AF278" s="56"/>
      <c r="AG278" s="583">
        <v>25032086</v>
      </c>
      <c r="AH278" s="583">
        <v>25032086</v>
      </c>
      <c r="AI278" s="583">
        <v>6258021.5</v>
      </c>
      <c r="AJ278" s="583">
        <v>16709174.999999998</v>
      </c>
      <c r="AK278" s="583">
        <v>24360000</v>
      </c>
      <c r="AL278" s="583">
        <v>0</v>
      </c>
      <c r="AM278" s="531" t="s">
        <v>4435</v>
      </c>
      <c r="AN278" s="606" t="s">
        <v>4436</v>
      </c>
      <c r="AO278" s="531" t="s">
        <v>4470</v>
      </c>
      <c r="AP278" s="531" t="s">
        <v>2479</v>
      </c>
      <c r="AQ278" s="583">
        <f>+AK278</f>
        <v>24360000</v>
      </c>
      <c r="AR278" s="1163">
        <v>0.45</v>
      </c>
      <c r="AS278" s="13" t="s">
        <v>4714</v>
      </c>
      <c r="AT278" s="94" t="s">
        <v>4715</v>
      </c>
      <c r="AU278" s="56" t="str">
        <f t="shared" si="40"/>
        <v>En gestión</v>
      </c>
      <c r="AV278" s="56" t="str">
        <f t="shared" si="41"/>
        <v>En gestión</v>
      </c>
      <c r="AW278" s="531" t="s">
        <v>4716</v>
      </c>
      <c r="AX278" s="599">
        <f>SUMPRODUCT(O278:O280,AR278:AR280)</f>
        <v>0.45000000000000007</v>
      </c>
      <c r="AY278" s="600">
        <f>SUMPRODUCT(S278:S280,O278:O280)</f>
        <v>0.45000000000000007</v>
      </c>
      <c r="AZ278" s="536" t="str">
        <f>IF(AY278&lt;1%,"Sin iniciar",IF(AY278=100%,"Terminado","En gestión"))</f>
        <v>En gestión</v>
      </c>
      <c r="BA278" s="536" t="str">
        <f>IF(AX278&lt;1%,"Sin iniciar",IF(AX278=100%,"Terminado","En gestión"))</f>
        <v>En gestión</v>
      </c>
      <c r="BB278" s="56"/>
      <c r="BC278" s="536" t="s">
        <v>366</v>
      </c>
      <c r="BD278" s="583">
        <v>25032086</v>
      </c>
      <c r="BE278" s="583">
        <v>25032086</v>
      </c>
      <c r="BF278" s="583">
        <v>6258021.5</v>
      </c>
      <c r="BG278" s="583">
        <v>16709174.999999998</v>
      </c>
      <c r="BH278" s="583">
        <v>23852499.898499995</v>
      </c>
      <c r="BI278" s="583">
        <v>5887000</v>
      </c>
      <c r="BJ278" s="531" t="s">
        <v>4435</v>
      </c>
      <c r="BK278" s="514"/>
      <c r="BL278" s="531" t="s">
        <v>4470</v>
      </c>
      <c r="BM278" s="531" t="s">
        <v>2479</v>
      </c>
      <c r="BN278" s="583" t="s">
        <v>4474</v>
      </c>
      <c r="BO278" s="347">
        <v>0.75</v>
      </c>
      <c r="BP278" s="11" t="s">
        <v>4949</v>
      </c>
      <c r="BQ278" s="11" t="s">
        <v>4950</v>
      </c>
      <c r="BR278" s="56" t="str">
        <f t="shared" si="44"/>
        <v>Terminado</v>
      </c>
      <c r="BS278" s="56" t="str">
        <f>IF(BO278&lt;1%,"Sin iniciar",IF(BO278=100%,"Terminado","En gestión"))</f>
        <v>En gestión</v>
      </c>
      <c r="BT278" s="581" t="s">
        <v>4951</v>
      </c>
      <c r="BU278" s="561">
        <f>SUMPRODUCT(O278:O280,BO278:BO280)</f>
        <v>0.75</v>
      </c>
      <c r="BV278" s="562">
        <f>SUMPRODUCT(O278:O280,T278:T280)</f>
        <v>0.75</v>
      </c>
      <c r="BW278" s="536" t="str">
        <f>IF(BV278&lt;1%,"Sin iniciar",IF(BV278=100%,"Terminado","En gestión"))</f>
        <v>En gestión</v>
      </c>
      <c r="BX278" s="536" t="str">
        <f>IF(BU278&lt;1%,"Sin iniciar",IF(BU278=100%,"Terminado","En gestión"))</f>
        <v>En gestión</v>
      </c>
      <c r="BY278" s="573" t="s">
        <v>37</v>
      </c>
      <c r="BZ278" s="570" t="s">
        <v>366</v>
      </c>
      <c r="CA278" s="571">
        <v>25032086</v>
      </c>
      <c r="CB278" s="571">
        <v>25032086</v>
      </c>
      <c r="CC278" s="572">
        <v>18774064.5</v>
      </c>
      <c r="CD278" s="571">
        <f>BH278</f>
        <v>23852499.898499995</v>
      </c>
      <c r="CE278" s="574">
        <v>23852499.898499995</v>
      </c>
      <c r="CF278" s="574">
        <v>15225000</v>
      </c>
      <c r="CG278" s="576" t="s">
        <v>4435</v>
      </c>
      <c r="CH278" s="576" t="s">
        <v>4470</v>
      </c>
      <c r="CI278" s="576" t="s">
        <v>2479</v>
      </c>
      <c r="CJ278" s="588" t="s">
        <v>4474</v>
      </c>
    </row>
    <row r="279" spans="2:88" ht="171.95" customHeight="1" x14ac:dyDescent="0.25">
      <c r="B279" s="1227"/>
      <c r="C279" s="610"/>
      <c r="D279" s="601"/>
      <c r="E279" s="601"/>
      <c r="F279" s="601"/>
      <c r="G279" s="601"/>
      <c r="H279" s="601"/>
      <c r="I279" s="601"/>
      <c r="J279" s="601"/>
      <c r="K279" s="602"/>
      <c r="L279" s="593"/>
      <c r="M279" s="202" t="s">
        <v>4717</v>
      </c>
      <c r="N279" s="203" t="s">
        <v>4718</v>
      </c>
      <c r="O279" s="204">
        <v>0.3</v>
      </c>
      <c r="P279" s="205">
        <v>43891</v>
      </c>
      <c r="Q279" s="205">
        <v>44545</v>
      </c>
      <c r="R279" s="204">
        <v>0.2</v>
      </c>
      <c r="S279" s="204">
        <v>0.45</v>
      </c>
      <c r="T279" s="206">
        <v>0.75</v>
      </c>
      <c r="U279" s="204">
        <v>1</v>
      </c>
      <c r="V279" s="90">
        <v>0.2</v>
      </c>
      <c r="W279" s="13" t="s">
        <v>4719</v>
      </c>
      <c r="X279" s="94" t="s">
        <v>4720</v>
      </c>
      <c r="Y279" s="56" t="str">
        <f t="shared" si="37"/>
        <v>En gestión</v>
      </c>
      <c r="Z279" s="56" t="str">
        <f t="shared" si="38"/>
        <v>En gestión</v>
      </c>
      <c r="AA279" s="531"/>
      <c r="AB279" s="596"/>
      <c r="AC279" s="597"/>
      <c r="AD279" s="536"/>
      <c r="AE279" s="536"/>
      <c r="AF279" s="56"/>
      <c r="AG279" s="583"/>
      <c r="AH279" s="583"/>
      <c r="AI279" s="583"/>
      <c r="AJ279" s="583"/>
      <c r="AK279" s="583"/>
      <c r="AL279" s="583"/>
      <c r="AM279" s="531"/>
      <c r="AN279" s="606"/>
      <c r="AO279" s="531"/>
      <c r="AP279" s="531" t="s">
        <v>2466</v>
      </c>
      <c r="AQ279" s="583"/>
      <c r="AR279" s="1163">
        <v>0.45</v>
      </c>
      <c r="AS279" s="13" t="s">
        <v>4721</v>
      </c>
      <c r="AT279" s="94" t="s">
        <v>4722</v>
      </c>
      <c r="AU279" s="56" t="str">
        <f t="shared" si="40"/>
        <v>En gestión</v>
      </c>
      <c r="AV279" s="56" t="str">
        <f t="shared" si="41"/>
        <v>En gestión</v>
      </c>
      <c r="AW279" s="531"/>
      <c r="AX279" s="599"/>
      <c r="AY279" s="600"/>
      <c r="AZ279" s="536"/>
      <c r="BA279" s="536"/>
      <c r="BB279" s="56"/>
      <c r="BC279" s="536"/>
      <c r="BD279" s="583"/>
      <c r="BE279" s="583"/>
      <c r="BF279" s="583"/>
      <c r="BG279" s="583"/>
      <c r="BH279" s="583"/>
      <c r="BI279" s="583"/>
      <c r="BJ279" s="531"/>
      <c r="BK279" s="515"/>
      <c r="BL279" s="531"/>
      <c r="BM279" s="531" t="s">
        <v>2466</v>
      </c>
      <c r="BN279" s="583"/>
      <c r="BO279" s="347">
        <v>0.75</v>
      </c>
      <c r="BP279" s="12" t="s">
        <v>4952</v>
      </c>
      <c r="BQ279" s="11" t="s">
        <v>4953</v>
      </c>
      <c r="BR279" s="56" t="str">
        <f t="shared" si="44"/>
        <v>Terminado</v>
      </c>
      <c r="BS279" s="56" t="str">
        <f t="shared" ref="BS279:BS280" si="45">IF(BO279&lt;1%,"Sin iniciar",IF(BO279=100%,"Terminado","En gestión"))</f>
        <v>En gestión</v>
      </c>
      <c r="BT279" s="581"/>
      <c r="BU279" s="561"/>
      <c r="BV279" s="562"/>
      <c r="BW279" s="536"/>
      <c r="BX279" s="536"/>
      <c r="BY279" s="573"/>
      <c r="BZ279" s="570"/>
      <c r="CA279" s="571"/>
      <c r="CB279" s="571"/>
      <c r="CC279" s="573"/>
      <c r="CD279" s="571"/>
      <c r="CE279" s="574"/>
      <c r="CF279" s="574"/>
      <c r="CG279" s="576"/>
      <c r="CH279" s="576"/>
      <c r="CI279" s="576" t="s">
        <v>2466</v>
      </c>
      <c r="CJ279" s="588"/>
    </row>
    <row r="280" spans="2:88" ht="171.95" customHeight="1" x14ac:dyDescent="0.25">
      <c r="B280" s="1227"/>
      <c r="C280" s="610"/>
      <c r="D280" s="601"/>
      <c r="E280" s="601"/>
      <c r="F280" s="601"/>
      <c r="G280" s="601"/>
      <c r="H280" s="601"/>
      <c r="I280" s="601"/>
      <c r="J280" s="601"/>
      <c r="K280" s="602"/>
      <c r="L280" s="593"/>
      <c r="M280" s="202" t="s">
        <v>4723</v>
      </c>
      <c r="N280" s="203" t="s">
        <v>4724</v>
      </c>
      <c r="O280" s="204">
        <v>0.3</v>
      </c>
      <c r="P280" s="205">
        <v>44228</v>
      </c>
      <c r="Q280" s="205">
        <v>44545</v>
      </c>
      <c r="R280" s="204">
        <v>0.2</v>
      </c>
      <c r="S280" s="204">
        <v>0.45</v>
      </c>
      <c r="T280" s="206">
        <v>0.75</v>
      </c>
      <c r="U280" s="204">
        <v>1</v>
      </c>
      <c r="V280" s="90">
        <v>0.2</v>
      </c>
      <c r="W280" s="56" t="s">
        <v>4725</v>
      </c>
      <c r="X280" s="55" t="s">
        <v>4726</v>
      </c>
      <c r="Y280" s="56" t="str">
        <f t="shared" si="37"/>
        <v>En gestión</v>
      </c>
      <c r="Z280" s="56" t="str">
        <f t="shared" si="38"/>
        <v>En gestión</v>
      </c>
      <c r="AA280" s="531"/>
      <c r="AB280" s="596"/>
      <c r="AC280" s="597"/>
      <c r="AD280" s="536"/>
      <c r="AE280" s="536"/>
      <c r="AF280" s="56"/>
      <c r="AG280" s="583"/>
      <c r="AH280" s="583"/>
      <c r="AI280" s="583"/>
      <c r="AJ280" s="583"/>
      <c r="AK280" s="583"/>
      <c r="AL280" s="583"/>
      <c r="AM280" s="531"/>
      <c r="AN280" s="606"/>
      <c r="AO280" s="531"/>
      <c r="AP280" s="531" t="s">
        <v>2466</v>
      </c>
      <c r="AQ280" s="583"/>
      <c r="AR280" s="1163">
        <v>0.45</v>
      </c>
      <c r="AS280" s="13" t="s">
        <v>4727</v>
      </c>
      <c r="AT280" s="55" t="s">
        <v>4728</v>
      </c>
      <c r="AU280" s="56" t="str">
        <f t="shared" si="40"/>
        <v>En gestión</v>
      </c>
      <c r="AV280" s="56" t="str">
        <f t="shared" si="41"/>
        <v>En gestión</v>
      </c>
      <c r="AW280" s="531"/>
      <c r="AX280" s="599"/>
      <c r="AY280" s="600"/>
      <c r="AZ280" s="536"/>
      <c r="BA280" s="536"/>
      <c r="BB280" s="56"/>
      <c r="BC280" s="536"/>
      <c r="BD280" s="583"/>
      <c r="BE280" s="583"/>
      <c r="BF280" s="583"/>
      <c r="BG280" s="583"/>
      <c r="BH280" s="583"/>
      <c r="BI280" s="583"/>
      <c r="BJ280" s="531"/>
      <c r="BK280" s="516"/>
      <c r="BL280" s="531"/>
      <c r="BM280" s="531" t="s">
        <v>2466</v>
      </c>
      <c r="BN280" s="583"/>
      <c r="BO280" s="347">
        <v>0.75</v>
      </c>
      <c r="BP280" s="11" t="s">
        <v>4954</v>
      </c>
      <c r="BQ280" s="11" t="s">
        <v>4955</v>
      </c>
      <c r="BR280" s="56" t="str">
        <f t="shared" si="44"/>
        <v>Terminado</v>
      </c>
      <c r="BS280" s="56" t="str">
        <f t="shared" si="45"/>
        <v>En gestión</v>
      </c>
      <c r="BT280" s="581"/>
      <c r="BU280" s="561"/>
      <c r="BV280" s="562"/>
      <c r="BW280" s="536"/>
      <c r="BX280" s="536"/>
      <c r="BY280" s="573"/>
      <c r="BZ280" s="570"/>
      <c r="CA280" s="571"/>
      <c r="CB280" s="571"/>
      <c r="CC280" s="573"/>
      <c r="CD280" s="571"/>
      <c r="CE280" s="574"/>
      <c r="CF280" s="574"/>
      <c r="CG280" s="576"/>
      <c r="CH280" s="576"/>
      <c r="CI280" s="576" t="s">
        <v>2466</v>
      </c>
      <c r="CJ280" s="588"/>
    </row>
    <row r="281" spans="2:88" ht="171.95" customHeight="1" x14ac:dyDescent="0.25">
      <c r="B281" s="1227"/>
      <c r="C281" s="611" t="s">
        <v>4491</v>
      </c>
      <c r="D281" s="594" t="s">
        <v>25</v>
      </c>
      <c r="E281" s="594" t="s">
        <v>26</v>
      </c>
      <c r="F281" s="594" t="s">
        <v>4729</v>
      </c>
      <c r="G281" s="594" t="s">
        <v>28</v>
      </c>
      <c r="H281" s="594" t="s">
        <v>28</v>
      </c>
      <c r="I281" s="594" t="s">
        <v>29</v>
      </c>
      <c r="J281" s="594" t="s">
        <v>47</v>
      </c>
      <c r="K281" s="595" t="s">
        <v>4730</v>
      </c>
      <c r="L281" s="592" t="s">
        <v>164</v>
      </c>
      <c r="M281" s="208" t="s">
        <v>4731</v>
      </c>
      <c r="N281" s="209" t="s">
        <v>4732</v>
      </c>
      <c r="O281" s="210">
        <v>0.3</v>
      </c>
      <c r="P281" s="211">
        <v>44228</v>
      </c>
      <c r="Q281" s="211">
        <v>44347</v>
      </c>
      <c r="R281" s="210">
        <v>0.3</v>
      </c>
      <c r="S281" s="210">
        <v>1</v>
      </c>
      <c r="T281" s="212">
        <v>1</v>
      </c>
      <c r="U281" s="210">
        <v>1</v>
      </c>
      <c r="V281" s="90">
        <v>0.3</v>
      </c>
      <c r="W281" s="62" t="s">
        <v>4733</v>
      </c>
      <c r="X281" s="63" t="s">
        <v>4734</v>
      </c>
      <c r="Y281" s="66" t="str">
        <f t="shared" si="37"/>
        <v>En gestión</v>
      </c>
      <c r="Z281" s="66" t="str">
        <f t="shared" si="38"/>
        <v>En gestión</v>
      </c>
      <c r="AA281" s="532" t="s">
        <v>4735</v>
      </c>
      <c r="AB281" s="604">
        <f>SUMPRODUCT(O281:O284,V281:V284)</f>
        <v>0.1</v>
      </c>
      <c r="AC281" s="597">
        <f>SUMPRODUCT(O281:O284,R281:R284)</f>
        <v>0.09</v>
      </c>
      <c r="AD281" s="530" t="str">
        <f>IF(AC281&lt;1%,"Sin iniciar",IF(AC281=100%,"Terminado","En gestión"))</f>
        <v>En gestión</v>
      </c>
      <c r="AE281" s="530" t="str">
        <f>IF(AB281&lt;1%,"Sin iniciar",IF(AB281=100%,"Terminado","En gestión"))</f>
        <v>En gestión</v>
      </c>
      <c r="AF281" s="66"/>
      <c r="AG281" s="579">
        <v>35726957</v>
      </c>
      <c r="AH281" s="579">
        <v>35726957</v>
      </c>
      <c r="AI281" s="579">
        <v>8931739.25</v>
      </c>
      <c r="AJ281" s="579">
        <f>AQ281</f>
        <v>6817817.5999999996</v>
      </c>
      <c r="AK281" s="579">
        <v>6817817.5999999996</v>
      </c>
      <c r="AL281" s="579">
        <v>852227.2</v>
      </c>
      <c r="AM281" s="532" t="s">
        <v>4435</v>
      </c>
      <c r="AN281" s="598" t="s">
        <v>4436</v>
      </c>
      <c r="AO281" s="521" t="s">
        <v>4470</v>
      </c>
      <c r="AP281" s="532" t="s">
        <v>2479</v>
      </c>
      <c r="AQ281" s="567">
        <f>+AK281</f>
        <v>6817817.5999999996</v>
      </c>
      <c r="AR281" s="1163">
        <v>1</v>
      </c>
      <c r="AS281" s="62" t="s">
        <v>4736</v>
      </c>
      <c r="AT281" s="63" t="s">
        <v>4737</v>
      </c>
      <c r="AU281" s="66" t="str">
        <f t="shared" si="40"/>
        <v>Terminado</v>
      </c>
      <c r="AV281" s="66" t="str">
        <f t="shared" si="41"/>
        <v>Terminado</v>
      </c>
      <c r="AW281" s="532" t="s">
        <v>4738</v>
      </c>
      <c r="AX281" s="599">
        <f>SUMPRODUCT(O281:O284,AR281:AR284)</f>
        <v>0.4</v>
      </c>
      <c r="AY281" s="600">
        <f>SUMPRODUCT(S281:S284,O281:O284)</f>
        <v>0.4</v>
      </c>
      <c r="AZ281" s="530" t="str">
        <f>IF(AY281&lt;1%,"Sin iniciar",IF(AY281=100%,"Terminado","En gestión"))</f>
        <v>En gestión</v>
      </c>
      <c r="BA281" s="530" t="str">
        <f>IF(AX281&lt;1%,"Sin iniciar",IF(AX281=100%,"Terminado","En gestión"))</f>
        <v>En gestión</v>
      </c>
      <c r="BB281" s="66"/>
      <c r="BC281" s="530" t="s">
        <v>366</v>
      </c>
      <c r="BD281" s="579">
        <v>35726957</v>
      </c>
      <c r="BE281" s="579">
        <v>35726957</v>
      </c>
      <c r="BF281" s="579">
        <v>17863478.5</v>
      </c>
      <c r="BG281" s="579">
        <v>6817817.5999999996</v>
      </c>
      <c r="BH281" s="579">
        <v>6817817.5999999996</v>
      </c>
      <c r="BI281" s="579">
        <v>3437316.3733333331</v>
      </c>
      <c r="BJ281" s="532" t="s">
        <v>4435</v>
      </c>
      <c r="BK281" s="517"/>
      <c r="BL281" s="521" t="s">
        <v>4470</v>
      </c>
      <c r="BM281" s="532" t="s">
        <v>2479</v>
      </c>
      <c r="BN281" s="567" t="s">
        <v>4474</v>
      </c>
      <c r="BO281" s="347">
        <v>1</v>
      </c>
      <c r="BP281" s="25" t="s">
        <v>2875</v>
      </c>
      <c r="BQ281" s="25" t="s">
        <v>2875</v>
      </c>
      <c r="BR281" s="66" t="str">
        <f t="shared" si="44"/>
        <v>Terminado</v>
      </c>
      <c r="BS281" s="66" t="str">
        <f t="shared" si="43"/>
        <v>Terminado</v>
      </c>
      <c r="BT281" s="560" t="s">
        <v>4956</v>
      </c>
      <c r="BU281" s="561">
        <f>SUMPRODUCT(O281:O284,BO281:BO284)</f>
        <v>0.73</v>
      </c>
      <c r="BV281" s="562">
        <f>SUMPRODUCT(O281:O284,T281:T284)</f>
        <v>0.73</v>
      </c>
      <c r="BW281" s="530" t="str">
        <f>IF(BV281&lt;1%,"Sin iniciar",IF(BV281=100%,"Terminado","En gestión"))</f>
        <v>En gestión</v>
      </c>
      <c r="BX281" s="530" t="str">
        <f>IF(BU281&lt;1%,"Sin iniciar",IF(BU281=100%,"Terminado","En gestión"))</f>
        <v>En gestión</v>
      </c>
      <c r="BY281" s="578" t="s">
        <v>37</v>
      </c>
      <c r="BZ281" s="563" t="s">
        <v>366</v>
      </c>
      <c r="CA281" s="564">
        <v>35726957</v>
      </c>
      <c r="CB281" s="564">
        <v>35726957</v>
      </c>
      <c r="CC281" s="582">
        <v>26795217.75</v>
      </c>
      <c r="CD281" s="564">
        <f>BH281</f>
        <v>6817817.5999999996</v>
      </c>
      <c r="CE281" s="564">
        <v>8922140.1600000001</v>
      </c>
      <c r="CF281" s="565">
        <v>6050813.1200000001</v>
      </c>
      <c r="CG281" s="585" t="s">
        <v>4435</v>
      </c>
      <c r="CH281" s="587" t="s">
        <v>4470</v>
      </c>
      <c r="CI281" s="585" t="s">
        <v>2479</v>
      </c>
      <c r="CJ281" s="586" t="s">
        <v>4474</v>
      </c>
    </row>
    <row r="282" spans="2:88" ht="171.95" customHeight="1" x14ac:dyDescent="0.25">
      <c r="B282" s="1227"/>
      <c r="C282" s="611"/>
      <c r="D282" s="594"/>
      <c r="E282" s="594"/>
      <c r="F282" s="594"/>
      <c r="G282" s="594"/>
      <c r="H282" s="594"/>
      <c r="I282" s="594"/>
      <c r="J282" s="594"/>
      <c r="K282" s="595"/>
      <c r="L282" s="592"/>
      <c r="M282" s="208" t="s">
        <v>4739</v>
      </c>
      <c r="N282" s="209" t="s">
        <v>4740</v>
      </c>
      <c r="O282" s="210">
        <v>0.3</v>
      </c>
      <c r="P282" s="211">
        <v>44378</v>
      </c>
      <c r="Q282" s="211">
        <v>44545</v>
      </c>
      <c r="R282" s="210">
        <v>0</v>
      </c>
      <c r="S282" s="210">
        <v>0</v>
      </c>
      <c r="T282" s="212">
        <v>0.5</v>
      </c>
      <c r="U282" s="210">
        <v>1</v>
      </c>
      <c r="V282" s="90">
        <v>0</v>
      </c>
      <c r="W282" s="66" t="s">
        <v>37</v>
      </c>
      <c r="X282" s="91" t="s">
        <v>37</v>
      </c>
      <c r="Y282" s="66" t="str">
        <f t="shared" si="37"/>
        <v>Sin iniciar</v>
      </c>
      <c r="Z282" s="66" t="str">
        <f t="shared" si="38"/>
        <v>Sin iniciar</v>
      </c>
      <c r="AA282" s="532"/>
      <c r="AB282" s="604"/>
      <c r="AC282" s="597"/>
      <c r="AD282" s="530"/>
      <c r="AE282" s="530"/>
      <c r="AF282" s="66"/>
      <c r="AG282" s="579"/>
      <c r="AH282" s="579"/>
      <c r="AI282" s="579"/>
      <c r="AJ282" s="579"/>
      <c r="AK282" s="579"/>
      <c r="AL282" s="579"/>
      <c r="AM282" s="532"/>
      <c r="AN282" s="598"/>
      <c r="AO282" s="521"/>
      <c r="AP282" s="532"/>
      <c r="AQ282" s="567"/>
      <c r="AR282" s="1163">
        <v>0</v>
      </c>
      <c r="AS282" s="66" t="s">
        <v>2437</v>
      </c>
      <c r="AT282" s="63"/>
      <c r="AU282" s="66" t="str">
        <f t="shared" si="40"/>
        <v>Sin iniciar</v>
      </c>
      <c r="AV282" s="66" t="str">
        <f t="shared" si="41"/>
        <v>Sin iniciar</v>
      </c>
      <c r="AW282" s="532"/>
      <c r="AX282" s="599"/>
      <c r="AY282" s="600"/>
      <c r="AZ282" s="530"/>
      <c r="BA282" s="530"/>
      <c r="BB282" s="66"/>
      <c r="BC282" s="530"/>
      <c r="BD282" s="579"/>
      <c r="BE282" s="579"/>
      <c r="BF282" s="579"/>
      <c r="BG282" s="579"/>
      <c r="BH282" s="579"/>
      <c r="BI282" s="579"/>
      <c r="BJ282" s="532"/>
      <c r="BK282" s="519"/>
      <c r="BL282" s="521"/>
      <c r="BM282" s="532"/>
      <c r="BN282" s="567"/>
      <c r="BO282" s="347">
        <v>0.5</v>
      </c>
      <c r="BP282" s="24" t="s">
        <v>4957</v>
      </c>
      <c r="BQ282" s="24" t="s">
        <v>4958</v>
      </c>
      <c r="BR282" s="66" t="str">
        <f t="shared" si="44"/>
        <v>Terminado</v>
      </c>
      <c r="BS282" s="66" t="str">
        <f t="shared" si="43"/>
        <v>En gestión</v>
      </c>
      <c r="BT282" s="560"/>
      <c r="BU282" s="561"/>
      <c r="BV282" s="562"/>
      <c r="BW282" s="530"/>
      <c r="BX282" s="530"/>
      <c r="BY282" s="578"/>
      <c r="BZ282" s="563"/>
      <c r="CA282" s="564"/>
      <c r="CB282" s="564"/>
      <c r="CC282" s="578"/>
      <c r="CD282" s="564"/>
      <c r="CE282" s="564"/>
      <c r="CF282" s="565"/>
      <c r="CG282" s="585"/>
      <c r="CH282" s="587"/>
      <c r="CI282" s="585"/>
      <c r="CJ282" s="586"/>
    </row>
    <row r="283" spans="2:88" ht="171.95" customHeight="1" x14ac:dyDescent="0.25">
      <c r="B283" s="1227"/>
      <c r="C283" s="611"/>
      <c r="D283" s="594"/>
      <c r="E283" s="594"/>
      <c r="F283" s="594"/>
      <c r="G283" s="594"/>
      <c r="H283" s="594"/>
      <c r="I283" s="594"/>
      <c r="J283" s="594"/>
      <c r="K283" s="595"/>
      <c r="L283" s="592"/>
      <c r="M283" s="208" t="s">
        <v>4741</v>
      </c>
      <c r="N283" s="209" t="s">
        <v>4742</v>
      </c>
      <c r="O283" s="210">
        <v>0.2</v>
      </c>
      <c r="P283" s="211">
        <v>44287</v>
      </c>
      <c r="Q283" s="211">
        <v>44545</v>
      </c>
      <c r="R283" s="210">
        <v>0</v>
      </c>
      <c r="S283" s="210">
        <v>0.4</v>
      </c>
      <c r="T283" s="212">
        <v>0.8</v>
      </c>
      <c r="U283" s="210">
        <v>1</v>
      </c>
      <c r="V283" s="90">
        <v>0.05</v>
      </c>
      <c r="W283" s="62" t="s">
        <v>4743</v>
      </c>
      <c r="X283" s="91" t="s">
        <v>4744</v>
      </c>
      <c r="Y283" s="66" t="str">
        <f t="shared" si="37"/>
        <v>Sin iniciar</v>
      </c>
      <c r="Z283" s="66" t="str">
        <f t="shared" si="38"/>
        <v>En gestión</v>
      </c>
      <c r="AA283" s="532"/>
      <c r="AB283" s="604"/>
      <c r="AC283" s="597"/>
      <c r="AD283" s="530"/>
      <c r="AE283" s="530"/>
      <c r="AF283" s="66"/>
      <c r="AG283" s="579"/>
      <c r="AH283" s="579"/>
      <c r="AI283" s="579"/>
      <c r="AJ283" s="579"/>
      <c r="AK283" s="579"/>
      <c r="AL283" s="579"/>
      <c r="AM283" s="532"/>
      <c r="AN283" s="598"/>
      <c r="AO283" s="521"/>
      <c r="AP283" s="532"/>
      <c r="AQ283" s="567"/>
      <c r="AR283" s="1163">
        <v>0.4</v>
      </c>
      <c r="AS283" s="62" t="s">
        <v>4745</v>
      </c>
      <c r="AT283" s="63" t="s">
        <v>4746</v>
      </c>
      <c r="AU283" s="66" t="str">
        <f t="shared" si="40"/>
        <v>En gestión</v>
      </c>
      <c r="AV283" s="66" t="str">
        <f t="shared" si="41"/>
        <v>En gestión</v>
      </c>
      <c r="AW283" s="532"/>
      <c r="AX283" s="599"/>
      <c r="AY283" s="600"/>
      <c r="AZ283" s="530"/>
      <c r="BA283" s="530"/>
      <c r="BB283" s="66"/>
      <c r="BC283" s="530"/>
      <c r="BD283" s="579"/>
      <c r="BE283" s="579"/>
      <c r="BF283" s="579"/>
      <c r="BG283" s="579"/>
      <c r="BH283" s="579"/>
      <c r="BI283" s="579"/>
      <c r="BJ283" s="532"/>
      <c r="BK283" s="519"/>
      <c r="BL283" s="521"/>
      <c r="BM283" s="532"/>
      <c r="BN283" s="567"/>
      <c r="BO283" s="347">
        <v>0.8</v>
      </c>
      <c r="BP283" s="24" t="s">
        <v>4959</v>
      </c>
      <c r="BQ283" s="24" t="s">
        <v>4960</v>
      </c>
      <c r="BR283" s="66" t="str">
        <f t="shared" si="44"/>
        <v>Terminado</v>
      </c>
      <c r="BS283" s="66" t="str">
        <f t="shared" si="43"/>
        <v>En gestión</v>
      </c>
      <c r="BT283" s="560"/>
      <c r="BU283" s="561"/>
      <c r="BV283" s="562"/>
      <c r="BW283" s="530"/>
      <c r="BX283" s="530"/>
      <c r="BY283" s="578"/>
      <c r="BZ283" s="563"/>
      <c r="CA283" s="564"/>
      <c r="CB283" s="564"/>
      <c r="CC283" s="578"/>
      <c r="CD283" s="564"/>
      <c r="CE283" s="564"/>
      <c r="CF283" s="565"/>
      <c r="CG283" s="585"/>
      <c r="CH283" s="587"/>
      <c r="CI283" s="585"/>
      <c r="CJ283" s="586"/>
    </row>
    <row r="284" spans="2:88" ht="171.95" customHeight="1" x14ac:dyDescent="0.25">
      <c r="B284" s="1227"/>
      <c r="C284" s="611"/>
      <c r="D284" s="594"/>
      <c r="E284" s="594"/>
      <c r="F284" s="594"/>
      <c r="G284" s="594"/>
      <c r="H284" s="594"/>
      <c r="I284" s="594"/>
      <c r="J284" s="594"/>
      <c r="K284" s="595"/>
      <c r="L284" s="592"/>
      <c r="M284" s="208" t="s">
        <v>4747</v>
      </c>
      <c r="N284" s="209" t="s">
        <v>4748</v>
      </c>
      <c r="O284" s="210">
        <v>0.2</v>
      </c>
      <c r="P284" s="211">
        <v>44287</v>
      </c>
      <c r="Q284" s="211">
        <v>44545</v>
      </c>
      <c r="R284" s="210">
        <v>0</v>
      </c>
      <c r="S284" s="210">
        <v>0.1</v>
      </c>
      <c r="T284" s="212">
        <v>0.6</v>
      </c>
      <c r="U284" s="210">
        <v>1</v>
      </c>
      <c r="V284" s="90">
        <v>0</v>
      </c>
      <c r="W284" s="66" t="s">
        <v>37</v>
      </c>
      <c r="X284" s="91" t="s">
        <v>37</v>
      </c>
      <c r="Y284" s="66" t="str">
        <f t="shared" si="37"/>
        <v>Sin iniciar</v>
      </c>
      <c r="Z284" s="66" t="str">
        <f t="shared" si="38"/>
        <v>Sin iniciar</v>
      </c>
      <c r="AA284" s="532"/>
      <c r="AB284" s="604"/>
      <c r="AC284" s="597"/>
      <c r="AD284" s="530"/>
      <c r="AE284" s="530"/>
      <c r="AF284" s="66"/>
      <c r="AG284" s="579"/>
      <c r="AH284" s="579"/>
      <c r="AI284" s="579"/>
      <c r="AJ284" s="579"/>
      <c r="AK284" s="579"/>
      <c r="AL284" s="579"/>
      <c r="AM284" s="532"/>
      <c r="AN284" s="598"/>
      <c r="AO284" s="521"/>
      <c r="AP284" s="532"/>
      <c r="AQ284" s="567"/>
      <c r="AR284" s="1163">
        <v>0.1</v>
      </c>
      <c r="AS284" s="62" t="s">
        <v>4749</v>
      </c>
      <c r="AT284" s="63" t="s">
        <v>4750</v>
      </c>
      <c r="AU284" s="66" t="str">
        <f t="shared" si="40"/>
        <v>En gestión</v>
      </c>
      <c r="AV284" s="66" t="str">
        <f t="shared" si="41"/>
        <v>En gestión</v>
      </c>
      <c r="AW284" s="532"/>
      <c r="AX284" s="599"/>
      <c r="AY284" s="600"/>
      <c r="AZ284" s="530"/>
      <c r="BA284" s="530"/>
      <c r="BB284" s="66"/>
      <c r="BC284" s="530"/>
      <c r="BD284" s="579"/>
      <c r="BE284" s="579"/>
      <c r="BF284" s="579"/>
      <c r="BG284" s="579"/>
      <c r="BH284" s="579"/>
      <c r="BI284" s="579"/>
      <c r="BJ284" s="532"/>
      <c r="BK284" s="518"/>
      <c r="BL284" s="521"/>
      <c r="BM284" s="532"/>
      <c r="BN284" s="567"/>
      <c r="BO284" s="347">
        <v>0.6</v>
      </c>
      <c r="BP284" s="24" t="s">
        <v>4961</v>
      </c>
      <c r="BQ284" s="24" t="s">
        <v>4962</v>
      </c>
      <c r="BR284" s="66" t="str">
        <f t="shared" si="44"/>
        <v>Terminado</v>
      </c>
      <c r="BS284" s="66" t="str">
        <f t="shared" si="43"/>
        <v>En gestión</v>
      </c>
      <c r="BT284" s="560"/>
      <c r="BU284" s="561"/>
      <c r="BV284" s="562"/>
      <c r="BW284" s="530"/>
      <c r="BX284" s="530"/>
      <c r="BY284" s="578"/>
      <c r="BZ284" s="563"/>
      <c r="CA284" s="564"/>
      <c r="CB284" s="564"/>
      <c r="CC284" s="578"/>
      <c r="CD284" s="564"/>
      <c r="CE284" s="564"/>
      <c r="CF284" s="565"/>
      <c r="CG284" s="585"/>
      <c r="CH284" s="587"/>
      <c r="CI284" s="585"/>
      <c r="CJ284" s="586"/>
    </row>
    <row r="285" spans="2:88" ht="171.95" customHeight="1" x14ac:dyDescent="0.25">
      <c r="B285" s="1227"/>
      <c r="C285" s="610" t="s">
        <v>4492</v>
      </c>
      <c r="D285" s="601" t="s">
        <v>25</v>
      </c>
      <c r="E285" s="601" t="s">
        <v>26</v>
      </c>
      <c r="F285" s="601" t="s">
        <v>4751</v>
      </c>
      <c r="G285" s="601" t="s">
        <v>28</v>
      </c>
      <c r="H285" s="601" t="s">
        <v>28</v>
      </c>
      <c r="I285" s="601" t="s">
        <v>29</v>
      </c>
      <c r="J285" s="601" t="s">
        <v>47</v>
      </c>
      <c r="K285" s="602" t="s">
        <v>4752</v>
      </c>
      <c r="L285" s="593" t="s">
        <v>164</v>
      </c>
      <c r="M285" s="202" t="s">
        <v>4753</v>
      </c>
      <c r="N285" s="203" t="s">
        <v>4754</v>
      </c>
      <c r="O285" s="204">
        <v>0.5</v>
      </c>
      <c r="P285" s="205">
        <v>44214</v>
      </c>
      <c r="Q285" s="205">
        <v>44286</v>
      </c>
      <c r="R285" s="204">
        <v>1</v>
      </c>
      <c r="S285" s="204">
        <v>1</v>
      </c>
      <c r="T285" s="206">
        <v>1</v>
      </c>
      <c r="U285" s="204">
        <v>1</v>
      </c>
      <c r="V285" s="90">
        <v>1</v>
      </c>
      <c r="W285" s="13" t="s">
        <v>4755</v>
      </c>
      <c r="X285" s="55" t="s">
        <v>4756</v>
      </c>
      <c r="Y285" s="56" t="str">
        <f t="shared" si="37"/>
        <v>Terminado</v>
      </c>
      <c r="Z285" s="56" t="str">
        <f t="shared" si="38"/>
        <v>Terminado</v>
      </c>
      <c r="AA285" s="531" t="s">
        <v>4757</v>
      </c>
      <c r="AB285" s="596">
        <f>SUMPRODUCT(O285:O286,V285:V286)</f>
        <v>1</v>
      </c>
      <c r="AC285" s="597">
        <f>SUMPRODUCT(O285:O286,R285:R286)</f>
        <v>1</v>
      </c>
      <c r="AD285" s="536" t="str">
        <f>IF(AC285&lt;1%,"Sin iniciar",IF(AC285=100%,"Terminado","En gestión"))</f>
        <v>Terminado</v>
      </c>
      <c r="AE285" s="536" t="str">
        <f>IF(AB285&lt;1%,"Sin iniciar",IF(AB285=100%,"Terminado","En gestión"))</f>
        <v>Terminado</v>
      </c>
      <c r="AF285" s="56"/>
      <c r="AG285" s="583">
        <v>20693171</v>
      </c>
      <c r="AH285" s="583">
        <v>20693171</v>
      </c>
      <c r="AI285" s="583">
        <v>5173292.75</v>
      </c>
      <c r="AJ285" s="583">
        <v>0</v>
      </c>
      <c r="AK285" s="583">
        <v>0</v>
      </c>
      <c r="AL285" s="583">
        <v>0</v>
      </c>
      <c r="AM285" s="536" t="s">
        <v>2501</v>
      </c>
      <c r="AN285" s="605" t="s">
        <v>2502</v>
      </c>
      <c r="AO285" s="536" t="s">
        <v>541</v>
      </c>
      <c r="AP285" s="536" t="s">
        <v>2502</v>
      </c>
      <c r="AQ285" s="583">
        <f>+AH285</f>
        <v>20693171</v>
      </c>
      <c r="AR285" s="1163">
        <v>1</v>
      </c>
      <c r="AS285" s="13" t="s">
        <v>2434</v>
      </c>
      <c r="AT285" s="55"/>
      <c r="AU285" s="56" t="str">
        <f t="shared" si="40"/>
        <v>Terminado</v>
      </c>
      <c r="AV285" s="56" t="str">
        <f t="shared" si="41"/>
        <v>Terminado</v>
      </c>
      <c r="AW285" s="531" t="s">
        <v>2434</v>
      </c>
      <c r="AX285" s="599">
        <f>SUMPRODUCT(O285:O286,AR285:AR286)</f>
        <v>1</v>
      </c>
      <c r="AY285" s="600">
        <f>SUMPRODUCT(S285:S286,O285:O286)</f>
        <v>1</v>
      </c>
      <c r="AZ285" s="536" t="str">
        <f>IF(AY285&lt;1%,"Sin iniciar",IF(AY285=100%,"Terminado","En gestión"))</f>
        <v>Terminado</v>
      </c>
      <c r="BA285" s="536" t="str">
        <f>IF(AX285&lt;1%,"Sin iniciar",IF(AX285=100%,"Terminado","En gestión"))</f>
        <v>Terminado</v>
      </c>
      <c r="BB285" s="56"/>
      <c r="BC285" s="536" t="s">
        <v>366</v>
      </c>
      <c r="BD285" s="583">
        <v>20693171</v>
      </c>
      <c r="BE285" s="583">
        <v>20693171</v>
      </c>
      <c r="BF285" s="583">
        <v>10346585.5</v>
      </c>
      <c r="BG285" s="583">
        <v>0</v>
      </c>
      <c r="BH285" s="583"/>
      <c r="BI285" s="583"/>
      <c r="BJ285" s="536" t="s">
        <v>2501</v>
      </c>
      <c r="BK285" s="514"/>
      <c r="BL285" s="536" t="s">
        <v>541</v>
      </c>
      <c r="BM285" s="536" t="s">
        <v>2502</v>
      </c>
      <c r="BN285" s="583"/>
      <c r="BO285" s="347">
        <v>1</v>
      </c>
      <c r="BP285" s="11" t="s">
        <v>2434</v>
      </c>
      <c r="BQ285" s="11" t="s">
        <v>2434</v>
      </c>
      <c r="BR285" s="56" t="str">
        <f t="shared" si="44"/>
        <v>Terminado</v>
      </c>
      <c r="BS285" s="56" t="str">
        <f t="shared" si="43"/>
        <v>Terminado</v>
      </c>
      <c r="BT285" s="573" t="s">
        <v>4963</v>
      </c>
      <c r="BU285" s="561">
        <f>SUMPRODUCT(O285:O286,BO285:BO286)</f>
        <v>1</v>
      </c>
      <c r="BV285" s="562">
        <f>SUMPRODUCT(O285:O286,T285:T286)</f>
        <v>1</v>
      </c>
      <c r="BW285" s="536" t="str">
        <f>IF(BV285&lt;1%,"Sin iniciar",IF(BV285=100%,"Terminado","En gestión"))</f>
        <v>Terminado</v>
      </c>
      <c r="BX285" s="536" t="str">
        <f>IF(BU285&lt;1%,"Sin iniciar",IF(BU285=100%,"Terminado","En gestión"))</f>
        <v>Terminado</v>
      </c>
      <c r="BY285" s="573" t="s">
        <v>37</v>
      </c>
      <c r="BZ285" s="570" t="s">
        <v>366</v>
      </c>
      <c r="CA285" s="571">
        <v>20693171</v>
      </c>
      <c r="CB285" s="571">
        <v>20693171</v>
      </c>
      <c r="CC285" s="572">
        <v>15519878.25</v>
      </c>
      <c r="CD285" s="571">
        <f>BH285</f>
        <v>0</v>
      </c>
      <c r="CE285" s="571">
        <f>BI285</f>
        <v>0</v>
      </c>
      <c r="CF285" s="573"/>
      <c r="CG285" s="570" t="s">
        <v>2501</v>
      </c>
      <c r="CH285" s="570" t="s">
        <v>541</v>
      </c>
      <c r="CI285" s="570" t="s">
        <v>2502</v>
      </c>
      <c r="CJ285" s="570" t="s">
        <v>541</v>
      </c>
    </row>
    <row r="286" spans="2:88" ht="171.95" customHeight="1" x14ac:dyDescent="0.25">
      <c r="B286" s="1227"/>
      <c r="C286" s="610"/>
      <c r="D286" s="601"/>
      <c r="E286" s="601"/>
      <c r="F286" s="601"/>
      <c r="G286" s="601"/>
      <c r="H286" s="601"/>
      <c r="I286" s="601"/>
      <c r="J286" s="601"/>
      <c r="K286" s="602"/>
      <c r="L286" s="593"/>
      <c r="M286" s="202" t="s">
        <v>4758</v>
      </c>
      <c r="N286" s="203" t="s">
        <v>4759</v>
      </c>
      <c r="O286" s="204">
        <v>0.5</v>
      </c>
      <c r="P286" s="205">
        <v>44214</v>
      </c>
      <c r="Q286" s="205">
        <v>44286</v>
      </c>
      <c r="R286" s="204">
        <v>1</v>
      </c>
      <c r="S286" s="204">
        <v>1</v>
      </c>
      <c r="T286" s="206">
        <v>1</v>
      </c>
      <c r="U286" s="204">
        <v>1</v>
      </c>
      <c r="V286" s="90">
        <v>1</v>
      </c>
      <c r="W286" s="13" t="s">
        <v>4760</v>
      </c>
      <c r="X286" s="94" t="s">
        <v>4761</v>
      </c>
      <c r="Y286" s="56" t="str">
        <f t="shared" ref="Y286:Y324" si="46">IF(R286&lt;1%,"Sin iniciar",IF(R286=100%,"Terminado","En gestión"))</f>
        <v>Terminado</v>
      </c>
      <c r="Z286" s="56" t="str">
        <f t="shared" ref="Z286:Z324" si="47">IF(V286&lt;1%,"Sin iniciar",IF(V286=100%,"Terminado","En gestión"))</f>
        <v>Terminado</v>
      </c>
      <c r="AA286" s="531"/>
      <c r="AB286" s="596"/>
      <c r="AC286" s="597"/>
      <c r="AD286" s="536"/>
      <c r="AE286" s="536"/>
      <c r="AF286" s="56"/>
      <c r="AG286" s="583"/>
      <c r="AH286" s="583"/>
      <c r="AI286" s="583"/>
      <c r="AJ286" s="583"/>
      <c r="AK286" s="583"/>
      <c r="AL286" s="583"/>
      <c r="AM286" s="536"/>
      <c r="AN286" s="605"/>
      <c r="AO286" s="536"/>
      <c r="AP286" s="536"/>
      <c r="AQ286" s="583"/>
      <c r="AR286" s="1163">
        <v>1</v>
      </c>
      <c r="AS286" s="13" t="s">
        <v>2434</v>
      </c>
      <c r="AT286" s="94"/>
      <c r="AU286" s="56" t="str">
        <f t="shared" si="40"/>
        <v>Terminado</v>
      </c>
      <c r="AV286" s="56" t="str">
        <f t="shared" si="41"/>
        <v>Terminado</v>
      </c>
      <c r="AW286" s="531"/>
      <c r="AX286" s="599"/>
      <c r="AY286" s="600"/>
      <c r="AZ286" s="536"/>
      <c r="BA286" s="536"/>
      <c r="BB286" s="56"/>
      <c r="BC286" s="536"/>
      <c r="BD286" s="583"/>
      <c r="BE286" s="583"/>
      <c r="BF286" s="583"/>
      <c r="BG286" s="583"/>
      <c r="BH286" s="583"/>
      <c r="BI286" s="583"/>
      <c r="BJ286" s="536"/>
      <c r="BK286" s="516"/>
      <c r="BL286" s="536"/>
      <c r="BM286" s="536"/>
      <c r="BN286" s="583"/>
      <c r="BO286" s="347">
        <v>1</v>
      </c>
      <c r="BP286" s="11" t="s">
        <v>2434</v>
      </c>
      <c r="BQ286" s="11" t="s">
        <v>2434</v>
      </c>
      <c r="BR286" s="56" t="str">
        <f t="shared" si="44"/>
        <v>Terminado</v>
      </c>
      <c r="BS286" s="56" t="str">
        <f t="shared" si="43"/>
        <v>Terminado</v>
      </c>
      <c r="BT286" s="573"/>
      <c r="BU286" s="561"/>
      <c r="BV286" s="562"/>
      <c r="BW286" s="536"/>
      <c r="BX286" s="536"/>
      <c r="BY286" s="573"/>
      <c r="BZ286" s="570"/>
      <c r="CA286" s="571"/>
      <c r="CB286" s="571"/>
      <c r="CC286" s="573"/>
      <c r="CD286" s="571"/>
      <c r="CE286" s="571"/>
      <c r="CF286" s="573"/>
      <c r="CG286" s="570"/>
      <c r="CH286" s="570"/>
      <c r="CI286" s="570"/>
      <c r="CJ286" s="570"/>
    </row>
    <row r="287" spans="2:88" ht="171.95" customHeight="1" x14ac:dyDescent="0.25">
      <c r="B287" s="1227"/>
      <c r="C287" s="611" t="s">
        <v>4493</v>
      </c>
      <c r="D287" s="594" t="s">
        <v>4665</v>
      </c>
      <c r="E287" s="594" t="s">
        <v>160</v>
      </c>
      <c r="F287" s="594" t="s">
        <v>4762</v>
      </c>
      <c r="G287" s="594" t="s">
        <v>28</v>
      </c>
      <c r="H287" s="594" t="s">
        <v>28</v>
      </c>
      <c r="I287" s="594" t="s">
        <v>29</v>
      </c>
      <c r="J287" s="594" t="s">
        <v>47</v>
      </c>
      <c r="K287" s="595" t="s">
        <v>4763</v>
      </c>
      <c r="L287" s="592" t="s">
        <v>164</v>
      </c>
      <c r="M287" s="208" t="s">
        <v>4764</v>
      </c>
      <c r="N287" s="209" t="s">
        <v>4765</v>
      </c>
      <c r="O287" s="210">
        <v>0.25</v>
      </c>
      <c r="P287" s="211">
        <v>44200</v>
      </c>
      <c r="Q287" s="211">
        <v>44423</v>
      </c>
      <c r="R287" s="210">
        <v>0.4</v>
      </c>
      <c r="S287" s="210">
        <v>0.7</v>
      </c>
      <c r="T287" s="212">
        <v>1</v>
      </c>
      <c r="U287" s="210">
        <v>1</v>
      </c>
      <c r="V287" s="90">
        <v>0.4</v>
      </c>
      <c r="W287" s="62" t="s">
        <v>4766</v>
      </c>
      <c r="X287" s="63" t="s">
        <v>4767</v>
      </c>
      <c r="Y287" s="66" t="str">
        <f t="shared" si="46"/>
        <v>En gestión</v>
      </c>
      <c r="Z287" s="66" t="str">
        <f t="shared" si="47"/>
        <v>En gestión</v>
      </c>
      <c r="AA287" s="532" t="s">
        <v>4768</v>
      </c>
      <c r="AB287" s="604">
        <f>SUMPRODUCT(O287:O290,V287:V290)</f>
        <v>0.3</v>
      </c>
      <c r="AC287" s="597">
        <f>SUMPRODUCT(O287:O290,R287:R290)</f>
        <v>0.3</v>
      </c>
      <c r="AD287" s="530" t="str">
        <f>IF(AC287&lt;1%,"Sin iniciar",IF(AC287=100%,"Terminado","En gestión"))</f>
        <v>En gestión</v>
      </c>
      <c r="AE287" s="530" t="str">
        <f>IF(AB287&lt;1%,"Sin iniciar",IF(AB287=100%,"Terminado","En gestión"))</f>
        <v>En gestión</v>
      </c>
      <c r="AF287" s="66" t="s">
        <v>37</v>
      </c>
      <c r="AG287" s="579">
        <v>243468214.80000001</v>
      </c>
      <c r="AH287" s="579">
        <v>243468214.80000001</v>
      </c>
      <c r="AI287" s="579">
        <v>60867053.700000003</v>
      </c>
      <c r="AJ287" s="579">
        <v>77565180</v>
      </c>
      <c r="AK287" s="579">
        <v>77169351.000395834</v>
      </c>
      <c r="AL287" s="579">
        <v>852227.2</v>
      </c>
      <c r="AM287" s="592" t="s">
        <v>4435</v>
      </c>
      <c r="AN287" s="598" t="s">
        <v>4436</v>
      </c>
      <c r="AO287" s="521" t="s">
        <v>4769</v>
      </c>
      <c r="AP287" s="532" t="s">
        <v>4770</v>
      </c>
      <c r="AQ287" s="567">
        <f>+AK287</f>
        <v>77169351.000395834</v>
      </c>
      <c r="AR287" s="1163">
        <v>0.8</v>
      </c>
      <c r="AS287" s="62" t="s">
        <v>4771</v>
      </c>
      <c r="AT287" s="63" t="s">
        <v>4772</v>
      </c>
      <c r="AU287" s="66" t="str">
        <f t="shared" si="40"/>
        <v>En gestión</v>
      </c>
      <c r="AV287" s="66" t="str">
        <f t="shared" si="41"/>
        <v>En gestión</v>
      </c>
      <c r="AW287" s="532" t="s">
        <v>4773</v>
      </c>
      <c r="AX287" s="599">
        <f>SUMPRODUCT(O287:O290,AR287:AR290)</f>
        <v>0.65</v>
      </c>
      <c r="AY287" s="600">
        <f>SUMPRODUCT(S287:S290,O287:O290)</f>
        <v>0.57499999999999996</v>
      </c>
      <c r="AZ287" s="530" t="str">
        <f>IF(AY287&lt;1%,"Sin iniciar",IF(AY287=100%,"Terminado","En gestión"))</f>
        <v>En gestión</v>
      </c>
      <c r="BA287" s="530" t="str">
        <f>IF(AX287&lt;1%,"Sin iniciar",IF(AX287=100%,"Terminado","En gestión"))</f>
        <v>En gestión</v>
      </c>
      <c r="BB287" s="66"/>
      <c r="BC287" s="530" t="s">
        <v>4774</v>
      </c>
      <c r="BD287" s="579">
        <v>243468214.80000001</v>
      </c>
      <c r="BE287" s="579">
        <v>243468214.80000001</v>
      </c>
      <c r="BF287" s="579">
        <v>121734107.40000001</v>
      </c>
      <c r="BG287" s="579">
        <v>77565180</v>
      </c>
      <c r="BH287" s="579">
        <v>77169351.000395834</v>
      </c>
      <c r="BI287" s="579">
        <v>35021854</v>
      </c>
      <c r="BJ287" s="592" t="s">
        <v>4435</v>
      </c>
      <c r="BK287" s="517"/>
      <c r="BL287" s="521" t="s">
        <v>4769</v>
      </c>
      <c r="BM287" s="532" t="s">
        <v>4770</v>
      </c>
      <c r="BN287" s="567" t="s">
        <v>4964</v>
      </c>
      <c r="BO287" s="347">
        <v>1</v>
      </c>
      <c r="BP287" s="24" t="s">
        <v>4965</v>
      </c>
      <c r="BQ287" s="24" t="s">
        <v>4772</v>
      </c>
      <c r="BR287" s="66" t="str">
        <f t="shared" si="44"/>
        <v>Terminado</v>
      </c>
      <c r="BS287" s="66" t="str">
        <f t="shared" si="43"/>
        <v>Terminado</v>
      </c>
      <c r="BT287" s="560" t="s">
        <v>4966</v>
      </c>
      <c r="BU287" s="561">
        <f>SUMPRODUCT(O287:O290,BO287:BO290)</f>
        <v>0.875</v>
      </c>
      <c r="BV287" s="562">
        <f>SUMPRODUCT(O287:O290,T287:T290)</f>
        <v>0.875</v>
      </c>
      <c r="BW287" s="530" t="str">
        <f>IF(BV287&lt;1%,"Sin iniciar",IF(BV287=100%,"Terminado","En gestión"))</f>
        <v>En gestión</v>
      </c>
      <c r="BX287" s="530" t="str">
        <f>IF(BU287&lt;1%,"Sin iniciar",IF(BU287=100%,"Terminado","En gestión"))</f>
        <v>En gestión</v>
      </c>
      <c r="BY287" s="578" t="s">
        <v>37</v>
      </c>
      <c r="BZ287" s="578" t="s">
        <v>4774</v>
      </c>
      <c r="CA287" s="579">
        <v>243468214.80000001</v>
      </c>
      <c r="CB287" s="579">
        <v>243468214.80000001</v>
      </c>
      <c r="CC287" s="582">
        <v>182601161.10000002</v>
      </c>
      <c r="CD287" s="579">
        <f>BH287</f>
        <v>77169351.000395834</v>
      </c>
      <c r="CE287" s="565">
        <v>77169351.000395834</v>
      </c>
      <c r="CF287" s="565">
        <v>56646086</v>
      </c>
      <c r="CG287" s="580" t="s">
        <v>4435</v>
      </c>
      <c r="CH287" s="521" t="s">
        <v>4769</v>
      </c>
      <c r="CI287" s="560" t="s">
        <v>4770</v>
      </c>
      <c r="CJ287" s="567" t="s">
        <v>4964</v>
      </c>
    </row>
    <row r="288" spans="2:88" ht="171.95" customHeight="1" x14ac:dyDescent="0.25">
      <c r="B288" s="1227"/>
      <c r="C288" s="611"/>
      <c r="D288" s="594"/>
      <c r="E288" s="594"/>
      <c r="F288" s="594"/>
      <c r="G288" s="594"/>
      <c r="H288" s="594"/>
      <c r="I288" s="594"/>
      <c r="J288" s="594"/>
      <c r="K288" s="595"/>
      <c r="L288" s="592"/>
      <c r="M288" s="208" t="s">
        <v>4775</v>
      </c>
      <c r="N288" s="209" t="s">
        <v>4776</v>
      </c>
      <c r="O288" s="210">
        <v>0.25</v>
      </c>
      <c r="P288" s="211">
        <v>44200</v>
      </c>
      <c r="Q288" s="211">
        <v>44439</v>
      </c>
      <c r="R288" s="210">
        <v>0.3</v>
      </c>
      <c r="S288" s="210">
        <v>0.6</v>
      </c>
      <c r="T288" s="212">
        <v>1</v>
      </c>
      <c r="U288" s="210">
        <v>1</v>
      </c>
      <c r="V288" s="90">
        <v>0.3</v>
      </c>
      <c r="W288" s="62" t="s">
        <v>4777</v>
      </c>
      <c r="X288" s="63" t="s">
        <v>4778</v>
      </c>
      <c r="Y288" s="66" t="str">
        <f t="shared" si="46"/>
        <v>En gestión</v>
      </c>
      <c r="Z288" s="66" t="str">
        <f t="shared" si="47"/>
        <v>En gestión</v>
      </c>
      <c r="AA288" s="532"/>
      <c r="AB288" s="604"/>
      <c r="AC288" s="597"/>
      <c r="AD288" s="530"/>
      <c r="AE288" s="530"/>
      <c r="AF288" s="62" t="s">
        <v>37</v>
      </c>
      <c r="AG288" s="579"/>
      <c r="AH288" s="579"/>
      <c r="AI288" s="579"/>
      <c r="AJ288" s="579"/>
      <c r="AK288" s="579"/>
      <c r="AL288" s="579"/>
      <c r="AM288" s="592"/>
      <c r="AN288" s="598"/>
      <c r="AO288" s="521"/>
      <c r="AP288" s="532"/>
      <c r="AQ288" s="567"/>
      <c r="AR288" s="1163">
        <v>0.8</v>
      </c>
      <c r="AS288" s="62" t="s">
        <v>4779</v>
      </c>
      <c r="AT288" s="63" t="s">
        <v>4780</v>
      </c>
      <c r="AU288" s="66" t="str">
        <f t="shared" ref="AU288:AU324" si="48">IF(S288&lt;1%,"Sin iniciar",IF(S288=100%,"Terminado","En gestión"))</f>
        <v>En gestión</v>
      </c>
      <c r="AV288" s="66" t="str">
        <f t="shared" ref="AV288:AV324" si="49">IF(AR288&lt;1%,"Sin iniciar",IF(AR288=100%,"Terminado","En gestión"))</f>
        <v>En gestión</v>
      </c>
      <c r="AW288" s="532"/>
      <c r="AX288" s="599"/>
      <c r="AY288" s="600"/>
      <c r="AZ288" s="530"/>
      <c r="BA288" s="530"/>
      <c r="BB288" s="62"/>
      <c r="BC288" s="530"/>
      <c r="BD288" s="579"/>
      <c r="BE288" s="579"/>
      <c r="BF288" s="579"/>
      <c r="BG288" s="579"/>
      <c r="BH288" s="579"/>
      <c r="BI288" s="579"/>
      <c r="BJ288" s="592"/>
      <c r="BK288" s="519"/>
      <c r="BL288" s="521"/>
      <c r="BM288" s="532"/>
      <c r="BN288" s="567"/>
      <c r="BO288" s="347">
        <v>1</v>
      </c>
      <c r="BP288" s="24" t="s">
        <v>4967</v>
      </c>
      <c r="BQ288" s="24" t="s">
        <v>4780</v>
      </c>
      <c r="BR288" s="66" t="str">
        <f t="shared" si="44"/>
        <v>Terminado</v>
      </c>
      <c r="BS288" s="66" t="str">
        <f t="shared" si="43"/>
        <v>Terminado</v>
      </c>
      <c r="BT288" s="578"/>
      <c r="BU288" s="561"/>
      <c r="BV288" s="562"/>
      <c r="BW288" s="530"/>
      <c r="BX288" s="530"/>
      <c r="BY288" s="578"/>
      <c r="BZ288" s="578"/>
      <c r="CA288" s="579"/>
      <c r="CB288" s="579"/>
      <c r="CC288" s="578"/>
      <c r="CD288" s="579"/>
      <c r="CE288" s="565"/>
      <c r="CF288" s="565"/>
      <c r="CG288" s="580"/>
      <c r="CH288" s="521"/>
      <c r="CI288" s="560"/>
      <c r="CJ288" s="567"/>
    </row>
    <row r="289" spans="2:88" ht="171.95" customHeight="1" x14ac:dyDescent="0.25">
      <c r="B289" s="1227"/>
      <c r="C289" s="611"/>
      <c r="D289" s="594"/>
      <c r="E289" s="594"/>
      <c r="F289" s="594"/>
      <c r="G289" s="594"/>
      <c r="H289" s="594"/>
      <c r="I289" s="594"/>
      <c r="J289" s="594"/>
      <c r="K289" s="595"/>
      <c r="L289" s="592"/>
      <c r="M289" s="208" t="s">
        <v>4781</v>
      </c>
      <c r="N289" s="209" t="s">
        <v>4782</v>
      </c>
      <c r="O289" s="210">
        <v>0.25</v>
      </c>
      <c r="P289" s="211">
        <v>44200</v>
      </c>
      <c r="Q289" s="211">
        <v>44545</v>
      </c>
      <c r="R289" s="210">
        <v>0.25</v>
      </c>
      <c r="S289" s="210">
        <v>0.5</v>
      </c>
      <c r="T289" s="212">
        <v>0.75</v>
      </c>
      <c r="U289" s="210">
        <v>1</v>
      </c>
      <c r="V289" s="90">
        <v>0.25</v>
      </c>
      <c r="W289" s="62" t="s">
        <v>4783</v>
      </c>
      <c r="X289" s="63"/>
      <c r="Y289" s="66" t="str">
        <f t="shared" si="46"/>
        <v>En gestión</v>
      </c>
      <c r="Z289" s="66" t="str">
        <f t="shared" si="47"/>
        <v>En gestión</v>
      </c>
      <c r="AA289" s="532"/>
      <c r="AB289" s="604"/>
      <c r="AC289" s="597"/>
      <c r="AD289" s="530"/>
      <c r="AE289" s="530"/>
      <c r="AF289" s="62" t="s">
        <v>37</v>
      </c>
      <c r="AG289" s="579"/>
      <c r="AH289" s="579"/>
      <c r="AI289" s="579"/>
      <c r="AJ289" s="579">
        <v>20377767.600000001</v>
      </c>
      <c r="AK289" s="579">
        <v>27697817.600000001</v>
      </c>
      <c r="AL289" s="579">
        <v>852227.2</v>
      </c>
      <c r="AM289" s="592"/>
      <c r="AN289" s="598"/>
      <c r="AO289" s="521" t="s">
        <v>4470</v>
      </c>
      <c r="AP289" s="532" t="s">
        <v>2479</v>
      </c>
      <c r="AQ289" s="567">
        <f>+AK289</f>
        <v>27697817.600000001</v>
      </c>
      <c r="AR289" s="1163">
        <v>0.5</v>
      </c>
      <c r="AS289" s="62" t="s">
        <v>4784</v>
      </c>
      <c r="AT289" s="63"/>
      <c r="AU289" s="66" t="str">
        <f t="shared" si="48"/>
        <v>En gestión</v>
      </c>
      <c r="AV289" s="66" t="str">
        <f t="shared" si="49"/>
        <v>En gestión</v>
      </c>
      <c r="AW289" s="532"/>
      <c r="AX289" s="599"/>
      <c r="AY289" s="600"/>
      <c r="AZ289" s="530"/>
      <c r="BA289" s="530"/>
      <c r="BB289" s="62"/>
      <c r="BC289" s="530"/>
      <c r="BD289" s="579"/>
      <c r="BE289" s="579"/>
      <c r="BF289" s="579"/>
      <c r="BG289" s="579"/>
      <c r="BH289" s="579">
        <v>27262817.513</v>
      </c>
      <c r="BI289" s="579">
        <v>8483316.3733333331</v>
      </c>
      <c r="BJ289" s="592"/>
      <c r="BK289" s="519"/>
      <c r="BL289" s="521" t="s">
        <v>4470</v>
      </c>
      <c r="BM289" s="532" t="s">
        <v>2479</v>
      </c>
      <c r="BN289" s="567" t="s">
        <v>4474</v>
      </c>
      <c r="BO289" s="347">
        <v>0.75</v>
      </c>
      <c r="BP289" s="24" t="s">
        <v>4784</v>
      </c>
      <c r="BQ289" s="24" t="s">
        <v>5254</v>
      </c>
      <c r="BR289" s="66" t="str">
        <f t="shared" si="44"/>
        <v>Terminado</v>
      </c>
      <c r="BS289" s="66" t="str">
        <f t="shared" ref="BS289:BS324" si="50">IF(BO289&lt;1%,"Sin iniciar",IF(BO289=100%,"Terminado","En gestión"))</f>
        <v>En gestión</v>
      </c>
      <c r="BT289" s="578"/>
      <c r="BU289" s="561"/>
      <c r="BV289" s="562"/>
      <c r="BW289" s="530"/>
      <c r="BX289" s="530"/>
      <c r="BY289" s="578"/>
      <c r="BZ289" s="578"/>
      <c r="CA289" s="579"/>
      <c r="CB289" s="579"/>
      <c r="CC289" s="578"/>
      <c r="CD289" s="579">
        <v>27262817.513</v>
      </c>
      <c r="CE289" s="565">
        <v>29367140.072999999</v>
      </c>
      <c r="CF289" s="565">
        <v>19100813.120000001</v>
      </c>
      <c r="CG289" s="580"/>
      <c r="CH289" s="521" t="s">
        <v>4470</v>
      </c>
      <c r="CI289" s="560" t="s">
        <v>2479</v>
      </c>
      <c r="CJ289" s="567" t="s">
        <v>4474</v>
      </c>
    </row>
    <row r="290" spans="2:88" ht="171.95" customHeight="1" x14ac:dyDescent="0.25">
      <c r="B290" s="1227"/>
      <c r="C290" s="611"/>
      <c r="D290" s="594"/>
      <c r="E290" s="594"/>
      <c r="F290" s="594"/>
      <c r="G290" s="594"/>
      <c r="H290" s="594"/>
      <c r="I290" s="594"/>
      <c r="J290" s="594"/>
      <c r="K290" s="595"/>
      <c r="L290" s="592"/>
      <c r="M290" s="208" t="s">
        <v>4785</v>
      </c>
      <c r="N290" s="209" t="s">
        <v>4786</v>
      </c>
      <c r="O290" s="210">
        <v>0.25</v>
      </c>
      <c r="P290" s="211">
        <v>44200</v>
      </c>
      <c r="Q290" s="211">
        <v>44545</v>
      </c>
      <c r="R290" s="210">
        <v>0.25</v>
      </c>
      <c r="S290" s="210">
        <v>0.5</v>
      </c>
      <c r="T290" s="212">
        <v>0.75</v>
      </c>
      <c r="U290" s="210">
        <v>1</v>
      </c>
      <c r="V290" s="90">
        <v>0.25</v>
      </c>
      <c r="W290" s="62" t="s">
        <v>4787</v>
      </c>
      <c r="X290" s="63" t="s">
        <v>4788</v>
      </c>
      <c r="Y290" s="66" t="str">
        <f t="shared" si="46"/>
        <v>En gestión</v>
      </c>
      <c r="Z290" s="66" t="str">
        <f t="shared" si="47"/>
        <v>En gestión</v>
      </c>
      <c r="AA290" s="532"/>
      <c r="AB290" s="604"/>
      <c r="AC290" s="597"/>
      <c r="AD290" s="530"/>
      <c r="AE290" s="530"/>
      <c r="AF290" s="66" t="s">
        <v>37</v>
      </c>
      <c r="AG290" s="579"/>
      <c r="AH290" s="579"/>
      <c r="AI290" s="579"/>
      <c r="AJ290" s="579"/>
      <c r="AK290" s="579"/>
      <c r="AL290" s="579"/>
      <c r="AM290" s="592"/>
      <c r="AN290" s="598"/>
      <c r="AO290" s="521"/>
      <c r="AP290" s="532"/>
      <c r="AQ290" s="567"/>
      <c r="AR290" s="1163">
        <v>0.5</v>
      </c>
      <c r="AS290" s="62" t="s">
        <v>4789</v>
      </c>
      <c r="AT290" s="63" t="s">
        <v>4790</v>
      </c>
      <c r="AU290" s="66" t="str">
        <f t="shared" si="48"/>
        <v>En gestión</v>
      </c>
      <c r="AV290" s="66" t="str">
        <f t="shared" si="49"/>
        <v>En gestión</v>
      </c>
      <c r="AW290" s="532"/>
      <c r="AX290" s="599"/>
      <c r="AY290" s="600"/>
      <c r="AZ290" s="530"/>
      <c r="BA290" s="530"/>
      <c r="BB290" s="66"/>
      <c r="BC290" s="530"/>
      <c r="BD290" s="579"/>
      <c r="BE290" s="579"/>
      <c r="BF290" s="579"/>
      <c r="BG290" s="579"/>
      <c r="BH290" s="579"/>
      <c r="BI290" s="579"/>
      <c r="BJ290" s="592"/>
      <c r="BK290" s="518"/>
      <c r="BL290" s="521"/>
      <c r="BM290" s="532"/>
      <c r="BN290" s="567"/>
      <c r="BO290" s="347">
        <v>0.75</v>
      </c>
      <c r="BP290" s="24" t="s">
        <v>5253</v>
      </c>
      <c r="BQ290" s="24" t="s">
        <v>5246</v>
      </c>
      <c r="BR290" s="66" t="str">
        <f t="shared" si="44"/>
        <v>Terminado</v>
      </c>
      <c r="BS290" s="66" t="str">
        <f t="shared" si="50"/>
        <v>En gestión</v>
      </c>
      <c r="BT290" s="578"/>
      <c r="BU290" s="561"/>
      <c r="BV290" s="562"/>
      <c r="BW290" s="530"/>
      <c r="BX290" s="530"/>
      <c r="BY290" s="578"/>
      <c r="BZ290" s="578"/>
      <c r="CA290" s="579"/>
      <c r="CB290" s="579"/>
      <c r="CC290" s="578"/>
      <c r="CD290" s="579"/>
      <c r="CE290" s="565"/>
      <c r="CF290" s="565"/>
      <c r="CG290" s="580"/>
      <c r="CH290" s="521"/>
      <c r="CI290" s="560"/>
      <c r="CJ290" s="567"/>
    </row>
    <row r="291" spans="2:88" ht="171.95" customHeight="1" x14ac:dyDescent="0.25">
      <c r="B291" s="1227"/>
      <c r="C291" s="610" t="s">
        <v>4494</v>
      </c>
      <c r="D291" s="601" t="s">
        <v>4665</v>
      </c>
      <c r="E291" s="601" t="s">
        <v>160</v>
      </c>
      <c r="F291" s="601" t="s">
        <v>4791</v>
      </c>
      <c r="G291" s="601" t="s">
        <v>235</v>
      </c>
      <c r="H291" s="601" t="s">
        <v>28</v>
      </c>
      <c r="I291" s="204" t="s">
        <v>29</v>
      </c>
      <c r="J291" s="601" t="s">
        <v>47</v>
      </c>
      <c r="K291" s="602" t="s">
        <v>4792</v>
      </c>
      <c r="L291" s="593" t="s">
        <v>164</v>
      </c>
      <c r="M291" s="202" t="s">
        <v>4793</v>
      </c>
      <c r="N291" s="203" t="s">
        <v>4794</v>
      </c>
      <c r="O291" s="204">
        <v>0.5</v>
      </c>
      <c r="P291" s="205">
        <v>44200</v>
      </c>
      <c r="Q291" s="205">
        <v>44545</v>
      </c>
      <c r="R291" s="204">
        <v>0.2</v>
      </c>
      <c r="S291" s="204">
        <v>0.4</v>
      </c>
      <c r="T291" s="206">
        <v>0.7</v>
      </c>
      <c r="U291" s="204">
        <v>1</v>
      </c>
      <c r="V291" s="90">
        <v>0.1</v>
      </c>
      <c r="W291" s="13" t="s">
        <v>4795</v>
      </c>
      <c r="X291" s="94"/>
      <c r="Y291" s="56" t="str">
        <f t="shared" si="46"/>
        <v>En gestión</v>
      </c>
      <c r="Z291" s="56" t="str">
        <f t="shared" si="47"/>
        <v>En gestión</v>
      </c>
      <c r="AA291" s="531" t="s">
        <v>4796</v>
      </c>
      <c r="AB291" s="596">
        <f>SUMPRODUCT(O291:O292,V291:V292)</f>
        <v>0.17499999999999999</v>
      </c>
      <c r="AC291" s="597">
        <f>SUMPRODUCT(O291:O292,R291:R292)</f>
        <v>0.22500000000000001</v>
      </c>
      <c r="AD291" s="536" t="str">
        <f>IF(AC291&lt;1%,"Sin iniciar",IF(AC291=100%,"Terminado","En gestión"))</f>
        <v>En gestión</v>
      </c>
      <c r="AE291" s="536" t="str">
        <f>IF(AB291&lt;1%,"Sin iniciar",IF(AB291=100%,"Terminado","En gestión"))</f>
        <v>En gestión</v>
      </c>
      <c r="AF291" s="56" t="s">
        <v>37</v>
      </c>
      <c r="AG291" s="583">
        <v>511692349</v>
      </c>
      <c r="AH291" s="583">
        <v>511692349</v>
      </c>
      <c r="AI291" s="583">
        <v>127923087.25</v>
      </c>
      <c r="AJ291" s="583">
        <f>AQ291</f>
        <v>44689434.00022269</v>
      </c>
      <c r="AK291" s="583">
        <v>44689434.00022269</v>
      </c>
      <c r="AL291" s="583">
        <v>7893645.333333333</v>
      </c>
      <c r="AM291" s="593" t="s">
        <v>4435</v>
      </c>
      <c r="AN291" s="603" t="s">
        <v>4436</v>
      </c>
      <c r="AO291" s="520" t="s">
        <v>4769</v>
      </c>
      <c r="AP291" s="531" t="s">
        <v>4770</v>
      </c>
      <c r="AQ291" s="568">
        <f>+AK291</f>
        <v>44689434.00022269</v>
      </c>
      <c r="AR291" s="1163">
        <v>0.4</v>
      </c>
      <c r="AS291" s="13" t="s">
        <v>4797</v>
      </c>
      <c r="AT291" s="94"/>
      <c r="AU291" s="56" t="str">
        <f t="shared" si="48"/>
        <v>En gestión</v>
      </c>
      <c r="AV291" s="56" t="str">
        <f t="shared" si="49"/>
        <v>En gestión</v>
      </c>
      <c r="AW291" s="531" t="s">
        <v>4798</v>
      </c>
      <c r="AX291" s="599">
        <f>SUMPRODUCT(O291:O292,AR291:AR292)</f>
        <v>0.45</v>
      </c>
      <c r="AY291" s="600">
        <f>SUMPRODUCT(S291:S292,O291:O292)</f>
        <v>0.45</v>
      </c>
      <c r="AZ291" s="536" t="str">
        <f>IF(AY291&lt;1%,"Sin iniciar",IF(AY291=100%,"Terminado","En gestión"))</f>
        <v>En gestión</v>
      </c>
      <c r="BA291" s="536" t="str">
        <f>IF(AX291&lt;1%,"Sin iniciar",IF(AX291=100%,"Terminado","En gestión"))</f>
        <v>En gestión</v>
      </c>
      <c r="BB291" s="56"/>
      <c r="BC291" s="536" t="s">
        <v>4774</v>
      </c>
      <c r="BD291" s="583">
        <v>511692349</v>
      </c>
      <c r="BE291" s="583">
        <v>511692349</v>
      </c>
      <c r="BF291" s="583">
        <v>255846174.5</v>
      </c>
      <c r="BG291" s="583">
        <v>44689434.00022269</v>
      </c>
      <c r="BH291" s="583">
        <v>44689434.00022269</v>
      </c>
      <c r="BI291" s="583">
        <v>20278502.666666668</v>
      </c>
      <c r="BJ291" s="593" t="s">
        <v>4435</v>
      </c>
      <c r="BK291" s="520"/>
      <c r="BL291" s="520" t="s">
        <v>4769</v>
      </c>
      <c r="BM291" s="531" t="s">
        <v>4770</v>
      </c>
      <c r="BN291" s="568" t="s">
        <v>4964</v>
      </c>
      <c r="BO291" s="347">
        <v>0.75</v>
      </c>
      <c r="BP291" s="11" t="s">
        <v>4795</v>
      </c>
      <c r="BQ291" s="12" t="s">
        <v>4968</v>
      </c>
      <c r="BR291" s="56" t="str">
        <f t="shared" si="44"/>
        <v>Terminado</v>
      </c>
      <c r="BS291" s="56" t="str">
        <f t="shared" si="50"/>
        <v>En gestión</v>
      </c>
      <c r="BT291" s="581" t="s">
        <v>4969</v>
      </c>
      <c r="BU291" s="561">
        <f>SUMPRODUCT(O291:O292,BO291:BO292)</f>
        <v>0.75</v>
      </c>
      <c r="BV291" s="562">
        <f>SUMPRODUCT(O291:O292,T291:T292)</f>
        <v>0.72499999999999998</v>
      </c>
      <c r="BW291" s="536" t="str">
        <f>IF(BV291&lt;1%,"Sin iniciar",IF(BV291=100%,"Terminado","En gestión"))</f>
        <v>En gestión</v>
      </c>
      <c r="BX291" s="536" t="str">
        <f>IF(BU291&lt;1%,"Sin iniciar",IF(BU291=100%,"Terminado","En gestión"))</f>
        <v>En gestión</v>
      </c>
      <c r="BY291" s="573" t="s">
        <v>37</v>
      </c>
      <c r="BZ291" s="573" t="s">
        <v>4774</v>
      </c>
      <c r="CA291" s="583">
        <v>511692349</v>
      </c>
      <c r="CB291" s="583">
        <v>511692349</v>
      </c>
      <c r="CC291" s="572">
        <v>383769261.75</v>
      </c>
      <c r="CD291" s="583">
        <f>BH291</f>
        <v>44689434.00022269</v>
      </c>
      <c r="CE291" s="574">
        <v>44689433.00022269</v>
      </c>
      <c r="CF291" s="574">
        <v>32799457.333333332</v>
      </c>
      <c r="CG291" s="584" t="s">
        <v>4435</v>
      </c>
      <c r="CH291" s="520" t="s">
        <v>4769</v>
      </c>
      <c r="CI291" s="581" t="s">
        <v>4770</v>
      </c>
      <c r="CJ291" s="568" t="s">
        <v>4964</v>
      </c>
    </row>
    <row r="292" spans="2:88" ht="171.95" customHeight="1" x14ac:dyDescent="0.25">
      <c r="B292" s="1227"/>
      <c r="C292" s="610"/>
      <c r="D292" s="601"/>
      <c r="E292" s="601"/>
      <c r="F292" s="601"/>
      <c r="G292" s="601"/>
      <c r="H292" s="601"/>
      <c r="I292" s="204" t="s">
        <v>162</v>
      </c>
      <c r="J292" s="601"/>
      <c r="K292" s="602"/>
      <c r="L292" s="593"/>
      <c r="M292" s="202" t="s">
        <v>4799</v>
      </c>
      <c r="N292" s="203" t="s">
        <v>4800</v>
      </c>
      <c r="O292" s="204">
        <v>0.5</v>
      </c>
      <c r="P292" s="205">
        <v>44200</v>
      </c>
      <c r="Q292" s="205">
        <v>44545</v>
      </c>
      <c r="R292" s="204">
        <v>0.25</v>
      </c>
      <c r="S292" s="204">
        <v>0.5</v>
      </c>
      <c r="T292" s="206">
        <v>0.75</v>
      </c>
      <c r="U292" s="204">
        <v>1</v>
      </c>
      <c r="V292" s="90">
        <v>0.25</v>
      </c>
      <c r="W292" s="13" t="s">
        <v>4801</v>
      </c>
      <c r="X292" s="55" t="s">
        <v>4802</v>
      </c>
      <c r="Y292" s="56" t="str">
        <f t="shared" si="46"/>
        <v>En gestión</v>
      </c>
      <c r="Z292" s="56" t="str">
        <f t="shared" si="47"/>
        <v>En gestión</v>
      </c>
      <c r="AA292" s="531"/>
      <c r="AB292" s="596"/>
      <c r="AC292" s="597"/>
      <c r="AD292" s="536"/>
      <c r="AE292" s="536"/>
      <c r="AF292" s="56" t="s">
        <v>1043</v>
      </c>
      <c r="AG292" s="583"/>
      <c r="AH292" s="583"/>
      <c r="AI292" s="583"/>
      <c r="AJ292" s="583"/>
      <c r="AK292" s="583"/>
      <c r="AL292" s="583"/>
      <c r="AM292" s="593"/>
      <c r="AN292" s="603"/>
      <c r="AO292" s="520"/>
      <c r="AP292" s="531"/>
      <c r="AQ292" s="568"/>
      <c r="AR292" s="1163">
        <v>0.5</v>
      </c>
      <c r="AS292" s="13" t="s">
        <v>4803</v>
      </c>
      <c r="AT292" s="55" t="s">
        <v>4804</v>
      </c>
      <c r="AU292" s="56" t="str">
        <f t="shared" si="48"/>
        <v>En gestión</v>
      </c>
      <c r="AV292" s="56" t="str">
        <f t="shared" si="49"/>
        <v>En gestión</v>
      </c>
      <c r="AW292" s="531"/>
      <c r="AX292" s="599"/>
      <c r="AY292" s="600"/>
      <c r="AZ292" s="536"/>
      <c r="BA292" s="536"/>
      <c r="BB292" s="56"/>
      <c r="BC292" s="536"/>
      <c r="BD292" s="583"/>
      <c r="BE292" s="583"/>
      <c r="BF292" s="583"/>
      <c r="BG292" s="583"/>
      <c r="BH292" s="583"/>
      <c r="BI292" s="583"/>
      <c r="BJ292" s="593"/>
      <c r="BK292" s="520"/>
      <c r="BL292" s="520"/>
      <c r="BM292" s="531"/>
      <c r="BN292" s="568"/>
      <c r="BO292" s="347">
        <v>0.75</v>
      </c>
      <c r="BP292" s="11" t="s">
        <v>4970</v>
      </c>
      <c r="BQ292" s="11" t="s">
        <v>5252</v>
      </c>
      <c r="BR292" s="56" t="str">
        <f t="shared" si="44"/>
        <v>Terminado</v>
      </c>
      <c r="BS292" s="56" t="str">
        <f t="shared" si="50"/>
        <v>En gestión</v>
      </c>
      <c r="BT292" s="581"/>
      <c r="BU292" s="561"/>
      <c r="BV292" s="562"/>
      <c r="BW292" s="536"/>
      <c r="BX292" s="536"/>
      <c r="BY292" s="573"/>
      <c r="BZ292" s="573"/>
      <c r="CA292" s="583"/>
      <c r="CB292" s="583"/>
      <c r="CC292" s="573"/>
      <c r="CD292" s="583"/>
      <c r="CE292" s="574"/>
      <c r="CF292" s="574"/>
      <c r="CG292" s="584"/>
      <c r="CH292" s="520"/>
      <c r="CI292" s="581"/>
      <c r="CJ292" s="568"/>
    </row>
    <row r="293" spans="2:88" ht="171.95" customHeight="1" x14ac:dyDescent="0.25">
      <c r="B293" s="1227"/>
      <c r="C293" s="611" t="s">
        <v>4495</v>
      </c>
      <c r="D293" s="594" t="s">
        <v>25</v>
      </c>
      <c r="E293" s="594" t="s">
        <v>160</v>
      </c>
      <c r="F293" s="594" t="s">
        <v>4762</v>
      </c>
      <c r="G293" s="594" t="s">
        <v>28</v>
      </c>
      <c r="H293" s="594" t="s">
        <v>28</v>
      </c>
      <c r="I293" s="594" t="s">
        <v>29</v>
      </c>
      <c r="J293" s="594" t="s">
        <v>47</v>
      </c>
      <c r="K293" s="595" t="s">
        <v>4805</v>
      </c>
      <c r="L293" s="592" t="s">
        <v>164</v>
      </c>
      <c r="M293" s="208" t="s">
        <v>4806</v>
      </c>
      <c r="N293" s="209" t="s">
        <v>4807</v>
      </c>
      <c r="O293" s="210">
        <v>0.7</v>
      </c>
      <c r="P293" s="211">
        <v>44200</v>
      </c>
      <c r="Q293" s="211">
        <v>44545</v>
      </c>
      <c r="R293" s="210">
        <v>0.25</v>
      </c>
      <c r="S293" s="210">
        <v>0.5</v>
      </c>
      <c r="T293" s="212">
        <v>0.75</v>
      </c>
      <c r="U293" s="210">
        <v>1</v>
      </c>
      <c r="V293" s="90">
        <v>0.75</v>
      </c>
      <c r="W293" s="62" t="s">
        <v>4808</v>
      </c>
      <c r="X293" s="63" t="s">
        <v>4809</v>
      </c>
      <c r="Y293" s="66" t="str">
        <f t="shared" si="46"/>
        <v>En gestión</v>
      </c>
      <c r="Z293" s="66" t="str">
        <f t="shared" si="47"/>
        <v>En gestión</v>
      </c>
      <c r="AA293" s="532" t="s">
        <v>4810</v>
      </c>
      <c r="AB293" s="596">
        <f>SUMPRODUCT(O293:O294,V293:V294)</f>
        <v>0.64499999999999991</v>
      </c>
      <c r="AC293" s="597">
        <f>SUMPRODUCT(O293:O294,R293:R294)</f>
        <v>0.25</v>
      </c>
      <c r="AD293" s="530" t="str">
        <f>IF(AC293&lt;1%,"Sin iniciar",IF(AC293=100%,"Terminado","En gestión"))</f>
        <v>En gestión</v>
      </c>
      <c r="AE293" s="530" t="str">
        <f>IF(AB293&lt;1%,"Sin iniciar",IF(AB293=100%,"Terminado","En gestión"))</f>
        <v>En gestión</v>
      </c>
      <c r="AF293" s="66" t="s">
        <v>37</v>
      </c>
      <c r="AG293" s="579">
        <v>88358940</v>
      </c>
      <c r="AH293" s="579">
        <v>88358940</v>
      </c>
      <c r="AI293" s="579">
        <v>22089735</v>
      </c>
      <c r="AJ293" s="579">
        <f>AQ293</f>
        <v>42936606</v>
      </c>
      <c r="AK293" s="579">
        <v>42936606</v>
      </c>
      <c r="AL293" s="579">
        <v>0</v>
      </c>
      <c r="AM293" s="592" t="s">
        <v>4435</v>
      </c>
      <c r="AN293" s="598" t="s">
        <v>4436</v>
      </c>
      <c r="AO293" s="521" t="s">
        <v>4769</v>
      </c>
      <c r="AP293" s="532" t="s">
        <v>4770</v>
      </c>
      <c r="AQ293" s="567">
        <f>+AK293</f>
        <v>42936606</v>
      </c>
      <c r="AR293" s="1163">
        <v>1</v>
      </c>
      <c r="AS293" s="62" t="s">
        <v>4811</v>
      </c>
      <c r="AT293" s="63" t="s">
        <v>4812</v>
      </c>
      <c r="AU293" s="66" t="str">
        <f t="shared" si="48"/>
        <v>En gestión</v>
      </c>
      <c r="AV293" s="66" t="str">
        <f t="shared" si="49"/>
        <v>Terminado</v>
      </c>
      <c r="AW293" s="532" t="s">
        <v>4813</v>
      </c>
      <c r="AX293" s="599">
        <f>SUMPRODUCT(O293:O294,AR293:AR294)</f>
        <v>0.90999999999999992</v>
      </c>
      <c r="AY293" s="600">
        <f>SUMPRODUCT(S293:S294,O293:O294)</f>
        <v>0.5</v>
      </c>
      <c r="AZ293" s="530" t="str">
        <f>IF(AY293&lt;1%,"Sin iniciar",IF(AY293=100%,"Terminado","En gestión"))</f>
        <v>En gestión</v>
      </c>
      <c r="BA293" s="530" t="str">
        <f>IF(AX293&lt;1%,"Sin iniciar",IF(AX293=100%,"Terminado","En gestión"))</f>
        <v>En gestión</v>
      </c>
      <c r="BB293" s="66"/>
      <c r="BC293" s="530" t="s">
        <v>4774</v>
      </c>
      <c r="BD293" s="579">
        <v>88358940</v>
      </c>
      <c r="BE293" s="579">
        <v>88358940</v>
      </c>
      <c r="BF293" s="579">
        <v>44179470</v>
      </c>
      <c r="BG293" s="579">
        <v>42936606</v>
      </c>
      <c r="BH293" s="579">
        <v>47707340</v>
      </c>
      <c r="BI293" s="579">
        <v>14312202</v>
      </c>
      <c r="BJ293" s="592" t="s">
        <v>4435</v>
      </c>
      <c r="BK293" s="521"/>
      <c r="BL293" s="521" t="s">
        <v>4769</v>
      </c>
      <c r="BM293" s="532" t="s">
        <v>4770</v>
      </c>
      <c r="BN293" s="567" t="s">
        <v>4964</v>
      </c>
      <c r="BO293" s="347">
        <v>1</v>
      </c>
      <c r="BP293" s="24" t="s">
        <v>4971</v>
      </c>
      <c r="BQ293" s="24" t="s">
        <v>4812</v>
      </c>
      <c r="BR293" s="66" t="str">
        <f t="shared" si="44"/>
        <v>Terminado</v>
      </c>
      <c r="BS293" s="66" t="str">
        <f t="shared" si="50"/>
        <v>Terminado</v>
      </c>
      <c r="BT293" s="560" t="s">
        <v>4972</v>
      </c>
      <c r="BU293" s="561">
        <f>SUMPRODUCT(O293:O294,BO293:BO294)</f>
        <v>1</v>
      </c>
      <c r="BV293" s="562">
        <f>SUMPRODUCT(O293:O294,T293:T294)</f>
        <v>0.74999999999999989</v>
      </c>
      <c r="BW293" s="530" t="str">
        <f>IF(BV293&lt;1%,"Sin iniciar",IF(BV293=100%,"Terminado","En gestión"))</f>
        <v>En gestión</v>
      </c>
      <c r="BX293" s="530" t="str">
        <f>IF(BU293&lt;1%,"Sin iniciar",IF(BU293=100%,"Terminado","En gestión"))</f>
        <v>Terminado</v>
      </c>
      <c r="BY293" s="578" t="s">
        <v>37</v>
      </c>
      <c r="BZ293" s="578" t="s">
        <v>4774</v>
      </c>
      <c r="CA293" s="579">
        <v>88358940</v>
      </c>
      <c r="CB293" s="579">
        <v>88358940</v>
      </c>
      <c r="CC293" s="582">
        <v>66269205</v>
      </c>
      <c r="CD293" s="579">
        <f>BH293</f>
        <v>47707340</v>
      </c>
      <c r="CE293" s="565">
        <v>47707340</v>
      </c>
      <c r="CF293" s="565">
        <v>28942452.933333334</v>
      </c>
      <c r="CG293" s="580" t="s">
        <v>4435</v>
      </c>
      <c r="CH293" s="521" t="s">
        <v>4769</v>
      </c>
      <c r="CI293" s="560" t="s">
        <v>4770</v>
      </c>
      <c r="CJ293" s="567" t="s">
        <v>4964</v>
      </c>
    </row>
    <row r="294" spans="2:88" ht="171.95" customHeight="1" x14ac:dyDescent="0.25">
      <c r="B294" s="1227"/>
      <c r="C294" s="611"/>
      <c r="D294" s="594"/>
      <c r="E294" s="594"/>
      <c r="F294" s="594"/>
      <c r="G294" s="594"/>
      <c r="H294" s="594"/>
      <c r="I294" s="594"/>
      <c r="J294" s="594"/>
      <c r="K294" s="595"/>
      <c r="L294" s="592"/>
      <c r="M294" s="208" t="s">
        <v>4814</v>
      </c>
      <c r="N294" s="209" t="s">
        <v>4815</v>
      </c>
      <c r="O294" s="210">
        <v>0.3</v>
      </c>
      <c r="P294" s="211">
        <v>44200</v>
      </c>
      <c r="Q294" s="211">
        <v>44545</v>
      </c>
      <c r="R294" s="210">
        <v>0.25</v>
      </c>
      <c r="S294" s="210">
        <v>0.5</v>
      </c>
      <c r="T294" s="212">
        <v>0.75</v>
      </c>
      <c r="U294" s="210">
        <v>1</v>
      </c>
      <c r="V294" s="90">
        <v>0.4</v>
      </c>
      <c r="W294" s="62" t="s">
        <v>4816</v>
      </c>
      <c r="X294" s="63" t="s">
        <v>4809</v>
      </c>
      <c r="Y294" s="66" t="str">
        <f t="shared" si="46"/>
        <v>En gestión</v>
      </c>
      <c r="Z294" s="66" t="str">
        <f t="shared" si="47"/>
        <v>En gestión</v>
      </c>
      <c r="AA294" s="530"/>
      <c r="AB294" s="596"/>
      <c r="AC294" s="597"/>
      <c r="AD294" s="530"/>
      <c r="AE294" s="530"/>
      <c r="AF294" s="66" t="s">
        <v>37</v>
      </c>
      <c r="AG294" s="579"/>
      <c r="AH294" s="579"/>
      <c r="AI294" s="579"/>
      <c r="AJ294" s="579"/>
      <c r="AK294" s="579"/>
      <c r="AL294" s="579"/>
      <c r="AM294" s="592"/>
      <c r="AN294" s="598"/>
      <c r="AO294" s="521"/>
      <c r="AP294" s="532"/>
      <c r="AQ294" s="567"/>
      <c r="AR294" s="1163">
        <v>0.7</v>
      </c>
      <c r="AS294" s="62" t="s">
        <v>4817</v>
      </c>
      <c r="AT294" s="63" t="s">
        <v>4818</v>
      </c>
      <c r="AU294" s="66" t="str">
        <f t="shared" si="48"/>
        <v>En gestión</v>
      </c>
      <c r="AV294" s="66" t="str">
        <f t="shared" si="49"/>
        <v>En gestión</v>
      </c>
      <c r="AW294" s="530"/>
      <c r="AX294" s="599"/>
      <c r="AY294" s="600"/>
      <c r="AZ294" s="530"/>
      <c r="BA294" s="530"/>
      <c r="BB294" s="66"/>
      <c r="BC294" s="530"/>
      <c r="BD294" s="579"/>
      <c r="BE294" s="579"/>
      <c r="BF294" s="579"/>
      <c r="BG294" s="579"/>
      <c r="BH294" s="579"/>
      <c r="BI294" s="579"/>
      <c r="BJ294" s="592"/>
      <c r="BK294" s="521"/>
      <c r="BL294" s="521"/>
      <c r="BM294" s="532"/>
      <c r="BN294" s="567"/>
      <c r="BO294" s="347">
        <v>1</v>
      </c>
      <c r="BP294" s="24" t="s">
        <v>4973</v>
      </c>
      <c r="BQ294" s="24" t="s">
        <v>4818</v>
      </c>
      <c r="BR294" s="66" t="str">
        <f t="shared" si="44"/>
        <v>Terminado</v>
      </c>
      <c r="BS294" s="66" t="str">
        <f t="shared" si="50"/>
        <v>Terminado</v>
      </c>
      <c r="BT294" s="560"/>
      <c r="BU294" s="561"/>
      <c r="BV294" s="562"/>
      <c r="BW294" s="530"/>
      <c r="BX294" s="530"/>
      <c r="BY294" s="578"/>
      <c r="BZ294" s="578"/>
      <c r="CA294" s="579"/>
      <c r="CB294" s="579"/>
      <c r="CC294" s="578"/>
      <c r="CD294" s="579"/>
      <c r="CE294" s="565"/>
      <c r="CF294" s="565"/>
      <c r="CG294" s="580"/>
      <c r="CH294" s="521"/>
      <c r="CI294" s="560"/>
      <c r="CJ294" s="567"/>
    </row>
    <row r="295" spans="2:88" ht="171.95" customHeight="1" x14ac:dyDescent="0.25">
      <c r="B295" s="1227"/>
      <c r="C295" s="610" t="s">
        <v>4496</v>
      </c>
      <c r="D295" s="601" t="s">
        <v>25</v>
      </c>
      <c r="E295" s="601" t="s">
        <v>26</v>
      </c>
      <c r="F295" s="601" t="s">
        <v>4819</v>
      </c>
      <c r="G295" s="601" t="s">
        <v>28</v>
      </c>
      <c r="H295" s="601" t="s">
        <v>28</v>
      </c>
      <c r="I295" s="601" t="s">
        <v>29</v>
      </c>
      <c r="J295" s="601" t="s">
        <v>1042</v>
      </c>
      <c r="K295" s="602" t="s">
        <v>4820</v>
      </c>
      <c r="L295" s="593" t="s">
        <v>164</v>
      </c>
      <c r="M295" s="202" t="s">
        <v>4821</v>
      </c>
      <c r="N295" s="203" t="s">
        <v>4822</v>
      </c>
      <c r="O295" s="204">
        <v>0.2</v>
      </c>
      <c r="P295" s="205">
        <v>44228</v>
      </c>
      <c r="Q295" s="205">
        <v>44285</v>
      </c>
      <c r="R295" s="204">
        <v>1</v>
      </c>
      <c r="S295" s="204">
        <v>1</v>
      </c>
      <c r="T295" s="206">
        <v>1</v>
      </c>
      <c r="U295" s="204">
        <v>1</v>
      </c>
      <c r="V295" s="90">
        <v>1</v>
      </c>
      <c r="W295" s="13" t="s">
        <v>4823</v>
      </c>
      <c r="X295" s="55" t="s">
        <v>4824</v>
      </c>
      <c r="Y295" s="56" t="str">
        <f t="shared" si="46"/>
        <v>Terminado</v>
      </c>
      <c r="Z295" s="56" t="str">
        <f t="shared" si="47"/>
        <v>Terminado</v>
      </c>
      <c r="AA295" s="531" t="s">
        <v>4825</v>
      </c>
      <c r="AB295" s="596">
        <f>SUMPRODUCT(O295:O297,V295:V297)</f>
        <v>0.35</v>
      </c>
      <c r="AC295" s="597">
        <f>SUMPRODUCT(O295:O297,R295:R297)</f>
        <v>0.35</v>
      </c>
      <c r="AD295" s="536" t="str">
        <f>IF(AC295&lt;1%,"Sin iniciar",IF(AC295=100%,"Terminado","En gestión"))</f>
        <v>En gestión</v>
      </c>
      <c r="AE295" s="536" t="str">
        <f>IF(AB295&lt;1%,"Sin iniciar",IF(AB295=100%,"Terminado","En gestión"))</f>
        <v>En gestión</v>
      </c>
      <c r="AF295" s="56"/>
      <c r="AG295" s="583">
        <v>0</v>
      </c>
      <c r="AH295" s="583">
        <v>0</v>
      </c>
      <c r="AI295" s="583">
        <v>0</v>
      </c>
      <c r="AJ295" s="583">
        <f>AQ295</f>
        <v>27675317.600000001</v>
      </c>
      <c r="AK295" s="583">
        <v>27675317.600000001</v>
      </c>
      <c r="AL295" s="583">
        <v>5407500</v>
      </c>
      <c r="AM295" s="593" t="s">
        <v>4435</v>
      </c>
      <c r="AN295" s="603" t="s">
        <v>4436</v>
      </c>
      <c r="AO295" s="520" t="s">
        <v>4470</v>
      </c>
      <c r="AP295" s="531" t="s">
        <v>2479</v>
      </c>
      <c r="AQ295" s="568">
        <f>+AK295</f>
        <v>27675317.600000001</v>
      </c>
      <c r="AR295" s="1163">
        <v>1</v>
      </c>
      <c r="AS295" s="13" t="s">
        <v>2434</v>
      </c>
      <c r="AT295" s="55" t="s">
        <v>4824</v>
      </c>
      <c r="AU295" s="56" t="str">
        <f t="shared" si="48"/>
        <v>Terminado</v>
      </c>
      <c r="AV295" s="56" t="str">
        <f t="shared" si="49"/>
        <v>Terminado</v>
      </c>
      <c r="AW295" s="531" t="s">
        <v>4826</v>
      </c>
      <c r="AX295" s="599">
        <f>SUMPRODUCT(O295:O297,AR295:AR297)</f>
        <v>0.5</v>
      </c>
      <c r="AY295" s="600">
        <f>SUMPRODUCT(S295:S297,O295:O297)</f>
        <v>0.66500000000000004</v>
      </c>
      <c r="AZ295" s="536" t="str">
        <f>IF(AY295&lt;1%,"Sin iniciar",IF(AY295=100%,"Terminado","En gestión"))</f>
        <v>En gestión</v>
      </c>
      <c r="BA295" s="536" t="str">
        <f>IF(AX295&lt;1%,"Sin iniciar",IF(AX295=100%,"Terminado","En gestión"))</f>
        <v>En gestión</v>
      </c>
      <c r="BB295" s="56"/>
      <c r="BC295" s="536" t="s">
        <v>366</v>
      </c>
      <c r="BD295" s="583">
        <v>0</v>
      </c>
      <c r="BE295" s="583">
        <v>0</v>
      </c>
      <c r="BF295" s="583">
        <v>0</v>
      </c>
      <c r="BG295" s="583">
        <v>27675317.600000001</v>
      </c>
      <c r="BH295" s="583">
        <v>27675317.600000001</v>
      </c>
      <c r="BI295" s="583">
        <v>15874566.373333331</v>
      </c>
      <c r="BJ295" s="593" t="s">
        <v>4435</v>
      </c>
      <c r="BK295" s="520"/>
      <c r="BL295" s="520" t="s">
        <v>4470</v>
      </c>
      <c r="BM295" s="531" t="s">
        <v>2479</v>
      </c>
      <c r="BN295" s="568" t="s">
        <v>4474</v>
      </c>
      <c r="BO295" s="347">
        <v>1</v>
      </c>
      <c r="BP295" s="11" t="s">
        <v>2434</v>
      </c>
      <c r="BQ295" s="11" t="s">
        <v>2434</v>
      </c>
      <c r="BR295" s="56" t="str">
        <f t="shared" si="44"/>
        <v>Terminado</v>
      </c>
      <c r="BS295" s="56" t="s">
        <v>2813</v>
      </c>
      <c r="BT295" s="581" t="s">
        <v>4974</v>
      </c>
      <c r="BU295" s="561">
        <f>SUMPRODUCT(O295:O297,BO295:BO297)</f>
        <v>1</v>
      </c>
      <c r="BV295" s="562">
        <f>SUMPRODUCT(O295:O297,T295:T297)</f>
        <v>0.83499999999999996</v>
      </c>
      <c r="BW295" s="536" t="str">
        <f>IF(BV295&lt;1%,"Sin iniciar",IF(BV295=100%,"Terminado","En gestión"))</f>
        <v>En gestión</v>
      </c>
      <c r="BX295" s="536" t="str">
        <f>IF(BU295&lt;1%,"Sin iniciar",IF(BU295=100%,"Terminado","En gestión"))</f>
        <v>Terminado</v>
      </c>
      <c r="BY295" s="573" t="s">
        <v>37</v>
      </c>
      <c r="BZ295" s="570" t="s">
        <v>366</v>
      </c>
      <c r="CA295" s="571">
        <v>0</v>
      </c>
      <c r="CB295" s="571">
        <v>0</v>
      </c>
      <c r="CC295" s="574">
        <v>0</v>
      </c>
      <c r="CD295" s="571">
        <f>BH295</f>
        <v>27675317.600000001</v>
      </c>
      <c r="CE295" s="574">
        <v>25376390.16</v>
      </c>
      <c r="CF295" s="574">
        <v>22505063.120000001</v>
      </c>
      <c r="CG295" s="575" t="s">
        <v>4435</v>
      </c>
      <c r="CH295" s="529" t="s">
        <v>4470</v>
      </c>
      <c r="CI295" s="576" t="s">
        <v>2479</v>
      </c>
      <c r="CJ295" s="577" t="s">
        <v>4474</v>
      </c>
    </row>
    <row r="296" spans="2:88" ht="171.95" customHeight="1" x14ac:dyDescent="0.25">
      <c r="B296" s="1227"/>
      <c r="C296" s="610"/>
      <c r="D296" s="601"/>
      <c r="E296" s="601"/>
      <c r="F296" s="601"/>
      <c r="G296" s="601"/>
      <c r="H296" s="601"/>
      <c r="I296" s="601"/>
      <c r="J296" s="601"/>
      <c r="K296" s="602"/>
      <c r="L296" s="593"/>
      <c r="M296" s="202" t="s">
        <v>4827</v>
      </c>
      <c r="N296" s="203" t="s">
        <v>4828</v>
      </c>
      <c r="O296" s="204">
        <v>0.3</v>
      </c>
      <c r="P296" s="205">
        <v>44228</v>
      </c>
      <c r="Q296" s="205">
        <v>44346</v>
      </c>
      <c r="R296" s="204">
        <v>0.5</v>
      </c>
      <c r="S296" s="204">
        <v>1</v>
      </c>
      <c r="T296" s="206">
        <v>1</v>
      </c>
      <c r="U296" s="204">
        <v>1</v>
      </c>
      <c r="V296" s="90">
        <v>0.5</v>
      </c>
      <c r="W296" s="13" t="s">
        <v>4829</v>
      </c>
      <c r="X296" s="55" t="s">
        <v>4830</v>
      </c>
      <c r="Y296" s="56" t="str">
        <f t="shared" si="46"/>
        <v>En gestión</v>
      </c>
      <c r="Z296" s="56" t="str">
        <f t="shared" si="47"/>
        <v>En gestión</v>
      </c>
      <c r="AA296" s="531"/>
      <c r="AB296" s="596"/>
      <c r="AC296" s="597"/>
      <c r="AD296" s="536"/>
      <c r="AE296" s="536"/>
      <c r="AF296" s="56"/>
      <c r="AG296" s="583"/>
      <c r="AH296" s="583"/>
      <c r="AI296" s="583"/>
      <c r="AJ296" s="583"/>
      <c r="AK296" s="583"/>
      <c r="AL296" s="583"/>
      <c r="AM296" s="593"/>
      <c r="AN296" s="603"/>
      <c r="AO296" s="520"/>
      <c r="AP296" s="531"/>
      <c r="AQ296" s="568"/>
      <c r="AR296" s="1163">
        <v>1</v>
      </c>
      <c r="AS296" s="13" t="s">
        <v>4831</v>
      </c>
      <c r="AT296" s="55" t="s">
        <v>4832</v>
      </c>
      <c r="AU296" s="56" t="str">
        <f t="shared" si="48"/>
        <v>Terminado</v>
      </c>
      <c r="AV296" s="56" t="str">
        <f t="shared" si="49"/>
        <v>Terminado</v>
      </c>
      <c r="AW296" s="531"/>
      <c r="AX296" s="599"/>
      <c r="AY296" s="600"/>
      <c r="AZ296" s="536"/>
      <c r="BA296" s="536"/>
      <c r="BB296" s="56"/>
      <c r="BC296" s="536"/>
      <c r="BD296" s="583"/>
      <c r="BE296" s="583"/>
      <c r="BF296" s="583"/>
      <c r="BG296" s="583"/>
      <c r="BH296" s="583"/>
      <c r="BI296" s="583"/>
      <c r="BJ296" s="593"/>
      <c r="BK296" s="520"/>
      <c r="BL296" s="520"/>
      <c r="BM296" s="531"/>
      <c r="BN296" s="568"/>
      <c r="BO296" s="347">
        <v>1</v>
      </c>
      <c r="BP296" s="11" t="s">
        <v>2875</v>
      </c>
      <c r="BQ296" s="11" t="s">
        <v>2875</v>
      </c>
      <c r="BR296" s="56" t="str">
        <f t="shared" si="44"/>
        <v>Terminado</v>
      </c>
      <c r="BS296" s="56" t="s">
        <v>2813</v>
      </c>
      <c r="BT296" s="581"/>
      <c r="BU296" s="561"/>
      <c r="BV296" s="562"/>
      <c r="BW296" s="536"/>
      <c r="BX296" s="536"/>
      <c r="BY296" s="573"/>
      <c r="BZ296" s="570"/>
      <c r="CA296" s="571"/>
      <c r="CB296" s="571"/>
      <c r="CC296" s="574"/>
      <c r="CD296" s="571"/>
      <c r="CE296" s="574"/>
      <c r="CF296" s="574"/>
      <c r="CG296" s="575"/>
      <c r="CH296" s="529"/>
      <c r="CI296" s="576"/>
      <c r="CJ296" s="577"/>
    </row>
    <row r="297" spans="2:88" ht="171.95" customHeight="1" x14ac:dyDescent="0.25">
      <c r="B297" s="1227"/>
      <c r="C297" s="610"/>
      <c r="D297" s="601"/>
      <c r="E297" s="601"/>
      <c r="F297" s="601"/>
      <c r="G297" s="601"/>
      <c r="H297" s="601"/>
      <c r="I297" s="601"/>
      <c r="J297" s="601"/>
      <c r="K297" s="602"/>
      <c r="L297" s="593"/>
      <c r="M297" s="202" t="s">
        <v>4833</v>
      </c>
      <c r="N297" s="203" t="s">
        <v>4834</v>
      </c>
      <c r="O297" s="204">
        <v>0.5</v>
      </c>
      <c r="P297" s="205">
        <v>44348</v>
      </c>
      <c r="Q297" s="205">
        <v>44469</v>
      </c>
      <c r="R297" s="204">
        <v>0</v>
      </c>
      <c r="S297" s="204">
        <v>0.33</v>
      </c>
      <c r="T297" s="206">
        <v>0.67</v>
      </c>
      <c r="U297" s="204">
        <v>1</v>
      </c>
      <c r="V297" s="90">
        <v>0</v>
      </c>
      <c r="W297" s="56" t="s">
        <v>37</v>
      </c>
      <c r="X297" s="94" t="s">
        <v>37</v>
      </c>
      <c r="Y297" s="56" t="str">
        <f t="shared" si="46"/>
        <v>Sin iniciar</v>
      </c>
      <c r="Z297" s="56" t="str">
        <f t="shared" si="47"/>
        <v>Sin iniciar</v>
      </c>
      <c r="AA297" s="531"/>
      <c r="AB297" s="596"/>
      <c r="AC297" s="597"/>
      <c r="AD297" s="536"/>
      <c r="AE297" s="536"/>
      <c r="AF297" s="56"/>
      <c r="AG297" s="583"/>
      <c r="AH297" s="583"/>
      <c r="AI297" s="583"/>
      <c r="AJ297" s="583"/>
      <c r="AK297" s="583"/>
      <c r="AL297" s="583"/>
      <c r="AM297" s="593"/>
      <c r="AN297" s="603"/>
      <c r="AO297" s="520"/>
      <c r="AP297" s="531"/>
      <c r="AQ297" s="568"/>
      <c r="AR297" s="1163">
        <v>0</v>
      </c>
      <c r="AS297" s="56" t="s">
        <v>2448</v>
      </c>
      <c r="AT297" s="94"/>
      <c r="AU297" s="56" t="str">
        <f t="shared" si="48"/>
        <v>En gestión</v>
      </c>
      <c r="AV297" s="56" t="str">
        <f t="shared" si="49"/>
        <v>Sin iniciar</v>
      </c>
      <c r="AW297" s="531"/>
      <c r="AX297" s="599"/>
      <c r="AY297" s="600"/>
      <c r="AZ297" s="536"/>
      <c r="BA297" s="536"/>
      <c r="BB297" s="13" t="s">
        <v>4835</v>
      </c>
      <c r="BC297" s="536"/>
      <c r="BD297" s="583"/>
      <c r="BE297" s="583"/>
      <c r="BF297" s="583"/>
      <c r="BG297" s="583"/>
      <c r="BH297" s="583"/>
      <c r="BI297" s="583"/>
      <c r="BJ297" s="593"/>
      <c r="BK297" s="520"/>
      <c r="BL297" s="520"/>
      <c r="BM297" s="531"/>
      <c r="BN297" s="568"/>
      <c r="BO297" s="347">
        <v>1</v>
      </c>
      <c r="BP297" s="11" t="s">
        <v>4975</v>
      </c>
      <c r="BQ297" s="11" t="s">
        <v>4976</v>
      </c>
      <c r="BR297" s="56" t="str">
        <f t="shared" si="44"/>
        <v>Terminado</v>
      </c>
      <c r="BS297" s="56" t="s">
        <v>2813</v>
      </c>
      <c r="BT297" s="581"/>
      <c r="BU297" s="561"/>
      <c r="BV297" s="562"/>
      <c r="BW297" s="536"/>
      <c r="BX297" s="536"/>
      <c r="BY297" s="573"/>
      <c r="BZ297" s="570"/>
      <c r="CA297" s="571"/>
      <c r="CB297" s="571"/>
      <c r="CC297" s="574"/>
      <c r="CD297" s="571"/>
      <c r="CE297" s="574"/>
      <c r="CF297" s="574"/>
      <c r="CG297" s="575"/>
      <c r="CH297" s="529"/>
      <c r="CI297" s="576"/>
      <c r="CJ297" s="577"/>
    </row>
    <row r="298" spans="2:88" ht="171.95" customHeight="1" x14ac:dyDescent="0.25">
      <c r="B298" s="1227"/>
      <c r="C298" s="611" t="s">
        <v>4497</v>
      </c>
      <c r="D298" s="594" t="s">
        <v>25</v>
      </c>
      <c r="E298" s="594" t="s">
        <v>26</v>
      </c>
      <c r="F298" s="594" t="s">
        <v>4819</v>
      </c>
      <c r="G298" s="594" t="s">
        <v>28</v>
      </c>
      <c r="H298" s="594" t="s">
        <v>28</v>
      </c>
      <c r="I298" s="594" t="s">
        <v>29</v>
      </c>
      <c r="J298" s="594" t="s">
        <v>1042</v>
      </c>
      <c r="K298" s="595" t="s">
        <v>4836</v>
      </c>
      <c r="L298" s="592" t="s">
        <v>164</v>
      </c>
      <c r="M298" s="208" t="s">
        <v>4837</v>
      </c>
      <c r="N298" s="209" t="s">
        <v>4838</v>
      </c>
      <c r="O298" s="210">
        <v>0.7</v>
      </c>
      <c r="P298" s="211">
        <v>44235</v>
      </c>
      <c r="Q298" s="211">
        <v>44560</v>
      </c>
      <c r="R298" s="210">
        <v>0.25</v>
      </c>
      <c r="S298" s="210">
        <v>0.5</v>
      </c>
      <c r="T298" s="212">
        <v>0.75</v>
      </c>
      <c r="U298" s="210">
        <v>1</v>
      </c>
      <c r="V298" s="90">
        <v>0.25</v>
      </c>
      <c r="W298" s="62" t="s">
        <v>4839</v>
      </c>
      <c r="X298" s="63" t="s">
        <v>4840</v>
      </c>
      <c r="Y298" s="66" t="str">
        <f t="shared" si="46"/>
        <v>En gestión</v>
      </c>
      <c r="Z298" s="66" t="str">
        <f t="shared" si="47"/>
        <v>En gestión</v>
      </c>
      <c r="AA298" s="532" t="s">
        <v>4841</v>
      </c>
      <c r="AB298" s="596">
        <f>SUMPRODUCT(O298:O299,V298:V299)</f>
        <v>0.17499999999999999</v>
      </c>
      <c r="AC298" s="597">
        <f>SUMPRODUCT(O298:O299,R298:R299)</f>
        <v>0.17499999999999999</v>
      </c>
      <c r="AD298" s="530" t="str">
        <f>IF(AC298&lt;1%,"Sin iniciar",IF(AC298=100%,"Terminado","En gestión"))</f>
        <v>En gestión</v>
      </c>
      <c r="AE298" s="530" t="str">
        <f>IF(AB298&lt;1%,"Sin iniciar",IF(AB298=100%,"Terminado","En gestión"))</f>
        <v>En gestión</v>
      </c>
      <c r="AF298" s="66"/>
      <c r="AG298" s="579">
        <v>0</v>
      </c>
      <c r="AH298" s="579">
        <v>0</v>
      </c>
      <c r="AI298" s="579">
        <v>0</v>
      </c>
      <c r="AJ298" s="579">
        <f>AQ298</f>
        <v>20857500</v>
      </c>
      <c r="AK298" s="579">
        <v>20857500</v>
      </c>
      <c r="AL298" s="579">
        <v>5407500</v>
      </c>
      <c r="AM298" s="592" t="s">
        <v>4435</v>
      </c>
      <c r="AN298" s="598" t="s">
        <v>4436</v>
      </c>
      <c r="AO298" s="521" t="s">
        <v>4470</v>
      </c>
      <c r="AP298" s="532" t="s">
        <v>2479</v>
      </c>
      <c r="AQ298" s="567">
        <f>+AK298</f>
        <v>20857500</v>
      </c>
      <c r="AR298" s="1163">
        <v>0.5</v>
      </c>
      <c r="AS298" s="62" t="s">
        <v>4842</v>
      </c>
      <c r="AT298" s="63" t="s">
        <v>4843</v>
      </c>
      <c r="AU298" s="66" t="str">
        <f t="shared" si="48"/>
        <v>En gestión</v>
      </c>
      <c r="AV298" s="66" t="str">
        <f t="shared" si="49"/>
        <v>En gestión</v>
      </c>
      <c r="AW298" s="532" t="s">
        <v>4844</v>
      </c>
      <c r="AX298" s="599">
        <f>SUMPRODUCT(O298:O299,AR298:AR299)</f>
        <v>0.35</v>
      </c>
      <c r="AY298" s="600">
        <f>SUMPRODUCT(S298:S299,O298:O299)</f>
        <v>0.35</v>
      </c>
      <c r="AZ298" s="530" t="str">
        <f>IF(AY298&lt;1%,"Sin iniciar",IF(AY298=100%,"Terminado","En gestión"))</f>
        <v>En gestión</v>
      </c>
      <c r="BA298" s="530" t="str">
        <f>IF(AX298&lt;1%,"Sin iniciar",IF(AX298=100%,"Terminado","En gestión"))</f>
        <v>En gestión</v>
      </c>
      <c r="BB298" s="66"/>
      <c r="BC298" s="530" t="s">
        <v>366</v>
      </c>
      <c r="BD298" s="579">
        <v>0</v>
      </c>
      <c r="BE298" s="579">
        <v>0</v>
      </c>
      <c r="BF298" s="579">
        <v>0</v>
      </c>
      <c r="BG298" s="579">
        <v>20857500</v>
      </c>
      <c r="BH298" s="579">
        <v>38857500</v>
      </c>
      <c r="BI298" s="579">
        <v>12437249.999999998</v>
      </c>
      <c r="BJ298" s="592" t="s">
        <v>4435</v>
      </c>
      <c r="BK298" s="521"/>
      <c r="BL298" s="521" t="s">
        <v>4470</v>
      </c>
      <c r="BM298" s="532" t="s">
        <v>2479</v>
      </c>
      <c r="BN298" s="567" t="s">
        <v>4474</v>
      </c>
      <c r="BO298" s="347">
        <v>1</v>
      </c>
      <c r="BP298" s="24" t="s">
        <v>4977</v>
      </c>
      <c r="BQ298" s="24" t="s">
        <v>5251</v>
      </c>
      <c r="BR298" s="66" t="str">
        <f t="shared" si="44"/>
        <v>Terminado</v>
      </c>
      <c r="BS298" s="66" t="s">
        <v>2813</v>
      </c>
      <c r="BT298" s="560" t="s">
        <v>4978</v>
      </c>
      <c r="BU298" s="561">
        <f>SUMPRODUCT(O298:O299,BO298:BO299)</f>
        <v>0.7</v>
      </c>
      <c r="BV298" s="562">
        <f>SUMPRODUCT(O298:O299,T298:T299)</f>
        <v>0.67499999999999993</v>
      </c>
      <c r="BW298" s="530" t="str">
        <f>IF(BV298&lt;1%,"Sin iniciar",IF(BV298=100%,"Terminado","En gestión"))</f>
        <v>En gestión</v>
      </c>
      <c r="BX298" s="530" t="str">
        <f>IF(BU298&lt;1%,"Sin iniciar",IF(BU298=100%,"Terminado","En gestión"))</f>
        <v>En gestión</v>
      </c>
      <c r="BY298" s="25" t="s">
        <v>37</v>
      </c>
      <c r="BZ298" s="578" t="s">
        <v>366</v>
      </c>
      <c r="CA298" s="579">
        <v>0</v>
      </c>
      <c r="CB298" s="579">
        <v>0</v>
      </c>
      <c r="CC298" s="565">
        <v>0</v>
      </c>
      <c r="CD298" s="579">
        <v>33254250</v>
      </c>
      <c r="CE298" s="579">
        <v>33254250</v>
      </c>
      <c r="CF298" s="565">
        <v>28644250</v>
      </c>
      <c r="CG298" s="580" t="s">
        <v>4435</v>
      </c>
      <c r="CH298" s="521" t="s">
        <v>4470</v>
      </c>
      <c r="CI298" s="560" t="s">
        <v>2479</v>
      </c>
      <c r="CJ298" s="567" t="s">
        <v>4474</v>
      </c>
    </row>
    <row r="299" spans="2:88" ht="171.95" customHeight="1" x14ac:dyDescent="0.25">
      <c r="B299" s="1227"/>
      <c r="C299" s="611"/>
      <c r="D299" s="594"/>
      <c r="E299" s="594"/>
      <c r="F299" s="594"/>
      <c r="G299" s="594"/>
      <c r="H299" s="594"/>
      <c r="I299" s="594"/>
      <c r="J299" s="594"/>
      <c r="K299" s="595"/>
      <c r="L299" s="592"/>
      <c r="M299" s="208" t="s">
        <v>4845</v>
      </c>
      <c r="N299" s="209" t="s">
        <v>4846</v>
      </c>
      <c r="O299" s="210">
        <v>0.3</v>
      </c>
      <c r="P299" s="211">
        <v>44440</v>
      </c>
      <c r="Q299" s="211">
        <v>44530</v>
      </c>
      <c r="R299" s="210">
        <v>0</v>
      </c>
      <c r="S299" s="210">
        <v>0</v>
      </c>
      <c r="T299" s="212">
        <v>0.5</v>
      </c>
      <c r="U299" s="210">
        <v>1</v>
      </c>
      <c r="V299" s="90">
        <v>0</v>
      </c>
      <c r="W299" s="66" t="s">
        <v>37</v>
      </c>
      <c r="X299" s="91" t="s">
        <v>37</v>
      </c>
      <c r="Y299" s="66" t="str">
        <f t="shared" si="46"/>
        <v>Sin iniciar</v>
      </c>
      <c r="Z299" s="66" t="str">
        <f t="shared" si="47"/>
        <v>Sin iniciar</v>
      </c>
      <c r="AA299" s="532"/>
      <c r="AB299" s="596"/>
      <c r="AC299" s="597"/>
      <c r="AD299" s="530"/>
      <c r="AE299" s="530"/>
      <c r="AF299" s="66"/>
      <c r="AG299" s="579"/>
      <c r="AH299" s="579"/>
      <c r="AI299" s="579"/>
      <c r="AJ299" s="579"/>
      <c r="AK299" s="579"/>
      <c r="AL299" s="579"/>
      <c r="AM299" s="592"/>
      <c r="AN299" s="598"/>
      <c r="AO299" s="521"/>
      <c r="AP299" s="532"/>
      <c r="AQ299" s="567"/>
      <c r="AR299" s="1163">
        <v>0</v>
      </c>
      <c r="AS299" s="66" t="s">
        <v>2437</v>
      </c>
      <c r="AT299" s="91" t="s">
        <v>37</v>
      </c>
      <c r="AU299" s="66" t="str">
        <f t="shared" si="48"/>
        <v>Sin iniciar</v>
      </c>
      <c r="AV299" s="66" t="str">
        <f t="shared" si="49"/>
        <v>Sin iniciar</v>
      </c>
      <c r="AW299" s="532"/>
      <c r="AX299" s="599"/>
      <c r="AY299" s="600"/>
      <c r="AZ299" s="530"/>
      <c r="BA299" s="530"/>
      <c r="BB299" s="66"/>
      <c r="BC299" s="530"/>
      <c r="BD299" s="579"/>
      <c r="BE299" s="579"/>
      <c r="BF299" s="579"/>
      <c r="BG299" s="579"/>
      <c r="BH299" s="579"/>
      <c r="BI299" s="579"/>
      <c r="BJ299" s="592"/>
      <c r="BK299" s="521"/>
      <c r="BL299" s="521"/>
      <c r="BM299" s="532"/>
      <c r="BN299" s="567"/>
      <c r="BO299" s="347">
        <v>0</v>
      </c>
      <c r="BP299" s="24" t="s">
        <v>4979</v>
      </c>
      <c r="BQ299" s="25"/>
      <c r="BR299" s="66" t="str">
        <f t="shared" si="44"/>
        <v>Terminado</v>
      </c>
      <c r="BS299" s="66" t="s">
        <v>2821</v>
      </c>
      <c r="BT299" s="560"/>
      <c r="BU299" s="561"/>
      <c r="BV299" s="562"/>
      <c r="BW299" s="530"/>
      <c r="BX299" s="530"/>
      <c r="BY299" s="24" t="s">
        <v>4980</v>
      </c>
      <c r="BZ299" s="578"/>
      <c r="CA299" s="579"/>
      <c r="CB299" s="579"/>
      <c r="CC299" s="565"/>
      <c r="CD299" s="579"/>
      <c r="CE299" s="579"/>
      <c r="CF299" s="565"/>
      <c r="CG299" s="580"/>
      <c r="CH299" s="521"/>
      <c r="CI299" s="560"/>
      <c r="CJ299" s="567"/>
    </row>
    <row r="300" spans="2:88" ht="171.95" customHeight="1" x14ac:dyDescent="0.25">
      <c r="B300" s="1227"/>
      <c r="C300" s="610" t="s">
        <v>4498</v>
      </c>
      <c r="D300" s="601" t="s">
        <v>25</v>
      </c>
      <c r="E300" s="601" t="s">
        <v>26</v>
      </c>
      <c r="F300" s="601" t="s">
        <v>4847</v>
      </c>
      <c r="G300" s="601" t="s">
        <v>28</v>
      </c>
      <c r="H300" s="601" t="s">
        <v>28</v>
      </c>
      <c r="I300" s="601" t="s">
        <v>29</v>
      </c>
      <c r="J300" s="601" t="s">
        <v>47</v>
      </c>
      <c r="K300" s="602" t="s">
        <v>4848</v>
      </c>
      <c r="L300" s="593" t="s">
        <v>164</v>
      </c>
      <c r="M300" s="202" t="s">
        <v>4849</v>
      </c>
      <c r="N300" s="203" t="s">
        <v>4850</v>
      </c>
      <c r="O300" s="204">
        <v>0.3</v>
      </c>
      <c r="P300" s="205">
        <v>44211</v>
      </c>
      <c r="Q300" s="205">
        <v>44561</v>
      </c>
      <c r="R300" s="204">
        <v>0.3</v>
      </c>
      <c r="S300" s="204">
        <v>0.6</v>
      </c>
      <c r="T300" s="206">
        <v>0.8</v>
      </c>
      <c r="U300" s="204">
        <v>1</v>
      </c>
      <c r="V300" s="90">
        <v>0.32</v>
      </c>
      <c r="W300" s="13" t="s">
        <v>4851</v>
      </c>
      <c r="X300" s="55" t="s">
        <v>4852</v>
      </c>
      <c r="Y300" s="56" t="str">
        <f t="shared" si="46"/>
        <v>En gestión</v>
      </c>
      <c r="Z300" s="56" t="str">
        <f t="shared" si="47"/>
        <v>En gestión</v>
      </c>
      <c r="AA300" s="531" t="s">
        <v>4853</v>
      </c>
      <c r="AB300" s="596">
        <f>SUMPRODUCT(O300:O302,V300:V302)</f>
        <v>9.6000000000000002E-2</v>
      </c>
      <c r="AC300" s="597">
        <f>SUMPRODUCT(O300:O302,R300:R302)</f>
        <v>0.09</v>
      </c>
      <c r="AD300" s="536" t="str">
        <f>IF(AC300&lt;1%,"Sin iniciar",IF(AC300=100%,"Terminado","En gestión"))</f>
        <v>En gestión</v>
      </c>
      <c r="AE300" s="536" t="str">
        <f>IF(AB300&lt;1%,"Sin iniciar",IF(AB300=100%,"Terminado","En gestión"))</f>
        <v>En gestión</v>
      </c>
      <c r="AF300" s="56" t="s">
        <v>37</v>
      </c>
      <c r="AG300" s="583">
        <v>31866520</v>
      </c>
      <c r="AH300" s="583">
        <v>31866520</v>
      </c>
      <c r="AI300" s="583">
        <v>7966630</v>
      </c>
      <c r="AJ300" s="583">
        <f>AQ300</f>
        <v>91689817.599999994</v>
      </c>
      <c r="AK300" s="583">
        <v>91689817.599999994</v>
      </c>
      <c r="AL300" s="583">
        <v>21362960.533333331</v>
      </c>
      <c r="AM300" s="593" t="s">
        <v>4435</v>
      </c>
      <c r="AN300" s="603" t="s">
        <v>4436</v>
      </c>
      <c r="AO300" s="520" t="s">
        <v>4470</v>
      </c>
      <c r="AP300" s="531" t="s">
        <v>2479</v>
      </c>
      <c r="AQ300" s="568">
        <f>+AK300</f>
        <v>91689817.599999994</v>
      </c>
      <c r="AR300" s="1163">
        <v>0.6</v>
      </c>
      <c r="AS300" s="13" t="s">
        <v>4854</v>
      </c>
      <c r="AT300" s="55" t="s">
        <v>4855</v>
      </c>
      <c r="AU300" s="56" t="str">
        <f t="shared" si="48"/>
        <v>En gestión</v>
      </c>
      <c r="AV300" s="56" t="str">
        <f t="shared" si="49"/>
        <v>En gestión</v>
      </c>
      <c r="AW300" s="531" t="s">
        <v>4856</v>
      </c>
      <c r="AX300" s="599">
        <f>SUMPRODUCT(O300:O302,AR300:AR302)</f>
        <v>0.30499999999999999</v>
      </c>
      <c r="AY300" s="600">
        <f>SUMPRODUCT(S300:S302,O300:O302)</f>
        <v>0.28000000000000003</v>
      </c>
      <c r="AZ300" s="536" t="str">
        <f>IF(AY300&lt;1%,"Sin iniciar",IF(AY300=100%,"Terminado","En gestión"))</f>
        <v>En gestión</v>
      </c>
      <c r="BA300" s="536" t="str">
        <f>IF(AX300&lt;1%,"Sin iniciar",IF(AX300=100%,"Terminado","En gestión"))</f>
        <v>En gestión</v>
      </c>
      <c r="BB300" s="56"/>
      <c r="BC300" s="536" t="s">
        <v>4441</v>
      </c>
      <c r="BD300" s="583">
        <v>31866520</v>
      </c>
      <c r="BE300" s="583">
        <v>31866520</v>
      </c>
      <c r="BF300" s="583">
        <v>7966630</v>
      </c>
      <c r="BG300" s="583">
        <v>91689817.599999994</v>
      </c>
      <c r="BH300" s="583">
        <v>91689817.599999994</v>
      </c>
      <c r="BI300" s="583">
        <v>56128683.039999999</v>
      </c>
      <c r="BJ300" s="593" t="s">
        <v>4435</v>
      </c>
      <c r="BK300" s="520"/>
      <c r="BL300" s="520" t="s">
        <v>4470</v>
      </c>
      <c r="BM300" s="531" t="s">
        <v>2479</v>
      </c>
      <c r="BN300" s="568" t="s">
        <v>4474</v>
      </c>
      <c r="BO300" s="354">
        <v>1</v>
      </c>
      <c r="BP300" s="197" t="s">
        <v>4981</v>
      </c>
      <c r="BQ300" s="11" t="s">
        <v>4982</v>
      </c>
      <c r="BR300" s="56" t="str">
        <f t="shared" si="44"/>
        <v>Terminado</v>
      </c>
      <c r="BS300" s="56" t="str">
        <f t="shared" si="50"/>
        <v>Terminado</v>
      </c>
      <c r="BT300" s="569" t="s">
        <v>4983</v>
      </c>
      <c r="BU300" s="561">
        <f>SUMPRODUCT(O300:O302,BO300:BO302)</f>
        <v>0.72499999999999998</v>
      </c>
      <c r="BV300" s="562">
        <f>SUMPRODUCT(O300:O302,T300:T302)</f>
        <v>0.66499999999999992</v>
      </c>
      <c r="BW300" s="536" t="str">
        <f>IF(BV300&lt;1%,"Sin iniciar",IF(BV300=100%,"Terminado","En gestión"))</f>
        <v>En gestión</v>
      </c>
      <c r="BX300" s="536" t="str">
        <f>IF(BU300&lt;1%,"Sin iniciar",IF(BU300=100%,"Terminado","En gestión"))</f>
        <v>En gestión</v>
      </c>
      <c r="BY300" s="573" t="s">
        <v>37</v>
      </c>
      <c r="BZ300" s="570" t="s">
        <v>4441</v>
      </c>
      <c r="CA300" s="571">
        <v>31866520</v>
      </c>
      <c r="CB300" s="571">
        <v>31866520</v>
      </c>
      <c r="CC300" s="572">
        <v>23899890</v>
      </c>
      <c r="CD300" s="571">
        <f>BH300</f>
        <v>91689817.599999994</v>
      </c>
      <c r="CE300" s="574">
        <v>138001140.16</v>
      </c>
      <c r="CF300" s="574">
        <v>93593946.453333333</v>
      </c>
      <c r="CG300" s="575" t="s">
        <v>4435</v>
      </c>
      <c r="CH300" s="529" t="s">
        <v>4470</v>
      </c>
      <c r="CI300" s="576" t="s">
        <v>2479</v>
      </c>
      <c r="CJ300" s="577" t="s">
        <v>4474</v>
      </c>
    </row>
    <row r="301" spans="2:88" ht="171.95" customHeight="1" x14ac:dyDescent="0.25">
      <c r="B301" s="1227"/>
      <c r="C301" s="610"/>
      <c r="D301" s="601"/>
      <c r="E301" s="601"/>
      <c r="F301" s="601"/>
      <c r="G301" s="601"/>
      <c r="H301" s="601"/>
      <c r="I301" s="601"/>
      <c r="J301" s="601"/>
      <c r="K301" s="602"/>
      <c r="L301" s="593"/>
      <c r="M301" s="202" t="s">
        <v>4857</v>
      </c>
      <c r="N301" s="203" t="s">
        <v>4858</v>
      </c>
      <c r="O301" s="204">
        <v>0.5</v>
      </c>
      <c r="P301" s="205">
        <v>44287</v>
      </c>
      <c r="Q301" s="205">
        <v>44561</v>
      </c>
      <c r="R301" s="204">
        <v>0</v>
      </c>
      <c r="S301" s="204">
        <v>0.2</v>
      </c>
      <c r="T301" s="206">
        <v>0.65</v>
      </c>
      <c r="U301" s="204">
        <v>1</v>
      </c>
      <c r="V301" s="90">
        <v>0</v>
      </c>
      <c r="W301" s="56" t="s">
        <v>37</v>
      </c>
      <c r="X301" s="94" t="s">
        <v>37</v>
      </c>
      <c r="Y301" s="56" t="str">
        <f t="shared" si="46"/>
        <v>Sin iniciar</v>
      </c>
      <c r="Z301" s="56" t="str">
        <f t="shared" si="47"/>
        <v>Sin iniciar</v>
      </c>
      <c r="AA301" s="531"/>
      <c r="AB301" s="596"/>
      <c r="AC301" s="597"/>
      <c r="AD301" s="536"/>
      <c r="AE301" s="536"/>
      <c r="AF301" s="56" t="s">
        <v>37</v>
      </c>
      <c r="AG301" s="583"/>
      <c r="AH301" s="583"/>
      <c r="AI301" s="583"/>
      <c r="AJ301" s="583"/>
      <c r="AK301" s="583"/>
      <c r="AL301" s="583"/>
      <c r="AM301" s="593"/>
      <c r="AN301" s="603"/>
      <c r="AO301" s="520"/>
      <c r="AP301" s="531"/>
      <c r="AQ301" s="568"/>
      <c r="AR301" s="1163">
        <v>0.25</v>
      </c>
      <c r="AS301" s="13" t="s">
        <v>4859</v>
      </c>
      <c r="AT301" s="55" t="s">
        <v>4860</v>
      </c>
      <c r="AU301" s="56" t="str">
        <f t="shared" si="48"/>
        <v>En gestión</v>
      </c>
      <c r="AV301" s="56" t="str">
        <f t="shared" si="49"/>
        <v>En gestión</v>
      </c>
      <c r="AW301" s="531"/>
      <c r="AX301" s="599"/>
      <c r="AY301" s="600"/>
      <c r="AZ301" s="536"/>
      <c r="BA301" s="536"/>
      <c r="BB301" s="56"/>
      <c r="BC301" s="536"/>
      <c r="BD301" s="583"/>
      <c r="BE301" s="583"/>
      <c r="BF301" s="583"/>
      <c r="BG301" s="583"/>
      <c r="BH301" s="583"/>
      <c r="BI301" s="583"/>
      <c r="BJ301" s="593"/>
      <c r="BK301" s="520"/>
      <c r="BL301" s="520"/>
      <c r="BM301" s="531"/>
      <c r="BN301" s="568"/>
      <c r="BO301" s="347">
        <v>0.65</v>
      </c>
      <c r="BP301" s="11" t="s">
        <v>4984</v>
      </c>
      <c r="BQ301" s="11" t="s">
        <v>4985</v>
      </c>
      <c r="BR301" s="56" t="str">
        <f t="shared" si="44"/>
        <v>Terminado</v>
      </c>
      <c r="BS301" s="56" t="str">
        <f t="shared" si="50"/>
        <v>En gestión</v>
      </c>
      <c r="BT301" s="569"/>
      <c r="BU301" s="561"/>
      <c r="BV301" s="562"/>
      <c r="BW301" s="536"/>
      <c r="BX301" s="536"/>
      <c r="BY301" s="573"/>
      <c r="BZ301" s="570"/>
      <c r="CA301" s="571"/>
      <c r="CB301" s="571"/>
      <c r="CC301" s="573"/>
      <c r="CD301" s="571"/>
      <c r="CE301" s="574"/>
      <c r="CF301" s="574"/>
      <c r="CG301" s="575"/>
      <c r="CH301" s="529"/>
      <c r="CI301" s="576"/>
      <c r="CJ301" s="577"/>
    </row>
    <row r="302" spans="2:88" ht="171.95" customHeight="1" x14ac:dyDescent="0.25">
      <c r="B302" s="1227"/>
      <c r="C302" s="610"/>
      <c r="D302" s="601"/>
      <c r="E302" s="601"/>
      <c r="F302" s="601"/>
      <c r="G302" s="601"/>
      <c r="H302" s="601"/>
      <c r="I302" s="601"/>
      <c r="J302" s="601"/>
      <c r="K302" s="602"/>
      <c r="L302" s="593"/>
      <c r="M302" s="202" t="s">
        <v>4861</v>
      </c>
      <c r="N302" s="203" t="s">
        <v>4862</v>
      </c>
      <c r="O302" s="204">
        <v>0.2</v>
      </c>
      <c r="P302" s="205">
        <v>44378</v>
      </c>
      <c r="Q302" s="205">
        <v>44561</v>
      </c>
      <c r="R302" s="204">
        <v>0</v>
      </c>
      <c r="S302" s="204">
        <v>0</v>
      </c>
      <c r="T302" s="206">
        <v>0.5</v>
      </c>
      <c r="U302" s="204">
        <v>1</v>
      </c>
      <c r="V302" s="90">
        <v>0</v>
      </c>
      <c r="W302" s="56" t="s">
        <v>37</v>
      </c>
      <c r="X302" s="94" t="s">
        <v>37</v>
      </c>
      <c r="Y302" s="56" t="str">
        <f t="shared" si="46"/>
        <v>Sin iniciar</v>
      </c>
      <c r="Z302" s="56" t="str">
        <f t="shared" si="47"/>
        <v>Sin iniciar</v>
      </c>
      <c r="AA302" s="531"/>
      <c r="AB302" s="596"/>
      <c r="AC302" s="597"/>
      <c r="AD302" s="536"/>
      <c r="AE302" s="536"/>
      <c r="AF302" s="56" t="s">
        <v>37</v>
      </c>
      <c r="AG302" s="583"/>
      <c r="AH302" s="583"/>
      <c r="AI302" s="583"/>
      <c r="AJ302" s="583"/>
      <c r="AK302" s="583"/>
      <c r="AL302" s="583"/>
      <c r="AM302" s="593"/>
      <c r="AN302" s="603"/>
      <c r="AO302" s="520"/>
      <c r="AP302" s="531"/>
      <c r="AQ302" s="568"/>
      <c r="AR302" s="1163">
        <v>0</v>
      </c>
      <c r="AS302" s="56" t="s">
        <v>2437</v>
      </c>
      <c r="AT302" s="94" t="s">
        <v>37</v>
      </c>
      <c r="AU302" s="56" t="str">
        <f t="shared" si="48"/>
        <v>Sin iniciar</v>
      </c>
      <c r="AV302" s="56" t="str">
        <f t="shared" si="49"/>
        <v>Sin iniciar</v>
      </c>
      <c r="AW302" s="531"/>
      <c r="AX302" s="599"/>
      <c r="AY302" s="600"/>
      <c r="AZ302" s="536"/>
      <c r="BA302" s="536"/>
      <c r="BB302" s="56"/>
      <c r="BC302" s="536"/>
      <c r="BD302" s="583"/>
      <c r="BE302" s="583"/>
      <c r="BF302" s="583"/>
      <c r="BG302" s="583"/>
      <c r="BH302" s="583"/>
      <c r="BI302" s="583"/>
      <c r="BJ302" s="593"/>
      <c r="BK302" s="520"/>
      <c r="BL302" s="520"/>
      <c r="BM302" s="531"/>
      <c r="BN302" s="568"/>
      <c r="BO302" s="347">
        <v>0.5</v>
      </c>
      <c r="BP302" s="11" t="s">
        <v>4986</v>
      </c>
      <c r="BQ302" s="11" t="s">
        <v>4987</v>
      </c>
      <c r="BR302" s="56" t="str">
        <f t="shared" si="44"/>
        <v>Terminado</v>
      </c>
      <c r="BS302" s="56" t="str">
        <f t="shared" si="50"/>
        <v>En gestión</v>
      </c>
      <c r="BT302" s="569"/>
      <c r="BU302" s="561"/>
      <c r="BV302" s="562"/>
      <c r="BW302" s="536"/>
      <c r="BX302" s="536"/>
      <c r="BY302" s="573"/>
      <c r="BZ302" s="570"/>
      <c r="CA302" s="571"/>
      <c r="CB302" s="571"/>
      <c r="CC302" s="573"/>
      <c r="CD302" s="571"/>
      <c r="CE302" s="574"/>
      <c r="CF302" s="574"/>
      <c r="CG302" s="575"/>
      <c r="CH302" s="529"/>
      <c r="CI302" s="576"/>
      <c r="CJ302" s="577"/>
    </row>
    <row r="303" spans="2:88" ht="171.95" customHeight="1" x14ac:dyDescent="0.25">
      <c r="B303" s="1227"/>
      <c r="C303" s="611" t="s">
        <v>4499</v>
      </c>
      <c r="D303" s="594" t="s">
        <v>159</v>
      </c>
      <c r="E303" s="594" t="s">
        <v>160</v>
      </c>
      <c r="F303" s="594" t="s">
        <v>4863</v>
      </c>
      <c r="G303" s="594" t="s">
        <v>28</v>
      </c>
      <c r="H303" s="594" t="s">
        <v>28</v>
      </c>
      <c r="I303" s="594" t="s">
        <v>29</v>
      </c>
      <c r="J303" s="594" t="s">
        <v>191</v>
      </c>
      <c r="K303" s="595" t="s">
        <v>4864</v>
      </c>
      <c r="L303" s="592" t="s">
        <v>164</v>
      </c>
      <c r="M303" s="208" t="s">
        <v>4865</v>
      </c>
      <c r="N303" s="209" t="s">
        <v>4866</v>
      </c>
      <c r="O303" s="210">
        <v>0.3</v>
      </c>
      <c r="P303" s="211">
        <v>44211</v>
      </c>
      <c r="Q303" s="211">
        <v>44560</v>
      </c>
      <c r="R303" s="210">
        <v>0.25</v>
      </c>
      <c r="S303" s="210">
        <v>0.5</v>
      </c>
      <c r="T303" s="212">
        <v>0.75</v>
      </c>
      <c r="U303" s="210">
        <v>1</v>
      </c>
      <c r="V303" s="90">
        <v>0.25</v>
      </c>
      <c r="W303" s="62" t="s">
        <v>4867</v>
      </c>
      <c r="X303" s="63" t="s">
        <v>4868</v>
      </c>
      <c r="Y303" s="66" t="str">
        <f t="shared" si="46"/>
        <v>En gestión</v>
      </c>
      <c r="Z303" s="66" t="str">
        <f t="shared" si="47"/>
        <v>En gestión</v>
      </c>
      <c r="AA303" s="532" t="s">
        <v>4869</v>
      </c>
      <c r="AB303" s="596">
        <f>SUMPRODUCT(O303:O304,V303:V304)</f>
        <v>0.25</v>
      </c>
      <c r="AC303" s="597">
        <f>SUMPRODUCT(O303:O304,R303:R304)</f>
        <v>0.25</v>
      </c>
      <c r="AD303" s="530" t="str">
        <f>IF(AC303&lt;1%,"Sin iniciar",IF(AC303=100%,"Terminado","En gestión"))</f>
        <v>En gestión</v>
      </c>
      <c r="AE303" s="530" t="str">
        <f>IF(AB303&lt;1%,"Sin iniciar",IF(AB303=100%,"Terminado","En gestión"))</f>
        <v>En gestión</v>
      </c>
      <c r="AF303" s="66" t="s">
        <v>37</v>
      </c>
      <c r="AG303" s="579">
        <v>0</v>
      </c>
      <c r="AH303" s="579">
        <v>0</v>
      </c>
      <c r="AI303" s="579">
        <v>0</v>
      </c>
      <c r="AJ303" s="64">
        <v>196201500</v>
      </c>
      <c r="AK303" s="64">
        <v>188647666.667</v>
      </c>
      <c r="AL303" s="64">
        <v>37574600</v>
      </c>
      <c r="AM303" s="592" t="s">
        <v>4435</v>
      </c>
      <c r="AN303" s="598" t="s">
        <v>4436</v>
      </c>
      <c r="AO303" s="209" t="s">
        <v>4870</v>
      </c>
      <c r="AP303" s="62" t="s">
        <v>4547</v>
      </c>
      <c r="AQ303" s="69">
        <f>+AK303</f>
        <v>188647666.667</v>
      </c>
      <c r="AR303" s="1163">
        <v>0.5</v>
      </c>
      <c r="AS303" s="62" t="s">
        <v>4871</v>
      </c>
      <c r="AT303" s="63" t="s">
        <v>4872</v>
      </c>
      <c r="AU303" s="66" t="str">
        <f t="shared" si="48"/>
        <v>En gestión</v>
      </c>
      <c r="AV303" s="66" t="str">
        <f t="shared" si="49"/>
        <v>En gestión</v>
      </c>
      <c r="AW303" s="532" t="s">
        <v>4873</v>
      </c>
      <c r="AX303" s="599">
        <f>SUMPRODUCT(O303:O304,AR303:AR304)</f>
        <v>0.85</v>
      </c>
      <c r="AY303" s="600">
        <f>SUMPRODUCT(S303:S304,O303:O304)</f>
        <v>0.5</v>
      </c>
      <c r="AZ303" s="530" t="str">
        <f>IF(AY303&lt;1%,"Sin iniciar",IF(AY303=100%,"Terminado","En gestión"))</f>
        <v>En gestión</v>
      </c>
      <c r="BA303" s="530" t="str">
        <f>IF(AX303&lt;1%,"Sin iniciar",IF(AX303=100%,"Terminado","En gestión"))</f>
        <v>En gestión</v>
      </c>
      <c r="BB303" s="66"/>
      <c r="BC303" s="530" t="s">
        <v>4441</v>
      </c>
      <c r="BD303" s="579">
        <v>0</v>
      </c>
      <c r="BE303" s="579">
        <v>0</v>
      </c>
      <c r="BF303" s="579">
        <v>0</v>
      </c>
      <c r="BG303" s="579">
        <v>196201500</v>
      </c>
      <c r="BH303" s="64">
        <v>188647666.667</v>
      </c>
      <c r="BI303" s="64">
        <v>89326300</v>
      </c>
      <c r="BJ303" s="592" t="s">
        <v>4435</v>
      </c>
      <c r="BK303" s="517"/>
      <c r="BL303" s="209" t="s">
        <v>4870</v>
      </c>
      <c r="BM303" s="62" t="s">
        <v>4547</v>
      </c>
      <c r="BN303" s="69" t="s">
        <v>4898</v>
      </c>
      <c r="BO303" s="347">
        <v>0.75</v>
      </c>
      <c r="BP303" s="24" t="s">
        <v>4988</v>
      </c>
      <c r="BQ303" s="24" t="s">
        <v>5247</v>
      </c>
      <c r="BR303" s="66" t="str">
        <f t="shared" si="44"/>
        <v>Terminado</v>
      </c>
      <c r="BS303" s="66" t="str">
        <f t="shared" si="50"/>
        <v>En gestión</v>
      </c>
      <c r="BT303" s="560" t="s">
        <v>4989</v>
      </c>
      <c r="BU303" s="561">
        <f>SUMPRODUCT(O303:O304,BO303:BO304)</f>
        <v>0.92499999999999993</v>
      </c>
      <c r="BV303" s="562">
        <f>SUMPRODUCT(O303:O304,T303:T304)</f>
        <v>0.74999999999999989</v>
      </c>
      <c r="BW303" s="530" t="str">
        <f>IF(BV303&lt;1%,"Sin iniciar",IF(BV303=100%,"Terminado","En gestión"))</f>
        <v>En gestión</v>
      </c>
      <c r="BX303" s="530" t="str">
        <f>IF(BU303&lt;1%,"Sin iniciar",IF(BU303=100%,"Terminado","En gestión"))</f>
        <v>En gestión</v>
      </c>
      <c r="BY303" s="578" t="s">
        <v>37</v>
      </c>
      <c r="BZ303" s="563" t="s">
        <v>4441</v>
      </c>
      <c r="CA303" s="564">
        <v>0</v>
      </c>
      <c r="CB303" s="564">
        <v>0</v>
      </c>
      <c r="CC303" s="565">
        <v>0</v>
      </c>
      <c r="CD303" s="564">
        <f>BH303</f>
        <v>188647666.667</v>
      </c>
      <c r="CE303" s="217">
        <v>188647667</v>
      </c>
      <c r="CF303" s="218">
        <v>141646700</v>
      </c>
      <c r="CG303" s="566" t="s">
        <v>4435</v>
      </c>
      <c r="CH303" s="219" t="s">
        <v>4870</v>
      </c>
      <c r="CI303" s="165" t="s">
        <v>4547</v>
      </c>
      <c r="CJ303" s="220" t="s">
        <v>4898</v>
      </c>
    </row>
    <row r="304" spans="2:88" ht="171.95" customHeight="1" x14ac:dyDescent="0.25">
      <c r="B304" s="1227"/>
      <c r="C304" s="611"/>
      <c r="D304" s="594"/>
      <c r="E304" s="594"/>
      <c r="F304" s="594"/>
      <c r="G304" s="594"/>
      <c r="H304" s="594"/>
      <c r="I304" s="594"/>
      <c r="J304" s="594"/>
      <c r="K304" s="595"/>
      <c r="L304" s="592"/>
      <c r="M304" s="208" t="s">
        <v>4874</v>
      </c>
      <c r="N304" s="209" t="s">
        <v>4875</v>
      </c>
      <c r="O304" s="210">
        <v>0.7</v>
      </c>
      <c r="P304" s="211">
        <v>44211</v>
      </c>
      <c r="Q304" s="211">
        <v>44560</v>
      </c>
      <c r="R304" s="210">
        <v>0.25</v>
      </c>
      <c r="S304" s="210">
        <v>0.5</v>
      </c>
      <c r="T304" s="212">
        <v>0.75</v>
      </c>
      <c r="U304" s="210">
        <v>1</v>
      </c>
      <c r="V304" s="90">
        <v>0.25</v>
      </c>
      <c r="W304" s="62" t="s">
        <v>4876</v>
      </c>
      <c r="X304" s="63" t="s">
        <v>4877</v>
      </c>
      <c r="Y304" s="66" t="str">
        <f t="shared" si="46"/>
        <v>En gestión</v>
      </c>
      <c r="Z304" s="66" t="str">
        <f t="shared" si="47"/>
        <v>En gestión</v>
      </c>
      <c r="AA304" s="532"/>
      <c r="AB304" s="596"/>
      <c r="AC304" s="597"/>
      <c r="AD304" s="530"/>
      <c r="AE304" s="530"/>
      <c r="AF304" s="66" t="s">
        <v>37</v>
      </c>
      <c r="AG304" s="579"/>
      <c r="AH304" s="579"/>
      <c r="AI304" s="579"/>
      <c r="AJ304" s="64">
        <v>35000000</v>
      </c>
      <c r="AK304" s="64">
        <v>22800000</v>
      </c>
      <c r="AL304" s="64">
        <v>8360000</v>
      </c>
      <c r="AM304" s="592"/>
      <c r="AN304" s="598"/>
      <c r="AO304" s="209" t="s">
        <v>4470</v>
      </c>
      <c r="AP304" s="62" t="s">
        <v>2479</v>
      </c>
      <c r="AQ304" s="69">
        <f>+AK304</f>
        <v>22800000</v>
      </c>
      <c r="AR304" s="1163">
        <v>1</v>
      </c>
      <c r="AS304" s="62" t="s">
        <v>4878</v>
      </c>
      <c r="AT304" s="63" t="s">
        <v>4879</v>
      </c>
      <c r="AU304" s="66" t="str">
        <f t="shared" si="48"/>
        <v>En gestión</v>
      </c>
      <c r="AV304" s="66" t="str">
        <f t="shared" si="49"/>
        <v>Terminado</v>
      </c>
      <c r="AW304" s="532"/>
      <c r="AX304" s="599"/>
      <c r="AY304" s="600"/>
      <c r="AZ304" s="530"/>
      <c r="BA304" s="530"/>
      <c r="BB304" s="66"/>
      <c r="BC304" s="530"/>
      <c r="BD304" s="579"/>
      <c r="BE304" s="579"/>
      <c r="BF304" s="579"/>
      <c r="BG304" s="579"/>
      <c r="BH304" s="64">
        <v>51300000</v>
      </c>
      <c r="BI304" s="64">
        <v>25650000</v>
      </c>
      <c r="BJ304" s="592"/>
      <c r="BK304" s="518"/>
      <c r="BL304" s="209" t="s">
        <v>4470</v>
      </c>
      <c r="BM304" s="62" t="s">
        <v>2479</v>
      </c>
      <c r="BN304" s="69" t="s">
        <v>4474</v>
      </c>
      <c r="BO304" s="347">
        <v>1</v>
      </c>
      <c r="BP304" s="24" t="s">
        <v>3141</v>
      </c>
      <c r="BQ304" s="24" t="s">
        <v>3141</v>
      </c>
      <c r="BR304" s="66" t="str">
        <f t="shared" si="44"/>
        <v>Terminado</v>
      </c>
      <c r="BS304" s="66" t="str">
        <f t="shared" si="50"/>
        <v>Terminado</v>
      </c>
      <c r="BT304" s="560"/>
      <c r="BU304" s="561"/>
      <c r="BV304" s="562"/>
      <c r="BW304" s="530"/>
      <c r="BX304" s="530"/>
      <c r="BY304" s="578"/>
      <c r="BZ304" s="563"/>
      <c r="CA304" s="564"/>
      <c r="CB304" s="564"/>
      <c r="CC304" s="565"/>
      <c r="CD304" s="564"/>
      <c r="CE304" s="217">
        <v>51300000</v>
      </c>
      <c r="CF304" s="218">
        <v>60420000</v>
      </c>
      <c r="CG304" s="566"/>
      <c r="CH304" s="219" t="s">
        <v>4470</v>
      </c>
      <c r="CI304" s="165" t="s">
        <v>2479</v>
      </c>
      <c r="CJ304" s="220" t="s">
        <v>4474</v>
      </c>
    </row>
    <row r="305" spans="2:88" ht="171.95" customHeight="1" x14ac:dyDescent="0.25">
      <c r="B305" s="1227" t="s">
        <v>5227</v>
      </c>
      <c r="C305" s="960" t="s">
        <v>4990</v>
      </c>
      <c r="D305" s="204" t="s">
        <v>25</v>
      </c>
      <c r="E305" s="204" t="s">
        <v>160</v>
      </c>
      <c r="F305" s="601" t="s">
        <v>4991</v>
      </c>
      <c r="G305" s="204" t="s">
        <v>28</v>
      </c>
      <c r="H305" s="204" t="s">
        <v>28</v>
      </c>
      <c r="I305" s="204" t="s">
        <v>162</v>
      </c>
      <c r="J305" s="204" t="s">
        <v>194</v>
      </c>
      <c r="K305" s="602" t="s">
        <v>4992</v>
      </c>
      <c r="L305" s="58" t="s">
        <v>164</v>
      </c>
      <c r="M305" s="202" t="s">
        <v>4993</v>
      </c>
      <c r="N305" s="203" t="s">
        <v>4994</v>
      </c>
      <c r="O305" s="204">
        <v>0.5</v>
      </c>
      <c r="P305" s="205">
        <v>44229</v>
      </c>
      <c r="Q305" s="205">
        <v>44561</v>
      </c>
      <c r="R305" s="204">
        <v>0.2</v>
      </c>
      <c r="S305" s="204">
        <v>0.5</v>
      </c>
      <c r="T305" s="206">
        <v>0.75</v>
      </c>
      <c r="U305" s="204">
        <v>1</v>
      </c>
      <c r="V305" s="90">
        <v>0.2</v>
      </c>
      <c r="W305" s="13" t="s">
        <v>4995</v>
      </c>
      <c r="X305" s="55" t="s">
        <v>4996</v>
      </c>
      <c r="Y305" s="56" t="str">
        <f t="shared" si="46"/>
        <v>En gestión</v>
      </c>
      <c r="Z305" s="56" t="str">
        <f t="shared" si="47"/>
        <v>En gestión</v>
      </c>
      <c r="AA305" s="531" t="s">
        <v>4997</v>
      </c>
      <c r="AB305" s="596">
        <f>SUMPRODUCT(O305:O306,V305:V306)</f>
        <v>0.2</v>
      </c>
      <c r="AC305" s="597">
        <f>SUMPRODUCT(O305:O306,R305:R306)</f>
        <v>0.2</v>
      </c>
      <c r="AD305" s="536" t="str">
        <f>IF(AC305&lt;1%,"Sin iniciar",IF(AC305=100%,"Terminado","En gestión"))</f>
        <v>En gestión</v>
      </c>
      <c r="AE305" s="536" t="str">
        <f>IF(AB305&lt;1%,"Sin iniciar",IF(AB305=100%,"Terminado","En gestión"))</f>
        <v>En gestión</v>
      </c>
      <c r="AF305" s="56"/>
      <c r="AG305" s="583">
        <v>70250000</v>
      </c>
      <c r="AH305" s="583">
        <v>70250000</v>
      </c>
      <c r="AI305" s="583">
        <v>17562500</v>
      </c>
      <c r="AJ305" s="583">
        <v>410936000</v>
      </c>
      <c r="AK305" s="583">
        <v>410588000</v>
      </c>
      <c r="AL305" s="583">
        <v>62492000</v>
      </c>
      <c r="AM305" s="531" t="s">
        <v>4998</v>
      </c>
      <c r="AN305" s="605" t="s">
        <v>4999</v>
      </c>
      <c r="AO305" s="531" t="s">
        <v>2480</v>
      </c>
      <c r="AP305" s="536" t="s">
        <v>5000</v>
      </c>
      <c r="AQ305" s="583">
        <f>+AK305</f>
        <v>410588000</v>
      </c>
      <c r="AR305" s="1163">
        <v>0.5</v>
      </c>
      <c r="AS305" s="13" t="s">
        <v>5001</v>
      </c>
      <c r="AT305" s="55" t="s">
        <v>4996</v>
      </c>
      <c r="AU305" s="56" t="str">
        <f t="shared" si="48"/>
        <v>En gestión</v>
      </c>
      <c r="AV305" s="56" t="str">
        <f t="shared" si="49"/>
        <v>En gestión</v>
      </c>
      <c r="AW305" s="531" t="s">
        <v>5002</v>
      </c>
      <c r="AX305" s="599">
        <f>SUMPRODUCT(O305:O306,AR305:AR306)</f>
        <v>0.5</v>
      </c>
      <c r="AY305" s="600">
        <f>SUMPRODUCT(S305:S306,O305:O306)</f>
        <v>0.5</v>
      </c>
      <c r="AZ305" s="536" t="str">
        <f>IF(AY305&lt;1%,"Sin iniciar",IF(AY305=100%,"Terminado","En gestión"))</f>
        <v>En gestión</v>
      </c>
      <c r="BA305" s="536" t="str">
        <f>IF(AX305&lt;1%,"Sin iniciar",IF(AX305=100%,"Terminado","En gestión"))</f>
        <v>En gestión</v>
      </c>
      <c r="BB305" s="56"/>
      <c r="BC305" s="56"/>
      <c r="BD305" s="583">
        <v>70250000</v>
      </c>
      <c r="BE305" s="583">
        <v>70250000</v>
      </c>
      <c r="BF305" s="583">
        <v>35125000</v>
      </c>
      <c r="BG305" s="583">
        <v>410936000</v>
      </c>
      <c r="BH305" s="583">
        <v>425031000</v>
      </c>
      <c r="BI305" s="583">
        <v>182351200</v>
      </c>
      <c r="BJ305" s="581" t="s">
        <v>4998</v>
      </c>
      <c r="BK305" s="522"/>
      <c r="BL305" s="581" t="s">
        <v>2480</v>
      </c>
      <c r="BM305" s="573" t="s">
        <v>5000</v>
      </c>
      <c r="BN305" s="659" t="s">
        <v>5003</v>
      </c>
      <c r="BO305" s="347">
        <v>0.75</v>
      </c>
      <c r="BP305" s="13" t="s">
        <v>5004</v>
      </c>
      <c r="BQ305" s="13" t="s">
        <v>4996</v>
      </c>
      <c r="BR305" s="56" t="str">
        <f t="shared" ref="BR305:BR324" si="51">IF(T305&lt;1%,"Sin iniciar",IF(T305=100%,"Terminado","En gestión"))</f>
        <v>En gestión</v>
      </c>
      <c r="BS305" s="56" t="str">
        <f t="shared" si="50"/>
        <v>En gestión</v>
      </c>
      <c r="BT305" s="531" t="s">
        <v>5005</v>
      </c>
      <c r="BU305" s="561">
        <f>SUMPRODUCT(O305:O306,BO305:BO306)</f>
        <v>0.75</v>
      </c>
      <c r="BV305" s="562">
        <f>SUMPRODUCT(O305:O306,T305:T306)</f>
        <v>0.75</v>
      </c>
      <c r="BW305" s="536" t="str">
        <f>IF(BV305&lt;1%,"Sin iniciar",IF(BV305=100%,"Terminado","En gestión"))</f>
        <v>En gestión</v>
      </c>
      <c r="BX305" s="536" t="str">
        <f>IF(BU305&lt;1%,"Sin iniciar",IF(BU305=100%,"Terminado","En gestión"))</f>
        <v>En gestión</v>
      </c>
      <c r="BY305" s="573" t="s">
        <v>37</v>
      </c>
      <c r="BZ305" s="531" t="s">
        <v>1555</v>
      </c>
      <c r="CA305" s="961">
        <v>70250000</v>
      </c>
      <c r="CB305" s="961">
        <v>70250000</v>
      </c>
      <c r="CC305" s="961">
        <v>52687500</v>
      </c>
      <c r="CD305" s="961">
        <v>425031000</v>
      </c>
      <c r="CE305" s="961">
        <v>420378867</v>
      </c>
      <c r="CF305" s="961">
        <v>292492200</v>
      </c>
      <c r="CG305" s="573" t="s">
        <v>5006</v>
      </c>
      <c r="CH305" s="581" t="s">
        <v>2480</v>
      </c>
      <c r="CI305" s="573" t="s">
        <v>5000</v>
      </c>
      <c r="CJ305" s="573" t="s">
        <v>5003</v>
      </c>
    </row>
    <row r="306" spans="2:88" ht="171.95" customHeight="1" x14ac:dyDescent="0.25">
      <c r="B306" s="1227"/>
      <c r="C306" s="960"/>
      <c r="D306" s="204" t="s">
        <v>25</v>
      </c>
      <c r="E306" s="204" t="s">
        <v>160</v>
      </c>
      <c r="F306" s="601"/>
      <c r="G306" s="204" t="s">
        <v>28</v>
      </c>
      <c r="H306" s="204" t="s">
        <v>28</v>
      </c>
      <c r="I306" s="204" t="s">
        <v>162</v>
      </c>
      <c r="J306" s="204" t="s">
        <v>194</v>
      </c>
      <c r="K306" s="602"/>
      <c r="L306" s="58" t="s">
        <v>164</v>
      </c>
      <c r="M306" s="202" t="s">
        <v>5007</v>
      </c>
      <c r="N306" s="203" t="s">
        <v>5008</v>
      </c>
      <c r="O306" s="204">
        <v>0.5</v>
      </c>
      <c r="P306" s="205">
        <v>44229</v>
      </c>
      <c r="Q306" s="205">
        <v>44561</v>
      </c>
      <c r="R306" s="204">
        <v>0.2</v>
      </c>
      <c r="S306" s="204">
        <v>0.5</v>
      </c>
      <c r="T306" s="206">
        <v>0.75</v>
      </c>
      <c r="U306" s="204">
        <v>1</v>
      </c>
      <c r="V306" s="90">
        <v>0.2</v>
      </c>
      <c r="W306" s="13" t="s">
        <v>5009</v>
      </c>
      <c r="X306" s="55" t="s">
        <v>5010</v>
      </c>
      <c r="Y306" s="56" t="str">
        <f t="shared" si="46"/>
        <v>En gestión</v>
      </c>
      <c r="Z306" s="56" t="str">
        <f t="shared" si="47"/>
        <v>En gestión</v>
      </c>
      <c r="AA306" s="536"/>
      <c r="AB306" s="596"/>
      <c r="AC306" s="597"/>
      <c r="AD306" s="536"/>
      <c r="AE306" s="536"/>
      <c r="AF306" s="56"/>
      <c r="AG306" s="583"/>
      <c r="AH306" s="583"/>
      <c r="AI306" s="583"/>
      <c r="AJ306" s="583"/>
      <c r="AK306" s="583"/>
      <c r="AL306" s="583"/>
      <c r="AM306" s="531"/>
      <c r="AN306" s="605"/>
      <c r="AO306" s="531"/>
      <c r="AP306" s="536" t="s">
        <v>2466</v>
      </c>
      <c r="AQ306" s="583"/>
      <c r="AR306" s="1163">
        <v>0.5</v>
      </c>
      <c r="AS306" s="13" t="s">
        <v>5011</v>
      </c>
      <c r="AT306" s="55" t="s">
        <v>5010</v>
      </c>
      <c r="AU306" s="56" t="str">
        <f t="shared" si="48"/>
        <v>En gestión</v>
      </c>
      <c r="AV306" s="56" t="str">
        <f t="shared" si="49"/>
        <v>En gestión</v>
      </c>
      <c r="AW306" s="536"/>
      <c r="AX306" s="599"/>
      <c r="AY306" s="600"/>
      <c r="AZ306" s="536"/>
      <c r="BA306" s="536"/>
      <c r="BB306" s="56"/>
      <c r="BC306" s="56"/>
      <c r="BD306" s="583"/>
      <c r="BE306" s="583"/>
      <c r="BF306" s="583"/>
      <c r="BG306" s="583"/>
      <c r="BH306" s="583"/>
      <c r="BI306" s="583"/>
      <c r="BJ306" s="581"/>
      <c r="BK306" s="523"/>
      <c r="BL306" s="581"/>
      <c r="BM306" s="573" t="s">
        <v>2466</v>
      </c>
      <c r="BN306" s="659"/>
      <c r="BO306" s="347">
        <v>0.75</v>
      </c>
      <c r="BP306" s="13" t="s">
        <v>5012</v>
      </c>
      <c r="BQ306" s="13" t="s">
        <v>5010</v>
      </c>
      <c r="BR306" s="56" t="str">
        <f t="shared" si="51"/>
        <v>En gestión</v>
      </c>
      <c r="BS306" s="56" t="str">
        <f t="shared" si="50"/>
        <v>En gestión</v>
      </c>
      <c r="BT306" s="536"/>
      <c r="BU306" s="561"/>
      <c r="BV306" s="562"/>
      <c r="BW306" s="536"/>
      <c r="BX306" s="536"/>
      <c r="BY306" s="573"/>
      <c r="BZ306" s="536"/>
      <c r="CA306" s="961"/>
      <c r="CB306" s="961"/>
      <c r="CC306" s="961"/>
      <c r="CD306" s="961"/>
      <c r="CE306" s="961"/>
      <c r="CF306" s="961"/>
      <c r="CG306" s="573"/>
      <c r="CH306" s="581"/>
      <c r="CI306" s="573" t="s">
        <v>2466</v>
      </c>
      <c r="CJ306" s="573"/>
    </row>
    <row r="307" spans="2:88" ht="171.95" customHeight="1" x14ac:dyDescent="0.25">
      <c r="B307" s="1227"/>
      <c r="C307" s="962" t="s">
        <v>5013</v>
      </c>
      <c r="D307" s="210" t="s">
        <v>25</v>
      </c>
      <c r="E307" s="210" t="s">
        <v>160</v>
      </c>
      <c r="F307" s="594" t="s">
        <v>5014</v>
      </c>
      <c r="G307" s="210" t="s">
        <v>28</v>
      </c>
      <c r="H307" s="210" t="s">
        <v>28</v>
      </c>
      <c r="I307" s="210" t="s">
        <v>162</v>
      </c>
      <c r="J307" s="210" t="s">
        <v>191</v>
      </c>
      <c r="K307" s="595" t="s">
        <v>5015</v>
      </c>
      <c r="L307" s="67" t="s">
        <v>164</v>
      </c>
      <c r="M307" s="208" t="s">
        <v>5016</v>
      </c>
      <c r="N307" s="209" t="s">
        <v>5017</v>
      </c>
      <c r="O307" s="210">
        <v>0.7</v>
      </c>
      <c r="P307" s="211">
        <v>44228</v>
      </c>
      <c r="Q307" s="211">
        <v>44561</v>
      </c>
      <c r="R307" s="210">
        <v>0.1</v>
      </c>
      <c r="S307" s="210">
        <v>0.5</v>
      </c>
      <c r="T307" s="212">
        <v>0.7</v>
      </c>
      <c r="U307" s="210">
        <v>1</v>
      </c>
      <c r="V307" s="90">
        <v>0.1</v>
      </c>
      <c r="W307" s="62" t="s">
        <v>5018</v>
      </c>
      <c r="X307" s="63" t="s">
        <v>5019</v>
      </c>
      <c r="Y307" s="66" t="str">
        <f t="shared" si="46"/>
        <v>En gestión</v>
      </c>
      <c r="Z307" s="66" t="str">
        <f t="shared" si="47"/>
        <v>En gestión</v>
      </c>
      <c r="AA307" s="532" t="s">
        <v>5020</v>
      </c>
      <c r="AB307" s="596">
        <f>SUMPRODUCT(O307:O308,V307:V308)</f>
        <v>9.9999999999999992E-2</v>
      </c>
      <c r="AC307" s="597">
        <f>SUMPRODUCT(O307:O308,R307:R308)</f>
        <v>9.9999999999999992E-2</v>
      </c>
      <c r="AD307" s="530" t="str">
        <f>IF(AC307&lt;1%,"Sin iniciar",IF(AC307=100%,"Terminado","En gestión"))</f>
        <v>En gestión</v>
      </c>
      <c r="AE307" s="530" t="str">
        <f>IF(AB307&lt;1%,"Sin iniciar",IF(AB307=100%,"Terminado","En gestión"))</f>
        <v>En gestión</v>
      </c>
      <c r="AF307" s="66"/>
      <c r="AG307" s="579">
        <v>570000000</v>
      </c>
      <c r="AH307" s="579">
        <v>570000000</v>
      </c>
      <c r="AI307" s="579">
        <v>142500000</v>
      </c>
      <c r="AJ307" s="579">
        <v>1361003647</v>
      </c>
      <c r="AK307" s="579">
        <v>1361184980.3299999</v>
      </c>
      <c r="AL307" s="579">
        <v>181290754</v>
      </c>
      <c r="AM307" s="592" t="s">
        <v>4998</v>
      </c>
      <c r="AN307" s="598" t="s">
        <v>4999</v>
      </c>
      <c r="AO307" s="532" t="s">
        <v>2480</v>
      </c>
      <c r="AP307" s="532" t="s">
        <v>5000</v>
      </c>
      <c r="AQ307" s="579">
        <f>+AK307</f>
        <v>1361184980.3299999</v>
      </c>
      <c r="AR307" s="1163">
        <v>0.5</v>
      </c>
      <c r="AS307" s="62" t="s">
        <v>5021</v>
      </c>
      <c r="AT307" s="63" t="s">
        <v>5019</v>
      </c>
      <c r="AU307" s="66" t="str">
        <f t="shared" si="48"/>
        <v>En gestión</v>
      </c>
      <c r="AV307" s="66" t="str">
        <f t="shared" si="49"/>
        <v>En gestión</v>
      </c>
      <c r="AW307" s="532" t="s">
        <v>5022</v>
      </c>
      <c r="AX307" s="599">
        <f>SUMPRODUCT(O307:O308,AR307:AR308)</f>
        <v>0.5</v>
      </c>
      <c r="AY307" s="600">
        <f>SUMPRODUCT(S307:S308,O307:O308)</f>
        <v>0.5</v>
      </c>
      <c r="AZ307" s="530" t="str">
        <f>IF(AY307&lt;1%,"Sin iniciar",IF(AY307=100%,"Terminado","En gestión"))</f>
        <v>En gestión</v>
      </c>
      <c r="BA307" s="530" t="str">
        <f>IF(AX307&lt;1%,"Sin iniciar",IF(AX307=100%,"Terminado","En gestión"))</f>
        <v>En gestión</v>
      </c>
      <c r="BB307" s="66"/>
      <c r="BC307" s="66"/>
      <c r="BD307" s="579">
        <v>570000000</v>
      </c>
      <c r="BE307" s="579">
        <v>570000000</v>
      </c>
      <c r="BF307" s="579">
        <v>285000000</v>
      </c>
      <c r="BG307" s="579">
        <v>1361003647</v>
      </c>
      <c r="BH307" s="963">
        <v>1269184353</v>
      </c>
      <c r="BI307" s="963">
        <v>520566885</v>
      </c>
      <c r="BJ307" s="964" t="s">
        <v>4998</v>
      </c>
      <c r="BK307" s="524"/>
      <c r="BL307" s="965" t="s">
        <v>2480</v>
      </c>
      <c r="BM307" s="965" t="s">
        <v>5000</v>
      </c>
      <c r="BN307" s="966" t="s">
        <v>5023</v>
      </c>
      <c r="BO307" s="347">
        <v>0.7</v>
      </c>
      <c r="BP307" s="62" t="s">
        <v>5024</v>
      </c>
      <c r="BQ307" s="62" t="s">
        <v>5019</v>
      </c>
      <c r="BR307" s="66" t="str">
        <f t="shared" si="51"/>
        <v>En gestión</v>
      </c>
      <c r="BS307" s="66" t="str">
        <f t="shared" si="50"/>
        <v>En gestión</v>
      </c>
      <c r="BT307" s="532" t="s">
        <v>5025</v>
      </c>
      <c r="BU307" s="561">
        <f>SUMPRODUCT(O307:O308,BO307:BO308)</f>
        <v>0.7</v>
      </c>
      <c r="BV307" s="562">
        <f>SUMPRODUCT(O307:O308,T307:T308)</f>
        <v>0.7</v>
      </c>
      <c r="BW307" s="530" t="str">
        <f>IF(BV307&lt;1%,"Sin iniciar",IF(BV307=100%,"Terminado","En gestión"))</f>
        <v>En gestión</v>
      </c>
      <c r="BX307" s="530" t="str">
        <f>IF(BU307&lt;1%,"Sin iniciar",IF(BU307=100%,"Terminado","En gestión"))</f>
        <v>En gestión</v>
      </c>
      <c r="BY307" s="578" t="s">
        <v>37</v>
      </c>
      <c r="BZ307" s="532" t="s">
        <v>1555</v>
      </c>
      <c r="CA307" s="967">
        <v>570000000</v>
      </c>
      <c r="CB307" s="967">
        <v>570000000</v>
      </c>
      <c r="CC307" s="967">
        <v>427500000</v>
      </c>
      <c r="CD307" s="967">
        <v>1268184353</v>
      </c>
      <c r="CE307" s="967">
        <v>1248939152</v>
      </c>
      <c r="CF307" s="967">
        <v>842423852</v>
      </c>
      <c r="CG307" s="967" t="s">
        <v>5006</v>
      </c>
      <c r="CH307" s="968" t="s">
        <v>2480</v>
      </c>
      <c r="CI307" s="967" t="s">
        <v>5000</v>
      </c>
      <c r="CJ307" s="967" t="s">
        <v>5026</v>
      </c>
    </row>
    <row r="308" spans="2:88" ht="171.95" customHeight="1" x14ac:dyDescent="0.25">
      <c r="B308" s="1227"/>
      <c r="C308" s="962"/>
      <c r="D308" s="210" t="s">
        <v>25</v>
      </c>
      <c r="E308" s="210" t="s">
        <v>160</v>
      </c>
      <c r="F308" s="594"/>
      <c r="G308" s="210" t="s">
        <v>28</v>
      </c>
      <c r="H308" s="210" t="s">
        <v>28</v>
      </c>
      <c r="I308" s="210" t="s">
        <v>162</v>
      </c>
      <c r="J308" s="210" t="s">
        <v>191</v>
      </c>
      <c r="K308" s="595"/>
      <c r="L308" s="67" t="s">
        <v>164</v>
      </c>
      <c r="M308" s="208" t="s">
        <v>5027</v>
      </c>
      <c r="N308" s="209" t="s">
        <v>5028</v>
      </c>
      <c r="O308" s="210">
        <v>0.3</v>
      </c>
      <c r="P308" s="211">
        <v>44228</v>
      </c>
      <c r="Q308" s="211">
        <v>44561</v>
      </c>
      <c r="R308" s="210">
        <v>0.1</v>
      </c>
      <c r="S308" s="210">
        <v>0.5</v>
      </c>
      <c r="T308" s="212">
        <v>0.7</v>
      </c>
      <c r="U308" s="210">
        <v>1</v>
      </c>
      <c r="V308" s="90">
        <v>0.1</v>
      </c>
      <c r="W308" s="62" t="s">
        <v>5029</v>
      </c>
      <c r="X308" s="63" t="s">
        <v>5030</v>
      </c>
      <c r="Y308" s="66" t="str">
        <f t="shared" si="46"/>
        <v>En gestión</v>
      </c>
      <c r="Z308" s="66" t="str">
        <f t="shared" si="47"/>
        <v>En gestión</v>
      </c>
      <c r="AA308" s="530"/>
      <c r="AB308" s="596"/>
      <c r="AC308" s="597"/>
      <c r="AD308" s="530"/>
      <c r="AE308" s="530"/>
      <c r="AF308" s="66"/>
      <c r="AG308" s="579"/>
      <c r="AH308" s="579"/>
      <c r="AI308" s="579"/>
      <c r="AJ308" s="579"/>
      <c r="AK308" s="579"/>
      <c r="AL308" s="579"/>
      <c r="AM308" s="592"/>
      <c r="AN308" s="598"/>
      <c r="AO308" s="532"/>
      <c r="AP308" s="532"/>
      <c r="AQ308" s="579"/>
      <c r="AR308" s="1163">
        <v>0.5</v>
      </c>
      <c r="AS308" s="62" t="s">
        <v>5031</v>
      </c>
      <c r="AT308" s="63" t="s">
        <v>5030</v>
      </c>
      <c r="AU308" s="66" t="str">
        <f t="shared" si="48"/>
        <v>En gestión</v>
      </c>
      <c r="AV308" s="66" t="str">
        <f t="shared" si="49"/>
        <v>En gestión</v>
      </c>
      <c r="AW308" s="530"/>
      <c r="AX308" s="599"/>
      <c r="AY308" s="600"/>
      <c r="AZ308" s="530"/>
      <c r="BA308" s="530"/>
      <c r="BB308" s="66"/>
      <c r="BC308" s="66"/>
      <c r="BD308" s="579"/>
      <c r="BE308" s="579"/>
      <c r="BF308" s="579"/>
      <c r="BG308" s="579"/>
      <c r="BH308" s="963"/>
      <c r="BI308" s="963"/>
      <c r="BJ308" s="964"/>
      <c r="BK308" s="525"/>
      <c r="BL308" s="965"/>
      <c r="BM308" s="965"/>
      <c r="BN308" s="963"/>
      <c r="BO308" s="347">
        <v>0.7</v>
      </c>
      <c r="BP308" s="62" t="s">
        <v>5032</v>
      </c>
      <c r="BQ308" s="62" t="s">
        <v>5030</v>
      </c>
      <c r="BR308" s="66" t="str">
        <f t="shared" si="51"/>
        <v>En gestión</v>
      </c>
      <c r="BS308" s="66" t="str">
        <f t="shared" si="50"/>
        <v>En gestión</v>
      </c>
      <c r="BT308" s="530"/>
      <c r="BU308" s="561"/>
      <c r="BV308" s="562"/>
      <c r="BW308" s="530"/>
      <c r="BX308" s="530"/>
      <c r="BY308" s="578"/>
      <c r="BZ308" s="530"/>
      <c r="CA308" s="967"/>
      <c r="CB308" s="967"/>
      <c r="CC308" s="967"/>
      <c r="CD308" s="967"/>
      <c r="CE308" s="967"/>
      <c r="CF308" s="967"/>
      <c r="CG308" s="967"/>
      <c r="CH308" s="968"/>
      <c r="CI308" s="967"/>
      <c r="CJ308" s="967"/>
    </row>
    <row r="309" spans="2:88" ht="171.95" customHeight="1" x14ac:dyDescent="0.25">
      <c r="B309" s="1227"/>
      <c r="C309" s="202" t="s">
        <v>5033</v>
      </c>
      <c r="D309" s="204" t="s">
        <v>25</v>
      </c>
      <c r="E309" s="204" t="s">
        <v>160</v>
      </c>
      <c r="F309" s="204" t="s">
        <v>5034</v>
      </c>
      <c r="G309" s="204" t="s">
        <v>28</v>
      </c>
      <c r="H309" s="204" t="s">
        <v>28</v>
      </c>
      <c r="I309" s="204" t="s">
        <v>162</v>
      </c>
      <c r="J309" s="204" t="s">
        <v>191</v>
      </c>
      <c r="K309" s="221" t="s">
        <v>5035</v>
      </c>
      <c r="L309" s="58" t="s">
        <v>164</v>
      </c>
      <c r="M309" s="202" t="s">
        <v>5036</v>
      </c>
      <c r="N309" s="203" t="s">
        <v>5037</v>
      </c>
      <c r="O309" s="204">
        <v>1</v>
      </c>
      <c r="P309" s="205">
        <v>44229</v>
      </c>
      <c r="Q309" s="205">
        <v>44561</v>
      </c>
      <c r="R309" s="204">
        <v>0.1</v>
      </c>
      <c r="S309" s="204">
        <v>0.45</v>
      </c>
      <c r="T309" s="206">
        <v>0.75</v>
      </c>
      <c r="U309" s="204">
        <v>1</v>
      </c>
      <c r="V309" s="90">
        <v>0.1</v>
      </c>
      <c r="W309" s="13" t="s">
        <v>5038</v>
      </c>
      <c r="X309" s="55" t="s">
        <v>5039</v>
      </c>
      <c r="Y309" s="56" t="str">
        <f t="shared" si="46"/>
        <v>En gestión</v>
      </c>
      <c r="Z309" s="56" t="str">
        <f t="shared" si="47"/>
        <v>En gestión</v>
      </c>
      <c r="AA309" s="13" t="s">
        <v>5040</v>
      </c>
      <c r="AB309" s="90">
        <f>O309*V309</f>
        <v>0.1</v>
      </c>
      <c r="AC309" s="222">
        <f>O309*R309</f>
        <v>0.1</v>
      </c>
      <c r="AD309" s="56" t="str">
        <f>IF(AC309&lt;1%,"Sin iniciar",IF(AC309=100%,"Terminado","En gestión"))</f>
        <v>En gestión</v>
      </c>
      <c r="AE309" s="56" t="str">
        <f>IF(AB309&lt;1%,"Sin iniciar",IF(AB309=100%,"Terminado","En gestión"))</f>
        <v>En gestión</v>
      </c>
      <c r="AF309" s="56"/>
      <c r="AG309" s="59">
        <v>200500000</v>
      </c>
      <c r="AH309" s="57">
        <v>200500000</v>
      </c>
      <c r="AI309" s="57">
        <v>50125000</v>
      </c>
      <c r="AJ309" s="59">
        <v>229979500</v>
      </c>
      <c r="AK309" s="57">
        <v>229979500</v>
      </c>
      <c r="AL309" s="57">
        <v>32794000</v>
      </c>
      <c r="AM309" s="58" t="s">
        <v>4998</v>
      </c>
      <c r="AN309" s="223" t="s">
        <v>4999</v>
      </c>
      <c r="AO309" s="203" t="s">
        <v>2480</v>
      </c>
      <c r="AP309" s="13" t="s">
        <v>5000</v>
      </c>
      <c r="AQ309" s="59">
        <f>+AK309</f>
        <v>229979500</v>
      </c>
      <c r="AR309" s="1163">
        <v>0.45</v>
      </c>
      <c r="AS309" s="13" t="s">
        <v>5041</v>
      </c>
      <c r="AT309" s="55" t="s">
        <v>5042</v>
      </c>
      <c r="AU309" s="56" t="str">
        <f t="shared" si="48"/>
        <v>En gestión</v>
      </c>
      <c r="AV309" s="56" t="str">
        <f t="shared" si="49"/>
        <v>En gestión</v>
      </c>
      <c r="AW309" s="13" t="s">
        <v>5043</v>
      </c>
      <c r="AX309" s="28">
        <f>O309*AR309</f>
        <v>0.45</v>
      </c>
      <c r="AY309" s="224">
        <f>S309*O309</f>
        <v>0.45</v>
      </c>
      <c r="AZ309" s="56" t="str">
        <f>IF(AY309&lt;1%,"Sin iniciar",IF(AY309=100%,"Terminado","En gestión"))</f>
        <v>En gestión</v>
      </c>
      <c r="BA309" s="56" t="str">
        <f>IF(AX309&lt;1%,"Sin iniciar",IF(AX309=100%,"Terminado","En gestión"))</f>
        <v>En gestión</v>
      </c>
      <c r="BB309" s="56"/>
      <c r="BC309" s="56"/>
      <c r="BD309" s="59">
        <v>200500000</v>
      </c>
      <c r="BE309" s="59">
        <v>200500000</v>
      </c>
      <c r="BF309" s="59">
        <v>100250000</v>
      </c>
      <c r="BG309" s="59">
        <v>229979500</v>
      </c>
      <c r="BH309" s="59">
        <v>229979500</v>
      </c>
      <c r="BI309" s="59">
        <v>100921000</v>
      </c>
      <c r="BJ309" s="225" t="s">
        <v>4998</v>
      </c>
      <c r="BK309" s="225"/>
      <c r="BL309" s="203" t="s">
        <v>2480</v>
      </c>
      <c r="BM309" s="11" t="s">
        <v>5000</v>
      </c>
      <c r="BN309" s="59" t="s">
        <v>5044</v>
      </c>
      <c r="BO309" s="347">
        <v>0.75</v>
      </c>
      <c r="BP309" s="13" t="s">
        <v>5045</v>
      </c>
      <c r="BQ309" s="13" t="s">
        <v>5042</v>
      </c>
      <c r="BR309" s="56" t="str">
        <f t="shared" si="51"/>
        <v>En gestión</v>
      </c>
      <c r="BS309" s="56" t="str">
        <f t="shared" si="50"/>
        <v>En gestión</v>
      </c>
      <c r="BT309" s="13" t="s">
        <v>5046</v>
      </c>
      <c r="BU309" s="358">
        <f>O309*BO309</f>
        <v>0.75</v>
      </c>
      <c r="BV309" s="361">
        <f>O309*T309</f>
        <v>0.75</v>
      </c>
      <c r="BW309" s="56" t="str">
        <f>IF(BV309&lt;1%,"Sin iniciar",IF(BV309=100%,"Terminado","En gestión"))</f>
        <v>En gestión</v>
      </c>
      <c r="BX309" s="56" t="str">
        <f>IF(BU309&lt;1%,"Sin iniciar",IF(BU309=100%,"Terminado","En gestión"))</f>
        <v>En gestión</v>
      </c>
      <c r="BY309" s="12" t="s">
        <v>37</v>
      </c>
      <c r="BZ309" s="13" t="s">
        <v>1555</v>
      </c>
      <c r="CA309" s="226">
        <v>200500000</v>
      </c>
      <c r="CB309" s="226">
        <v>200500000</v>
      </c>
      <c r="CC309" s="12">
        <v>150375000</v>
      </c>
      <c r="CD309" s="226">
        <v>229979500</v>
      </c>
      <c r="CE309" s="226">
        <v>229979500</v>
      </c>
      <c r="CF309" s="226">
        <v>169048000</v>
      </c>
      <c r="CG309" s="12" t="s">
        <v>5006</v>
      </c>
      <c r="CH309" s="11" t="s">
        <v>2480</v>
      </c>
      <c r="CI309" s="12" t="s">
        <v>5000</v>
      </c>
      <c r="CJ309" s="12" t="s">
        <v>5044</v>
      </c>
    </row>
    <row r="310" spans="2:88" ht="171.95" customHeight="1" x14ac:dyDescent="0.25">
      <c r="B310" s="1227"/>
      <c r="C310" s="962" t="s">
        <v>5047</v>
      </c>
      <c r="D310" s="210" t="s">
        <v>5048</v>
      </c>
      <c r="E310" s="210" t="s">
        <v>160</v>
      </c>
      <c r="F310" s="594" t="s">
        <v>5049</v>
      </c>
      <c r="G310" s="210" t="s">
        <v>28</v>
      </c>
      <c r="H310" s="210" t="s">
        <v>28</v>
      </c>
      <c r="I310" s="210" t="s">
        <v>162</v>
      </c>
      <c r="J310" s="210" t="s">
        <v>194</v>
      </c>
      <c r="K310" s="595" t="s">
        <v>5050</v>
      </c>
      <c r="L310" s="67" t="s">
        <v>164</v>
      </c>
      <c r="M310" s="208" t="s">
        <v>5051</v>
      </c>
      <c r="N310" s="209" t="s">
        <v>5052</v>
      </c>
      <c r="O310" s="210">
        <v>0.1</v>
      </c>
      <c r="P310" s="211">
        <v>44228</v>
      </c>
      <c r="Q310" s="211">
        <v>44560</v>
      </c>
      <c r="R310" s="210">
        <v>0.25</v>
      </c>
      <c r="S310" s="210">
        <v>0.5</v>
      </c>
      <c r="T310" s="212">
        <v>0.75</v>
      </c>
      <c r="U310" s="210">
        <v>1</v>
      </c>
      <c r="V310" s="90">
        <v>0.25</v>
      </c>
      <c r="W310" s="62" t="s">
        <v>5053</v>
      </c>
      <c r="X310" s="63" t="s">
        <v>5054</v>
      </c>
      <c r="Y310" s="66" t="str">
        <f t="shared" si="46"/>
        <v>En gestión</v>
      </c>
      <c r="Z310" s="66" t="str">
        <f t="shared" si="47"/>
        <v>En gestión</v>
      </c>
      <c r="AA310" s="532" t="s">
        <v>5055</v>
      </c>
      <c r="AB310" s="604">
        <f>SUMPRODUCT(O310:O313,V310:V313)</f>
        <v>0.16</v>
      </c>
      <c r="AC310" s="597">
        <f>SUMPRODUCT(O310:O313,R310:R313)</f>
        <v>0.17499999999999999</v>
      </c>
      <c r="AD310" s="530" t="str">
        <f>IF(AC310&lt;1%,"Sin iniciar",IF(AC310=100%,"Terminado","En gestión"))</f>
        <v>En gestión</v>
      </c>
      <c r="AE310" s="530" t="str">
        <f>IF(AB310&lt;1%,"Sin iniciar",IF(AB310=100%,"Terminado","En gestión"))</f>
        <v>En gestión</v>
      </c>
      <c r="AF310" s="66"/>
      <c r="AG310" s="567">
        <v>51750000</v>
      </c>
      <c r="AH310" s="579">
        <v>51750000</v>
      </c>
      <c r="AI310" s="579">
        <v>12397500</v>
      </c>
      <c r="AJ310" s="567">
        <v>57209953</v>
      </c>
      <c r="AK310" s="579">
        <v>57209953</v>
      </c>
      <c r="AL310" s="579">
        <v>6028800</v>
      </c>
      <c r="AM310" s="592" t="s">
        <v>4998</v>
      </c>
      <c r="AN310" s="598" t="s">
        <v>4999</v>
      </c>
      <c r="AO310" s="521" t="s">
        <v>5056</v>
      </c>
      <c r="AP310" s="532" t="s">
        <v>5057</v>
      </c>
      <c r="AQ310" s="567">
        <f>+AK310</f>
        <v>57209953</v>
      </c>
      <c r="AR310" s="1163">
        <v>0.5</v>
      </c>
      <c r="AS310" s="62" t="s">
        <v>5058</v>
      </c>
      <c r="AT310" s="63" t="s">
        <v>5054</v>
      </c>
      <c r="AU310" s="66" t="str">
        <f t="shared" si="48"/>
        <v>En gestión</v>
      </c>
      <c r="AV310" s="66" t="str">
        <f t="shared" si="49"/>
        <v>En gestión</v>
      </c>
      <c r="AW310" s="532" t="s">
        <v>5059</v>
      </c>
      <c r="AX310" s="599">
        <f>SUMPRODUCT(O310:O313,AR310:AR313)</f>
        <v>0.38</v>
      </c>
      <c r="AY310" s="600">
        <f>SUMPRODUCT(S310:S313,O310:O313)</f>
        <v>0.38</v>
      </c>
      <c r="AZ310" s="530" t="str">
        <f>IF(AY310&lt;1%,"Sin iniciar",IF(AY310=100%,"Terminado","En gestión"))</f>
        <v>En gestión</v>
      </c>
      <c r="BA310" s="530" t="str">
        <f>IF(AX310&lt;1%,"Sin iniciar",IF(AX310=100%,"Terminado","En gestión"))</f>
        <v>En gestión</v>
      </c>
      <c r="BB310" s="66"/>
      <c r="BC310" s="66"/>
      <c r="BD310" s="567">
        <v>51750000</v>
      </c>
      <c r="BE310" s="567">
        <v>51750000</v>
      </c>
      <c r="BF310" s="567">
        <v>25875000</v>
      </c>
      <c r="BG310" s="567">
        <v>57209953</v>
      </c>
      <c r="BH310" s="579">
        <v>61552513.670000002</v>
      </c>
      <c r="BI310" s="579">
        <v>27169166</v>
      </c>
      <c r="BJ310" s="580" t="s">
        <v>4998</v>
      </c>
      <c r="BK310" s="526"/>
      <c r="BL310" s="521" t="s">
        <v>5056</v>
      </c>
      <c r="BM310" s="560" t="s">
        <v>5057</v>
      </c>
      <c r="BN310" s="567" t="s">
        <v>5060</v>
      </c>
      <c r="BO310" s="347">
        <v>0.75</v>
      </c>
      <c r="BP310" s="62" t="s">
        <v>5061</v>
      </c>
      <c r="BQ310" s="62" t="s">
        <v>5054</v>
      </c>
      <c r="BR310" s="66" t="str">
        <f t="shared" si="51"/>
        <v>En gestión</v>
      </c>
      <c r="BS310" s="66" t="str">
        <f t="shared" si="50"/>
        <v>En gestión</v>
      </c>
      <c r="BT310" s="532" t="s">
        <v>5062</v>
      </c>
      <c r="BU310" s="561">
        <f>SUMPRODUCT(O310:O313,BO310:BO313)</f>
        <v>0.72</v>
      </c>
      <c r="BV310" s="562">
        <f>SUMPRODUCT(O310:O313,T310:T313)</f>
        <v>0.72</v>
      </c>
      <c r="BW310" s="530" t="str">
        <f>IF(BV310&lt;1%,"Sin iniciar",IF(BV310=100%,"Terminado","En gestión"))</f>
        <v>En gestión</v>
      </c>
      <c r="BX310" s="530" t="str">
        <f>IF(BU310&lt;1%,"Sin iniciar",IF(BU310=100%,"Terminado","En gestión"))</f>
        <v>En gestión</v>
      </c>
      <c r="BY310" s="578" t="s">
        <v>37</v>
      </c>
      <c r="BZ310" s="532" t="s">
        <v>1555</v>
      </c>
      <c r="CA310" s="967">
        <v>51750000</v>
      </c>
      <c r="CB310" s="967">
        <v>51750000</v>
      </c>
      <c r="CC310" s="967">
        <v>38812000</v>
      </c>
      <c r="CD310" s="967">
        <v>61552513.670000002</v>
      </c>
      <c r="CE310" s="967">
        <v>61552513.670000002</v>
      </c>
      <c r="CF310" s="967">
        <v>44224039</v>
      </c>
      <c r="CG310" s="578" t="s">
        <v>5006</v>
      </c>
      <c r="CH310" s="521" t="s">
        <v>5056</v>
      </c>
      <c r="CI310" s="560" t="s">
        <v>5057</v>
      </c>
      <c r="CJ310" s="567" t="s">
        <v>5060</v>
      </c>
    </row>
    <row r="311" spans="2:88" ht="171.95" customHeight="1" x14ac:dyDescent="0.25">
      <c r="B311" s="1227"/>
      <c r="C311" s="962"/>
      <c r="D311" s="210" t="s">
        <v>5048</v>
      </c>
      <c r="E311" s="210" t="s">
        <v>160</v>
      </c>
      <c r="F311" s="594"/>
      <c r="G311" s="210" t="s">
        <v>28</v>
      </c>
      <c r="H311" s="210" t="s">
        <v>28</v>
      </c>
      <c r="I311" s="210" t="s">
        <v>162</v>
      </c>
      <c r="J311" s="210" t="s">
        <v>30</v>
      </c>
      <c r="K311" s="595"/>
      <c r="L311" s="67" t="s">
        <v>164</v>
      </c>
      <c r="M311" s="208" t="s">
        <v>5063</v>
      </c>
      <c r="N311" s="209" t="s">
        <v>5064</v>
      </c>
      <c r="O311" s="210">
        <v>0.3</v>
      </c>
      <c r="P311" s="211">
        <v>44228</v>
      </c>
      <c r="Q311" s="211">
        <v>44561</v>
      </c>
      <c r="R311" s="210">
        <v>0.15</v>
      </c>
      <c r="S311" s="210">
        <v>0.3</v>
      </c>
      <c r="T311" s="212">
        <v>0.7</v>
      </c>
      <c r="U311" s="210">
        <v>1</v>
      </c>
      <c r="V311" s="90">
        <v>0.15</v>
      </c>
      <c r="W311" s="62" t="s">
        <v>5065</v>
      </c>
      <c r="X311" s="63" t="s">
        <v>5066</v>
      </c>
      <c r="Y311" s="66" t="str">
        <f t="shared" si="46"/>
        <v>En gestión</v>
      </c>
      <c r="Z311" s="66" t="str">
        <f t="shared" si="47"/>
        <v>En gestión</v>
      </c>
      <c r="AA311" s="530"/>
      <c r="AB311" s="604"/>
      <c r="AC311" s="597"/>
      <c r="AD311" s="530"/>
      <c r="AE311" s="530"/>
      <c r="AF311" s="66"/>
      <c r="AG311" s="567"/>
      <c r="AH311" s="579"/>
      <c r="AI311" s="579"/>
      <c r="AJ311" s="567"/>
      <c r="AK311" s="579"/>
      <c r="AL311" s="579"/>
      <c r="AM311" s="592"/>
      <c r="AN311" s="598"/>
      <c r="AO311" s="521"/>
      <c r="AP311" s="532"/>
      <c r="AQ311" s="567"/>
      <c r="AR311" s="1163">
        <v>0.3</v>
      </c>
      <c r="AS311" s="62" t="s">
        <v>5067</v>
      </c>
      <c r="AT311" s="63" t="s">
        <v>5066</v>
      </c>
      <c r="AU311" s="66" t="str">
        <f t="shared" si="48"/>
        <v>En gestión</v>
      </c>
      <c r="AV311" s="66" t="str">
        <f t="shared" si="49"/>
        <v>En gestión</v>
      </c>
      <c r="AW311" s="530"/>
      <c r="AX311" s="599"/>
      <c r="AY311" s="600"/>
      <c r="AZ311" s="530"/>
      <c r="BA311" s="530"/>
      <c r="BB311" s="66"/>
      <c r="BC311" s="66"/>
      <c r="BD311" s="567"/>
      <c r="BE311" s="567"/>
      <c r="BF311" s="567"/>
      <c r="BG311" s="567"/>
      <c r="BH311" s="579"/>
      <c r="BI311" s="579"/>
      <c r="BJ311" s="580"/>
      <c r="BK311" s="527"/>
      <c r="BL311" s="521"/>
      <c r="BM311" s="560"/>
      <c r="BN311" s="567"/>
      <c r="BO311" s="347">
        <v>0.7</v>
      </c>
      <c r="BP311" s="62" t="s">
        <v>5068</v>
      </c>
      <c r="BQ311" s="62" t="s">
        <v>5066</v>
      </c>
      <c r="BR311" s="66" t="str">
        <f t="shared" si="51"/>
        <v>En gestión</v>
      </c>
      <c r="BS311" s="66" t="str">
        <f t="shared" si="50"/>
        <v>En gestión</v>
      </c>
      <c r="BT311" s="530"/>
      <c r="BU311" s="561"/>
      <c r="BV311" s="562"/>
      <c r="BW311" s="530"/>
      <c r="BX311" s="530"/>
      <c r="BY311" s="578"/>
      <c r="BZ311" s="530"/>
      <c r="CA311" s="967"/>
      <c r="CB311" s="967"/>
      <c r="CC311" s="967"/>
      <c r="CD311" s="967"/>
      <c r="CE311" s="967"/>
      <c r="CF311" s="967"/>
      <c r="CG311" s="578"/>
      <c r="CH311" s="521"/>
      <c r="CI311" s="560"/>
      <c r="CJ311" s="567"/>
    </row>
    <row r="312" spans="2:88" ht="171.95" customHeight="1" x14ac:dyDescent="0.25">
      <c r="B312" s="1227"/>
      <c r="C312" s="962"/>
      <c r="D312" s="210" t="s">
        <v>5048</v>
      </c>
      <c r="E312" s="210" t="s">
        <v>160</v>
      </c>
      <c r="F312" s="594"/>
      <c r="G312" s="210" t="s">
        <v>28</v>
      </c>
      <c r="H312" s="210" t="s">
        <v>28</v>
      </c>
      <c r="I312" s="210" t="s">
        <v>162</v>
      </c>
      <c r="J312" s="210" t="s">
        <v>30</v>
      </c>
      <c r="K312" s="595"/>
      <c r="L312" s="67" t="s">
        <v>164</v>
      </c>
      <c r="M312" s="208" t="s">
        <v>5069</v>
      </c>
      <c r="N312" s="209" t="s">
        <v>5070</v>
      </c>
      <c r="O312" s="210">
        <v>0.3</v>
      </c>
      <c r="P312" s="211">
        <v>44228</v>
      </c>
      <c r="Q312" s="211">
        <v>44561</v>
      </c>
      <c r="R312" s="210">
        <v>0.15</v>
      </c>
      <c r="S312" s="210">
        <v>0.3</v>
      </c>
      <c r="T312" s="212">
        <v>0.7</v>
      </c>
      <c r="U312" s="210">
        <v>1</v>
      </c>
      <c r="V312" s="90">
        <v>0.15</v>
      </c>
      <c r="W312" s="62" t="s">
        <v>5071</v>
      </c>
      <c r="X312" s="63" t="s">
        <v>5072</v>
      </c>
      <c r="Y312" s="66" t="str">
        <f t="shared" si="46"/>
        <v>En gestión</v>
      </c>
      <c r="Z312" s="66" t="str">
        <f t="shared" si="47"/>
        <v>En gestión</v>
      </c>
      <c r="AA312" s="530"/>
      <c r="AB312" s="604"/>
      <c r="AC312" s="597"/>
      <c r="AD312" s="530"/>
      <c r="AE312" s="530"/>
      <c r="AF312" s="66"/>
      <c r="AG312" s="567"/>
      <c r="AH312" s="579"/>
      <c r="AI312" s="579"/>
      <c r="AJ312" s="567"/>
      <c r="AK312" s="579"/>
      <c r="AL312" s="579"/>
      <c r="AM312" s="592"/>
      <c r="AN312" s="598"/>
      <c r="AO312" s="521"/>
      <c r="AP312" s="532"/>
      <c r="AQ312" s="567"/>
      <c r="AR312" s="1163">
        <v>0.3</v>
      </c>
      <c r="AS312" s="62" t="s">
        <v>5073</v>
      </c>
      <c r="AT312" s="63" t="s">
        <v>5072</v>
      </c>
      <c r="AU312" s="66" t="str">
        <f t="shared" si="48"/>
        <v>En gestión</v>
      </c>
      <c r="AV312" s="66" t="str">
        <f t="shared" si="49"/>
        <v>En gestión</v>
      </c>
      <c r="AW312" s="530"/>
      <c r="AX312" s="599"/>
      <c r="AY312" s="600"/>
      <c r="AZ312" s="530"/>
      <c r="BA312" s="530"/>
      <c r="BB312" s="66"/>
      <c r="BC312" s="66"/>
      <c r="BD312" s="567"/>
      <c r="BE312" s="567"/>
      <c r="BF312" s="567"/>
      <c r="BG312" s="567"/>
      <c r="BH312" s="579"/>
      <c r="BI312" s="579"/>
      <c r="BJ312" s="580"/>
      <c r="BK312" s="527"/>
      <c r="BL312" s="521"/>
      <c r="BM312" s="560"/>
      <c r="BN312" s="567"/>
      <c r="BO312" s="347">
        <v>0.7</v>
      </c>
      <c r="BP312" s="62" t="s">
        <v>5074</v>
      </c>
      <c r="BQ312" s="62" t="s">
        <v>5072</v>
      </c>
      <c r="BR312" s="66" t="str">
        <f t="shared" si="51"/>
        <v>En gestión</v>
      </c>
      <c r="BS312" s="66" t="str">
        <f t="shared" si="50"/>
        <v>En gestión</v>
      </c>
      <c r="BT312" s="530"/>
      <c r="BU312" s="561"/>
      <c r="BV312" s="562"/>
      <c r="BW312" s="530"/>
      <c r="BX312" s="530"/>
      <c r="BY312" s="578"/>
      <c r="BZ312" s="530"/>
      <c r="CA312" s="967"/>
      <c r="CB312" s="967"/>
      <c r="CC312" s="967"/>
      <c r="CD312" s="967"/>
      <c r="CE312" s="967"/>
      <c r="CF312" s="967"/>
      <c r="CG312" s="578"/>
      <c r="CH312" s="521"/>
      <c r="CI312" s="560"/>
      <c r="CJ312" s="567"/>
    </row>
    <row r="313" spans="2:88" ht="171.95" customHeight="1" x14ac:dyDescent="0.25">
      <c r="B313" s="1227"/>
      <c r="C313" s="962"/>
      <c r="D313" s="210" t="s">
        <v>5048</v>
      </c>
      <c r="E313" s="210" t="s">
        <v>160</v>
      </c>
      <c r="F313" s="594"/>
      <c r="G313" s="210" t="s">
        <v>28</v>
      </c>
      <c r="H313" s="210" t="s">
        <v>28</v>
      </c>
      <c r="I313" s="210" t="s">
        <v>162</v>
      </c>
      <c r="J313" s="210" t="s">
        <v>30</v>
      </c>
      <c r="K313" s="595"/>
      <c r="L313" s="67" t="s">
        <v>164</v>
      </c>
      <c r="M313" s="208" t="s">
        <v>5075</v>
      </c>
      <c r="N313" s="209" t="s">
        <v>5076</v>
      </c>
      <c r="O313" s="210">
        <v>0.3</v>
      </c>
      <c r="P313" s="211">
        <v>44228</v>
      </c>
      <c r="Q313" s="211">
        <v>44561</v>
      </c>
      <c r="R313" s="210">
        <v>0.2</v>
      </c>
      <c r="S313" s="210">
        <v>0.5</v>
      </c>
      <c r="T313" s="212">
        <v>0.75</v>
      </c>
      <c r="U313" s="210">
        <v>1</v>
      </c>
      <c r="V313" s="90">
        <v>0.15</v>
      </c>
      <c r="W313" s="62" t="s">
        <v>5077</v>
      </c>
      <c r="X313" s="63" t="s">
        <v>5078</v>
      </c>
      <c r="Y313" s="66" t="str">
        <f t="shared" si="46"/>
        <v>En gestión</v>
      </c>
      <c r="Z313" s="66" t="str">
        <f t="shared" si="47"/>
        <v>En gestión</v>
      </c>
      <c r="AA313" s="530"/>
      <c r="AB313" s="604"/>
      <c r="AC313" s="597"/>
      <c r="AD313" s="530"/>
      <c r="AE313" s="530"/>
      <c r="AF313" s="66"/>
      <c r="AG313" s="567"/>
      <c r="AH313" s="579"/>
      <c r="AI313" s="579"/>
      <c r="AJ313" s="567"/>
      <c r="AK313" s="579"/>
      <c r="AL313" s="579"/>
      <c r="AM313" s="592"/>
      <c r="AN313" s="598"/>
      <c r="AO313" s="521"/>
      <c r="AP313" s="532"/>
      <c r="AQ313" s="567"/>
      <c r="AR313" s="1163">
        <v>0.5</v>
      </c>
      <c r="AS313" s="62" t="s">
        <v>5079</v>
      </c>
      <c r="AT313" s="63" t="s">
        <v>5078</v>
      </c>
      <c r="AU313" s="66" t="str">
        <f t="shared" si="48"/>
        <v>En gestión</v>
      </c>
      <c r="AV313" s="66" t="str">
        <f t="shared" si="49"/>
        <v>En gestión</v>
      </c>
      <c r="AW313" s="530"/>
      <c r="AX313" s="599"/>
      <c r="AY313" s="600"/>
      <c r="AZ313" s="530"/>
      <c r="BA313" s="530"/>
      <c r="BB313" s="66"/>
      <c r="BC313" s="66"/>
      <c r="BD313" s="567"/>
      <c r="BE313" s="567"/>
      <c r="BF313" s="567"/>
      <c r="BG313" s="567"/>
      <c r="BH313" s="579"/>
      <c r="BI313" s="579"/>
      <c r="BJ313" s="580"/>
      <c r="BK313" s="528"/>
      <c r="BL313" s="521"/>
      <c r="BM313" s="560"/>
      <c r="BN313" s="567"/>
      <c r="BO313" s="347">
        <v>0.75</v>
      </c>
      <c r="BP313" s="62" t="s">
        <v>5080</v>
      </c>
      <c r="BQ313" s="62" t="s">
        <v>5078</v>
      </c>
      <c r="BR313" s="66" t="str">
        <f t="shared" si="51"/>
        <v>En gestión</v>
      </c>
      <c r="BS313" s="66" t="str">
        <f t="shared" si="50"/>
        <v>En gestión</v>
      </c>
      <c r="BT313" s="530"/>
      <c r="BU313" s="561"/>
      <c r="BV313" s="562"/>
      <c r="BW313" s="530"/>
      <c r="BX313" s="530"/>
      <c r="BY313" s="578"/>
      <c r="BZ313" s="530"/>
      <c r="CA313" s="967"/>
      <c r="CB313" s="967"/>
      <c r="CC313" s="967"/>
      <c r="CD313" s="967"/>
      <c r="CE313" s="967"/>
      <c r="CF313" s="967"/>
      <c r="CG313" s="578"/>
      <c r="CH313" s="521"/>
      <c r="CI313" s="560"/>
      <c r="CJ313" s="567"/>
    </row>
    <row r="314" spans="2:88" ht="171.95" customHeight="1" x14ac:dyDescent="0.25">
      <c r="B314" s="1227"/>
      <c r="C314" s="960" t="s">
        <v>5081</v>
      </c>
      <c r="D314" s="204" t="s">
        <v>267</v>
      </c>
      <c r="E314" s="204" t="s">
        <v>160</v>
      </c>
      <c r="F314" s="601" t="s">
        <v>5082</v>
      </c>
      <c r="G314" s="204" t="s">
        <v>28</v>
      </c>
      <c r="H314" s="204" t="s">
        <v>28</v>
      </c>
      <c r="I314" s="204" t="s">
        <v>162</v>
      </c>
      <c r="J314" s="204" t="s">
        <v>194</v>
      </c>
      <c r="K314" s="602" t="s">
        <v>5083</v>
      </c>
      <c r="L314" s="58" t="s">
        <v>164</v>
      </c>
      <c r="M314" s="202" t="s">
        <v>5084</v>
      </c>
      <c r="N314" s="203" t="s">
        <v>5085</v>
      </c>
      <c r="O314" s="204">
        <v>0.2</v>
      </c>
      <c r="P314" s="205">
        <v>44229</v>
      </c>
      <c r="Q314" s="205">
        <v>44561</v>
      </c>
      <c r="R314" s="204">
        <v>0.2</v>
      </c>
      <c r="S314" s="204">
        <v>0.5</v>
      </c>
      <c r="T314" s="206">
        <v>0.75</v>
      </c>
      <c r="U314" s="204">
        <v>1</v>
      </c>
      <c r="V314" s="90">
        <v>0.2</v>
      </c>
      <c r="W314" s="13" t="s">
        <v>5086</v>
      </c>
      <c r="X314" s="55" t="s">
        <v>5087</v>
      </c>
      <c r="Y314" s="56" t="str">
        <f t="shared" si="46"/>
        <v>En gestión</v>
      </c>
      <c r="Z314" s="56" t="str">
        <f t="shared" si="47"/>
        <v>En gestión</v>
      </c>
      <c r="AA314" s="531" t="s">
        <v>5088</v>
      </c>
      <c r="AB314" s="596">
        <f>SUMPRODUCT(O314:O316,V314:V316)</f>
        <v>0.28000000000000003</v>
      </c>
      <c r="AC314" s="597">
        <f>SUMPRODUCT(O314:O316,R314:R316)</f>
        <v>0.20000000000000004</v>
      </c>
      <c r="AD314" s="536" t="str">
        <f>IF(AC314&lt;1%,"Sin iniciar",IF(AC314=100%,"Terminado","En gestión"))</f>
        <v>En gestión</v>
      </c>
      <c r="AE314" s="536" t="str">
        <f>IF(AB314&lt;1%,"Sin iniciar",IF(AB314=100%,"Terminado","En gestión"))</f>
        <v>En gestión</v>
      </c>
      <c r="AF314" s="56"/>
      <c r="AG314" s="568">
        <v>51750000</v>
      </c>
      <c r="AH314" s="583">
        <v>51750000</v>
      </c>
      <c r="AI314" s="583">
        <v>12937500</v>
      </c>
      <c r="AJ314" s="568">
        <v>43146800</v>
      </c>
      <c r="AK314" s="583">
        <v>43146800</v>
      </c>
      <c r="AL314" s="583">
        <v>2608800</v>
      </c>
      <c r="AM314" s="593" t="s">
        <v>4998</v>
      </c>
      <c r="AN314" s="603" t="s">
        <v>4999</v>
      </c>
      <c r="AO314" s="520" t="s">
        <v>5056</v>
      </c>
      <c r="AP314" s="531" t="s">
        <v>5057</v>
      </c>
      <c r="AQ314" s="568">
        <f>+AK314</f>
        <v>43146800</v>
      </c>
      <c r="AR314" s="1163">
        <v>0.5</v>
      </c>
      <c r="AS314" s="13" t="s">
        <v>5089</v>
      </c>
      <c r="AT314" s="55" t="s">
        <v>5087</v>
      </c>
      <c r="AU314" s="56" t="str">
        <f t="shared" si="48"/>
        <v>En gestión</v>
      </c>
      <c r="AV314" s="56" t="str">
        <f t="shared" si="49"/>
        <v>En gestión</v>
      </c>
      <c r="AW314" s="531" t="s">
        <v>5090</v>
      </c>
      <c r="AX314" s="599">
        <f>SUMPRODUCT(O314:O316,AR314:AR316)</f>
        <v>0.5</v>
      </c>
      <c r="AY314" s="600">
        <f>SUMPRODUCT(S314:S316,O314:O316)</f>
        <v>0.5</v>
      </c>
      <c r="AZ314" s="536" t="str">
        <f>IF(AY314&lt;1%,"Sin iniciar",IF(AY314=100%,"Terminado","En gestión"))</f>
        <v>En gestión</v>
      </c>
      <c r="BA314" s="536" t="str">
        <f>IF(AX314&lt;1%,"Sin iniciar",IF(AX314=100%,"Terminado","En gestión"))</f>
        <v>En gestión</v>
      </c>
      <c r="BB314" s="56"/>
      <c r="BC314" s="56"/>
      <c r="BD314" s="568">
        <v>51750000</v>
      </c>
      <c r="BE314" s="568">
        <v>51750000</v>
      </c>
      <c r="BF314" s="568">
        <v>25875000</v>
      </c>
      <c r="BG314" s="568">
        <v>43146800</v>
      </c>
      <c r="BH314" s="571">
        <v>90980133</v>
      </c>
      <c r="BI314" s="571">
        <v>18035200</v>
      </c>
      <c r="BJ314" s="575" t="s">
        <v>4998</v>
      </c>
      <c r="BK314" s="529"/>
      <c r="BL314" s="529" t="s">
        <v>5056</v>
      </c>
      <c r="BM314" s="576" t="s">
        <v>5057</v>
      </c>
      <c r="BN314" s="577" t="s">
        <v>5060</v>
      </c>
      <c r="BO314" s="347">
        <v>0.75</v>
      </c>
      <c r="BP314" s="13" t="s">
        <v>5089</v>
      </c>
      <c r="BQ314" s="13" t="s">
        <v>5087</v>
      </c>
      <c r="BR314" s="56" t="str">
        <f t="shared" si="51"/>
        <v>En gestión</v>
      </c>
      <c r="BS314" s="56" t="str">
        <f t="shared" si="50"/>
        <v>En gestión</v>
      </c>
      <c r="BT314" s="531" t="s">
        <v>5091</v>
      </c>
      <c r="BU314" s="561">
        <f>SUMPRODUCT(O314:O316,BO314:BO316)</f>
        <v>0.75000000000000011</v>
      </c>
      <c r="BV314" s="562">
        <f>SUMPRODUCT(O314:O316,T314:T316)</f>
        <v>0.75000000000000011</v>
      </c>
      <c r="BW314" s="536" t="str">
        <f>IF(BV314&lt;1%,"Sin iniciar",IF(BV314=100%,"Terminado","En gestión"))</f>
        <v>En gestión</v>
      </c>
      <c r="BX314" s="536" t="str">
        <f>IF(BU314&lt;1%,"Sin iniciar",IF(BU314=100%,"Terminado","En gestión"))</f>
        <v>En gestión</v>
      </c>
      <c r="BY314" s="573" t="s">
        <v>37</v>
      </c>
      <c r="BZ314" s="531" t="s">
        <v>1555</v>
      </c>
      <c r="CA314" s="961">
        <v>51750000</v>
      </c>
      <c r="CB314" s="961">
        <v>51750000</v>
      </c>
      <c r="CC314" s="961">
        <v>38812000</v>
      </c>
      <c r="CD314" s="961">
        <v>90980133</v>
      </c>
      <c r="CE314" s="961">
        <v>79994010</v>
      </c>
      <c r="CF314" s="961">
        <v>45361600</v>
      </c>
      <c r="CG314" s="961" t="s">
        <v>5006</v>
      </c>
      <c r="CH314" s="969" t="s">
        <v>5056</v>
      </c>
      <c r="CI314" s="961" t="s">
        <v>5057</v>
      </c>
      <c r="CJ314" s="969" t="s">
        <v>5060</v>
      </c>
    </row>
    <row r="315" spans="2:88" ht="171.95" customHeight="1" x14ac:dyDescent="0.25">
      <c r="B315" s="1227"/>
      <c r="C315" s="960"/>
      <c r="D315" s="204" t="s">
        <v>267</v>
      </c>
      <c r="E315" s="204" t="s">
        <v>160</v>
      </c>
      <c r="F315" s="601"/>
      <c r="G315" s="204" t="s">
        <v>28</v>
      </c>
      <c r="H315" s="204" t="s">
        <v>28</v>
      </c>
      <c r="I315" s="204" t="s">
        <v>162</v>
      </c>
      <c r="J315" s="204" t="s">
        <v>194</v>
      </c>
      <c r="K315" s="602"/>
      <c r="L315" s="58" t="s">
        <v>164</v>
      </c>
      <c r="M315" s="202" t="s">
        <v>5092</v>
      </c>
      <c r="N315" s="203" t="s">
        <v>5093</v>
      </c>
      <c r="O315" s="204">
        <v>0.4</v>
      </c>
      <c r="P315" s="205">
        <v>44229</v>
      </c>
      <c r="Q315" s="205">
        <v>44561</v>
      </c>
      <c r="R315" s="204">
        <v>0.2</v>
      </c>
      <c r="S315" s="204">
        <v>0.5</v>
      </c>
      <c r="T315" s="206">
        <v>0.75</v>
      </c>
      <c r="U315" s="204">
        <v>1</v>
      </c>
      <c r="V315" s="90">
        <v>0.2</v>
      </c>
      <c r="W315" s="13" t="s">
        <v>5094</v>
      </c>
      <c r="X315" s="55" t="s">
        <v>5095</v>
      </c>
      <c r="Y315" s="56" t="str">
        <f t="shared" si="46"/>
        <v>En gestión</v>
      </c>
      <c r="Z315" s="56" t="str">
        <f t="shared" si="47"/>
        <v>En gestión</v>
      </c>
      <c r="AA315" s="531"/>
      <c r="AB315" s="596"/>
      <c r="AC315" s="597"/>
      <c r="AD315" s="536"/>
      <c r="AE315" s="536"/>
      <c r="AF315" s="56"/>
      <c r="AG315" s="568"/>
      <c r="AH315" s="583"/>
      <c r="AI315" s="583"/>
      <c r="AJ315" s="568"/>
      <c r="AK315" s="583"/>
      <c r="AL315" s="583"/>
      <c r="AM315" s="593"/>
      <c r="AN315" s="603"/>
      <c r="AO315" s="520"/>
      <c r="AP315" s="531"/>
      <c r="AQ315" s="568"/>
      <c r="AR315" s="1163">
        <v>0.5</v>
      </c>
      <c r="AS315" s="13" t="s">
        <v>5096</v>
      </c>
      <c r="AT315" s="55" t="s">
        <v>5095</v>
      </c>
      <c r="AU315" s="56" t="str">
        <f t="shared" si="48"/>
        <v>En gestión</v>
      </c>
      <c r="AV315" s="56" t="str">
        <f t="shared" si="49"/>
        <v>En gestión</v>
      </c>
      <c r="AW315" s="536"/>
      <c r="AX315" s="599"/>
      <c r="AY315" s="600"/>
      <c r="AZ315" s="536"/>
      <c r="BA315" s="536"/>
      <c r="BB315" s="56"/>
      <c r="BC315" s="56"/>
      <c r="BD315" s="568"/>
      <c r="BE315" s="568"/>
      <c r="BF315" s="568"/>
      <c r="BG315" s="568"/>
      <c r="BH315" s="571"/>
      <c r="BI315" s="571"/>
      <c r="BJ315" s="575"/>
      <c r="BK315" s="529"/>
      <c r="BL315" s="529"/>
      <c r="BM315" s="576"/>
      <c r="BN315" s="577"/>
      <c r="BO315" s="347">
        <v>0.75</v>
      </c>
      <c r="BP315" s="13" t="s">
        <v>5097</v>
      </c>
      <c r="BQ315" s="13" t="s">
        <v>5095</v>
      </c>
      <c r="BR315" s="56" t="str">
        <f t="shared" si="51"/>
        <v>En gestión</v>
      </c>
      <c r="BS315" s="56" t="str">
        <f t="shared" si="50"/>
        <v>En gestión</v>
      </c>
      <c r="BT315" s="536"/>
      <c r="BU315" s="561"/>
      <c r="BV315" s="562"/>
      <c r="BW315" s="536"/>
      <c r="BX315" s="536"/>
      <c r="BY315" s="573"/>
      <c r="BZ315" s="536"/>
      <c r="CA315" s="961"/>
      <c r="CB315" s="961"/>
      <c r="CC315" s="961"/>
      <c r="CD315" s="961"/>
      <c r="CE315" s="961"/>
      <c r="CF315" s="961"/>
      <c r="CG315" s="961"/>
      <c r="CH315" s="969"/>
      <c r="CI315" s="961"/>
      <c r="CJ315" s="969"/>
    </row>
    <row r="316" spans="2:88" ht="171.95" customHeight="1" x14ac:dyDescent="0.25">
      <c r="B316" s="1227"/>
      <c r="C316" s="960"/>
      <c r="D316" s="204" t="s">
        <v>267</v>
      </c>
      <c r="E316" s="204" t="s">
        <v>160</v>
      </c>
      <c r="F316" s="601"/>
      <c r="G316" s="204" t="s">
        <v>28</v>
      </c>
      <c r="H316" s="204" t="s">
        <v>28</v>
      </c>
      <c r="I316" s="204" t="s">
        <v>162</v>
      </c>
      <c r="J316" s="204" t="s">
        <v>194</v>
      </c>
      <c r="K316" s="602"/>
      <c r="L316" s="58" t="s">
        <v>164</v>
      </c>
      <c r="M316" s="202" t="s">
        <v>5098</v>
      </c>
      <c r="N316" s="203" t="s">
        <v>5099</v>
      </c>
      <c r="O316" s="204">
        <v>0.4</v>
      </c>
      <c r="P316" s="205">
        <v>44229</v>
      </c>
      <c r="Q316" s="205">
        <v>44561</v>
      </c>
      <c r="R316" s="204">
        <v>0.2</v>
      </c>
      <c r="S316" s="204">
        <v>0.5</v>
      </c>
      <c r="T316" s="206">
        <v>0.75</v>
      </c>
      <c r="U316" s="204">
        <v>1</v>
      </c>
      <c r="V316" s="90">
        <v>0.4</v>
      </c>
      <c r="W316" s="13" t="s">
        <v>5100</v>
      </c>
      <c r="X316" s="55" t="s">
        <v>5101</v>
      </c>
      <c r="Y316" s="56" t="str">
        <f t="shared" si="46"/>
        <v>En gestión</v>
      </c>
      <c r="Z316" s="56" t="str">
        <f t="shared" si="47"/>
        <v>En gestión</v>
      </c>
      <c r="AA316" s="531"/>
      <c r="AB316" s="596"/>
      <c r="AC316" s="597"/>
      <c r="AD316" s="536"/>
      <c r="AE316" s="536"/>
      <c r="AF316" s="56"/>
      <c r="AG316" s="568"/>
      <c r="AH316" s="583"/>
      <c r="AI316" s="583"/>
      <c r="AJ316" s="568"/>
      <c r="AK316" s="583"/>
      <c r="AL316" s="583"/>
      <c r="AM316" s="593"/>
      <c r="AN316" s="603"/>
      <c r="AO316" s="520"/>
      <c r="AP316" s="531"/>
      <c r="AQ316" s="568"/>
      <c r="AR316" s="1163">
        <v>0.5</v>
      </c>
      <c r="AS316" s="13" t="s">
        <v>5102</v>
      </c>
      <c r="AT316" s="55" t="s">
        <v>5101</v>
      </c>
      <c r="AU316" s="56" t="str">
        <f t="shared" si="48"/>
        <v>En gestión</v>
      </c>
      <c r="AV316" s="56" t="str">
        <f t="shared" si="49"/>
        <v>En gestión</v>
      </c>
      <c r="AW316" s="536"/>
      <c r="AX316" s="599"/>
      <c r="AY316" s="600"/>
      <c r="AZ316" s="536"/>
      <c r="BA316" s="536"/>
      <c r="BB316" s="56"/>
      <c r="BC316" s="56"/>
      <c r="BD316" s="568"/>
      <c r="BE316" s="568"/>
      <c r="BF316" s="568"/>
      <c r="BG316" s="568"/>
      <c r="BH316" s="571"/>
      <c r="BI316" s="571"/>
      <c r="BJ316" s="575"/>
      <c r="BK316" s="529"/>
      <c r="BL316" s="529"/>
      <c r="BM316" s="576"/>
      <c r="BN316" s="577"/>
      <c r="BO316" s="347">
        <v>0.75</v>
      </c>
      <c r="BP316" s="13" t="s">
        <v>5103</v>
      </c>
      <c r="BQ316" s="13" t="s">
        <v>5101</v>
      </c>
      <c r="BR316" s="56" t="str">
        <f t="shared" si="51"/>
        <v>En gestión</v>
      </c>
      <c r="BS316" s="56" t="str">
        <f t="shared" si="50"/>
        <v>En gestión</v>
      </c>
      <c r="BT316" s="536"/>
      <c r="BU316" s="561"/>
      <c r="BV316" s="562"/>
      <c r="BW316" s="536"/>
      <c r="BX316" s="536"/>
      <c r="BY316" s="573"/>
      <c r="BZ316" s="536"/>
      <c r="CA316" s="961"/>
      <c r="CB316" s="961"/>
      <c r="CC316" s="961"/>
      <c r="CD316" s="961"/>
      <c r="CE316" s="961"/>
      <c r="CF316" s="961"/>
      <c r="CG316" s="961"/>
      <c r="CH316" s="969"/>
      <c r="CI316" s="961"/>
      <c r="CJ316" s="969"/>
    </row>
    <row r="317" spans="2:88" ht="171.95" customHeight="1" x14ac:dyDescent="0.25">
      <c r="B317" s="1227"/>
      <c r="C317" s="962" t="s">
        <v>5104</v>
      </c>
      <c r="D317" s="210" t="s">
        <v>5105</v>
      </c>
      <c r="E317" s="210" t="s">
        <v>160</v>
      </c>
      <c r="F317" s="594" t="s">
        <v>5106</v>
      </c>
      <c r="G317" s="210" t="s">
        <v>28</v>
      </c>
      <c r="H317" s="210" t="s">
        <v>28</v>
      </c>
      <c r="I317" s="210" t="s">
        <v>162</v>
      </c>
      <c r="J317" s="210" t="s">
        <v>30</v>
      </c>
      <c r="K317" s="595" t="s">
        <v>5107</v>
      </c>
      <c r="L317" s="67" t="s">
        <v>164</v>
      </c>
      <c r="M317" s="208" t="s">
        <v>5108</v>
      </c>
      <c r="N317" s="209" t="s">
        <v>5109</v>
      </c>
      <c r="O317" s="210">
        <v>0.4</v>
      </c>
      <c r="P317" s="211">
        <v>44229</v>
      </c>
      <c r="Q317" s="211">
        <v>44530</v>
      </c>
      <c r="R317" s="210">
        <v>0.2</v>
      </c>
      <c r="S317" s="210">
        <v>0.4</v>
      </c>
      <c r="T317" s="212">
        <v>0.6</v>
      </c>
      <c r="U317" s="210">
        <v>1</v>
      </c>
      <c r="V317" s="90">
        <v>0.2</v>
      </c>
      <c r="W317" s="62" t="s">
        <v>5110</v>
      </c>
      <c r="X317" s="63" t="s">
        <v>5111</v>
      </c>
      <c r="Y317" s="66" t="str">
        <f t="shared" si="46"/>
        <v>En gestión</v>
      </c>
      <c r="Z317" s="66" t="str">
        <f t="shared" si="47"/>
        <v>En gestión</v>
      </c>
      <c r="AA317" s="532" t="s">
        <v>5112</v>
      </c>
      <c r="AB317" s="596">
        <f>SUMPRODUCT(O317:O319,V317:V319)</f>
        <v>0.21000000000000002</v>
      </c>
      <c r="AC317" s="597">
        <f>SUMPRODUCT(O317:O319,R317:R319)</f>
        <v>0.21000000000000002</v>
      </c>
      <c r="AD317" s="530" t="str">
        <f>IF(AC317&lt;1%,"Sin iniciar",IF(AC317=100%,"Terminado","En gestión"))</f>
        <v>En gestión</v>
      </c>
      <c r="AE317" s="530" t="str">
        <f>IF(AB317&lt;1%,"Sin iniciar",IF(AB317=100%,"Terminado","En gestión"))</f>
        <v>En gestión</v>
      </c>
      <c r="AF317" s="66"/>
      <c r="AG317" s="567">
        <v>94875000</v>
      </c>
      <c r="AH317" s="579">
        <v>94875000</v>
      </c>
      <c r="AI317" s="579">
        <v>23718750</v>
      </c>
      <c r="AJ317" s="567">
        <v>263253800</v>
      </c>
      <c r="AK317" s="579">
        <v>253368300</v>
      </c>
      <c r="AL317" s="579">
        <v>38593600</v>
      </c>
      <c r="AM317" s="592" t="s">
        <v>4998</v>
      </c>
      <c r="AN317" s="598" t="s">
        <v>4999</v>
      </c>
      <c r="AO317" s="521" t="s">
        <v>5056</v>
      </c>
      <c r="AP317" s="532" t="s">
        <v>5057</v>
      </c>
      <c r="AQ317" s="567">
        <f>+AK317</f>
        <v>253368300</v>
      </c>
      <c r="AR317" s="1163">
        <v>0.4</v>
      </c>
      <c r="AS317" s="62" t="s">
        <v>5113</v>
      </c>
      <c r="AT317" s="63" t="s">
        <v>5111</v>
      </c>
      <c r="AU317" s="66" t="str">
        <f t="shared" si="48"/>
        <v>En gestión</v>
      </c>
      <c r="AV317" s="66" t="str">
        <f t="shared" si="49"/>
        <v>En gestión</v>
      </c>
      <c r="AW317" s="532" t="s">
        <v>5114</v>
      </c>
      <c r="AX317" s="599">
        <f>SUMPRODUCT(O317:O319,AR317:AR319)</f>
        <v>0.42000000000000004</v>
      </c>
      <c r="AY317" s="600">
        <f>SUMPRODUCT(S317:S319,O317:O319)</f>
        <v>0.42000000000000004</v>
      </c>
      <c r="AZ317" s="530" t="str">
        <f>IF(AY317&lt;1%,"Sin iniciar",IF(AY317=100%,"Terminado","En gestión"))</f>
        <v>En gestión</v>
      </c>
      <c r="BA317" s="530" t="str">
        <f>IF(AX317&lt;1%,"Sin iniciar",IF(AX317=100%,"Terminado","En gestión"))</f>
        <v>En gestión</v>
      </c>
      <c r="BB317" s="66"/>
      <c r="BC317" s="66"/>
      <c r="BD317" s="567">
        <v>94875000</v>
      </c>
      <c r="BE317" s="567">
        <v>94875000</v>
      </c>
      <c r="BF317" s="567">
        <v>47437500</v>
      </c>
      <c r="BG317" s="567">
        <v>263253800</v>
      </c>
      <c r="BH317" s="579">
        <v>259784980</v>
      </c>
      <c r="BI317" s="579">
        <v>106764000</v>
      </c>
      <c r="BJ317" s="580" t="s">
        <v>4998</v>
      </c>
      <c r="BK317" s="521"/>
      <c r="BL317" s="521" t="s">
        <v>5056</v>
      </c>
      <c r="BM317" s="560" t="s">
        <v>5057</v>
      </c>
      <c r="BN317" s="567" t="s">
        <v>5115</v>
      </c>
      <c r="BO317" s="347">
        <v>0.6</v>
      </c>
      <c r="BP317" s="62" t="s">
        <v>5116</v>
      </c>
      <c r="BQ317" s="62" t="s">
        <v>5111</v>
      </c>
      <c r="BR317" s="66" t="str">
        <f t="shared" si="51"/>
        <v>En gestión</v>
      </c>
      <c r="BS317" s="66" t="str">
        <f t="shared" si="50"/>
        <v>En gestión</v>
      </c>
      <c r="BT317" s="532" t="s">
        <v>5117</v>
      </c>
      <c r="BU317" s="561">
        <f>SUMPRODUCT(O317:O319,BO317:BO319)</f>
        <v>0.63</v>
      </c>
      <c r="BV317" s="562">
        <f>SUMPRODUCT(O317:O319,T317:T319)</f>
        <v>0.63</v>
      </c>
      <c r="BW317" s="530" t="str">
        <f>IF(BV317&lt;1%,"Sin iniciar",IF(BV317=100%,"Terminado","En gestión"))</f>
        <v>En gestión</v>
      </c>
      <c r="BX317" s="530" t="str">
        <f>IF(BU317&lt;1%,"Sin iniciar",IF(BU317=100%,"Terminado","En gestión"))</f>
        <v>En gestión</v>
      </c>
      <c r="BY317" s="578" t="s">
        <v>37</v>
      </c>
      <c r="BZ317" s="532" t="s">
        <v>1555</v>
      </c>
      <c r="CA317" s="967">
        <v>94875000</v>
      </c>
      <c r="CB317" s="967">
        <v>94875000</v>
      </c>
      <c r="CC317" s="967">
        <v>71156250</v>
      </c>
      <c r="CD317" s="967">
        <v>259784980</v>
      </c>
      <c r="CE317" s="967">
        <v>274096018</v>
      </c>
      <c r="CF317" s="967">
        <v>187513158</v>
      </c>
      <c r="CG317" s="578" t="s">
        <v>5006</v>
      </c>
      <c r="CH317" s="560" t="s">
        <v>5118</v>
      </c>
      <c r="CI317" s="578" t="s">
        <v>5057</v>
      </c>
      <c r="CJ317" s="578" t="s">
        <v>5115</v>
      </c>
    </row>
    <row r="318" spans="2:88" ht="171.95" customHeight="1" x14ac:dyDescent="0.25">
      <c r="B318" s="1227"/>
      <c r="C318" s="962"/>
      <c r="D318" s="210" t="s">
        <v>5105</v>
      </c>
      <c r="E318" s="210" t="s">
        <v>160</v>
      </c>
      <c r="F318" s="594"/>
      <c r="G318" s="210" t="s">
        <v>28</v>
      </c>
      <c r="H318" s="210" t="s">
        <v>28</v>
      </c>
      <c r="I318" s="210" t="s">
        <v>162</v>
      </c>
      <c r="J318" s="210" t="s">
        <v>30</v>
      </c>
      <c r="K318" s="595"/>
      <c r="L318" s="67" t="s">
        <v>164</v>
      </c>
      <c r="M318" s="208" t="s">
        <v>5119</v>
      </c>
      <c r="N318" s="209" t="s">
        <v>5120</v>
      </c>
      <c r="O318" s="210">
        <v>0.2</v>
      </c>
      <c r="P318" s="211">
        <v>44229</v>
      </c>
      <c r="Q318" s="211">
        <v>44561</v>
      </c>
      <c r="R318" s="210">
        <v>0.25</v>
      </c>
      <c r="S318" s="210">
        <v>0.5</v>
      </c>
      <c r="T318" s="212">
        <v>0.75</v>
      </c>
      <c r="U318" s="210">
        <v>1</v>
      </c>
      <c r="V318" s="90">
        <v>0.25</v>
      </c>
      <c r="W318" s="62" t="s">
        <v>5121</v>
      </c>
      <c r="X318" s="63" t="s">
        <v>5122</v>
      </c>
      <c r="Y318" s="66" t="str">
        <f t="shared" si="46"/>
        <v>En gestión</v>
      </c>
      <c r="Z318" s="66" t="str">
        <f t="shared" si="47"/>
        <v>En gestión</v>
      </c>
      <c r="AA318" s="532"/>
      <c r="AB318" s="596"/>
      <c r="AC318" s="597"/>
      <c r="AD318" s="530"/>
      <c r="AE318" s="530"/>
      <c r="AF318" s="66"/>
      <c r="AG318" s="567"/>
      <c r="AH318" s="579"/>
      <c r="AI318" s="579"/>
      <c r="AJ318" s="567"/>
      <c r="AK318" s="579"/>
      <c r="AL318" s="579"/>
      <c r="AM318" s="592"/>
      <c r="AN318" s="598"/>
      <c r="AO318" s="521"/>
      <c r="AP318" s="532"/>
      <c r="AQ318" s="567"/>
      <c r="AR318" s="1163">
        <v>0.5</v>
      </c>
      <c r="AS318" s="62" t="s">
        <v>5121</v>
      </c>
      <c r="AT318" s="63" t="s">
        <v>5122</v>
      </c>
      <c r="AU318" s="66" t="str">
        <f t="shared" si="48"/>
        <v>En gestión</v>
      </c>
      <c r="AV318" s="66" t="str">
        <f t="shared" si="49"/>
        <v>En gestión</v>
      </c>
      <c r="AW318" s="532"/>
      <c r="AX318" s="599"/>
      <c r="AY318" s="600"/>
      <c r="AZ318" s="530"/>
      <c r="BA318" s="530"/>
      <c r="BB318" s="66"/>
      <c r="BC318" s="66"/>
      <c r="BD318" s="567"/>
      <c r="BE318" s="567"/>
      <c r="BF318" s="567"/>
      <c r="BG318" s="567"/>
      <c r="BH318" s="579"/>
      <c r="BI318" s="579"/>
      <c r="BJ318" s="580"/>
      <c r="BK318" s="521"/>
      <c r="BL318" s="521"/>
      <c r="BM318" s="560"/>
      <c r="BN318" s="567"/>
      <c r="BO318" s="347">
        <v>0.75</v>
      </c>
      <c r="BP318" s="62" t="s">
        <v>5123</v>
      </c>
      <c r="BQ318" s="62" t="s">
        <v>5122</v>
      </c>
      <c r="BR318" s="66" t="str">
        <f t="shared" si="51"/>
        <v>En gestión</v>
      </c>
      <c r="BS318" s="66" t="str">
        <f t="shared" si="50"/>
        <v>En gestión</v>
      </c>
      <c r="BT318" s="532"/>
      <c r="BU318" s="561"/>
      <c r="BV318" s="562"/>
      <c r="BW318" s="530"/>
      <c r="BX318" s="530"/>
      <c r="BY318" s="578"/>
      <c r="BZ318" s="532"/>
      <c r="CA318" s="967"/>
      <c r="CB318" s="967"/>
      <c r="CC318" s="967"/>
      <c r="CD318" s="967"/>
      <c r="CE318" s="967"/>
      <c r="CF318" s="967"/>
      <c r="CG318" s="578"/>
      <c r="CH318" s="560"/>
      <c r="CI318" s="578"/>
      <c r="CJ318" s="578"/>
    </row>
    <row r="319" spans="2:88" ht="171.95" customHeight="1" x14ac:dyDescent="0.25">
      <c r="B319" s="1227"/>
      <c r="C319" s="962"/>
      <c r="D319" s="210" t="s">
        <v>5105</v>
      </c>
      <c r="E319" s="210" t="s">
        <v>160</v>
      </c>
      <c r="F319" s="594"/>
      <c r="G319" s="210" t="s">
        <v>28</v>
      </c>
      <c r="H319" s="210" t="s">
        <v>28</v>
      </c>
      <c r="I319" s="210" t="s">
        <v>162</v>
      </c>
      <c r="J319" s="210" t="s">
        <v>30</v>
      </c>
      <c r="K319" s="595"/>
      <c r="L319" s="67" t="s">
        <v>164</v>
      </c>
      <c r="M319" s="208" t="s">
        <v>5124</v>
      </c>
      <c r="N319" s="209" t="s">
        <v>5125</v>
      </c>
      <c r="O319" s="210">
        <v>0.4</v>
      </c>
      <c r="P319" s="211">
        <v>44229</v>
      </c>
      <c r="Q319" s="211">
        <v>44530</v>
      </c>
      <c r="R319" s="210">
        <v>0.2</v>
      </c>
      <c r="S319" s="210">
        <v>0.4</v>
      </c>
      <c r="T319" s="212">
        <v>0.6</v>
      </c>
      <c r="U319" s="210">
        <v>1</v>
      </c>
      <c r="V319" s="90">
        <v>0.2</v>
      </c>
      <c r="W319" s="62" t="s">
        <v>5110</v>
      </c>
      <c r="X319" s="63" t="s">
        <v>5126</v>
      </c>
      <c r="Y319" s="66" t="str">
        <f t="shared" si="46"/>
        <v>En gestión</v>
      </c>
      <c r="Z319" s="66" t="str">
        <f t="shared" si="47"/>
        <v>En gestión</v>
      </c>
      <c r="AA319" s="532"/>
      <c r="AB319" s="596"/>
      <c r="AC319" s="597"/>
      <c r="AD319" s="530"/>
      <c r="AE319" s="530"/>
      <c r="AF319" s="66"/>
      <c r="AG319" s="567"/>
      <c r="AH319" s="579"/>
      <c r="AI319" s="579"/>
      <c r="AJ319" s="567"/>
      <c r="AK319" s="579"/>
      <c r="AL319" s="579"/>
      <c r="AM319" s="592"/>
      <c r="AN319" s="598"/>
      <c r="AO319" s="521"/>
      <c r="AP319" s="532"/>
      <c r="AQ319" s="567"/>
      <c r="AR319" s="1163">
        <v>0.4</v>
      </c>
      <c r="AS319" s="62" t="s">
        <v>5127</v>
      </c>
      <c r="AT319" s="63" t="s">
        <v>5126</v>
      </c>
      <c r="AU319" s="66" t="str">
        <f t="shared" si="48"/>
        <v>En gestión</v>
      </c>
      <c r="AV319" s="66" t="str">
        <f t="shared" si="49"/>
        <v>En gestión</v>
      </c>
      <c r="AW319" s="532"/>
      <c r="AX319" s="599"/>
      <c r="AY319" s="600"/>
      <c r="AZ319" s="530"/>
      <c r="BA319" s="530"/>
      <c r="BB319" s="66"/>
      <c r="BC319" s="66"/>
      <c r="BD319" s="567"/>
      <c r="BE319" s="567"/>
      <c r="BF319" s="567"/>
      <c r="BG319" s="567"/>
      <c r="BH319" s="579"/>
      <c r="BI319" s="579"/>
      <c r="BJ319" s="580"/>
      <c r="BK319" s="521"/>
      <c r="BL319" s="521"/>
      <c r="BM319" s="560"/>
      <c r="BN319" s="567"/>
      <c r="BO319" s="347">
        <v>0.6</v>
      </c>
      <c r="BP319" s="62" t="s">
        <v>5128</v>
      </c>
      <c r="BQ319" s="62" t="s">
        <v>5126</v>
      </c>
      <c r="BR319" s="66" t="str">
        <f t="shared" si="51"/>
        <v>En gestión</v>
      </c>
      <c r="BS319" s="66" t="str">
        <f t="shared" si="50"/>
        <v>En gestión</v>
      </c>
      <c r="BT319" s="532"/>
      <c r="BU319" s="561"/>
      <c r="BV319" s="562"/>
      <c r="BW319" s="530"/>
      <c r="BX319" s="530"/>
      <c r="BY319" s="578"/>
      <c r="BZ319" s="532"/>
      <c r="CA319" s="967"/>
      <c r="CB319" s="967"/>
      <c r="CC319" s="967"/>
      <c r="CD319" s="967"/>
      <c r="CE319" s="967"/>
      <c r="CF319" s="967"/>
      <c r="CG319" s="578"/>
      <c r="CH319" s="560"/>
      <c r="CI319" s="578"/>
      <c r="CJ319" s="578"/>
    </row>
    <row r="320" spans="2:88" ht="171.95" customHeight="1" x14ac:dyDescent="0.25">
      <c r="B320" s="1227"/>
      <c r="C320" s="960" t="s">
        <v>5129</v>
      </c>
      <c r="D320" s="204" t="s">
        <v>5105</v>
      </c>
      <c r="E320" s="204" t="s">
        <v>160</v>
      </c>
      <c r="F320" s="601" t="s">
        <v>5130</v>
      </c>
      <c r="G320" s="204" t="s">
        <v>28</v>
      </c>
      <c r="H320" s="204" t="s">
        <v>28</v>
      </c>
      <c r="I320" s="204" t="s">
        <v>162</v>
      </c>
      <c r="J320" s="204" t="s">
        <v>30</v>
      </c>
      <c r="K320" s="602" t="s">
        <v>5131</v>
      </c>
      <c r="L320" s="58" t="s">
        <v>164</v>
      </c>
      <c r="M320" s="202" t="s">
        <v>5132</v>
      </c>
      <c r="N320" s="203" t="s">
        <v>5133</v>
      </c>
      <c r="O320" s="204">
        <v>0.2</v>
      </c>
      <c r="P320" s="205">
        <v>44229</v>
      </c>
      <c r="Q320" s="205">
        <v>44560</v>
      </c>
      <c r="R320" s="204">
        <v>0.3</v>
      </c>
      <c r="S320" s="204">
        <v>0.6</v>
      </c>
      <c r="T320" s="206">
        <v>0.9</v>
      </c>
      <c r="U320" s="204">
        <v>1</v>
      </c>
      <c r="V320" s="90">
        <v>0.3</v>
      </c>
      <c r="W320" s="13" t="s">
        <v>5134</v>
      </c>
      <c r="X320" s="55" t="s">
        <v>5135</v>
      </c>
      <c r="Y320" s="56" t="str">
        <f t="shared" si="46"/>
        <v>En gestión</v>
      </c>
      <c r="Z320" s="56" t="str">
        <f t="shared" si="47"/>
        <v>En gestión</v>
      </c>
      <c r="AA320" s="531" t="s">
        <v>5136</v>
      </c>
      <c r="AB320" s="596">
        <f>SUMPRODUCT(O320:O322,V320:V322)</f>
        <v>0.3</v>
      </c>
      <c r="AC320" s="597">
        <f>SUMPRODUCT(O320:O322,R320:R322)</f>
        <v>0.1</v>
      </c>
      <c r="AD320" s="536" t="str">
        <f>IF(AC320&lt;1%,"Sin iniciar",IF(AC320=100%,"Terminado","En gestión"))</f>
        <v>En gestión</v>
      </c>
      <c r="AE320" s="536" t="str">
        <f>IF(AB320&lt;1%,"Sin iniciar",IF(AB320=100%,"Terminado","En gestión"))</f>
        <v>En gestión</v>
      </c>
      <c r="AF320" s="56"/>
      <c r="AG320" s="568">
        <v>94875000</v>
      </c>
      <c r="AH320" s="583">
        <v>94875000</v>
      </c>
      <c r="AI320" s="583">
        <v>23718750</v>
      </c>
      <c r="AJ320" s="568">
        <v>377535200</v>
      </c>
      <c r="AK320" s="583">
        <v>337993200</v>
      </c>
      <c r="AL320" s="583">
        <v>43074400</v>
      </c>
      <c r="AM320" s="593" t="s">
        <v>4998</v>
      </c>
      <c r="AN320" s="603" t="s">
        <v>4999</v>
      </c>
      <c r="AO320" s="520" t="s">
        <v>5056</v>
      </c>
      <c r="AP320" s="531" t="s">
        <v>5057</v>
      </c>
      <c r="AQ320" s="568">
        <f>+AK320</f>
        <v>337993200</v>
      </c>
      <c r="AR320" s="1163">
        <v>0.6</v>
      </c>
      <c r="AS320" s="13" t="s">
        <v>5137</v>
      </c>
      <c r="AT320" s="55" t="s">
        <v>5135</v>
      </c>
      <c r="AU320" s="56" t="str">
        <f t="shared" si="48"/>
        <v>En gestión</v>
      </c>
      <c r="AV320" s="56" t="str">
        <f t="shared" si="49"/>
        <v>En gestión</v>
      </c>
      <c r="AW320" s="531" t="s">
        <v>5138</v>
      </c>
      <c r="AX320" s="599">
        <f>SUMPRODUCT(O320:O322,AR320:AR322)</f>
        <v>0.33999999999999997</v>
      </c>
      <c r="AY320" s="600">
        <f>SUMPRODUCT(S320:S322,O320:O322)</f>
        <v>0.33999999999999997</v>
      </c>
      <c r="AZ320" s="536" t="str">
        <f>IF(AY320&lt;1%,"Sin iniciar",IF(AY320=100%,"Terminado","En gestión"))</f>
        <v>En gestión</v>
      </c>
      <c r="BA320" s="536" t="str">
        <f>IF(AX320&lt;1%,"Sin iniciar",IF(AX320=100%,"Terminado","En gestión"))</f>
        <v>En gestión</v>
      </c>
      <c r="BB320" s="56"/>
      <c r="BC320" s="56"/>
      <c r="BD320" s="568">
        <v>94875000</v>
      </c>
      <c r="BE320" s="568">
        <v>94875000</v>
      </c>
      <c r="BF320" s="568">
        <v>47437500</v>
      </c>
      <c r="BG320" s="568">
        <v>377535200</v>
      </c>
      <c r="BH320" s="571">
        <v>384607920</v>
      </c>
      <c r="BI320" s="571">
        <v>114336000</v>
      </c>
      <c r="BJ320" s="575" t="s">
        <v>4998</v>
      </c>
      <c r="BK320" s="529"/>
      <c r="BL320" s="529" t="s">
        <v>5056</v>
      </c>
      <c r="BM320" s="576" t="s">
        <v>5057</v>
      </c>
      <c r="BN320" s="577" t="s">
        <v>5115</v>
      </c>
      <c r="BO320" s="347">
        <v>0.9</v>
      </c>
      <c r="BP320" s="13" t="s">
        <v>5139</v>
      </c>
      <c r="BQ320" s="13" t="s">
        <v>5135</v>
      </c>
      <c r="BR320" s="56" t="str">
        <f t="shared" si="51"/>
        <v>En gestión</v>
      </c>
      <c r="BS320" s="56" t="str">
        <f t="shared" si="50"/>
        <v>En gestión</v>
      </c>
      <c r="BT320" s="531" t="s">
        <v>5140</v>
      </c>
      <c r="BU320" s="561">
        <f>SUMPRODUCT(O320:O322,BO320:BO322)</f>
        <v>0.63</v>
      </c>
      <c r="BV320" s="562">
        <f>SUMPRODUCT(O320:O322,T320:T322)</f>
        <v>0.63</v>
      </c>
      <c r="BW320" s="536" t="str">
        <f>IF(BV320&lt;1%,"Sin iniciar",IF(BV320=100%,"Terminado","En gestión"))</f>
        <v>En gestión</v>
      </c>
      <c r="BX320" s="536" t="str">
        <f>IF(BU320&lt;1%,"Sin iniciar",IF(BU320=100%,"Terminado","En gestión"))</f>
        <v>En gestión</v>
      </c>
      <c r="BY320" s="573" t="s">
        <v>37</v>
      </c>
      <c r="BZ320" s="531" t="s">
        <v>4774</v>
      </c>
      <c r="CA320" s="961">
        <v>94875000</v>
      </c>
      <c r="CB320" s="961">
        <v>94875000</v>
      </c>
      <c r="CC320" s="961">
        <v>71156250</v>
      </c>
      <c r="CD320" s="961">
        <v>384607920</v>
      </c>
      <c r="CE320" s="961">
        <v>431368972.32999998</v>
      </c>
      <c r="CF320" s="961">
        <v>243278400</v>
      </c>
      <c r="CG320" s="573" t="s">
        <v>5006</v>
      </c>
      <c r="CH320" s="581" t="s">
        <v>5118</v>
      </c>
      <c r="CI320" s="573" t="s">
        <v>5057</v>
      </c>
      <c r="CJ320" s="573" t="s">
        <v>5115</v>
      </c>
    </row>
    <row r="321" spans="2:88" ht="171.95" customHeight="1" x14ac:dyDescent="0.25">
      <c r="B321" s="1227"/>
      <c r="C321" s="960"/>
      <c r="D321" s="204" t="s">
        <v>5105</v>
      </c>
      <c r="E321" s="204" t="s">
        <v>160</v>
      </c>
      <c r="F321" s="601"/>
      <c r="G321" s="204" t="s">
        <v>28</v>
      </c>
      <c r="H321" s="204" t="s">
        <v>28</v>
      </c>
      <c r="I321" s="204" t="s">
        <v>162</v>
      </c>
      <c r="J321" s="204" t="s">
        <v>1039</v>
      </c>
      <c r="K321" s="602"/>
      <c r="L321" s="58" t="s">
        <v>164</v>
      </c>
      <c r="M321" s="202" t="s">
        <v>5141</v>
      </c>
      <c r="N321" s="203" t="s">
        <v>5142</v>
      </c>
      <c r="O321" s="204">
        <v>0.6</v>
      </c>
      <c r="P321" s="205">
        <v>44229</v>
      </c>
      <c r="Q321" s="205">
        <v>44530</v>
      </c>
      <c r="R321" s="204">
        <v>0.05</v>
      </c>
      <c r="S321" s="204">
        <v>0.2</v>
      </c>
      <c r="T321" s="206">
        <v>0.5</v>
      </c>
      <c r="U321" s="204">
        <v>1</v>
      </c>
      <c r="V321" s="90">
        <v>0.3</v>
      </c>
      <c r="W321" s="13" t="s">
        <v>5143</v>
      </c>
      <c r="X321" s="55" t="s">
        <v>5144</v>
      </c>
      <c r="Y321" s="56" t="str">
        <f t="shared" si="46"/>
        <v>En gestión</v>
      </c>
      <c r="Z321" s="56" t="str">
        <f t="shared" si="47"/>
        <v>En gestión</v>
      </c>
      <c r="AA321" s="536"/>
      <c r="AB321" s="596"/>
      <c r="AC321" s="597"/>
      <c r="AD321" s="536"/>
      <c r="AE321" s="536"/>
      <c r="AF321" s="56"/>
      <c r="AG321" s="568"/>
      <c r="AH321" s="583"/>
      <c r="AI321" s="583"/>
      <c r="AJ321" s="568"/>
      <c r="AK321" s="583"/>
      <c r="AL321" s="583"/>
      <c r="AM321" s="593"/>
      <c r="AN321" s="603"/>
      <c r="AO321" s="520"/>
      <c r="AP321" s="531"/>
      <c r="AQ321" s="568"/>
      <c r="AR321" s="1163">
        <v>0.2</v>
      </c>
      <c r="AS321" s="13" t="s">
        <v>5145</v>
      </c>
      <c r="AT321" s="55" t="s">
        <v>5144</v>
      </c>
      <c r="AU321" s="56" t="str">
        <f t="shared" si="48"/>
        <v>En gestión</v>
      </c>
      <c r="AV321" s="56" t="str">
        <f t="shared" si="49"/>
        <v>En gestión</v>
      </c>
      <c r="AW321" s="536"/>
      <c r="AX321" s="599"/>
      <c r="AY321" s="600"/>
      <c r="AZ321" s="536"/>
      <c r="BA321" s="536"/>
      <c r="BB321" s="56"/>
      <c r="BC321" s="56"/>
      <c r="BD321" s="568"/>
      <c r="BE321" s="568"/>
      <c r="BF321" s="568"/>
      <c r="BG321" s="568"/>
      <c r="BH321" s="571"/>
      <c r="BI321" s="571"/>
      <c r="BJ321" s="575"/>
      <c r="BK321" s="529"/>
      <c r="BL321" s="529"/>
      <c r="BM321" s="576"/>
      <c r="BN321" s="577"/>
      <c r="BO321" s="347">
        <v>0.5</v>
      </c>
      <c r="BP321" s="13" t="s">
        <v>5146</v>
      </c>
      <c r="BQ321" s="13" t="s">
        <v>5144</v>
      </c>
      <c r="BR321" s="56" t="str">
        <f t="shared" si="51"/>
        <v>En gestión</v>
      </c>
      <c r="BS321" s="56" t="str">
        <f t="shared" si="50"/>
        <v>En gestión</v>
      </c>
      <c r="BT321" s="536"/>
      <c r="BU321" s="561"/>
      <c r="BV321" s="562"/>
      <c r="BW321" s="536"/>
      <c r="BX321" s="536"/>
      <c r="BY321" s="573"/>
      <c r="BZ321" s="536"/>
      <c r="CA321" s="961"/>
      <c r="CB321" s="961"/>
      <c r="CC321" s="961"/>
      <c r="CD321" s="961"/>
      <c r="CE321" s="961"/>
      <c r="CF321" s="961"/>
      <c r="CG321" s="573"/>
      <c r="CH321" s="581"/>
      <c r="CI321" s="573"/>
      <c r="CJ321" s="573"/>
    </row>
    <row r="322" spans="2:88" ht="171.95" customHeight="1" x14ac:dyDescent="0.25">
      <c r="B322" s="1227"/>
      <c r="C322" s="960"/>
      <c r="D322" s="204" t="s">
        <v>5105</v>
      </c>
      <c r="E322" s="204" t="s">
        <v>160</v>
      </c>
      <c r="F322" s="601"/>
      <c r="G322" s="204" t="s">
        <v>28</v>
      </c>
      <c r="H322" s="204" t="s">
        <v>28</v>
      </c>
      <c r="I322" s="204" t="s">
        <v>162</v>
      </c>
      <c r="J322" s="204" t="s">
        <v>30</v>
      </c>
      <c r="K322" s="602"/>
      <c r="L322" s="58" t="s">
        <v>164</v>
      </c>
      <c r="M322" s="202" t="s">
        <v>5147</v>
      </c>
      <c r="N322" s="203" t="s">
        <v>5148</v>
      </c>
      <c r="O322" s="204">
        <v>0.2</v>
      </c>
      <c r="P322" s="205">
        <v>44229</v>
      </c>
      <c r="Q322" s="205">
        <v>44438</v>
      </c>
      <c r="R322" s="204">
        <v>0.05</v>
      </c>
      <c r="S322" s="204">
        <v>0.5</v>
      </c>
      <c r="T322" s="206">
        <v>0.75</v>
      </c>
      <c r="U322" s="204">
        <v>1</v>
      </c>
      <c r="V322" s="90">
        <v>0.3</v>
      </c>
      <c r="W322" s="13" t="s">
        <v>5149</v>
      </c>
      <c r="X322" s="55" t="s">
        <v>5150</v>
      </c>
      <c r="Y322" s="56" t="str">
        <f t="shared" si="46"/>
        <v>En gestión</v>
      </c>
      <c r="Z322" s="56" t="str">
        <f t="shared" si="47"/>
        <v>En gestión</v>
      </c>
      <c r="AA322" s="536"/>
      <c r="AB322" s="596"/>
      <c r="AC322" s="597"/>
      <c r="AD322" s="536"/>
      <c r="AE322" s="536"/>
      <c r="AF322" s="56"/>
      <c r="AG322" s="568"/>
      <c r="AH322" s="583"/>
      <c r="AI322" s="583"/>
      <c r="AJ322" s="568"/>
      <c r="AK322" s="583"/>
      <c r="AL322" s="583"/>
      <c r="AM322" s="593"/>
      <c r="AN322" s="603"/>
      <c r="AO322" s="520"/>
      <c r="AP322" s="531"/>
      <c r="AQ322" s="568"/>
      <c r="AR322" s="1163">
        <v>0.5</v>
      </c>
      <c r="AS322" s="13" t="s">
        <v>5151</v>
      </c>
      <c r="AT322" s="55" t="s">
        <v>5150</v>
      </c>
      <c r="AU322" s="56" t="str">
        <f t="shared" si="48"/>
        <v>En gestión</v>
      </c>
      <c r="AV322" s="56" t="str">
        <f t="shared" si="49"/>
        <v>En gestión</v>
      </c>
      <c r="AW322" s="536"/>
      <c r="AX322" s="599"/>
      <c r="AY322" s="600"/>
      <c r="AZ322" s="536"/>
      <c r="BA322" s="536"/>
      <c r="BB322" s="56"/>
      <c r="BC322" s="56"/>
      <c r="BD322" s="568"/>
      <c r="BE322" s="568"/>
      <c r="BF322" s="568"/>
      <c r="BG322" s="568"/>
      <c r="BH322" s="571"/>
      <c r="BI322" s="571"/>
      <c r="BJ322" s="575"/>
      <c r="BK322" s="529"/>
      <c r="BL322" s="529"/>
      <c r="BM322" s="576"/>
      <c r="BN322" s="577"/>
      <c r="BO322" s="347">
        <v>0.75</v>
      </c>
      <c r="BP322" s="13" t="s">
        <v>5202</v>
      </c>
      <c r="BQ322" s="13" t="s">
        <v>5150</v>
      </c>
      <c r="BR322" s="56" t="str">
        <f t="shared" si="51"/>
        <v>En gestión</v>
      </c>
      <c r="BS322" s="56" t="str">
        <f t="shared" si="50"/>
        <v>En gestión</v>
      </c>
      <c r="BT322" s="536"/>
      <c r="BU322" s="561"/>
      <c r="BV322" s="562"/>
      <c r="BW322" s="536"/>
      <c r="BX322" s="536"/>
      <c r="BY322" s="573"/>
      <c r="BZ322" s="536"/>
      <c r="CA322" s="961"/>
      <c r="CB322" s="961"/>
      <c r="CC322" s="961"/>
      <c r="CD322" s="961"/>
      <c r="CE322" s="961"/>
      <c r="CF322" s="961"/>
      <c r="CG322" s="573"/>
      <c r="CH322" s="581"/>
      <c r="CI322" s="573"/>
      <c r="CJ322" s="573"/>
    </row>
    <row r="323" spans="2:88" ht="171.95" customHeight="1" x14ac:dyDescent="0.25">
      <c r="B323" s="1227"/>
      <c r="C323" s="962" t="s">
        <v>5152</v>
      </c>
      <c r="D323" s="210" t="s">
        <v>5105</v>
      </c>
      <c r="E323" s="210" t="s">
        <v>160</v>
      </c>
      <c r="F323" s="594" t="s">
        <v>5153</v>
      </c>
      <c r="G323" s="210" t="s">
        <v>28</v>
      </c>
      <c r="H323" s="210" t="s">
        <v>28</v>
      </c>
      <c r="I323" s="210" t="s">
        <v>162</v>
      </c>
      <c r="J323" s="210" t="s">
        <v>30</v>
      </c>
      <c r="K323" s="595" t="s">
        <v>5154</v>
      </c>
      <c r="L323" s="67" t="s">
        <v>187</v>
      </c>
      <c r="M323" s="208" t="s">
        <v>5155</v>
      </c>
      <c r="N323" s="209" t="s">
        <v>5156</v>
      </c>
      <c r="O323" s="210">
        <v>0.5</v>
      </c>
      <c r="P323" s="211">
        <v>44229</v>
      </c>
      <c r="Q323" s="211">
        <v>44561</v>
      </c>
      <c r="R323" s="210">
        <v>0.1</v>
      </c>
      <c r="S323" s="210">
        <v>0.3</v>
      </c>
      <c r="T323" s="212">
        <v>0.6</v>
      </c>
      <c r="U323" s="210">
        <v>1</v>
      </c>
      <c r="V323" s="90">
        <v>0.1</v>
      </c>
      <c r="W323" s="62" t="s">
        <v>5157</v>
      </c>
      <c r="X323" s="63" t="s">
        <v>5158</v>
      </c>
      <c r="Y323" s="66" t="str">
        <f t="shared" si="46"/>
        <v>En gestión</v>
      </c>
      <c r="Z323" s="66" t="str">
        <f t="shared" si="47"/>
        <v>En gestión</v>
      </c>
      <c r="AA323" s="532" t="s">
        <v>5157</v>
      </c>
      <c r="AB323" s="596">
        <f>SUMPRODUCT(O323:O324,V323:V324)</f>
        <v>0.1</v>
      </c>
      <c r="AC323" s="597">
        <f>SUMPRODUCT(O323:O324,R323:R324)</f>
        <v>0.1</v>
      </c>
      <c r="AD323" s="530" t="str">
        <f>IF(AC323&lt;1%,"Sin iniciar",IF(AC323=100%,"Terminado","En gestión"))</f>
        <v>En gestión</v>
      </c>
      <c r="AE323" s="530" t="str">
        <f>IF(AB323&lt;1%,"Sin iniciar",IF(AB323=100%,"Terminado","En gestión"))</f>
        <v>En gestión</v>
      </c>
      <c r="AF323" s="66"/>
      <c r="AG323" s="567">
        <v>104650000</v>
      </c>
      <c r="AH323" s="579">
        <v>104650000</v>
      </c>
      <c r="AI323" s="579">
        <v>26162500</v>
      </c>
      <c r="AJ323" s="567">
        <v>107898000</v>
      </c>
      <c r="AK323" s="579">
        <v>107898000</v>
      </c>
      <c r="AL323" s="579">
        <v>0</v>
      </c>
      <c r="AM323" s="592" t="s">
        <v>4998</v>
      </c>
      <c r="AN323" s="598" t="s">
        <v>4999</v>
      </c>
      <c r="AO323" s="521" t="s">
        <v>5056</v>
      </c>
      <c r="AP323" s="532" t="s">
        <v>5057</v>
      </c>
      <c r="AQ323" s="567">
        <f>+AK323</f>
        <v>107898000</v>
      </c>
      <c r="AR323" s="1163">
        <v>0.3</v>
      </c>
      <c r="AS323" s="62" t="s">
        <v>5157</v>
      </c>
      <c r="AT323" s="63" t="s">
        <v>5158</v>
      </c>
      <c r="AU323" s="66" t="str">
        <f t="shared" si="48"/>
        <v>En gestión</v>
      </c>
      <c r="AV323" s="66" t="str">
        <f t="shared" si="49"/>
        <v>En gestión</v>
      </c>
      <c r="AW323" s="532" t="s">
        <v>5159</v>
      </c>
      <c r="AX323" s="599">
        <f>SUMPRODUCT(O323:O324,AR323:AR324)</f>
        <v>0.27</v>
      </c>
      <c r="AY323" s="600">
        <f>SUMPRODUCT(S323:S324,O323:O324)</f>
        <v>0.3</v>
      </c>
      <c r="AZ323" s="530" t="str">
        <f>IF(AY323&lt;1%,"Sin iniciar",IF(AY323=100%,"Terminado","En gestión"))</f>
        <v>En gestión</v>
      </c>
      <c r="BA323" s="530" t="str">
        <f>IF(AX323&lt;1%,"Sin iniciar",IF(AX323=100%,"Terminado","En gestión"))</f>
        <v>En gestión</v>
      </c>
      <c r="BB323" s="66"/>
      <c r="BC323" s="66"/>
      <c r="BD323" s="567">
        <v>104650000</v>
      </c>
      <c r="BE323" s="567">
        <v>104650000</v>
      </c>
      <c r="BF323" s="567">
        <v>52325000</v>
      </c>
      <c r="BG323" s="567">
        <v>107898000</v>
      </c>
      <c r="BH323" s="564">
        <v>129842500</v>
      </c>
      <c r="BI323" s="564">
        <v>0</v>
      </c>
      <c r="BJ323" s="566" t="s">
        <v>4998</v>
      </c>
      <c r="BK323" s="587"/>
      <c r="BL323" s="587" t="s">
        <v>5056</v>
      </c>
      <c r="BM323" s="585" t="s">
        <v>5057</v>
      </c>
      <c r="BN323" s="586" t="s">
        <v>5160</v>
      </c>
      <c r="BO323" s="347">
        <v>0.6</v>
      </c>
      <c r="BP323" s="62" t="s">
        <v>5161</v>
      </c>
      <c r="BQ323" s="62" t="s">
        <v>5158</v>
      </c>
      <c r="BR323" s="66" t="str">
        <f t="shared" si="51"/>
        <v>En gestión</v>
      </c>
      <c r="BS323" s="66" t="str">
        <f t="shared" si="50"/>
        <v>En gestión</v>
      </c>
      <c r="BT323" s="532" t="s">
        <v>5162</v>
      </c>
      <c r="BU323" s="561">
        <f>SUMPRODUCT(O323:O324,BO323:BO324)</f>
        <v>0.6</v>
      </c>
      <c r="BV323" s="562">
        <f>SUMPRODUCT(O323:O324,T323:T324)</f>
        <v>0.6</v>
      </c>
      <c r="BW323" s="530" t="str">
        <f>IF(BV323&lt;1%,"Sin iniciar",IF(BV323=100%,"Terminado","En gestión"))</f>
        <v>En gestión</v>
      </c>
      <c r="BX323" s="530" t="str">
        <f>IF(BU323&lt;1%,"Sin iniciar",IF(BU323=100%,"Terminado","En gestión"))</f>
        <v>En gestión</v>
      </c>
      <c r="BY323" s="578" t="s">
        <v>37</v>
      </c>
      <c r="BZ323" s="532" t="s">
        <v>1555</v>
      </c>
      <c r="CA323" s="967">
        <v>104650000</v>
      </c>
      <c r="CB323" s="967">
        <v>104650000</v>
      </c>
      <c r="CC323" s="967">
        <v>78487500</v>
      </c>
      <c r="CD323" s="967">
        <v>129842500</v>
      </c>
      <c r="CE323" s="967">
        <v>104653867</v>
      </c>
      <c r="CF323" s="967">
        <v>8960000</v>
      </c>
      <c r="CG323" s="967" t="s">
        <v>5006</v>
      </c>
      <c r="CH323" s="967" t="s">
        <v>5056</v>
      </c>
      <c r="CI323" s="967" t="s">
        <v>5057</v>
      </c>
      <c r="CJ323" s="967" t="s">
        <v>5160</v>
      </c>
    </row>
    <row r="324" spans="2:88" ht="171.95" customHeight="1" x14ac:dyDescent="0.25">
      <c r="B324" s="1227"/>
      <c r="C324" s="962"/>
      <c r="D324" s="210" t="s">
        <v>5105</v>
      </c>
      <c r="E324" s="210" t="s">
        <v>160</v>
      </c>
      <c r="F324" s="594"/>
      <c r="G324" s="210" t="s">
        <v>28</v>
      </c>
      <c r="H324" s="210" t="s">
        <v>28</v>
      </c>
      <c r="I324" s="210" t="s">
        <v>162</v>
      </c>
      <c r="J324" s="210" t="s">
        <v>30</v>
      </c>
      <c r="K324" s="595"/>
      <c r="L324" s="67" t="s">
        <v>187</v>
      </c>
      <c r="M324" s="208" t="s">
        <v>5163</v>
      </c>
      <c r="N324" s="209" t="s">
        <v>5164</v>
      </c>
      <c r="O324" s="210">
        <v>0.5</v>
      </c>
      <c r="P324" s="211">
        <v>44229</v>
      </c>
      <c r="Q324" s="211">
        <v>44561</v>
      </c>
      <c r="R324" s="210">
        <v>0.1</v>
      </c>
      <c r="S324" s="210">
        <v>0.3</v>
      </c>
      <c r="T324" s="212">
        <v>0.6</v>
      </c>
      <c r="U324" s="210">
        <v>1</v>
      </c>
      <c r="V324" s="90">
        <v>0.1</v>
      </c>
      <c r="W324" s="62" t="s">
        <v>5157</v>
      </c>
      <c r="X324" s="63" t="s">
        <v>5165</v>
      </c>
      <c r="Y324" s="66" t="str">
        <f t="shared" si="46"/>
        <v>En gestión</v>
      </c>
      <c r="Z324" s="66" t="str">
        <f t="shared" si="47"/>
        <v>En gestión</v>
      </c>
      <c r="AA324" s="532"/>
      <c r="AB324" s="596"/>
      <c r="AC324" s="597"/>
      <c r="AD324" s="530"/>
      <c r="AE324" s="530"/>
      <c r="AF324" s="66"/>
      <c r="AG324" s="567"/>
      <c r="AH324" s="579"/>
      <c r="AI324" s="579"/>
      <c r="AJ324" s="567"/>
      <c r="AK324" s="579"/>
      <c r="AL324" s="579"/>
      <c r="AM324" s="592"/>
      <c r="AN324" s="598"/>
      <c r="AO324" s="521"/>
      <c r="AP324" s="532"/>
      <c r="AQ324" s="567"/>
      <c r="AR324" s="1163">
        <v>0.24</v>
      </c>
      <c r="AS324" s="62" t="s">
        <v>5159</v>
      </c>
      <c r="AT324" s="63" t="s">
        <v>5158</v>
      </c>
      <c r="AU324" s="66" t="str">
        <f t="shared" si="48"/>
        <v>En gestión</v>
      </c>
      <c r="AV324" s="66" t="str">
        <f t="shared" si="49"/>
        <v>En gestión</v>
      </c>
      <c r="AW324" s="532"/>
      <c r="AX324" s="599"/>
      <c r="AY324" s="600"/>
      <c r="AZ324" s="530"/>
      <c r="BA324" s="530"/>
      <c r="BB324" s="66"/>
      <c r="BC324" s="66"/>
      <c r="BD324" s="567"/>
      <c r="BE324" s="567"/>
      <c r="BF324" s="567"/>
      <c r="BG324" s="567"/>
      <c r="BH324" s="564"/>
      <c r="BI324" s="564"/>
      <c r="BJ324" s="566"/>
      <c r="BK324" s="587"/>
      <c r="BL324" s="587"/>
      <c r="BM324" s="585"/>
      <c r="BN324" s="586"/>
      <c r="BO324" s="347">
        <v>0.6</v>
      </c>
      <c r="BP324" s="62" t="s">
        <v>5203</v>
      </c>
      <c r="BQ324" s="62" t="s">
        <v>5158</v>
      </c>
      <c r="BR324" s="66" t="str">
        <f t="shared" si="51"/>
        <v>En gestión</v>
      </c>
      <c r="BS324" s="66" t="str">
        <f t="shared" si="50"/>
        <v>En gestión</v>
      </c>
      <c r="BT324" s="532"/>
      <c r="BU324" s="561"/>
      <c r="BV324" s="562"/>
      <c r="BW324" s="530"/>
      <c r="BX324" s="530"/>
      <c r="BY324" s="578"/>
      <c r="BZ324" s="532"/>
      <c r="CA324" s="967"/>
      <c r="CB324" s="967"/>
      <c r="CC324" s="967"/>
      <c r="CD324" s="967"/>
      <c r="CE324" s="967"/>
      <c r="CF324" s="967"/>
      <c r="CG324" s="967"/>
      <c r="CH324" s="967"/>
      <c r="CI324" s="967"/>
      <c r="CJ324" s="967"/>
    </row>
    <row r="325" spans="2:88" ht="171.95" customHeight="1" x14ac:dyDescent="0.25">
      <c r="B325" s="1227" t="s">
        <v>5228</v>
      </c>
      <c r="C325" s="612" t="s">
        <v>1044</v>
      </c>
      <c r="D325" s="227" t="s">
        <v>1045</v>
      </c>
      <c r="E325" s="227" t="s">
        <v>160</v>
      </c>
      <c r="F325" s="819" t="s">
        <v>1046</v>
      </c>
      <c r="G325" s="227" t="s">
        <v>28</v>
      </c>
      <c r="H325" s="227" t="s">
        <v>28</v>
      </c>
      <c r="I325" s="227" t="s">
        <v>59</v>
      </c>
      <c r="J325" s="227" t="s">
        <v>1047</v>
      </c>
      <c r="K325" s="820" t="s">
        <v>1048</v>
      </c>
      <c r="L325" s="228" t="s">
        <v>752</v>
      </c>
      <c r="M325" s="229" t="s">
        <v>3338</v>
      </c>
      <c r="N325" s="230" t="s">
        <v>1049</v>
      </c>
      <c r="O325" s="231">
        <v>0.5</v>
      </c>
      <c r="P325" s="232">
        <v>44378</v>
      </c>
      <c r="Q325" s="232">
        <v>44561</v>
      </c>
      <c r="R325" s="231">
        <v>0</v>
      </c>
      <c r="S325" s="231">
        <v>0</v>
      </c>
      <c r="T325" s="231">
        <v>0.3</v>
      </c>
      <c r="U325" s="231">
        <v>1</v>
      </c>
      <c r="V325" s="233">
        <v>0</v>
      </c>
      <c r="W325" s="234" t="s">
        <v>37</v>
      </c>
      <c r="X325" s="235" t="s">
        <v>37</v>
      </c>
      <c r="Y325" s="5" t="str">
        <f t="shared" ref="Y325:Y372" si="52">IF(R325&lt;1%,"Sin iniciar",IF(R325=100%,"Terminado","En gestión"))</f>
        <v>Sin iniciar</v>
      </c>
      <c r="Z325" s="5" t="str">
        <f t="shared" ref="Z325:Z372" si="53">IF(V325&lt;1%,"Sin iniciar",IF(V325=100%,"Terminado","En gestión"))</f>
        <v>Sin iniciar</v>
      </c>
      <c r="AA325" s="821" t="s">
        <v>1151</v>
      </c>
      <c r="AB325" s="596">
        <f>SUMPRODUCT(O325:O326,V325:V326)</f>
        <v>0</v>
      </c>
      <c r="AC325" s="597">
        <f>SUMPRODUCT(O325:O326,R325:R326)</f>
        <v>0</v>
      </c>
      <c r="AD325" s="827" t="str">
        <f>IF(AC325&lt;1%,"Sin iniciar",IF(AC325=100%,"Terminado","En gestión"))</f>
        <v>Sin iniciar</v>
      </c>
      <c r="AE325" s="827" t="str">
        <f>IF(AB325&lt;1%,"Sin iniciar",IF(AB325=100%,"Terminado","En gestión"))</f>
        <v>Sin iniciar</v>
      </c>
      <c r="AF325" s="236"/>
      <c r="AG325" s="828">
        <v>155641922</v>
      </c>
      <c r="AH325" s="828">
        <v>155641922</v>
      </c>
      <c r="AI325" s="826"/>
      <c r="AJ325" s="825">
        <v>183009000</v>
      </c>
      <c r="AK325" s="825">
        <v>183009000</v>
      </c>
      <c r="AL325" s="826"/>
      <c r="AM325" s="822"/>
      <c r="AN325" s="237"/>
      <c r="AO325" s="822"/>
      <c r="AP325" s="822"/>
      <c r="AQ325" s="236"/>
      <c r="AR325" s="1170">
        <v>0</v>
      </c>
      <c r="AS325" s="56" t="s">
        <v>2437</v>
      </c>
      <c r="AT325" s="235" t="s">
        <v>37</v>
      </c>
      <c r="AU325" s="56" t="str">
        <f t="shared" ref="AU325:AU372" si="54">IF(S325&lt;1%,"Sin iniciar",IF(S325=100%,"Terminado","En gestión"))</f>
        <v>Sin iniciar</v>
      </c>
      <c r="AV325" s="56" t="str">
        <f t="shared" ref="AV325:AV372" si="55">IF(AR325&lt;1%,"Sin iniciar",IF(AR325=100%,"Terminado","En gestión"))</f>
        <v>Sin iniciar</v>
      </c>
      <c r="AW325" s="821" t="s">
        <v>2437</v>
      </c>
      <c r="AX325" s="599">
        <f>SUMPRODUCT(O325:O326,AR325:AR326)</f>
        <v>0</v>
      </c>
      <c r="AY325" s="600">
        <f>SUMPRODUCT(S325:S326,O325:O326)</f>
        <v>0</v>
      </c>
      <c r="AZ325" s="823" t="str">
        <f>IF(AY325&lt;1%,"Sin iniciar",IF(AY325=100%,"Terminado","En gestión"))</f>
        <v>Sin iniciar</v>
      </c>
      <c r="BA325" s="823" t="str">
        <f>IF(AX325&lt;1%,"Sin iniciar",IF(AX325=100%,"Terminado","En gestión"))</f>
        <v>Sin iniciar</v>
      </c>
      <c r="BB325" s="236"/>
      <c r="BC325" s="821" t="s">
        <v>1555</v>
      </c>
      <c r="BD325" s="824">
        <v>155641922</v>
      </c>
      <c r="BE325" s="824">
        <v>155641922</v>
      </c>
      <c r="BF325" s="843">
        <v>0</v>
      </c>
      <c r="BG325" s="844">
        <v>183009000</v>
      </c>
      <c r="BH325" s="844">
        <v>183009000</v>
      </c>
      <c r="BI325" s="843">
        <v>0</v>
      </c>
      <c r="BJ325" s="822" t="s">
        <v>2617</v>
      </c>
      <c r="BK325" s="841">
        <v>2017011000343</v>
      </c>
      <c r="BL325" s="822" t="s">
        <v>2541</v>
      </c>
      <c r="BM325" s="822" t="s">
        <v>2611</v>
      </c>
      <c r="BN325" s="842" t="s">
        <v>2618</v>
      </c>
      <c r="BO325" s="347">
        <v>0.3</v>
      </c>
      <c r="BP325" s="11" t="s">
        <v>3339</v>
      </c>
      <c r="BQ325" s="368" t="s">
        <v>5248</v>
      </c>
      <c r="BR325" s="5" t="str">
        <f t="shared" ref="BR325:BR372" si="56">IF(T325&lt;1%,"Sin iniciar",IF(T325=100%,"Terminado","En gestión"))</f>
        <v>En gestión</v>
      </c>
      <c r="BS325" s="5" t="str">
        <f t="shared" ref="BS325:BS372" si="57">IF(BO325&lt;1%,"Sin iniciar",IF(BO325=100%,"Terminado","En gestión"))</f>
        <v>En gestión</v>
      </c>
      <c r="BT325" s="11" t="s">
        <v>3340</v>
      </c>
      <c r="BU325" s="561">
        <f>SUMPRODUCT(O325:O326,BO325:BO326)</f>
        <v>0.15</v>
      </c>
      <c r="BV325" s="562">
        <f>SUMPRODUCT(O325:O326,T325:T326)</f>
        <v>0.15</v>
      </c>
      <c r="BW325" s="827" t="str">
        <f>IF(BV325&lt;1%,"Sin iniciar",IF(BV325=100%,"Terminado","En gestión"))</f>
        <v>En gestión</v>
      </c>
      <c r="BX325" s="827" t="str">
        <f>IF(BU325&lt;1%,"Sin iniciar",IF(BU325=100%,"Terminado","En gestión"))</f>
        <v>En gestión</v>
      </c>
      <c r="BY325" s="573" t="s">
        <v>37</v>
      </c>
      <c r="BZ325" s="573" t="s">
        <v>1555</v>
      </c>
      <c r="CA325" s="838">
        <f>BD325</f>
        <v>155641922</v>
      </c>
      <c r="CB325" s="839">
        <f>BE325</f>
        <v>155641922</v>
      </c>
      <c r="CC325" s="838">
        <f>CB325*75%</f>
        <v>116731441.5</v>
      </c>
      <c r="CD325" s="840">
        <f>BG325</f>
        <v>183009000</v>
      </c>
      <c r="CE325" s="835">
        <f>BH325</f>
        <v>183009000</v>
      </c>
      <c r="CF325" s="836">
        <v>111983773</v>
      </c>
      <c r="CG325" s="626" t="s">
        <v>2617</v>
      </c>
      <c r="CH325" s="626" t="s">
        <v>2541</v>
      </c>
      <c r="CI325" s="626" t="s">
        <v>2611</v>
      </c>
      <c r="CJ325" s="837" t="s">
        <v>2618</v>
      </c>
    </row>
    <row r="326" spans="2:88" ht="171.95" customHeight="1" x14ac:dyDescent="0.25">
      <c r="B326" s="1227"/>
      <c r="C326" s="612"/>
      <c r="D326" s="227" t="s">
        <v>1045</v>
      </c>
      <c r="E326" s="227" t="s">
        <v>160</v>
      </c>
      <c r="F326" s="819"/>
      <c r="G326" s="227" t="s">
        <v>28</v>
      </c>
      <c r="H326" s="227" t="s">
        <v>28</v>
      </c>
      <c r="I326" s="227" t="s">
        <v>59</v>
      </c>
      <c r="J326" s="227" t="s">
        <v>1047</v>
      </c>
      <c r="K326" s="820"/>
      <c r="L326" s="228" t="s">
        <v>752</v>
      </c>
      <c r="M326" s="229" t="s">
        <v>3341</v>
      </c>
      <c r="N326" s="230" t="s">
        <v>1050</v>
      </c>
      <c r="O326" s="231">
        <v>0.5</v>
      </c>
      <c r="P326" s="232">
        <v>44470</v>
      </c>
      <c r="Q326" s="232">
        <v>44561</v>
      </c>
      <c r="R326" s="231">
        <v>0</v>
      </c>
      <c r="S326" s="231">
        <v>0</v>
      </c>
      <c r="T326" s="231">
        <v>0</v>
      </c>
      <c r="U326" s="231">
        <v>1</v>
      </c>
      <c r="V326" s="233">
        <v>0</v>
      </c>
      <c r="W326" s="234" t="s">
        <v>37</v>
      </c>
      <c r="X326" s="235" t="s">
        <v>37</v>
      </c>
      <c r="Y326" s="5" t="str">
        <f t="shared" si="52"/>
        <v>Sin iniciar</v>
      </c>
      <c r="Z326" s="5" t="str">
        <f t="shared" si="53"/>
        <v>Sin iniciar</v>
      </c>
      <c r="AA326" s="821"/>
      <c r="AB326" s="596"/>
      <c r="AC326" s="597"/>
      <c r="AD326" s="827"/>
      <c r="AE326" s="827"/>
      <c r="AF326" s="236"/>
      <c r="AG326" s="828"/>
      <c r="AH326" s="828"/>
      <c r="AI326" s="826"/>
      <c r="AJ326" s="825"/>
      <c r="AK326" s="825"/>
      <c r="AL326" s="826"/>
      <c r="AM326" s="822"/>
      <c r="AN326" s="237"/>
      <c r="AO326" s="822"/>
      <c r="AP326" s="822"/>
      <c r="AQ326" s="236"/>
      <c r="AR326" s="1170">
        <v>0</v>
      </c>
      <c r="AS326" s="56" t="s">
        <v>2437</v>
      </c>
      <c r="AT326" s="235" t="s">
        <v>37</v>
      </c>
      <c r="AU326" s="56" t="str">
        <f t="shared" si="54"/>
        <v>Sin iniciar</v>
      </c>
      <c r="AV326" s="56" t="str">
        <f t="shared" si="55"/>
        <v>Sin iniciar</v>
      </c>
      <c r="AW326" s="821"/>
      <c r="AX326" s="599"/>
      <c r="AY326" s="600"/>
      <c r="AZ326" s="823"/>
      <c r="BA326" s="823"/>
      <c r="BB326" s="236"/>
      <c r="BC326" s="821"/>
      <c r="BD326" s="824"/>
      <c r="BE326" s="824"/>
      <c r="BF326" s="843"/>
      <c r="BG326" s="844"/>
      <c r="BH326" s="844"/>
      <c r="BI326" s="843"/>
      <c r="BJ326" s="822"/>
      <c r="BK326" s="841"/>
      <c r="BL326" s="822"/>
      <c r="BM326" s="822"/>
      <c r="BN326" s="842"/>
      <c r="BO326" s="347">
        <v>0</v>
      </c>
      <c r="BP326" s="11" t="s">
        <v>3342</v>
      </c>
      <c r="BQ326" s="11" t="s">
        <v>3342</v>
      </c>
      <c r="BR326" s="5" t="str">
        <f t="shared" si="56"/>
        <v>Sin iniciar</v>
      </c>
      <c r="BS326" s="5" t="str">
        <f t="shared" si="57"/>
        <v>Sin iniciar</v>
      </c>
      <c r="BT326" s="197" t="s">
        <v>3342</v>
      </c>
      <c r="BU326" s="561"/>
      <c r="BV326" s="562"/>
      <c r="BW326" s="827"/>
      <c r="BX326" s="827"/>
      <c r="BY326" s="573"/>
      <c r="BZ326" s="573"/>
      <c r="CA326" s="838"/>
      <c r="CB326" s="839"/>
      <c r="CC326" s="838"/>
      <c r="CD326" s="840"/>
      <c r="CE326" s="835"/>
      <c r="CF326" s="836"/>
      <c r="CG326" s="626"/>
      <c r="CH326" s="626"/>
      <c r="CI326" s="626"/>
      <c r="CJ326" s="837"/>
    </row>
    <row r="327" spans="2:88" ht="171.95" customHeight="1" x14ac:dyDescent="0.25">
      <c r="B327" s="1227"/>
      <c r="C327" s="831" t="s">
        <v>1051</v>
      </c>
      <c r="D327" s="238" t="s">
        <v>686</v>
      </c>
      <c r="E327" s="238" t="s">
        <v>160</v>
      </c>
      <c r="F327" s="832" t="s">
        <v>1052</v>
      </c>
      <c r="G327" s="238" t="s">
        <v>28</v>
      </c>
      <c r="H327" s="238" t="s">
        <v>28</v>
      </c>
      <c r="I327" s="238" t="s">
        <v>59</v>
      </c>
      <c r="J327" s="238" t="s">
        <v>1047</v>
      </c>
      <c r="K327" s="833" t="s">
        <v>1053</v>
      </c>
      <c r="L327" s="239" t="s">
        <v>752</v>
      </c>
      <c r="M327" s="240" t="s">
        <v>3343</v>
      </c>
      <c r="N327" s="241" t="s">
        <v>1054</v>
      </c>
      <c r="O327" s="242">
        <v>0.7</v>
      </c>
      <c r="P327" s="243">
        <v>44197</v>
      </c>
      <c r="Q327" s="243" t="s">
        <v>453</v>
      </c>
      <c r="R327" s="242">
        <v>0.05</v>
      </c>
      <c r="S327" s="242">
        <v>0.4</v>
      </c>
      <c r="T327" s="242">
        <v>1</v>
      </c>
      <c r="U327" s="242">
        <v>1</v>
      </c>
      <c r="V327" s="233">
        <v>0.05</v>
      </c>
      <c r="W327" s="244" t="s">
        <v>1055</v>
      </c>
      <c r="X327" s="245" t="s">
        <v>3344</v>
      </c>
      <c r="Y327" s="19" t="str">
        <f t="shared" si="52"/>
        <v>En gestión</v>
      </c>
      <c r="Z327" s="19" t="str">
        <f t="shared" si="53"/>
        <v>En gestión</v>
      </c>
      <c r="AA327" s="834" t="s">
        <v>1152</v>
      </c>
      <c r="AB327" s="596">
        <f>SUMPRODUCT(O327:O328,V327:V328)</f>
        <v>3.4999999999999996E-2</v>
      </c>
      <c r="AC327" s="597">
        <f>SUMPRODUCT(O327:O328,R327:R328)</f>
        <v>3.4999999999999996E-2</v>
      </c>
      <c r="AD327" s="846" t="str">
        <f>IF(AC327&lt;1%,"Sin iniciar",IF(AC327=100%,"Terminado","En gestión"))</f>
        <v>En gestión</v>
      </c>
      <c r="AE327" s="846" t="str">
        <f>IF(AB327&lt;1%,"Sin iniciar",IF(AB327=100%,"Terminado","En gestión"))</f>
        <v>En gestión</v>
      </c>
      <c r="AF327" s="246"/>
      <c r="AG327" s="829">
        <v>155641922</v>
      </c>
      <c r="AH327" s="829">
        <v>155641922</v>
      </c>
      <c r="AI327" s="829">
        <v>6225676.8799999999</v>
      </c>
      <c r="AJ327" s="830">
        <v>183009000</v>
      </c>
      <c r="AK327" s="830">
        <v>183009000</v>
      </c>
      <c r="AL327" s="829">
        <v>14640720</v>
      </c>
      <c r="AM327" s="851" t="s">
        <v>2609</v>
      </c>
      <c r="AN327" s="247">
        <v>2017011000343</v>
      </c>
      <c r="AO327" s="851" t="s">
        <v>2610</v>
      </c>
      <c r="AP327" s="851" t="s">
        <v>2611</v>
      </c>
      <c r="AQ327" s="246"/>
      <c r="AR327" s="1170">
        <v>0.4</v>
      </c>
      <c r="AS327" s="248" t="s">
        <v>1161</v>
      </c>
      <c r="AT327" s="249" t="s">
        <v>3345</v>
      </c>
      <c r="AU327" s="66" t="str">
        <f t="shared" si="54"/>
        <v>En gestión</v>
      </c>
      <c r="AV327" s="66" t="str">
        <f t="shared" si="55"/>
        <v>En gestión</v>
      </c>
      <c r="AW327" s="834" t="s">
        <v>1193</v>
      </c>
      <c r="AX327" s="599">
        <f>SUMPRODUCT(O327:O328,AR327:AR328)</f>
        <v>0.27999999999999997</v>
      </c>
      <c r="AY327" s="600">
        <f>SUMPRODUCT(S327:S328,O327:O328)</f>
        <v>0.27999999999999997</v>
      </c>
      <c r="AZ327" s="858" t="str">
        <f>IF(AY327&lt;1%,"Sin iniciar",IF(AY327=100%,"Terminado","En gestión"))</f>
        <v>En gestión</v>
      </c>
      <c r="BA327" s="858" t="str">
        <f>IF(AX327&lt;1%,"Sin iniciar",IF(AX327=100%,"Terminado","En gestión"))</f>
        <v>En gestión</v>
      </c>
      <c r="BB327" s="246"/>
      <c r="BC327" s="859" t="s">
        <v>1555</v>
      </c>
      <c r="BD327" s="852">
        <v>155641922</v>
      </c>
      <c r="BE327" s="852">
        <v>155641922</v>
      </c>
      <c r="BF327" s="852">
        <v>77820961</v>
      </c>
      <c r="BG327" s="853">
        <v>183009000</v>
      </c>
      <c r="BH327" s="853">
        <v>183009000</v>
      </c>
      <c r="BI327" s="852">
        <v>49084472.5</v>
      </c>
      <c r="BJ327" s="851" t="s">
        <v>2617</v>
      </c>
      <c r="BK327" s="850">
        <v>2017011000343</v>
      </c>
      <c r="BL327" s="851" t="s">
        <v>2546</v>
      </c>
      <c r="BM327" s="851" t="s">
        <v>2619</v>
      </c>
      <c r="BN327" s="834" t="s">
        <v>2548</v>
      </c>
      <c r="BO327" s="347">
        <v>1</v>
      </c>
      <c r="BP327" s="24" t="s">
        <v>3346</v>
      </c>
      <c r="BQ327" s="24" t="s">
        <v>3347</v>
      </c>
      <c r="BR327" s="21" t="str">
        <f t="shared" si="56"/>
        <v>Terminado</v>
      </c>
      <c r="BS327" s="21" t="str">
        <f t="shared" si="57"/>
        <v>Terminado</v>
      </c>
      <c r="BT327" s="24" t="s">
        <v>3348</v>
      </c>
      <c r="BU327" s="561">
        <f>SUMPRODUCT(O327:O328,BO327:BO328)</f>
        <v>0.85</v>
      </c>
      <c r="BV327" s="562">
        <f>SUMPRODUCT(O327:O328,T327:T328)</f>
        <v>0.85</v>
      </c>
      <c r="BW327" s="846" t="str">
        <f>IF(BV327&lt;1%,"Sin iniciar",IF(BV327=100%,"Terminado","En gestión"))</f>
        <v>En gestión</v>
      </c>
      <c r="BX327" s="846" t="str">
        <f>IF(BU327&lt;1%,"Sin iniciar",IF(BU327=100%,"Terminado","En gestión"))</f>
        <v>En gestión</v>
      </c>
      <c r="BY327" s="973" t="s">
        <v>37</v>
      </c>
      <c r="BZ327" s="578" t="s">
        <v>1555</v>
      </c>
      <c r="CA327" s="847">
        <f>BD327</f>
        <v>155641922</v>
      </c>
      <c r="CB327" s="848">
        <f>BE327</f>
        <v>155641922</v>
      </c>
      <c r="CC327" s="847">
        <f>CB327*75%</f>
        <v>116731441.5</v>
      </c>
      <c r="CD327" s="849">
        <f>BG327</f>
        <v>183009000</v>
      </c>
      <c r="CE327" s="856">
        <f>BH327</f>
        <v>183009000</v>
      </c>
      <c r="CF327" s="848">
        <f>88257153+(88257153-35219194)</f>
        <v>141295112</v>
      </c>
      <c r="CG327" s="857" t="s">
        <v>2617</v>
      </c>
      <c r="CH327" s="857" t="s">
        <v>2546</v>
      </c>
      <c r="CI327" s="857" t="s">
        <v>2619</v>
      </c>
      <c r="CJ327" s="845" t="s">
        <v>2548</v>
      </c>
    </row>
    <row r="328" spans="2:88" ht="171.95" customHeight="1" x14ac:dyDescent="0.25">
      <c r="B328" s="1227"/>
      <c r="C328" s="831"/>
      <c r="D328" s="238" t="s">
        <v>686</v>
      </c>
      <c r="E328" s="238" t="s">
        <v>160</v>
      </c>
      <c r="F328" s="832"/>
      <c r="G328" s="238" t="s">
        <v>28</v>
      </c>
      <c r="H328" s="238" t="s">
        <v>28</v>
      </c>
      <c r="I328" s="238" t="s">
        <v>59</v>
      </c>
      <c r="J328" s="238" t="s">
        <v>1047</v>
      </c>
      <c r="K328" s="833"/>
      <c r="L328" s="239" t="s">
        <v>752</v>
      </c>
      <c r="M328" s="240" t="s">
        <v>3349</v>
      </c>
      <c r="N328" s="241" t="s">
        <v>1056</v>
      </c>
      <c r="O328" s="242">
        <v>0.3</v>
      </c>
      <c r="P328" s="243">
        <v>44378</v>
      </c>
      <c r="Q328" s="243">
        <v>44561</v>
      </c>
      <c r="R328" s="242">
        <v>0</v>
      </c>
      <c r="S328" s="242">
        <v>0</v>
      </c>
      <c r="T328" s="242">
        <v>0.5</v>
      </c>
      <c r="U328" s="242">
        <v>1</v>
      </c>
      <c r="V328" s="233">
        <v>0</v>
      </c>
      <c r="W328" s="244" t="s">
        <v>37</v>
      </c>
      <c r="X328" s="250" t="s">
        <v>37</v>
      </c>
      <c r="Y328" s="19" t="str">
        <f t="shared" si="52"/>
        <v>Sin iniciar</v>
      </c>
      <c r="Z328" s="19" t="str">
        <f t="shared" si="53"/>
        <v>Sin iniciar</v>
      </c>
      <c r="AA328" s="834"/>
      <c r="AB328" s="596"/>
      <c r="AC328" s="597"/>
      <c r="AD328" s="846"/>
      <c r="AE328" s="846"/>
      <c r="AF328" s="246"/>
      <c r="AG328" s="829"/>
      <c r="AH328" s="829"/>
      <c r="AI328" s="829"/>
      <c r="AJ328" s="830"/>
      <c r="AK328" s="830"/>
      <c r="AL328" s="829"/>
      <c r="AM328" s="851"/>
      <c r="AN328" s="247">
        <v>2017011000343</v>
      </c>
      <c r="AO328" s="851"/>
      <c r="AP328" s="851"/>
      <c r="AQ328" s="246"/>
      <c r="AR328" s="1170">
        <v>0</v>
      </c>
      <c r="AS328" s="66" t="s">
        <v>2437</v>
      </c>
      <c r="AT328" s="250" t="s">
        <v>3350</v>
      </c>
      <c r="AU328" s="66" t="str">
        <f t="shared" si="54"/>
        <v>Sin iniciar</v>
      </c>
      <c r="AV328" s="66" t="str">
        <f t="shared" si="55"/>
        <v>Sin iniciar</v>
      </c>
      <c r="AW328" s="834"/>
      <c r="AX328" s="599"/>
      <c r="AY328" s="600"/>
      <c r="AZ328" s="858"/>
      <c r="BA328" s="858"/>
      <c r="BB328" s="246"/>
      <c r="BC328" s="859"/>
      <c r="BD328" s="852"/>
      <c r="BE328" s="852"/>
      <c r="BF328" s="852"/>
      <c r="BG328" s="853"/>
      <c r="BH328" s="853"/>
      <c r="BI328" s="852"/>
      <c r="BJ328" s="851"/>
      <c r="BK328" s="850"/>
      <c r="BL328" s="851"/>
      <c r="BM328" s="851"/>
      <c r="BN328" s="834"/>
      <c r="BO328" s="347">
        <v>0.5</v>
      </c>
      <c r="BP328" s="24" t="s">
        <v>3351</v>
      </c>
      <c r="BQ328" s="24" t="s">
        <v>3352</v>
      </c>
      <c r="BR328" s="19" t="str">
        <f t="shared" si="56"/>
        <v>En gestión</v>
      </c>
      <c r="BS328" s="19" t="str">
        <f t="shared" si="57"/>
        <v>En gestión</v>
      </c>
      <c r="BT328" s="24" t="s">
        <v>3353</v>
      </c>
      <c r="BU328" s="561"/>
      <c r="BV328" s="562"/>
      <c r="BW328" s="846"/>
      <c r="BX328" s="846"/>
      <c r="BY328" s="973"/>
      <c r="BZ328" s="578"/>
      <c r="CA328" s="847"/>
      <c r="CB328" s="848"/>
      <c r="CC328" s="847"/>
      <c r="CD328" s="849"/>
      <c r="CE328" s="856"/>
      <c r="CF328" s="848"/>
      <c r="CG328" s="857"/>
      <c r="CH328" s="857"/>
      <c r="CI328" s="857"/>
      <c r="CJ328" s="845"/>
    </row>
    <row r="329" spans="2:88" ht="171.95" customHeight="1" x14ac:dyDescent="0.25">
      <c r="B329" s="1227"/>
      <c r="C329" s="612" t="s">
        <v>1057</v>
      </c>
      <c r="D329" s="227" t="s">
        <v>1045</v>
      </c>
      <c r="E329" s="227" t="s">
        <v>160</v>
      </c>
      <c r="F329" s="983" t="s">
        <v>1058</v>
      </c>
      <c r="G329" s="227" t="s">
        <v>28</v>
      </c>
      <c r="H329" s="227" t="s">
        <v>28</v>
      </c>
      <c r="I329" s="227" t="s">
        <v>59</v>
      </c>
      <c r="J329" s="227" t="s">
        <v>1047</v>
      </c>
      <c r="K329" s="820" t="s">
        <v>1059</v>
      </c>
      <c r="L329" s="228" t="s">
        <v>164</v>
      </c>
      <c r="M329" s="229" t="s">
        <v>3354</v>
      </c>
      <c r="N329" s="230" t="s">
        <v>3355</v>
      </c>
      <c r="O329" s="231">
        <v>0.16</v>
      </c>
      <c r="P329" s="232">
        <v>44197</v>
      </c>
      <c r="Q329" s="232">
        <v>44561</v>
      </c>
      <c r="R329" s="231">
        <v>0.05</v>
      </c>
      <c r="S329" s="231">
        <v>0.3</v>
      </c>
      <c r="T329" s="231">
        <v>0.65</v>
      </c>
      <c r="U329" s="231">
        <v>1</v>
      </c>
      <c r="V329" s="233">
        <v>0.05</v>
      </c>
      <c r="W329" s="234" t="s">
        <v>1060</v>
      </c>
      <c r="X329" s="251" t="s">
        <v>3356</v>
      </c>
      <c r="Y329" s="5" t="str">
        <f t="shared" si="52"/>
        <v>En gestión</v>
      </c>
      <c r="Z329" s="5" t="str">
        <f t="shared" si="53"/>
        <v>En gestión</v>
      </c>
      <c r="AA329" s="842" t="s">
        <v>1153</v>
      </c>
      <c r="AB329" s="854">
        <f>SUMPRODUCT(O329:O334,V329:V334)</f>
        <v>0.05</v>
      </c>
      <c r="AC329" s="855">
        <f>SUMPRODUCT(O329:O334,R329:R334)</f>
        <v>0.05</v>
      </c>
      <c r="AD329" s="827" t="str">
        <f>IF(AC329&lt;1%,"Sin iniciar",IF(AC329=100%,"Terminado","En gestión"))</f>
        <v>En gestión</v>
      </c>
      <c r="AE329" s="827" t="str">
        <f>IF(AB329&lt;1%,"Sin iniciar",IF(AB329=100%,"Terminado","En gestión"))</f>
        <v>En gestión</v>
      </c>
      <c r="AF329" s="236"/>
      <c r="AG329" s="828">
        <v>55723139.159999996</v>
      </c>
      <c r="AH329" s="828">
        <v>55723139.159999996</v>
      </c>
      <c r="AI329" s="828">
        <v>2786156.9580000001</v>
      </c>
      <c r="AJ329" s="825">
        <v>153241618.66666701</v>
      </c>
      <c r="AK329" s="825">
        <v>294223906.66666698</v>
      </c>
      <c r="AL329" s="828">
        <v>12259329.439999999</v>
      </c>
      <c r="AM329" s="822" t="s">
        <v>2609</v>
      </c>
      <c r="AN329" s="237">
        <v>2017011000343</v>
      </c>
      <c r="AO329" s="822" t="s">
        <v>2484</v>
      </c>
      <c r="AP329" s="822" t="s">
        <v>2612</v>
      </c>
      <c r="AQ329" s="236"/>
      <c r="AR329" s="1170">
        <v>0.3</v>
      </c>
      <c r="AS329" s="234" t="s">
        <v>1162</v>
      </c>
      <c r="AT329" s="251" t="s">
        <v>3357</v>
      </c>
      <c r="AU329" s="56" t="str">
        <f t="shared" si="54"/>
        <v>En gestión</v>
      </c>
      <c r="AV329" s="56" t="str">
        <f t="shared" si="55"/>
        <v>En gestión</v>
      </c>
      <c r="AW329" s="842" t="s">
        <v>1194</v>
      </c>
      <c r="AX329" s="861">
        <f>SUMPRODUCT(O329:O334,AR329:AR334)</f>
        <v>0.3</v>
      </c>
      <c r="AY329" s="860">
        <f>SUMPRODUCT(S329:S334,O329:O334)</f>
        <v>0.3</v>
      </c>
      <c r="AZ329" s="823" t="str">
        <f>IF(AY329&lt;1%,"Sin iniciar",IF(AY329=100%,"Terminado","En gestión"))</f>
        <v>En gestión</v>
      </c>
      <c r="BA329" s="823" t="str">
        <f>IF(AX329&lt;1%,"Sin iniciar",IF(AX329=100%,"Terminado","En gestión"))</f>
        <v>En gestión</v>
      </c>
      <c r="BB329" s="236"/>
      <c r="BC329" s="821" t="s">
        <v>1555</v>
      </c>
      <c r="BD329" s="824">
        <v>55723139.159999996</v>
      </c>
      <c r="BE329" s="824">
        <v>55723139.159999996</v>
      </c>
      <c r="BF329" s="824">
        <v>27861569.579999998</v>
      </c>
      <c r="BG329" s="844">
        <v>153241618.66666701</v>
      </c>
      <c r="BH329" s="844">
        <v>294223906.66666698</v>
      </c>
      <c r="BI329" s="824">
        <v>47367644.600000001</v>
      </c>
      <c r="BJ329" s="822" t="s">
        <v>2617</v>
      </c>
      <c r="BK329" s="841">
        <v>2017011000343</v>
      </c>
      <c r="BL329" s="822" t="s">
        <v>2549</v>
      </c>
      <c r="BM329" s="822" t="s">
        <v>2620</v>
      </c>
      <c r="BN329" s="842" t="s">
        <v>2551</v>
      </c>
      <c r="BO329" s="347">
        <v>0.65</v>
      </c>
      <c r="BP329" s="11" t="s">
        <v>3358</v>
      </c>
      <c r="BQ329" s="11" t="s">
        <v>3359</v>
      </c>
      <c r="BR329" s="5" t="str">
        <f t="shared" si="56"/>
        <v>En gestión</v>
      </c>
      <c r="BS329" s="5" t="str">
        <f t="shared" si="57"/>
        <v>En gestión</v>
      </c>
      <c r="BT329" s="581" t="s">
        <v>3360</v>
      </c>
      <c r="BU329" s="862">
        <f>SUMPRODUCT(O329:O334,BO329:BO334)</f>
        <v>0.71300000000000019</v>
      </c>
      <c r="BV329" s="863">
        <f>SUMPRODUCT(O329:O334,T329:T334)</f>
        <v>0.65000000000000013</v>
      </c>
      <c r="BW329" s="827" t="str">
        <f>IF(BV329&lt;1%,"Sin iniciar",IF(BV329=100%,"Terminado","En gestión"))</f>
        <v>En gestión</v>
      </c>
      <c r="BX329" s="827" t="str">
        <f>IF(BU329&lt;1%,"Sin iniciar",IF(BU329=100%,"Terminado","En gestión"))</f>
        <v>En gestión</v>
      </c>
      <c r="BY329" s="11" t="s">
        <v>37</v>
      </c>
      <c r="BZ329" s="573" t="s">
        <v>1555</v>
      </c>
      <c r="CA329" s="838">
        <f>BD329</f>
        <v>55723139.159999996</v>
      </c>
      <c r="CB329" s="839">
        <f>BE329</f>
        <v>55723139.159999996</v>
      </c>
      <c r="CC329" s="838">
        <f>CB329*75%</f>
        <v>41792354.369999997</v>
      </c>
      <c r="CD329" s="840">
        <f>BG329</f>
        <v>153241618.66666701</v>
      </c>
      <c r="CE329" s="835">
        <f>BH329</f>
        <v>294223906.66666698</v>
      </c>
      <c r="CF329" s="839">
        <f>120670271+(120670271-12259329)</f>
        <v>229081213</v>
      </c>
      <c r="CG329" s="626" t="s">
        <v>2617</v>
      </c>
      <c r="CH329" s="626" t="s">
        <v>2549</v>
      </c>
      <c r="CI329" s="626" t="s">
        <v>2620</v>
      </c>
      <c r="CJ329" s="837" t="s">
        <v>2551</v>
      </c>
    </row>
    <row r="330" spans="2:88" ht="171.95" customHeight="1" x14ac:dyDescent="0.25">
      <c r="B330" s="1227"/>
      <c r="C330" s="612"/>
      <c r="D330" s="227" t="s">
        <v>1045</v>
      </c>
      <c r="E330" s="227" t="s">
        <v>160</v>
      </c>
      <c r="F330" s="984"/>
      <c r="G330" s="227" t="s">
        <v>28</v>
      </c>
      <c r="H330" s="227" t="s">
        <v>28</v>
      </c>
      <c r="I330" s="227" t="s">
        <v>59</v>
      </c>
      <c r="J330" s="227" t="s">
        <v>1047</v>
      </c>
      <c r="K330" s="820"/>
      <c r="L330" s="228" t="s">
        <v>164</v>
      </c>
      <c r="M330" s="229" t="s">
        <v>3361</v>
      </c>
      <c r="N330" s="230" t="s">
        <v>3362</v>
      </c>
      <c r="O330" s="231">
        <v>0.16</v>
      </c>
      <c r="P330" s="232">
        <v>44197</v>
      </c>
      <c r="Q330" s="232">
        <v>44561</v>
      </c>
      <c r="R330" s="231">
        <v>0.05</v>
      </c>
      <c r="S330" s="231">
        <v>0.3</v>
      </c>
      <c r="T330" s="231">
        <v>0.65</v>
      </c>
      <c r="U330" s="231">
        <v>1</v>
      </c>
      <c r="V330" s="233">
        <v>0.05</v>
      </c>
      <c r="W330" s="234" t="s">
        <v>1060</v>
      </c>
      <c r="X330" s="251" t="s">
        <v>3356</v>
      </c>
      <c r="Y330" s="5" t="str">
        <f t="shared" si="52"/>
        <v>En gestión</v>
      </c>
      <c r="Z330" s="5" t="str">
        <f t="shared" si="53"/>
        <v>En gestión</v>
      </c>
      <c r="AA330" s="842"/>
      <c r="AB330" s="854"/>
      <c r="AC330" s="855"/>
      <c r="AD330" s="827"/>
      <c r="AE330" s="827"/>
      <c r="AF330" s="236"/>
      <c r="AG330" s="828"/>
      <c r="AH330" s="828"/>
      <c r="AI330" s="828"/>
      <c r="AJ330" s="825"/>
      <c r="AK330" s="825"/>
      <c r="AL330" s="828"/>
      <c r="AM330" s="822"/>
      <c r="AN330" s="237">
        <v>2017011000343</v>
      </c>
      <c r="AO330" s="822"/>
      <c r="AP330" s="822"/>
      <c r="AQ330" s="236"/>
      <c r="AR330" s="1170">
        <v>0.3</v>
      </c>
      <c r="AS330" s="234" t="s">
        <v>1163</v>
      </c>
      <c r="AT330" s="251" t="s">
        <v>3363</v>
      </c>
      <c r="AU330" s="56" t="str">
        <f t="shared" si="54"/>
        <v>En gestión</v>
      </c>
      <c r="AV330" s="56" t="str">
        <f t="shared" si="55"/>
        <v>En gestión</v>
      </c>
      <c r="AW330" s="842"/>
      <c r="AX330" s="861"/>
      <c r="AY330" s="860"/>
      <c r="AZ330" s="823"/>
      <c r="BA330" s="823"/>
      <c r="BB330" s="236"/>
      <c r="BC330" s="821"/>
      <c r="BD330" s="824"/>
      <c r="BE330" s="824"/>
      <c r="BF330" s="824">
        <v>0</v>
      </c>
      <c r="BG330" s="844"/>
      <c r="BH330" s="844"/>
      <c r="BI330" s="824"/>
      <c r="BJ330" s="822"/>
      <c r="BK330" s="841"/>
      <c r="BL330" s="822"/>
      <c r="BM330" s="822"/>
      <c r="BN330" s="842"/>
      <c r="BO330" s="347">
        <v>0.3</v>
      </c>
      <c r="BP330" s="11" t="s">
        <v>3364</v>
      </c>
      <c r="BQ330" s="12" t="s">
        <v>28</v>
      </c>
      <c r="BR330" s="5" t="str">
        <f t="shared" si="56"/>
        <v>En gestión</v>
      </c>
      <c r="BS330" s="5" t="str">
        <f t="shared" si="57"/>
        <v>En gestión</v>
      </c>
      <c r="BT330" s="581"/>
      <c r="BU330" s="862"/>
      <c r="BV330" s="863"/>
      <c r="BW330" s="827"/>
      <c r="BX330" s="827"/>
      <c r="BY330" s="11" t="s">
        <v>3365</v>
      </c>
      <c r="BZ330" s="573"/>
      <c r="CA330" s="838"/>
      <c r="CB330" s="839"/>
      <c r="CC330" s="838"/>
      <c r="CD330" s="840"/>
      <c r="CE330" s="835"/>
      <c r="CF330" s="839"/>
      <c r="CG330" s="626"/>
      <c r="CH330" s="626"/>
      <c r="CI330" s="626"/>
      <c r="CJ330" s="837"/>
    </row>
    <row r="331" spans="2:88" ht="171.95" customHeight="1" x14ac:dyDescent="0.25">
      <c r="B331" s="1227"/>
      <c r="C331" s="612"/>
      <c r="D331" s="227" t="s">
        <v>1045</v>
      </c>
      <c r="E331" s="227" t="s">
        <v>160</v>
      </c>
      <c r="F331" s="984"/>
      <c r="G331" s="227" t="s">
        <v>28</v>
      </c>
      <c r="H331" s="227" t="s">
        <v>28</v>
      </c>
      <c r="I331" s="227" t="s">
        <v>59</v>
      </c>
      <c r="J331" s="227" t="s">
        <v>1047</v>
      </c>
      <c r="K331" s="820"/>
      <c r="L331" s="228" t="s">
        <v>164</v>
      </c>
      <c r="M331" s="229" t="s">
        <v>3366</v>
      </c>
      <c r="N331" s="230" t="s">
        <v>3367</v>
      </c>
      <c r="O331" s="231">
        <v>0.17</v>
      </c>
      <c r="P331" s="232">
        <v>44197</v>
      </c>
      <c r="Q331" s="232">
        <v>44561</v>
      </c>
      <c r="R331" s="231">
        <v>0.05</v>
      </c>
      <c r="S331" s="231">
        <v>0.3</v>
      </c>
      <c r="T331" s="231">
        <v>0.65</v>
      </c>
      <c r="U331" s="231">
        <v>1</v>
      </c>
      <c r="V331" s="233">
        <v>0.05</v>
      </c>
      <c r="W331" s="234" t="s">
        <v>1060</v>
      </c>
      <c r="X331" s="251" t="s">
        <v>3356</v>
      </c>
      <c r="Y331" s="5" t="str">
        <f t="shared" si="52"/>
        <v>En gestión</v>
      </c>
      <c r="Z331" s="5" t="str">
        <f t="shared" si="53"/>
        <v>En gestión</v>
      </c>
      <c r="AA331" s="842"/>
      <c r="AB331" s="854"/>
      <c r="AC331" s="855"/>
      <c r="AD331" s="827"/>
      <c r="AE331" s="827"/>
      <c r="AF331" s="236"/>
      <c r="AG331" s="828"/>
      <c r="AH331" s="828"/>
      <c r="AI331" s="828"/>
      <c r="AJ331" s="825"/>
      <c r="AK331" s="825"/>
      <c r="AL331" s="828"/>
      <c r="AM331" s="822"/>
      <c r="AN331" s="237">
        <v>2017011000343</v>
      </c>
      <c r="AO331" s="822"/>
      <c r="AP331" s="822"/>
      <c r="AQ331" s="236"/>
      <c r="AR331" s="1170">
        <v>0.3</v>
      </c>
      <c r="AS331" s="234" t="s">
        <v>1164</v>
      </c>
      <c r="AT331" s="251" t="s">
        <v>3368</v>
      </c>
      <c r="AU331" s="56" t="str">
        <f t="shared" si="54"/>
        <v>En gestión</v>
      </c>
      <c r="AV331" s="56" t="str">
        <f t="shared" si="55"/>
        <v>En gestión</v>
      </c>
      <c r="AW331" s="842"/>
      <c r="AX331" s="861"/>
      <c r="AY331" s="860"/>
      <c r="AZ331" s="823"/>
      <c r="BA331" s="823"/>
      <c r="BB331" s="236"/>
      <c r="BC331" s="821"/>
      <c r="BD331" s="824"/>
      <c r="BE331" s="824"/>
      <c r="BF331" s="824">
        <v>0</v>
      </c>
      <c r="BG331" s="844"/>
      <c r="BH331" s="844"/>
      <c r="BI331" s="824"/>
      <c r="BJ331" s="822"/>
      <c r="BK331" s="841"/>
      <c r="BL331" s="822"/>
      <c r="BM331" s="822"/>
      <c r="BN331" s="842"/>
      <c r="BO331" s="347">
        <v>1</v>
      </c>
      <c r="BP331" s="11" t="s">
        <v>3369</v>
      </c>
      <c r="BQ331" s="372" t="s">
        <v>3370</v>
      </c>
      <c r="BR331" s="5" t="str">
        <f t="shared" si="56"/>
        <v>En gestión</v>
      </c>
      <c r="BS331" s="5" t="str">
        <f t="shared" si="57"/>
        <v>Terminado</v>
      </c>
      <c r="BT331" s="581"/>
      <c r="BU331" s="862"/>
      <c r="BV331" s="863"/>
      <c r="BW331" s="827"/>
      <c r="BX331" s="827"/>
      <c r="BY331" s="573" t="s">
        <v>37</v>
      </c>
      <c r="BZ331" s="573"/>
      <c r="CA331" s="838"/>
      <c r="CB331" s="839"/>
      <c r="CC331" s="838"/>
      <c r="CD331" s="840"/>
      <c r="CE331" s="835"/>
      <c r="CF331" s="839"/>
      <c r="CG331" s="626"/>
      <c r="CH331" s="626"/>
      <c r="CI331" s="626"/>
      <c r="CJ331" s="837"/>
    </row>
    <row r="332" spans="2:88" ht="171.95" customHeight="1" x14ac:dyDescent="0.25">
      <c r="B332" s="1227"/>
      <c r="C332" s="612"/>
      <c r="D332" s="227" t="s">
        <v>1045</v>
      </c>
      <c r="E332" s="227" t="s">
        <v>160</v>
      </c>
      <c r="F332" s="984"/>
      <c r="G332" s="227" t="s">
        <v>28</v>
      </c>
      <c r="H332" s="227" t="s">
        <v>28</v>
      </c>
      <c r="I332" s="227" t="s">
        <v>59</v>
      </c>
      <c r="J332" s="227" t="s">
        <v>1047</v>
      </c>
      <c r="K332" s="820"/>
      <c r="L332" s="228" t="s">
        <v>164</v>
      </c>
      <c r="M332" s="229" t="s">
        <v>3371</v>
      </c>
      <c r="N332" s="230" t="s">
        <v>1061</v>
      </c>
      <c r="O332" s="231">
        <v>0.17</v>
      </c>
      <c r="P332" s="232">
        <v>44197</v>
      </c>
      <c r="Q332" s="232">
        <v>44561</v>
      </c>
      <c r="R332" s="231">
        <v>0.05</v>
      </c>
      <c r="S332" s="231">
        <v>0.3</v>
      </c>
      <c r="T332" s="231">
        <v>0.65</v>
      </c>
      <c r="U332" s="231">
        <v>1</v>
      </c>
      <c r="V332" s="233">
        <v>0.05</v>
      </c>
      <c r="W332" s="234" t="s">
        <v>1060</v>
      </c>
      <c r="X332" s="251" t="s">
        <v>3356</v>
      </c>
      <c r="Y332" s="5" t="str">
        <f t="shared" si="52"/>
        <v>En gestión</v>
      </c>
      <c r="Z332" s="5" t="str">
        <f t="shared" si="53"/>
        <v>En gestión</v>
      </c>
      <c r="AA332" s="842"/>
      <c r="AB332" s="854"/>
      <c r="AC332" s="855"/>
      <c r="AD332" s="827"/>
      <c r="AE332" s="827"/>
      <c r="AF332" s="236"/>
      <c r="AG332" s="828"/>
      <c r="AH332" s="828"/>
      <c r="AI332" s="828"/>
      <c r="AJ332" s="825"/>
      <c r="AK332" s="825"/>
      <c r="AL332" s="828"/>
      <c r="AM332" s="822"/>
      <c r="AN332" s="237">
        <v>2017011000343</v>
      </c>
      <c r="AO332" s="822"/>
      <c r="AP332" s="822"/>
      <c r="AQ332" s="236"/>
      <c r="AR332" s="1170">
        <v>0.3</v>
      </c>
      <c r="AS332" s="234" t="s">
        <v>1165</v>
      </c>
      <c r="AT332" s="251" t="s">
        <v>3372</v>
      </c>
      <c r="AU332" s="56" t="str">
        <f t="shared" si="54"/>
        <v>En gestión</v>
      </c>
      <c r="AV332" s="56" t="str">
        <f t="shared" si="55"/>
        <v>En gestión</v>
      </c>
      <c r="AW332" s="842"/>
      <c r="AX332" s="861"/>
      <c r="AY332" s="860"/>
      <c r="AZ332" s="823"/>
      <c r="BA332" s="823"/>
      <c r="BB332" s="236"/>
      <c r="BC332" s="821"/>
      <c r="BD332" s="824"/>
      <c r="BE332" s="824"/>
      <c r="BF332" s="824">
        <v>0</v>
      </c>
      <c r="BG332" s="844"/>
      <c r="BH332" s="844"/>
      <c r="BI332" s="824"/>
      <c r="BJ332" s="822"/>
      <c r="BK332" s="841"/>
      <c r="BL332" s="822"/>
      <c r="BM332" s="822"/>
      <c r="BN332" s="842"/>
      <c r="BO332" s="347">
        <v>1</v>
      </c>
      <c r="BP332" s="11" t="s">
        <v>3373</v>
      </c>
      <c r="BQ332" s="372" t="s">
        <v>3374</v>
      </c>
      <c r="BR332" s="5" t="str">
        <f t="shared" si="56"/>
        <v>En gestión</v>
      </c>
      <c r="BS332" s="5" t="str">
        <f t="shared" si="57"/>
        <v>Terminado</v>
      </c>
      <c r="BT332" s="581"/>
      <c r="BU332" s="862"/>
      <c r="BV332" s="863"/>
      <c r="BW332" s="827"/>
      <c r="BX332" s="827"/>
      <c r="BY332" s="573"/>
      <c r="BZ332" s="573"/>
      <c r="CA332" s="838"/>
      <c r="CB332" s="839"/>
      <c r="CC332" s="838"/>
      <c r="CD332" s="840"/>
      <c r="CE332" s="835"/>
      <c r="CF332" s="839"/>
      <c r="CG332" s="626"/>
      <c r="CH332" s="626"/>
      <c r="CI332" s="626"/>
      <c r="CJ332" s="837"/>
    </row>
    <row r="333" spans="2:88" ht="171.95" customHeight="1" x14ac:dyDescent="0.25">
      <c r="B333" s="1227"/>
      <c r="C333" s="612"/>
      <c r="D333" s="227" t="s">
        <v>1045</v>
      </c>
      <c r="E333" s="227" t="s">
        <v>160</v>
      </c>
      <c r="F333" s="984"/>
      <c r="G333" s="227" t="s">
        <v>28</v>
      </c>
      <c r="H333" s="227" t="s">
        <v>28</v>
      </c>
      <c r="I333" s="227" t="s">
        <v>59</v>
      </c>
      <c r="J333" s="227" t="s">
        <v>1047</v>
      </c>
      <c r="K333" s="820"/>
      <c r="L333" s="228" t="s">
        <v>164</v>
      </c>
      <c r="M333" s="229" t="s">
        <v>3375</v>
      </c>
      <c r="N333" s="230" t="s">
        <v>1062</v>
      </c>
      <c r="O333" s="231">
        <v>0.17</v>
      </c>
      <c r="P333" s="232">
        <v>44197</v>
      </c>
      <c r="Q333" s="232">
        <v>44561</v>
      </c>
      <c r="R333" s="231">
        <v>0.05</v>
      </c>
      <c r="S333" s="231">
        <v>0.3</v>
      </c>
      <c r="T333" s="231">
        <v>0.65</v>
      </c>
      <c r="U333" s="231">
        <v>1</v>
      </c>
      <c r="V333" s="233">
        <v>0.05</v>
      </c>
      <c r="W333" s="234" t="s">
        <v>1060</v>
      </c>
      <c r="X333" s="251" t="s">
        <v>3356</v>
      </c>
      <c r="Y333" s="5" t="str">
        <f t="shared" si="52"/>
        <v>En gestión</v>
      </c>
      <c r="Z333" s="5" t="str">
        <f t="shared" si="53"/>
        <v>En gestión</v>
      </c>
      <c r="AA333" s="842"/>
      <c r="AB333" s="854"/>
      <c r="AC333" s="855"/>
      <c r="AD333" s="827"/>
      <c r="AE333" s="827"/>
      <c r="AF333" s="236"/>
      <c r="AG333" s="828"/>
      <c r="AH333" s="828"/>
      <c r="AI333" s="828"/>
      <c r="AJ333" s="825"/>
      <c r="AK333" s="825"/>
      <c r="AL333" s="828"/>
      <c r="AM333" s="822"/>
      <c r="AN333" s="237">
        <v>2017011000343</v>
      </c>
      <c r="AO333" s="822"/>
      <c r="AP333" s="822"/>
      <c r="AQ333" s="236"/>
      <c r="AR333" s="1170">
        <v>0.3</v>
      </c>
      <c r="AS333" s="234" t="s">
        <v>1165</v>
      </c>
      <c r="AT333" s="251" t="s">
        <v>3372</v>
      </c>
      <c r="AU333" s="56" t="str">
        <f t="shared" si="54"/>
        <v>En gestión</v>
      </c>
      <c r="AV333" s="56" t="str">
        <f t="shared" si="55"/>
        <v>En gestión</v>
      </c>
      <c r="AW333" s="842"/>
      <c r="AX333" s="861"/>
      <c r="AY333" s="860"/>
      <c r="AZ333" s="823"/>
      <c r="BA333" s="823"/>
      <c r="BB333" s="236"/>
      <c r="BC333" s="821"/>
      <c r="BD333" s="824"/>
      <c r="BE333" s="824"/>
      <c r="BF333" s="824">
        <v>0</v>
      </c>
      <c r="BG333" s="844"/>
      <c r="BH333" s="844"/>
      <c r="BI333" s="824"/>
      <c r="BJ333" s="822"/>
      <c r="BK333" s="841"/>
      <c r="BL333" s="822"/>
      <c r="BM333" s="822"/>
      <c r="BN333" s="842"/>
      <c r="BO333" s="347">
        <v>0.65</v>
      </c>
      <c r="BP333" s="12" t="s">
        <v>3376</v>
      </c>
      <c r="BQ333" s="11" t="s">
        <v>3377</v>
      </c>
      <c r="BR333" s="5" t="str">
        <f t="shared" si="56"/>
        <v>En gestión</v>
      </c>
      <c r="BS333" s="5" t="str">
        <f t="shared" si="57"/>
        <v>En gestión</v>
      </c>
      <c r="BT333" s="581"/>
      <c r="BU333" s="862"/>
      <c r="BV333" s="863"/>
      <c r="BW333" s="827"/>
      <c r="BX333" s="827"/>
      <c r="BY333" s="573"/>
      <c r="BZ333" s="573"/>
      <c r="CA333" s="838"/>
      <c r="CB333" s="839"/>
      <c r="CC333" s="838"/>
      <c r="CD333" s="840"/>
      <c r="CE333" s="835"/>
      <c r="CF333" s="839"/>
      <c r="CG333" s="626"/>
      <c r="CH333" s="626"/>
      <c r="CI333" s="626"/>
      <c r="CJ333" s="837"/>
    </row>
    <row r="334" spans="2:88" ht="171.95" customHeight="1" x14ac:dyDescent="0.25">
      <c r="B334" s="1227"/>
      <c r="C334" s="612"/>
      <c r="D334" s="227" t="s">
        <v>1045</v>
      </c>
      <c r="E334" s="227" t="s">
        <v>160</v>
      </c>
      <c r="F334" s="985"/>
      <c r="G334" s="227" t="s">
        <v>28</v>
      </c>
      <c r="H334" s="227" t="s">
        <v>28</v>
      </c>
      <c r="I334" s="227" t="s">
        <v>59</v>
      </c>
      <c r="J334" s="227" t="s">
        <v>1047</v>
      </c>
      <c r="K334" s="820"/>
      <c r="L334" s="228" t="s">
        <v>164</v>
      </c>
      <c r="M334" s="229" t="s">
        <v>3378</v>
      </c>
      <c r="N334" s="230" t="s">
        <v>3379</v>
      </c>
      <c r="O334" s="231">
        <v>0.17</v>
      </c>
      <c r="P334" s="232">
        <v>44197</v>
      </c>
      <c r="Q334" s="232">
        <v>44561</v>
      </c>
      <c r="R334" s="231">
        <v>0.05</v>
      </c>
      <c r="S334" s="231">
        <v>0.3</v>
      </c>
      <c r="T334" s="231">
        <v>0.65</v>
      </c>
      <c r="U334" s="231">
        <v>1</v>
      </c>
      <c r="V334" s="233">
        <v>0.05</v>
      </c>
      <c r="W334" s="234" t="s">
        <v>1060</v>
      </c>
      <c r="X334" s="251" t="s">
        <v>3356</v>
      </c>
      <c r="Y334" s="5" t="str">
        <f t="shared" si="52"/>
        <v>En gestión</v>
      </c>
      <c r="Z334" s="5" t="str">
        <f t="shared" si="53"/>
        <v>En gestión</v>
      </c>
      <c r="AA334" s="842"/>
      <c r="AB334" s="854"/>
      <c r="AC334" s="855"/>
      <c r="AD334" s="827"/>
      <c r="AE334" s="827"/>
      <c r="AF334" s="236"/>
      <c r="AG334" s="828"/>
      <c r="AH334" s="828"/>
      <c r="AI334" s="828"/>
      <c r="AJ334" s="825"/>
      <c r="AK334" s="825"/>
      <c r="AL334" s="828"/>
      <c r="AM334" s="822"/>
      <c r="AN334" s="237">
        <v>2017011000343</v>
      </c>
      <c r="AO334" s="822"/>
      <c r="AP334" s="822"/>
      <c r="AQ334" s="236"/>
      <c r="AR334" s="1170">
        <v>0.3</v>
      </c>
      <c r="AS334" s="234" t="s">
        <v>1166</v>
      </c>
      <c r="AT334" s="251" t="s">
        <v>3380</v>
      </c>
      <c r="AU334" s="56" t="str">
        <f t="shared" si="54"/>
        <v>En gestión</v>
      </c>
      <c r="AV334" s="56" t="str">
        <f t="shared" si="55"/>
        <v>En gestión</v>
      </c>
      <c r="AW334" s="842"/>
      <c r="AX334" s="861"/>
      <c r="AY334" s="860"/>
      <c r="AZ334" s="823"/>
      <c r="BA334" s="823"/>
      <c r="BB334" s="236"/>
      <c r="BC334" s="821"/>
      <c r="BD334" s="824"/>
      <c r="BE334" s="824"/>
      <c r="BF334" s="824">
        <v>0</v>
      </c>
      <c r="BG334" s="844"/>
      <c r="BH334" s="844"/>
      <c r="BI334" s="824"/>
      <c r="BJ334" s="822"/>
      <c r="BK334" s="841"/>
      <c r="BL334" s="822"/>
      <c r="BM334" s="822"/>
      <c r="BN334" s="842"/>
      <c r="BO334" s="347">
        <v>0.65</v>
      </c>
      <c r="BP334" s="11" t="s">
        <v>3381</v>
      </c>
      <c r="BQ334" s="11" t="s">
        <v>3382</v>
      </c>
      <c r="BR334" s="5" t="str">
        <f t="shared" si="56"/>
        <v>En gestión</v>
      </c>
      <c r="BS334" s="5" t="str">
        <f t="shared" si="57"/>
        <v>En gestión</v>
      </c>
      <c r="BT334" s="581"/>
      <c r="BU334" s="862"/>
      <c r="BV334" s="863"/>
      <c r="BW334" s="827"/>
      <c r="BX334" s="827"/>
      <c r="BY334" s="573"/>
      <c r="BZ334" s="573"/>
      <c r="CA334" s="838"/>
      <c r="CB334" s="839"/>
      <c r="CC334" s="838"/>
      <c r="CD334" s="840"/>
      <c r="CE334" s="835"/>
      <c r="CF334" s="839"/>
      <c r="CG334" s="626"/>
      <c r="CH334" s="626"/>
      <c r="CI334" s="626"/>
      <c r="CJ334" s="837"/>
    </row>
    <row r="335" spans="2:88" ht="171.95" customHeight="1" x14ac:dyDescent="0.25">
      <c r="B335" s="1227"/>
      <c r="C335" s="831" t="s">
        <v>1063</v>
      </c>
      <c r="D335" s="238" t="s">
        <v>686</v>
      </c>
      <c r="E335" s="238" t="s">
        <v>160</v>
      </c>
      <c r="F335" s="832" t="s">
        <v>1064</v>
      </c>
      <c r="G335" s="238" t="s">
        <v>28</v>
      </c>
      <c r="H335" s="238" t="s">
        <v>28</v>
      </c>
      <c r="I335" s="238" t="s">
        <v>1065</v>
      </c>
      <c r="J335" s="238" t="s">
        <v>1047</v>
      </c>
      <c r="K335" s="833" t="s">
        <v>1066</v>
      </c>
      <c r="L335" s="239" t="s">
        <v>752</v>
      </c>
      <c r="M335" s="240" t="s">
        <v>3383</v>
      </c>
      <c r="N335" s="241" t="s">
        <v>1067</v>
      </c>
      <c r="O335" s="242">
        <v>0.14000000000000001</v>
      </c>
      <c r="P335" s="243">
        <v>44197</v>
      </c>
      <c r="Q335" s="243" t="s">
        <v>432</v>
      </c>
      <c r="R335" s="242">
        <v>0.15</v>
      </c>
      <c r="S335" s="242">
        <v>1</v>
      </c>
      <c r="T335" s="242">
        <v>1</v>
      </c>
      <c r="U335" s="242">
        <v>1</v>
      </c>
      <c r="V335" s="233">
        <v>0.15</v>
      </c>
      <c r="W335" s="244" t="s">
        <v>1068</v>
      </c>
      <c r="X335" s="252" t="s">
        <v>3384</v>
      </c>
      <c r="Y335" s="19" t="str">
        <f t="shared" si="52"/>
        <v>En gestión</v>
      </c>
      <c r="Z335" s="19" t="str">
        <f t="shared" si="53"/>
        <v>En gestión</v>
      </c>
      <c r="AA335" s="834" t="s">
        <v>1154</v>
      </c>
      <c r="AB335" s="854">
        <f>SUMPRODUCT(O335:O341,V335:V341)</f>
        <v>6.4000000000000001E-2</v>
      </c>
      <c r="AC335" s="855">
        <f>SUMPRODUCT(O335:O341,R335:R341)</f>
        <v>6.4000000000000001E-2</v>
      </c>
      <c r="AD335" s="846" t="str">
        <f>IF(AC335&lt;1%,"Sin iniciar",IF(AC335=100%,"Terminado","En gestión"))</f>
        <v>En gestión</v>
      </c>
      <c r="AE335" s="846" t="str">
        <f>IF(AB335&lt;1%,"Sin iniciar",IF(AB335=100%,"Terminado","En gestión"))</f>
        <v>En gestión</v>
      </c>
      <c r="AF335" s="246"/>
      <c r="AG335" s="829">
        <v>189331200</v>
      </c>
      <c r="AH335" s="829">
        <v>189331200</v>
      </c>
      <c r="AI335" s="829">
        <v>11359872</v>
      </c>
      <c r="AJ335" s="830">
        <v>211874965</v>
      </c>
      <c r="AK335" s="830">
        <v>211874965</v>
      </c>
      <c r="AL335" s="829">
        <v>16949997.199999999</v>
      </c>
      <c r="AM335" s="851" t="s">
        <v>2609</v>
      </c>
      <c r="AN335" s="247">
        <v>2017011000343</v>
      </c>
      <c r="AO335" s="851" t="s">
        <v>2613</v>
      </c>
      <c r="AP335" s="851" t="s">
        <v>2614</v>
      </c>
      <c r="AQ335" s="246"/>
      <c r="AR335" s="1170">
        <v>1</v>
      </c>
      <c r="AS335" s="248" t="s">
        <v>1167</v>
      </c>
      <c r="AT335" s="253" t="s">
        <v>3385</v>
      </c>
      <c r="AU335" s="66" t="str">
        <f t="shared" si="54"/>
        <v>Terminado</v>
      </c>
      <c r="AV335" s="66" t="str">
        <f t="shared" si="55"/>
        <v>Terminado</v>
      </c>
      <c r="AW335" s="864" t="s">
        <v>1195</v>
      </c>
      <c r="AX335" s="861">
        <f>SUMPRODUCT(O335:O341,AR335:AR341)</f>
        <v>0.496</v>
      </c>
      <c r="AY335" s="860">
        <f>SUMPRODUCT(S335:S341,O335:O341)</f>
        <v>0.496</v>
      </c>
      <c r="AZ335" s="858" t="str">
        <f>IF(AY335&lt;1%,"Sin iniciar",IF(AY335=100%,"Terminado","En gestión"))</f>
        <v>En gestión</v>
      </c>
      <c r="BA335" s="858" t="str">
        <f>IF(AX335&lt;1%,"Sin iniciar",IF(AX335=100%,"Terminado","En gestión"))</f>
        <v>En gestión</v>
      </c>
      <c r="BB335" s="246"/>
      <c r="BC335" s="859" t="s">
        <v>1555</v>
      </c>
      <c r="BD335" s="852">
        <v>189331200</v>
      </c>
      <c r="BE335" s="852">
        <v>189331200</v>
      </c>
      <c r="BF335" s="852">
        <v>94665600</v>
      </c>
      <c r="BG335" s="853">
        <v>211874965</v>
      </c>
      <c r="BH335" s="853">
        <v>211874965</v>
      </c>
      <c r="BI335" s="852">
        <v>53000000</v>
      </c>
      <c r="BJ335" s="851" t="s">
        <v>2617</v>
      </c>
      <c r="BK335" s="850">
        <v>2017011000343</v>
      </c>
      <c r="BL335" s="851" t="s">
        <v>2621</v>
      </c>
      <c r="BM335" s="851" t="s">
        <v>2622</v>
      </c>
      <c r="BN335" s="834" t="s">
        <v>2623</v>
      </c>
      <c r="BO335" s="347">
        <v>1</v>
      </c>
      <c r="BP335" s="24" t="s">
        <v>3386</v>
      </c>
      <c r="BQ335" s="25" t="s">
        <v>28</v>
      </c>
      <c r="BR335" s="19" t="str">
        <f t="shared" si="56"/>
        <v>Terminado</v>
      </c>
      <c r="BS335" s="19" t="str">
        <f t="shared" si="57"/>
        <v>Terminado</v>
      </c>
      <c r="BT335" s="25" t="s">
        <v>28</v>
      </c>
      <c r="BU335" s="862">
        <f>SUMPRODUCT(O335:O341,BO335:BO341)</f>
        <v>0.74800000000000011</v>
      </c>
      <c r="BV335" s="863">
        <f>SUMPRODUCT(O335:O341,T335:T341)</f>
        <v>0.74800000000000011</v>
      </c>
      <c r="BW335" s="846" t="str">
        <f>IF(BV335&lt;1%,"Sin iniciar",IF(BV335=100%,"Terminado","En gestión"))</f>
        <v>En gestión</v>
      </c>
      <c r="BX335" s="846" t="str">
        <f>IF(BU335&lt;1%,"Sin iniciar",IF(BU335=100%,"Terminado","En gestión"))</f>
        <v>En gestión</v>
      </c>
      <c r="BY335" s="578" t="s">
        <v>37</v>
      </c>
      <c r="BZ335" s="578" t="s">
        <v>1555</v>
      </c>
      <c r="CA335" s="847">
        <v>189331200</v>
      </c>
      <c r="CB335" s="847">
        <v>189331200</v>
      </c>
      <c r="CC335" s="847">
        <f>CB335*75%</f>
        <v>141998400</v>
      </c>
      <c r="CD335" s="849">
        <f>BG335</f>
        <v>211874965</v>
      </c>
      <c r="CE335" s="856">
        <f>BH335</f>
        <v>211874965</v>
      </c>
      <c r="CF335" s="848">
        <v>126979386</v>
      </c>
      <c r="CG335" s="857" t="s">
        <v>2617</v>
      </c>
      <c r="CH335" s="857" t="s">
        <v>2621</v>
      </c>
      <c r="CI335" s="857" t="s">
        <v>2622</v>
      </c>
      <c r="CJ335" s="845" t="s">
        <v>2623</v>
      </c>
    </row>
    <row r="336" spans="2:88" ht="171.95" customHeight="1" x14ac:dyDescent="0.25">
      <c r="B336" s="1227"/>
      <c r="C336" s="831"/>
      <c r="D336" s="238" t="s">
        <v>686</v>
      </c>
      <c r="E336" s="238" t="s">
        <v>160</v>
      </c>
      <c r="F336" s="832"/>
      <c r="G336" s="238" t="s">
        <v>28</v>
      </c>
      <c r="H336" s="238" t="s">
        <v>28</v>
      </c>
      <c r="I336" s="238" t="s">
        <v>1065</v>
      </c>
      <c r="J336" s="238" t="s">
        <v>1047</v>
      </c>
      <c r="K336" s="833"/>
      <c r="L336" s="239" t="s">
        <v>752</v>
      </c>
      <c r="M336" s="240" t="s">
        <v>3387</v>
      </c>
      <c r="N336" s="241" t="s">
        <v>1069</v>
      </c>
      <c r="O336" s="242">
        <v>0.14000000000000001</v>
      </c>
      <c r="P336" s="243">
        <v>44197</v>
      </c>
      <c r="Q336" s="243">
        <v>44561</v>
      </c>
      <c r="R336" s="242">
        <v>0.05</v>
      </c>
      <c r="S336" s="242">
        <v>0.3</v>
      </c>
      <c r="T336" s="242">
        <v>0.65</v>
      </c>
      <c r="U336" s="242">
        <v>1</v>
      </c>
      <c r="V336" s="233">
        <v>0.05</v>
      </c>
      <c r="W336" s="244" t="s">
        <v>1070</v>
      </c>
      <c r="X336" s="252" t="s">
        <v>3388</v>
      </c>
      <c r="Y336" s="19" t="str">
        <f t="shared" si="52"/>
        <v>En gestión</v>
      </c>
      <c r="Z336" s="19" t="str">
        <f t="shared" si="53"/>
        <v>En gestión</v>
      </c>
      <c r="AA336" s="834"/>
      <c r="AB336" s="854"/>
      <c r="AC336" s="855"/>
      <c r="AD336" s="846"/>
      <c r="AE336" s="846"/>
      <c r="AF336" s="246"/>
      <c r="AG336" s="829"/>
      <c r="AH336" s="829"/>
      <c r="AI336" s="829"/>
      <c r="AJ336" s="830"/>
      <c r="AK336" s="830"/>
      <c r="AL336" s="829"/>
      <c r="AM336" s="851"/>
      <c r="AN336" s="247">
        <v>2017011000343</v>
      </c>
      <c r="AO336" s="851"/>
      <c r="AP336" s="851"/>
      <c r="AQ336" s="246"/>
      <c r="AR336" s="1170">
        <v>0.3</v>
      </c>
      <c r="AS336" s="248" t="s">
        <v>1168</v>
      </c>
      <c r="AT336" s="253" t="s">
        <v>3389</v>
      </c>
      <c r="AU336" s="66" t="str">
        <f t="shared" si="54"/>
        <v>En gestión</v>
      </c>
      <c r="AV336" s="66" t="str">
        <f t="shared" si="55"/>
        <v>En gestión</v>
      </c>
      <c r="AW336" s="864"/>
      <c r="AX336" s="861"/>
      <c r="AY336" s="860"/>
      <c r="AZ336" s="858"/>
      <c r="BA336" s="858"/>
      <c r="BB336" s="246"/>
      <c r="BC336" s="859"/>
      <c r="BD336" s="852"/>
      <c r="BE336" s="852"/>
      <c r="BF336" s="852">
        <v>0</v>
      </c>
      <c r="BG336" s="853"/>
      <c r="BH336" s="853"/>
      <c r="BI336" s="852"/>
      <c r="BJ336" s="851"/>
      <c r="BK336" s="850"/>
      <c r="BL336" s="851"/>
      <c r="BM336" s="851"/>
      <c r="BN336" s="834"/>
      <c r="BO336" s="347">
        <v>0.65</v>
      </c>
      <c r="BP336" s="25" t="s">
        <v>3376</v>
      </c>
      <c r="BQ336" s="24" t="s">
        <v>3390</v>
      </c>
      <c r="BR336" s="19" t="str">
        <f t="shared" si="56"/>
        <v>En gestión</v>
      </c>
      <c r="BS336" s="19" t="str">
        <f t="shared" si="57"/>
        <v>En gestión</v>
      </c>
      <c r="BT336" s="24" t="s">
        <v>3391</v>
      </c>
      <c r="BU336" s="862"/>
      <c r="BV336" s="863"/>
      <c r="BW336" s="846"/>
      <c r="BX336" s="846"/>
      <c r="BY336" s="578"/>
      <c r="BZ336" s="578"/>
      <c r="CA336" s="847"/>
      <c r="CB336" s="847"/>
      <c r="CC336" s="847"/>
      <c r="CD336" s="849"/>
      <c r="CE336" s="856"/>
      <c r="CF336" s="848"/>
      <c r="CG336" s="857"/>
      <c r="CH336" s="857"/>
      <c r="CI336" s="857"/>
      <c r="CJ336" s="845"/>
    </row>
    <row r="337" spans="2:88" ht="171.95" customHeight="1" x14ac:dyDescent="0.25">
      <c r="B337" s="1227"/>
      <c r="C337" s="831"/>
      <c r="D337" s="238" t="s">
        <v>686</v>
      </c>
      <c r="E337" s="238" t="s">
        <v>160</v>
      </c>
      <c r="F337" s="832"/>
      <c r="G337" s="238" t="s">
        <v>28</v>
      </c>
      <c r="H337" s="238" t="s">
        <v>28</v>
      </c>
      <c r="I337" s="238" t="s">
        <v>1065</v>
      </c>
      <c r="J337" s="238" t="s">
        <v>1047</v>
      </c>
      <c r="K337" s="833"/>
      <c r="L337" s="239" t="s">
        <v>752</v>
      </c>
      <c r="M337" s="240" t="s">
        <v>3392</v>
      </c>
      <c r="N337" s="241" t="s">
        <v>1071</v>
      </c>
      <c r="O337" s="242">
        <v>0.14000000000000001</v>
      </c>
      <c r="P337" s="243">
        <v>44197</v>
      </c>
      <c r="Q337" s="243" t="s">
        <v>432</v>
      </c>
      <c r="R337" s="242">
        <v>0.05</v>
      </c>
      <c r="S337" s="242">
        <v>1</v>
      </c>
      <c r="T337" s="242">
        <v>1</v>
      </c>
      <c r="U337" s="242">
        <v>1</v>
      </c>
      <c r="V337" s="233">
        <v>0.05</v>
      </c>
      <c r="W337" s="244" t="s">
        <v>1072</v>
      </c>
      <c r="X337" s="252" t="s">
        <v>3393</v>
      </c>
      <c r="Y337" s="19" t="str">
        <f t="shared" si="52"/>
        <v>En gestión</v>
      </c>
      <c r="Z337" s="19" t="str">
        <f t="shared" si="53"/>
        <v>En gestión</v>
      </c>
      <c r="AA337" s="834"/>
      <c r="AB337" s="854"/>
      <c r="AC337" s="855"/>
      <c r="AD337" s="846"/>
      <c r="AE337" s="846"/>
      <c r="AF337" s="246"/>
      <c r="AG337" s="829"/>
      <c r="AH337" s="829"/>
      <c r="AI337" s="829"/>
      <c r="AJ337" s="830"/>
      <c r="AK337" s="830"/>
      <c r="AL337" s="829"/>
      <c r="AM337" s="851"/>
      <c r="AN337" s="247">
        <v>2017011000343</v>
      </c>
      <c r="AO337" s="851"/>
      <c r="AP337" s="851"/>
      <c r="AQ337" s="246"/>
      <c r="AR337" s="1170">
        <v>1</v>
      </c>
      <c r="AS337" s="248" t="s">
        <v>1169</v>
      </c>
      <c r="AT337" s="253" t="s">
        <v>3394</v>
      </c>
      <c r="AU337" s="66" t="str">
        <f t="shared" si="54"/>
        <v>Terminado</v>
      </c>
      <c r="AV337" s="66" t="str">
        <f t="shared" si="55"/>
        <v>Terminado</v>
      </c>
      <c r="AW337" s="864"/>
      <c r="AX337" s="861"/>
      <c r="AY337" s="860"/>
      <c r="AZ337" s="858"/>
      <c r="BA337" s="858"/>
      <c r="BB337" s="246"/>
      <c r="BC337" s="859"/>
      <c r="BD337" s="852"/>
      <c r="BE337" s="852"/>
      <c r="BF337" s="852">
        <v>0</v>
      </c>
      <c r="BG337" s="853"/>
      <c r="BH337" s="853"/>
      <c r="BI337" s="852"/>
      <c r="BJ337" s="851"/>
      <c r="BK337" s="850"/>
      <c r="BL337" s="851"/>
      <c r="BM337" s="851"/>
      <c r="BN337" s="834"/>
      <c r="BO337" s="347">
        <v>1</v>
      </c>
      <c r="BP337" s="24" t="s">
        <v>3386</v>
      </c>
      <c r="BQ337" s="24" t="s">
        <v>28</v>
      </c>
      <c r="BR337" s="19" t="str">
        <f t="shared" si="56"/>
        <v>Terminado</v>
      </c>
      <c r="BS337" s="19" t="str">
        <f t="shared" si="57"/>
        <v>Terminado</v>
      </c>
      <c r="BT337" s="24" t="s">
        <v>28</v>
      </c>
      <c r="BU337" s="862"/>
      <c r="BV337" s="863"/>
      <c r="BW337" s="846"/>
      <c r="BX337" s="846"/>
      <c r="BY337" s="578"/>
      <c r="BZ337" s="578"/>
      <c r="CA337" s="847"/>
      <c r="CB337" s="847"/>
      <c r="CC337" s="847"/>
      <c r="CD337" s="849"/>
      <c r="CE337" s="856"/>
      <c r="CF337" s="848"/>
      <c r="CG337" s="857"/>
      <c r="CH337" s="857"/>
      <c r="CI337" s="857"/>
      <c r="CJ337" s="845"/>
    </row>
    <row r="338" spans="2:88" ht="171.95" customHeight="1" x14ac:dyDescent="0.25">
      <c r="B338" s="1227"/>
      <c r="C338" s="831"/>
      <c r="D338" s="238" t="s">
        <v>686</v>
      </c>
      <c r="E338" s="238" t="s">
        <v>160</v>
      </c>
      <c r="F338" s="832"/>
      <c r="G338" s="238" t="s">
        <v>28</v>
      </c>
      <c r="H338" s="238" t="s">
        <v>28</v>
      </c>
      <c r="I338" s="238" t="s">
        <v>1065</v>
      </c>
      <c r="J338" s="238" t="s">
        <v>1047</v>
      </c>
      <c r="K338" s="833"/>
      <c r="L338" s="239" t="s">
        <v>752</v>
      </c>
      <c r="M338" s="240" t="s">
        <v>3395</v>
      </c>
      <c r="N338" s="241" t="s">
        <v>1073</v>
      </c>
      <c r="O338" s="242">
        <v>0.14000000000000001</v>
      </c>
      <c r="P338" s="243">
        <v>44197</v>
      </c>
      <c r="Q338" s="243">
        <v>44561</v>
      </c>
      <c r="R338" s="242">
        <v>0.05</v>
      </c>
      <c r="S338" s="242">
        <v>0.3</v>
      </c>
      <c r="T338" s="242">
        <v>0.65</v>
      </c>
      <c r="U338" s="242">
        <v>1</v>
      </c>
      <c r="V338" s="233">
        <v>0.05</v>
      </c>
      <c r="W338" s="244" t="s">
        <v>1074</v>
      </c>
      <c r="X338" s="252" t="s">
        <v>3396</v>
      </c>
      <c r="Y338" s="19" t="str">
        <f t="shared" si="52"/>
        <v>En gestión</v>
      </c>
      <c r="Z338" s="19" t="str">
        <f t="shared" si="53"/>
        <v>En gestión</v>
      </c>
      <c r="AA338" s="834"/>
      <c r="AB338" s="854"/>
      <c r="AC338" s="855"/>
      <c r="AD338" s="846"/>
      <c r="AE338" s="846"/>
      <c r="AF338" s="246"/>
      <c r="AG338" s="829"/>
      <c r="AH338" s="829"/>
      <c r="AI338" s="829"/>
      <c r="AJ338" s="830"/>
      <c r="AK338" s="830"/>
      <c r="AL338" s="829"/>
      <c r="AM338" s="851"/>
      <c r="AN338" s="247">
        <v>2017011000343</v>
      </c>
      <c r="AO338" s="851"/>
      <c r="AP338" s="851"/>
      <c r="AQ338" s="246"/>
      <c r="AR338" s="1170">
        <v>0.3</v>
      </c>
      <c r="AS338" s="248" t="s">
        <v>1170</v>
      </c>
      <c r="AT338" s="253" t="s">
        <v>3397</v>
      </c>
      <c r="AU338" s="66" t="str">
        <f t="shared" si="54"/>
        <v>En gestión</v>
      </c>
      <c r="AV338" s="66" t="str">
        <f t="shared" si="55"/>
        <v>En gestión</v>
      </c>
      <c r="AW338" s="864"/>
      <c r="AX338" s="861"/>
      <c r="AY338" s="860"/>
      <c r="AZ338" s="858"/>
      <c r="BA338" s="858"/>
      <c r="BB338" s="246"/>
      <c r="BC338" s="859"/>
      <c r="BD338" s="852"/>
      <c r="BE338" s="852"/>
      <c r="BF338" s="852">
        <v>0</v>
      </c>
      <c r="BG338" s="853"/>
      <c r="BH338" s="853"/>
      <c r="BI338" s="852"/>
      <c r="BJ338" s="851"/>
      <c r="BK338" s="850"/>
      <c r="BL338" s="851"/>
      <c r="BM338" s="851"/>
      <c r="BN338" s="834"/>
      <c r="BO338" s="347">
        <v>0.65</v>
      </c>
      <c r="BP338" s="24" t="s">
        <v>3398</v>
      </c>
      <c r="BQ338" s="24" t="s">
        <v>3399</v>
      </c>
      <c r="BR338" s="19" t="str">
        <f t="shared" si="56"/>
        <v>En gestión</v>
      </c>
      <c r="BS338" s="19" t="str">
        <f t="shared" si="57"/>
        <v>En gestión</v>
      </c>
      <c r="BT338" s="24"/>
      <c r="BU338" s="862"/>
      <c r="BV338" s="863"/>
      <c r="BW338" s="846"/>
      <c r="BX338" s="846"/>
      <c r="BY338" s="578"/>
      <c r="BZ338" s="578"/>
      <c r="CA338" s="847"/>
      <c r="CB338" s="847"/>
      <c r="CC338" s="847"/>
      <c r="CD338" s="849"/>
      <c r="CE338" s="856"/>
      <c r="CF338" s="848"/>
      <c r="CG338" s="857"/>
      <c r="CH338" s="857"/>
      <c r="CI338" s="857"/>
      <c r="CJ338" s="845"/>
    </row>
    <row r="339" spans="2:88" ht="171.95" customHeight="1" x14ac:dyDescent="0.25">
      <c r="B339" s="1227"/>
      <c r="C339" s="831"/>
      <c r="D339" s="238" t="s">
        <v>686</v>
      </c>
      <c r="E339" s="238" t="s">
        <v>160</v>
      </c>
      <c r="F339" s="832"/>
      <c r="G339" s="238" t="s">
        <v>28</v>
      </c>
      <c r="H339" s="238" t="s">
        <v>28</v>
      </c>
      <c r="I339" s="238" t="s">
        <v>1065</v>
      </c>
      <c r="J339" s="238" t="s">
        <v>1047</v>
      </c>
      <c r="K339" s="833"/>
      <c r="L339" s="239" t="s">
        <v>752</v>
      </c>
      <c r="M339" s="240" t="s">
        <v>3400</v>
      </c>
      <c r="N339" s="241" t="s">
        <v>1075</v>
      </c>
      <c r="O339" s="242">
        <v>0.14000000000000001</v>
      </c>
      <c r="P339" s="243">
        <v>44197</v>
      </c>
      <c r="Q339" s="243">
        <v>44561</v>
      </c>
      <c r="R339" s="242">
        <v>0.05</v>
      </c>
      <c r="S339" s="242">
        <v>0.3</v>
      </c>
      <c r="T339" s="242">
        <v>0.65</v>
      </c>
      <c r="U339" s="242">
        <v>1</v>
      </c>
      <c r="V339" s="233">
        <v>0.05</v>
      </c>
      <c r="W339" s="244" t="s">
        <v>1076</v>
      </c>
      <c r="X339" s="252" t="s">
        <v>3401</v>
      </c>
      <c r="Y339" s="19" t="str">
        <f t="shared" si="52"/>
        <v>En gestión</v>
      </c>
      <c r="Z339" s="19" t="str">
        <f t="shared" si="53"/>
        <v>En gestión</v>
      </c>
      <c r="AA339" s="834"/>
      <c r="AB339" s="854"/>
      <c r="AC339" s="855"/>
      <c r="AD339" s="846"/>
      <c r="AE339" s="846"/>
      <c r="AF339" s="246"/>
      <c r="AG339" s="829"/>
      <c r="AH339" s="829"/>
      <c r="AI339" s="829"/>
      <c r="AJ339" s="830"/>
      <c r="AK339" s="830"/>
      <c r="AL339" s="829"/>
      <c r="AM339" s="851"/>
      <c r="AN339" s="247">
        <v>2017011000343</v>
      </c>
      <c r="AO339" s="851"/>
      <c r="AP339" s="851"/>
      <c r="AQ339" s="246"/>
      <c r="AR339" s="1170">
        <v>0.3</v>
      </c>
      <c r="AS339" s="248" t="s">
        <v>1171</v>
      </c>
      <c r="AT339" s="253" t="s">
        <v>3402</v>
      </c>
      <c r="AU339" s="66" t="str">
        <f t="shared" si="54"/>
        <v>En gestión</v>
      </c>
      <c r="AV339" s="66" t="str">
        <f t="shared" si="55"/>
        <v>En gestión</v>
      </c>
      <c r="AW339" s="864"/>
      <c r="AX339" s="861"/>
      <c r="AY339" s="860"/>
      <c r="AZ339" s="858"/>
      <c r="BA339" s="858"/>
      <c r="BB339" s="246"/>
      <c r="BC339" s="859"/>
      <c r="BD339" s="852"/>
      <c r="BE339" s="852"/>
      <c r="BF339" s="852">
        <v>0</v>
      </c>
      <c r="BG339" s="853"/>
      <c r="BH339" s="853"/>
      <c r="BI339" s="852"/>
      <c r="BJ339" s="851"/>
      <c r="BK339" s="850"/>
      <c r="BL339" s="851"/>
      <c r="BM339" s="851"/>
      <c r="BN339" s="834"/>
      <c r="BO339" s="347">
        <v>0.65</v>
      </c>
      <c r="BP339" s="25" t="s">
        <v>3403</v>
      </c>
      <c r="BQ339" s="24" t="s">
        <v>3404</v>
      </c>
      <c r="BR339" s="19" t="str">
        <f t="shared" si="56"/>
        <v>En gestión</v>
      </c>
      <c r="BS339" s="19" t="str">
        <f t="shared" si="57"/>
        <v>En gestión</v>
      </c>
      <c r="BT339" s="25" t="s">
        <v>3405</v>
      </c>
      <c r="BU339" s="862"/>
      <c r="BV339" s="863"/>
      <c r="BW339" s="846"/>
      <c r="BX339" s="846"/>
      <c r="BY339" s="578"/>
      <c r="BZ339" s="578"/>
      <c r="CA339" s="847"/>
      <c r="CB339" s="847"/>
      <c r="CC339" s="847"/>
      <c r="CD339" s="849"/>
      <c r="CE339" s="856"/>
      <c r="CF339" s="848"/>
      <c r="CG339" s="857"/>
      <c r="CH339" s="857"/>
      <c r="CI339" s="857"/>
      <c r="CJ339" s="845"/>
    </row>
    <row r="340" spans="2:88" ht="171.95" customHeight="1" x14ac:dyDescent="0.25">
      <c r="B340" s="1227"/>
      <c r="C340" s="831"/>
      <c r="D340" s="238" t="s">
        <v>686</v>
      </c>
      <c r="E340" s="238" t="s">
        <v>160</v>
      </c>
      <c r="F340" s="832"/>
      <c r="G340" s="238" t="s">
        <v>28</v>
      </c>
      <c r="H340" s="238" t="s">
        <v>28</v>
      </c>
      <c r="I340" s="238" t="s">
        <v>1065</v>
      </c>
      <c r="J340" s="238" t="s">
        <v>1047</v>
      </c>
      <c r="K340" s="833"/>
      <c r="L340" s="239" t="s">
        <v>752</v>
      </c>
      <c r="M340" s="240" t="s">
        <v>3406</v>
      </c>
      <c r="N340" s="241" t="s">
        <v>1077</v>
      </c>
      <c r="O340" s="242">
        <v>0.15</v>
      </c>
      <c r="P340" s="243">
        <v>44197</v>
      </c>
      <c r="Q340" s="243">
        <v>44561</v>
      </c>
      <c r="R340" s="242">
        <v>0.05</v>
      </c>
      <c r="S340" s="242">
        <v>0.3</v>
      </c>
      <c r="T340" s="242">
        <v>0.65</v>
      </c>
      <c r="U340" s="242">
        <v>1</v>
      </c>
      <c r="V340" s="233">
        <v>0.05</v>
      </c>
      <c r="W340" s="244" t="s">
        <v>1078</v>
      </c>
      <c r="X340" s="252" t="s">
        <v>3407</v>
      </c>
      <c r="Y340" s="19" t="str">
        <f t="shared" si="52"/>
        <v>En gestión</v>
      </c>
      <c r="Z340" s="19" t="str">
        <f t="shared" si="53"/>
        <v>En gestión</v>
      </c>
      <c r="AA340" s="834"/>
      <c r="AB340" s="854"/>
      <c r="AC340" s="855"/>
      <c r="AD340" s="846"/>
      <c r="AE340" s="846"/>
      <c r="AF340" s="246"/>
      <c r="AG340" s="829"/>
      <c r="AH340" s="829"/>
      <c r="AI340" s="829"/>
      <c r="AJ340" s="830"/>
      <c r="AK340" s="830"/>
      <c r="AL340" s="829"/>
      <c r="AM340" s="851"/>
      <c r="AN340" s="247">
        <v>2017011000343</v>
      </c>
      <c r="AO340" s="851"/>
      <c r="AP340" s="851"/>
      <c r="AQ340" s="246"/>
      <c r="AR340" s="1170">
        <v>0.3</v>
      </c>
      <c r="AS340" s="248" t="s">
        <v>1172</v>
      </c>
      <c r="AT340" s="253" t="s">
        <v>3408</v>
      </c>
      <c r="AU340" s="66" t="str">
        <f t="shared" si="54"/>
        <v>En gestión</v>
      </c>
      <c r="AV340" s="66" t="str">
        <f t="shared" si="55"/>
        <v>En gestión</v>
      </c>
      <c r="AW340" s="864"/>
      <c r="AX340" s="861"/>
      <c r="AY340" s="860"/>
      <c r="AZ340" s="858"/>
      <c r="BA340" s="858"/>
      <c r="BB340" s="246"/>
      <c r="BC340" s="859"/>
      <c r="BD340" s="852"/>
      <c r="BE340" s="852"/>
      <c r="BF340" s="852">
        <v>0</v>
      </c>
      <c r="BG340" s="853"/>
      <c r="BH340" s="853"/>
      <c r="BI340" s="852"/>
      <c r="BJ340" s="851"/>
      <c r="BK340" s="850"/>
      <c r="BL340" s="851"/>
      <c r="BM340" s="851"/>
      <c r="BN340" s="834"/>
      <c r="BO340" s="347">
        <v>0.65</v>
      </c>
      <c r="BP340" s="25" t="s">
        <v>3409</v>
      </c>
      <c r="BQ340" s="24" t="s">
        <v>3410</v>
      </c>
      <c r="BR340" s="19" t="str">
        <f t="shared" si="56"/>
        <v>En gestión</v>
      </c>
      <c r="BS340" s="19" t="str">
        <f t="shared" si="57"/>
        <v>En gestión</v>
      </c>
      <c r="BT340" s="25" t="s">
        <v>3411</v>
      </c>
      <c r="BU340" s="862"/>
      <c r="BV340" s="863"/>
      <c r="BW340" s="846"/>
      <c r="BX340" s="846"/>
      <c r="BY340" s="578"/>
      <c r="BZ340" s="578"/>
      <c r="CA340" s="847"/>
      <c r="CB340" s="847"/>
      <c r="CC340" s="847"/>
      <c r="CD340" s="849"/>
      <c r="CE340" s="856"/>
      <c r="CF340" s="848"/>
      <c r="CG340" s="857"/>
      <c r="CH340" s="857"/>
      <c r="CI340" s="857"/>
      <c r="CJ340" s="845"/>
    </row>
    <row r="341" spans="2:88" ht="171.95" customHeight="1" x14ac:dyDescent="0.25">
      <c r="B341" s="1227"/>
      <c r="C341" s="831"/>
      <c r="D341" s="238" t="s">
        <v>686</v>
      </c>
      <c r="E341" s="238" t="s">
        <v>160</v>
      </c>
      <c r="F341" s="832"/>
      <c r="G341" s="238" t="s">
        <v>28</v>
      </c>
      <c r="H341" s="238" t="s">
        <v>28</v>
      </c>
      <c r="I341" s="238" t="s">
        <v>1065</v>
      </c>
      <c r="J341" s="238" t="s">
        <v>1047</v>
      </c>
      <c r="K341" s="833"/>
      <c r="L341" s="239" t="s">
        <v>752</v>
      </c>
      <c r="M341" s="240" t="s">
        <v>3412</v>
      </c>
      <c r="N341" s="241" t="s">
        <v>1079</v>
      </c>
      <c r="O341" s="242">
        <v>0.15</v>
      </c>
      <c r="P341" s="243">
        <v>44197</v>
      </c>
      <c r="Q341" s="243">
        <v>6666</v>
      </c>
      <c r="R341" s="242">
        <v>0.05</v>
      </c>
      <c r="S341" s="242">
        <v>0.3</v>
      </c>
      <c r="T341" s="242">
        <v>0.65</v>
      </c>
      <c r="U341" s="242">
        <v>1</v>
      </c>
      <c r="V341" s="233">
        <v>0.05</v>
      </c>
      <c r="W341" s="244" t="s">
        <v>1080</v>
      </c>
      <c r="X341" s="252" t="s">
        <v>3413</v>
      </c>
      <c r="Y341" s="19" t="str">
        <f t="shared" si="52"/>
        <v>En gestión</v>
      </c>
      <c r="Z341" s="19" t="str">
        <f t="shared" si="53"/>
        <v>En gestión</v>
      </c>
      <c r="AA341" s="834"/>
      <c r="AB341" s="854"/>
      <c r="AC341" s="855"/>
      <c r="AD341" s="846"/>
      <c r="AE341" s="846"/>
      <c r="AF341" s="246"/>
      <c r="AG341" s="829"/>
      <c r="AH341" s="829"/>
      <c r="AI341" s="829"/>
      <c r="AJ341" s="830"/>
      <c r="AK341" s="830"/>
      <c r="AL341" s="829"/>
      <c r="AM341" s="851"/>
      <c r="AN341" s="247">
        <v>2017011000343</v>
      </c>
      <c r="AO341" s="851"/>
      <c r="AP341" s="851"/>
      <c r="AQ341" s="246"/>
      <c r="AR341" s="1170">
        <v>0.3</v>
      </c>
      <c r="AS341" s="248" t="s">
        <v>1173</v>
      </c>
      <c r="AT341" s="253" t="s">
        <v>3414</v>
      </c>
      <c r="AU341" s="66" t="str">
        <f t="shared" si="54"/>
        <v>En gestión</v>
      </c>
      <c r="AV341" s="66" t="str">
        <f t="shared" si="55"/>
        <v>En gestión</v>
      </c>
      <c r="AW341" s="864"/>
      <c r="AX341" s="861"/>
      <c r="AY341" s="860"/>
      <c r="AZ341" s="858"/>
      <c r="BA341" s="858"/>
      <c r="BB341" s="246"/>
      <c r="BC341" s="859"/>
      <c r="BD341" s="852"/>
      <c r="BE341" s="852"/>
      <c r="BF341" s="852">
        <v>0</v>
      </c>
      <c r="BG341" s="853"/>
      <c r="BH341" s="853"/>
      <c r="BI341" s="852"/>
      <c r="BJ341" s="851"/>
      <c r="BK341" s="850"/>
      <c r="BL341" s="851"/>
      <c r="BM341" s="851"/>
      <c r="BN341" s="834"/>
      <c r="BO341" s="347">
        <v>0.65</v>
      </c>
      <c r="BP341" s="25" t="s">
        <v>3415</v>
      </c>
      <c r="BQ341" s="24" t="s">
        <v>3416</v>
      </c>
      <c r="BR341" s="19" t="str">
        <f t="shared" si="56"/>
        <v>En gestión</v>
      </c>
      <c r="BS341" s="19" t="str">
        <f t="shared" si="57"/>
        <v>En gestión</v>
      </c>
      <c r="BT341" s="25" t="s">
        <v>3417</v>
      </c>
      <c r="BU341" s="862"/>
      <c r="BV341" s="863"/>
      <c r="BW341" s="846"/>
      <c r="BX341" s="846"/>
      <c r="BY341" s="578"/>
      <c r="BZ341" s="578"/>
      <c r="CA341" s="847"/>
      <c r="CB341" s="847"/>
      <c r="CC341" s="847"/>
      <c r="CD341" s="849"/>
      <c r="CE341" s="856"/>
      <c r="CF341" s="848"/>
      <c r="CG341" s="857"/>
      <c r="CH341" s="857"/>
      <c r="CI341" s="857"/>
      <c r="CJ341" s="845"/>
    </row>
    <row r="342" spans="2:88" ht="171.95" customHeight="1" x14ac:dyDescent="0.25">
      <c r="B342" s="1227"/>
      <c r="C342" s="612" t="s">
        <v>1081</v>
      </c>
      <c r="D342" s="227" t="s">
        <v>1045</v>
      </c>
      <c r="E342" s="227" t="s">
        <v>160</v>
      </c>
      <c r="F342" s="819" t="s">
        <v>1082</v>
      </c>
      <c r="G342" s="227" t="s">
        <v>28</v>
      </c>
      <c r="H342" s="227" t="s">
        <v>28</v>
      </c>
      <c r="I342" s="227" t="s">
        <v>59</v>
      </c>
      <c r="J342" s="227" t="s">
        <v>1047</v>
      </c>
      <c r="K342" s="820" t="s">
        <v>1083</v>
      </c>
      <c r="L342" s="228" t="s">
        <v>752</v>
      </c>
      <c r="M342" s="229" t="s">
        <v>3418</v>
      </c>
      <c r="N342" s="254" t="s">
        <v>1084</v>
      </c>
      <c r="O342" s="231">
        <v>0.2</v>
      </c>
      <c r="P342" s="232">
        <v>44197</v>
      </c>
      <c r="Q342" s="232" t="s">
        <v>453</v>
      </c>
      <c r="R342" s="231">
        <v>0.05</v>
      </c>
      <c r="S342" s="231">
        <v>0.4</v>
      </c>
      <c r="T342" s="231">
        <v>1</v>
      </c>
      <c r="U342" s="231">
        <v>1</v>
      </c>
      <c r="V342" s="233">
        <v>0.05</v>
      </c>
      <c r="W342" s="234" t="s">
        <v>1085</v>
      </c>
      <c r="X342" s="251" t="s">
        <v>3419</v>
      </c>
      <c r="Y342" s="5" t="str">
        <f t="shared" si="52"/>
        <v>En gestión</v>
      </c>
      <c r="Z342" s="5" t="str">
        <f t="shared" si="53"/>
        <v>En gestión</v>
      </c>
      <c r="AA342" s="842" t="s">
        <v>1085</v>
      </c>
      <c r="AB342" s="854">
        <f>SUMPRODUCT(O342:O346,V342:V346)</f>
        <v>2.0000000000000004E-2</v>
      </c>
      <c r="AC342" s="855">
        <f>SUMPRODUCT(O342:O346,R342:R346)</f>
        <v>2.0000000000000004E-2</v>
      </c>
      <c r="AD342" s="827" t="str">
        <f>IF(AC342&lt;1%,"Sin iniciar",IF(AC342=100%,"Terminado","En gestión"))</f>
        <v>En gestión</v>
      </c>
      <c r="AE342" s="827" t="str">
        <f>IF(AB342&lt;1%,"Sin iniciar",IF(AB342=100%,"Terminado","En gestión"))</f>
        <v>En gestión</v>
      </c>
      <c r="AF342" s="236"/>
      <c r="AG342" s="828">
        <v>21125765</v>
      </c>
      <c r="AH342" s="828">
        <v>21125765</v>
      </c>
      <c r="AI342" s="828">
        <v>422515.3</v>
      </c>
      <c r="AJ342" s="825">
        <v>140876774.33333299</v>
      </c>
      <c r="AK342" s="825">
        <v>140876774.33333299</v>
      </c>
      <c r="AL342" s="828">
        <v>11270141.946666701</v>
      </c>
      <c r="AM342" s="822" t="s">
        <v>2609</v>
      </c>
      <c r="AN342" s="237">
        <v>2017011000343</v>
      </c>
      <c r="AO342" s="822" t="s">
        <v>2483</v>
      </c>
      <c r="AP342" s="822" t="s">
        <v>2547</v>
      </c>
      <c r="AQ342" s="236"/>
      <c r="AR342" s="1170">
        <v>0.4</v>
      </c>
      <c r="AS342" s="255" t="s">
        <v>1174</v>
      </c>
      <c r="AT342" s="251" t="s">
        <v>3420</v>
      </c>
      <c r="AU342" s="56" t="str">
        <f t="shared" si="54"/>
        <v>En gestión</v>
      </c>
      <c r="AV342" s="56" t="str">
        <f t="shared" si="55"/>
        <v>En gestión</v>
      </c>
      <c r="AW342" s="842" t="s">
        <v>1196</v>
      </c>
      <c r="AX342" s="861">
        <f>SUMPRODUCT(O342:O346,AR342:AR346)</f>
        <v>0.21000000000000002</v>
      </c>
      <c r="AY342" s="860">
        <f>SUMPRODUCT(S342:S346,O342:O346)</f>
        <v>0.21000000000000002</v>
      </c>
      <c r="AZ342" s="823" t="str">
        <f>IF(AY342&lt;1%,"Sin iniciar",IF(AY342=100%,"Terminado","En gestión"))</f>
        <v>En gestión</v>
      </c>
      <c r="BA342" s="823" t="str">
        <f>IF(AX342&lt;1%,"Sin iniciar",IF(AX342=100%,"Terminado","En gestión"))</f>
        <v>En gestión</v>
      </c>
      <c r="BB342" s="236"/>
      <c r="BC342" s="821" t="s">
        <v>1555</v>
      </c>
      <c r="BD342" s="824">
        <v>10562883</v>
      </c>
      <c r="BE342" s="824">
        <v>10562883</v>
      </c>
      <c r="BF342" s="824">
        <v>5281441.5</v>
      </c>
      <c r="BG342" s="844">
        <v>105657581</v>
      </c>
      <c r="BH342" s="844">
        <v>105657581</v>
      </c>
      <c r="BI342" s="824">
        <v>49084473</v>
      </c>
      <c r="BJ342" s="822" t="s">
        <v>2617</v>
      </c>
      <c r="BK342" s="841">
        <v>2017011000343</v>
      </c>
      <c r="BL342" s="822" t="s">
        <v>2624</v>
      </c>
      <c r="BM342" s="822" t="s">
        <v>2547</v>
      </c>
      <c r="BN342" s="822" t="s">
        <v>2552</v>
      </c>
      <c r="BO342" s="347">
        <v>1</v>
      </c>
      <c r="BP342" s="11" t="s">
        <v>3421</v>
      </c>
      <c r="BQ342" s="11" t="s">
        <v>3422</v>
      </c>
      <c r="BR342" s="5" t="str">
        <f t="shared" si="56"/>
        <v>Terminado</v>
      </c>
      <c r="BS342" s="5" t="str">
        <f t="shared" si="57"/>
        <v>Terminado</v>
      </c>
      <c r="BT342" s="11" t="s">
        <v>3423</v>
      </c>
      <c r="BU342" s="862">
        <f>SUMPRODUCT(O342:O346,BO342:BO346)</f>
        <v>0.7</v>
      </c>
      <c r="BV342" s="863">
        <f>SUMPRODUCT(O342:O346,T342:T346)</f>
        <v>0.7</v>
      </c>
      <c r="BW342" s="827" t="str">
        <f>IF(BV342&lt;1%,"Sin iniciar",IF(BV342=100%,"Terminado","En gestión"))</f>
        <v>En gestión</v>
      </c>
      <c r="BX342" s="827" t="str">
        <f>IF(BU342&lt;1%,"Sin iniciar",IF(BU342=100%,"Terminado","En gestión"))</f>
        <v>En gestión</v>
      </c>
      <c r="BY342" s="573" t="s">
        <v>37</v>
      </c>
      <c r="BZ342" s="573" t="s">
        <v>1555</v>
      </c>
      <c r="CA342" s="838">
        <v>10562883</v>
      </c>
      <c r="CB342" s="839">
        <v>10562883</v>
      </c>
      <c r="CC342" s="838">
        <f>CB342*75%</f>
        <v>7922162.25</v>
      </c>
      <c r="CD342" s="840">
        <f>35219194+70438387</f>
        <v>105657581</v>
      </c>
      <c r="CE342" s="835">
        <v>105657581</v>
      </c>
      <c r="CF342" s="839">
        <v>88257153</v>
      </c>
      <c r="CG342" s="626" t="s">
        <v>2617</v>
      </c>
      <c r="CH342" s="626" t="s">
        <v>2624</v>
      </c>
      <c r="CI342" s="626" t="s">
        <v>2547</v>
      </c>
      <c r="CJ342" s="626" t="s">
        <v>2552</v>
      </c>
    </row>
    <row r="343" spans="2:88" ht="171.95" customHeight="1" x14ac:dyDescent="0.25">
      <c r="B343" s="1227"/>
      <c r="C343" s="612"/>
      <c r="D343" s="227" t="s">
        <v>1045</v>
      </c>
      <c r="E343" s="227" t="s">
        <v>160</v>
      </c>
      <c r="F343" s="819"/>
      <c r="G343" s="227" t="s">
        <v>28</v>
      </c>
      <c r="H343" s="227" t="s">
        <v>28</v>
      </c>
      <c r="I343" s="227" t="s">
        <v>59</v>
      </c>
      <c r="J343" s="227" t="s">
        <v>1047</v>
      </c>
      <c r="K343" s="820"/>
      <c r="L343" s="228" t="s">
        <v>752</v>
      </c>
      <c r="M343" s="229" t="s">
        <v>3424</v>
      </c>
      <c r="N343" s="254" t="s">
        <v>1086</v>
      </c>
      <c r="O343" s="231">
        <v>0.2</v>
      </c>
      <c r="P343" s="232">
        <v>44197</v>
      </c>
      <c r="Q343" s="232" t="s">
        <v>453</v>
      </c>
      <c r="R343" s="231">
        <v>0.05</v>
      </c>
      <c r="S343" s="231">
        <v>0.4</v>
      </c>
      <c r="T343" s="231">
        <v>1</v>
      </c>
      <c r="U343" s="231">
        <v>1</v>
      </c>
      <c r="V343" s="233">
        <v>0.05</v>
      </c>
      <c r="W343" s="234" t="s">
        <v>1085</v>
      </c>
      <c r="X343" s="251" t="s">
        <v>3425</v>
      </c>
      <c r="Y343" s="5" t="str">
        <f t="shared" si="52"/>
        <v>En gestión</v>
      </c>
      <c r="Z343" s="5" t="str">
        <f t="shared" si="53"/>
        <v>En gestión</v>
      </c>
      <c r="AA343" s="842"/>
      <c r="AB343" s="854"/>
      <c r="AC343" s="855"/>
      <c r="AD343" s="827"/>
      <c r="AE343" s="827"/>
      <c r="AF343" s="236"/>
      <c r="AG343" s="828"/>
      <c r="AH343" s="828"/>
      <c r="AI343" s="828"/>
      <c r="AJ343" s="825"/>
      <c r="AK343" s="825"/>
      <c r="AL343" s="828"/>
      <c r="AM343" s="822"/>
      <c r="AN343" s="237">
        <v>2017011000343</v>
      </c>
      <c r="AO343" s="822"/>
      <c r="AP343" s="822"/>
      <c r="AQ343" s="236"/>
      <c r="AR343" s="1170">
        <v>0.4</v>
      </c>
      <c r="AS343" s="255" t="s">
        <v>1174</v>
      </c>
      <c r="AT343" s="251" t="s">
        <v>3420</v>
      </c>
      <c r="AU343" s="56" t="str">
        <f t="shared" si="54"/>
        <v>En gestión</v>
      </c>
      <c r="AV343" s="56" t="str">
        <f t="shared" si="55"/>
        <v>En gestión</v>
      </c>
      <c r="AW343" s="842"/>
      <c r="AX343" s="861"/>
      <c r="AY343" s="860"/>
      <c r="AZ343" s="823"/>
      <c r="BA343" s="823"/>
      <c r="BB343" s="236"/>
      <c r="BC343" s="821"/>
      <c r="BD343" s="824"/>
      <c r="BE343" s="824"/>
      <c r="BF343" s="824">
        <v>0</v>
      </c>
      <c r="BG343" s="844"/>
      <c r="BH343" s="844"/>
      <c r="BI343" s="824"/>
      <c r="BJ343" s="822"/>
      <c r="BK343" s="841"/>
      <c r="BL343" s="822"/>
      <c r="BM343" s="822"/>
      <c r="BN343" s="822"/>
      <c r="BO343" s="347">
        <v>1</v>
      </c>
      <c r="BP343" s="11" t="s">
        <v>3426</v>
      </c>
      <c r="BQ343" s="581" t="s">
        <v>5249</v>
      </c>
      <c r="BR343" s="5" t="str">
        <f t="shared" si="56"/>
        <v>Terminado</v>
      </c>
      <c r="BS343" s="5" t="str">
        <f t="shared" si="57"/>
        <v>Terminado</v>
      </c>
      <c r="BT343" s="581" t="s">
        <v>3427</v>
      </c>
      <c r="BU343" s="862"/>
      <c r="BV343" s="863"/>
      <c r="BW343" s="827"/>
      <c r="BX343" s="827"/>
      <c r="BY343" s="573"/>
      <c r="BZ343" s="573"/>
      <c r="CA343" s="838"/>
      <c r="CB343" s="839"/>
      <c r="CC343" s="838"/>
      <c r="CD343" s="840"/>
      <c r="CE343" s="835"/>
      <c r="CF343" s="839"/>
      <c r="CG343" s="626"/>
      <c r="CH343" s="626"/>
      <c r="CI343" s="626"/>
      <c r="CJ343" s="626"/>
    </row>
    <row r="344" spans="2:88" ht="171.95" customHeight="1" x14ac:dyDescent="0.25">
      <c r="B344" s="1227"/>
      <c r="C344" s="612"/>
      <c r="D344" s="227" t="s">
        <v>1045</v>
      </c>
      <c r="E344" s="227" t="s">
        <v>160</v>
      </c>
      <c r="F344" s="819"/>
      <c r="G344" s="227" t="s">
        <v>28</v>
      </c>
      <c r="H344" s="227" t="s">
        <v>28</v>
      </c>
      <c r="I344" s="227" t="s">
        <v>59</v>
      </c>
      <c r="J344" s="227" t="s">
        <v>1047</v>
      </c>
      <c r="K344" s="820"/>
      <c r="L344" s="228" t="s">
        <v>752</v>
      </c>
      <c r="M344" s="229" t="s">
        <v>3428</v>
      </c>
      <c r="N344" s="254" t="s">
        <v>1087</v>
      </c>
      <c r="O344" s="231">
        <v>0.2</v>
      </c>
      <c r="P344" s="232">
        <v>44378</v>
      </c>
      <c r="Q344" s="232">
        <v>44561</v>
      </c>
      <c r="R344" s="231">
        <v>0</v>
      </c>
      <c r="S344" s="231">
        <v>0</v>
      </c>
      <c r="T344" s="231">
        <v>0.5</v>
      </c>
      <c r="U344" s="231">
        <v>1</v>
      </c>
      <c r="V344" s="233">
        <v>0</v>
      </c>
      <c r="W344" s="234" t="s">
        <v>37</v>
      </c>
      <c r="X344" s="235" t="s">
        <v>37</v>
      </c>
      <c r="Y344" s="5" t="str">
        <f t="shared" si="52"/>
        <v>Sin iniciar</v>
      </c>
      <c r="Z344" s="5" t="str">
        <f t="shared" si="53"/>
        <v>Sin iniciar</v>
      </c>
      <c r="AA344" s="842"/>
      <c r="AB344" s="854"/>
      <c r="AC344" s="855"/>
      <c r="AD344" s="827"/>
      <c r="AE344" s="827"/>
      <c r="AF344" s="236"/>
      <c r="AG344" s="828"/>
      <c r="AH344" s="828"/>
      <c r="AI344" s="828"/>
      <c r="AJ344" s="825"/>
      <c r="AK344" s="825"/>
      <c r="AL344" s="828"/>
      <c r="AM344" s="822"/>
      <c r="AN344" s="237">
        <v>2017011000343</v>
      </c>
      <c r="AO344" s="822"/>
      <c r="AP344" s="822"/>
      <c r="AQ344" s="236"/>
      <c r="AR344" s="1170">
        <v>0</v>
      </c>
      <c r="AS344" s="56" t="s">
        <v>2437</v>
      </c>
      <c r="AT344" s="235" t="s">
        <v>1043</v>
      </c>
      <c r="AU344" s="56" t="str">
        <f t="shared" si="54"/>
        <v>Sin iniciar</v>
      </c>
      <c r="AV344" s="56" t="str">
        <f t="shared" si="55"/>
        <v>Sin iniciar</v>
      </c>
      <c r="AW344" s="842"/>
      <c r="AX344" s="861"/>
      <c r="AY344" s="860"/>
      <c r="AZ344" s="823"/>
      <c r="BA344" s="823"/>
      <c r="BB344" s="236"/>
      <c r="BC344" s="821"/>
      <c r="BD344" s="824"/>
      <c r="BE344" s="824"/>
      <c r="BF344" s="824">
        <v>0</v>
      </c>
      <c r="BG344" s="844"/>
      <c r="BH344" s="844"/>
      <c r="BI344" s="824"/>
      <c r="BJ344" s="822"/>
      <c r="BK344" s="841"/>
      <c r="BL344" s="822"/>
      <c r="BM344" s="822"/>
      <c r="BN344" s="822"/>
      <c r="BO344" s="347">
        <v>0.5</v>
      </c>
      <c r="BP344" s="11" t="s">
        <v>3429</v>
      </c>
      <c r="BQ344" s="581"/>
      <c r="BR344" s="5" t="str">
        <f t="shared" si="56"/>
        <v>En gestión</v>
      </c>
      <c r="BS344" s="5" t="str">
        <f t="shared" si="57"/>
        <v>En gestión</v>
      </c>
      <c r="BT344" s="581"/>
      <c r="BU344" s="862"/>
      <c r="BV344" s="863"/>
      <c r="BW344" s="827"/>
      <c r="BX344" s="827"/>
      <c r="BY344" s="573"/>
      <c r="BZ344" s="573"/>
      <c r="CA344" s="838"/>
      <c r="CB344" s="839"/>
      <c r="CC344" s="838"/>
      <c r="CD344" s="840"/>
      <c r="CE344" s="835"/>
      <c r="CF344" s="839"/>
      <c r="CG344" s="626"/>
      <c r="CH344" s="626"/>
      <c r="CI344" s="626"/>
      <c r="CJ344" s="626"/>
    </row>
    <row r="345" spans="2:88" ht="171.95" customHeight="1" x14ac:dyDescent="0.25">
      <c r="B345" s="1227"/>
      <c r="C345" s="612"/>
      <c r="D345" s="227" t="s">
        <v>1045</v>
      </c>
      <c r="E345" s="227" t="s">
        <v>160</v>
      </c>
      <c r="F345" s="819"/>
      <c r="G345" s="227" t="s">
        <v>28</v>
      </c>
      <c r="H345" s="227" t="s">
        <v>28</v>
      </c>
      <c r="I345" s="227" t="s">
        <v>59</v>
      </c>
      <c r="J345" s="227" t="s">
        <v>1047</v>
      </c>
      <c r="K345" s="820"/>
      <c r="L345" s="228" t="s">
        <v>752</v>
      </c>
      <c r="M345" s="229" t="s">
        <v>3430</v>
      </c>
      <c r="N345" s="254" t="s">
        <v>1088</v>
      </c>
      <c r="O345" s="231">
        <v>0.2</v>
      </c>
      <c r="P345" s="232">
        <v>44287</v>
      </c>
      <c r="Q345" s="232">
        <v>44561</v>
      </c>
      <c r="R345" s="231">
        <v>0</v>
      </c>
      <c r="S345" s="231">
        <v>0.25</v>
      </c>
      <c r="T345" s="231">
        <v>0.5</v>
      </c>
      <c r="U345" s="231">
        <v>1</v>
      </c>
      <c r="V345" s="233">
        <v>0</v>
      </c>
      <c r="W345" s="234" t="s">
        <v>37</v>
      </c>
      <c r="X345" s="235" t="s">
        <v>37</v>
      </c>
      <c r="Y345" s="5" t="str">
        <f t="shared" si="52"/>
        <v>Sin iniciar</v>
      </c>
      <c r="Z345" s="5" t="str">
        <f t="shared" si="53"/>
        <v>Sin iniciar</v>
      </c>
      <c r="AA345" s="842"/>
      <c r="AB345" s="854"/>
      <c r="AC345" s="855"/>
      <c r="AD345" s="827"/>
      <c r="AE345" s="827"/>
      <c r="AF345" s="236"/>
      <c r="AG345" s="828"/>
      <c r="AH345" s="828"/>
      <c r="AI345" s="828"/>
      <c r="AJ345" s="825"/>
      <c r="AK345" s="825"/>
      <c r="AL345" s="828"/>
      <c r="AM345" s="822"/>
      <c r="AN345" s="237">
        <v>2017011000343</v>
      </c>
      <c r="AO345" s="822"/>
      <c r="AP345" s="822"/>
      <c r="AQ345" s="236"/>
      <c r="AR345" s="1170">
        <v>0.25</v>
      </c>
      <c r="AS345" s="234" t="s">
        <v>1175</v>
      </c>
      <c r="AT345" s="251" t="s">
        <v>3431</v>
      </c>
      <c r="AU345" s="56" t="str">
        <f t="shared" si="54"/>
        <v>En gestión</v>
      </c>
      <c r="AV345" s="56" t="str">
        <f t="shared" si="55"/>
        <v>En gestión</v>
      </c>
      <c r="AW345" s="842"/>
      <c r="AX345" s="861"/>
      <c r="AY345" s="860"/>
      <c r="AZ345" s="823"/>
      <c r="BA345" s="823"/>
      <c r="BB345" s="236"/>
      <c r="BC345" s="821"/>
      <c r="BD345" s="824"/>
      <c r="BE345" s="824"/>
      <c r="BF345" s="824">
        <v>0</v>
      </c>
      <c r="BG345" s="844"/>
      <c r="BH345" s="844"/>
      <c r="BI345" s="824"/>
      <c r="BJ345" s="822"/>
      <c r="BK345" s="841"/>
      <c r="BL345" s="822"/>
      <c r="BM345" s="822"/>
      <c r="BN345" s="822"/>
      <c r="BO345" s="347">
        <v>0.5</v>
      </c>
      <c r="BP345" s="11" t="s">
        <v>3432</v>
      </c>
      <c r="BQ345" s="11" t="s">
        <v>3433</v>
      </c>
      <c r="BR345" s="5" t="str">
        <f t="shared" si="56"/>
        <v>En gestión</v>
      </c>
      <c r="BS345" s="5" t="str">
        <f t="shared" si="57"/>
        <v>En gestión</v>
      </c>
      <c r="BT345" s="12" t="s">
        <v>2792</v>
      </c>
      <c r="BU345" s="862"/>
      <c r="BV345" s="863"/>
      <c r="BW345" s="827"/>
      <c r="BX345" s="827"/>
      <c r="BY345" s="573"/>
      <c r="BZ345" s="573"/>
      <c r="CA345" s="838"/>
      <c r="CB345" s="839"/>
      <c r="CC345" s="838"/>
      <c r="CD345" s="840"/>
      <c r="CE345" s="835"/>
      <c r="CF345" s="839"/>
      <c r="CG345" s="626"/>
      <c r="CH345" s="626"/>
      <c r="CI345" s="626"/>
      <c r="CJ345" s="626"/>
    </row>
    <row r="346" spans="2:88" ht="171.95" customHeight="1" x14ac:dyDescent="0.25">
      <c r="B346" s="1227"/>
      <c r="C346" s="612"/>
      <c r="D346" s="227" t="s">
        <v>1045</v>
      </c>
      <c r="E346" s="227" t="s">
        <v>160</v>
      </c>
      <c r="F346" s="819"/>
      <c r="G346" s="227" t="s">
        <v>28</v>
      </c>
      <c r="H346" s="227" t="s">
        <v>28</v>
      </c>
      <c r="I346" s="227" t="s">
        <v>59</v>
      </c>
      <c r="J346" s="227" t="s">
        <v>1047</v>
      </c>
      <c r="K346" s="820"/>
      <c r="L346" s="228" t="s">
        <v>752</v>
      </c>
      <c r="M346" s="229" t="s">
        <v>3434</v>
      </c>
      <c r="N346" s="254" t="s">
        <v>1089</v>
      </c>
      <c r="O346" s="231">
        <v>0.2</v>
      </c>
      <c r="P346" s="232">
        <v>44378</v>
      </c>
      <c r="Q346" s="232">
        <v>44561</v>
      </c>
      <c r="R346" s="231">
        <v>0</v>
      </c>
      <c r="S346" s="231">
        <v>0</v>
      </c>
      <c r="T346" s="231">
        <v>0.5</v>
      </c>
      <c r="U346" s="231">
        <v>1</v>
      </c>
      <c r="V346" s="233">
        <v>0</v>
      </c>
      <c r="W346" s="234" t="s">
        <v>37</v>
      </c>
      <c r="X346" s="235" t="s">
        <v>37</v>
      </c>
      <c r="Y346" s="5" t="str">
        <f t="shared" si="52"/>
        <v>Sin iniciar</v>
      </c>
      <c r="Z346" s="5" t="str">
        <f t="shared" si="53"/>
        <v>Sin iniciar</v>
      </c>
      <c r="AA346" s="842"/>
      <c r="AB346" s="854"/>
      <c r="AC346" s="855"/>
      <c r="AD346" s="827"/>
      <c r="AE346" s="827"/>
      <c r="AF346" s="236"/>
      <c r="AG346" s="828"/>
      <c r="AH346" s="828"/>
      <c r="AI346" s="828"/>
      <c r="AJ346" s="825"/>
      <c r="AK346" s="825"/>
      <c r="AL346" s="828"/>
      <c r="AM346" s="822"/>
      <c r="AN346" s="237">
        <v>2017011000343</v>
      </c>
      <c r="AO346" s="822"/>
      <c r="AP346" s="822"/>
      <c r="AQ346" s="236"/>
      <c r="AR346" s="1170">
        <v>0</v>
      </c>
      <c r="AS346" s="56" t="s">
        <v>2437</v>
      </c>
      <c r="AT346" s="256" t="s">
        <v>37</v>
      </c>
      <c r="AU346" s="56" t="str">
        <f t="shared" si="54"/>
        <v>Sin iniciar</v>
      </c>
      <c r="AV346" s="56" t="str">
        <f t="shared" si="55"/>
        <v>Sin iniciar</v>
      </c>
      <c r="AW346" s="842"/>
      <c r="AX346" s="861"/>
      <c r="AY346" s="860"/>
      <c r="AZ346" s="823"/>
      <c r="BA346" s="823"/>
      <c r="BB346" s="236"/>
      <c r="BC346" s="821"/>
      <c r="BD346" s="824"/>
      <c r="BE346" s="824"/>
      <c r="BF346" s="824">
        <v>0</v>
      </c>
      <c r="BG346" s="844"/>
      <c r="BH346" s="844"/>
      <c r="BI346" s="824"/>
      <c r="BJ346" s="822"/>
      <c r="BK346" s="841"/>
      <c r="BL346" s="822"/>
      <c r="BM346" s="822"/>
      <c r="BN346" s="822"/>
      <c r="BO346" s="347">
        <v>0.5</v>
      </c>
      <c r="BP346" s="11" t="s">
        <v>3435</v>
      </c>
      <c r="BQ346" s="11" t="s">
        <v>3436</v>
      </c>
      <c r="BR346" s="5" t="str">
        <f t="shared" si="56"/>
        <v>En gestión</v>
      </c>
      <c r="BS346" s="5" t="str">
        <f t="shared" si="57"/>
        <v>En gestión</v>
      </c>
      <c r="BT346" s="11" t="s">
        <v>3437</v>
      </c>
      <c r="BU346" s="862"/>
      <c r="BV346" s="863"/>
      <c r="BW346" s="827"/>
      <c r="BX346" s="827"/>
      <c r="BY346" s="573"/>
      <c r="BZ346" s="573"/>
      <c r="CA346" s="838"/>
      <c r="CB346" s="839"/>
      <c r="CC346" s="838"/>
      <c r="CD346" s="840"/>
      <c r="CE346" s="835"/>
      <c r="CF346" s="839"/>
      <c r="CG346" s="626"/>
      <c r="CH346" s="626"/>
      <c r="CI346" s="626"/>
      <c r="CJ346" s="626"/>
    </row>
    <row r="347" spans="2:88" ht="171.95" customHeight="1" x14ac:dyDescent="0.25">
      <c r="B347" s="1227"/>
      <c r="C347" s="831" t="s">
        <v>1090</v>
      </c>
      <c r="D347" s="238" t="s">
        <v>1045</v>
      </c>
      <c r="E347" s="238" t="s">
        <v>160</v>
      </c>
      <c r="F347" s="832" t="s">
        <v>1091</v>
      </c>
      <c r="G347" s="238" t="s">
        <v>28</v>
      </c>
      <c r="H347" s="238" t="s">
        <v>28</v>
      </c>
      <c r="I347" s="238" t="s">
        <v>59</v>
      </c>
      <c r="J347" s="238" t="s">
        <v>1047</v>
      </c>
      <c r="K347" s="833" t="s">
        <v>1092</v>
      </c>
      <c r="L347" s="239" t="s">
        <v>164</v>
      </c>
      <c r="M347" s="240" t="s">
        <v>3438</v>
      </c>
      <c r="N347" s="241" t="s">
        <v>1093</v>
      </c>
      <c r="O347" s="242">
        <v>0.5</v>
      </c>
      <c r="P347" s="243">
        <v>44197</v>
      </c>
      <c r="Q347" s="243">
        <v>44561</v>
      </c>
      <c r="R347" s="242">
        <v>0.05</v>
      </c>
      <c r="S347" s="242">
        <v>0.3</v>
      </c>
      <c r="T347" s="242">
        <v>0.65</v>
      </c>
      <c r="U347" s="242">
        <v>1</v>
      </c>
      <c r="V347" s="233">
        <v>0.05</v>
      </c>
      <c r="W347" s="244" t="s">
        <v>1094</v>
      </c>
      <c r="X347" s="252" t="s">
        <v>3439</v>
      </c>
      <c r="Y347" s="19" t="str">
        <f t="shared" si="52"/>
        <v>En gestión</v>
      </c>
      <c r="Z347" s="19" t="str">
        <f t="shared" si="53"/>
        <v>En gestión</v>
      </c>
      <c r="AA347" s="834" t="s">
        <v>1155</v>
      </c>
      <c r="AB347" s="596">
        <f>SUMPRODUCT(O347:O348,V347:V348)</f>
        <v>2.5000000000000001E-2</v>
      </c>
      <c r="AC347" s="597">
        <f>SUMPRODUCT(O347:O348,R347:R348)</f>
        <v>2.5000000000000001E-2</v>
      </c>
      <c r="AD347" s="846" t="str">
        <f>IF(AC347&lt;1%,"Sin iniciar",IF(AC347=100%,"Terminado","En gestión"))</f>
        <v>En gestión</v>
      </c>
      <c r="AE347" s="846" t="str">
        <f>IF(AB347&lt;1%,"Sin iniciar",IF(AB347=100%,"Terminado","En gestión"))</f>
        <v>En gestión</v>
      </c>
      <c r="AF347" s="246"/>
      <c r="AG347" s="829">
        <v>341398918</v>
      </c>
      <c r="AH347" s="829">
        <v>341398918</v>
      </c>
      <c r="AI347" s="829">
        <v>10241967.539999999</v>
      </c>
      <c r="AJ347" s="830">
        <v>321000000</v>
      </c>
      <c r="AK347" s="830">
        <v>321000000</v>
      </c>
      <c r="AL347" s="829">
        <v>25680000</v>
      </c>
      <c r="AM347" s="851" t="s">
        <v>2609</v>
      </c>
      <c r="AN347" s="247">
        <v>2017011000343</v>
      </c>
      <c r="AO347" s="851" t="s">
        <v>2615</v>
      </c>
      <c r="AP347" s="851" t="s">
        <v>2616</v>
      </c>
      <c r="AQ347" s="246"/>
      <c r="AR347" s="1170">
        <v>0.3</v>
      </c>
      <c r="AS347" s="248" t="s">
        <v>1176</v>
      </c>
      <c r="AT347" s="257" t="s">
        <v>3440</v>
      </c>
      <c r="AU347" s="66" t="str">
        <f t="shared" si="54"/>
        <v>En gestión</v>
      </c>
      <c r="AV347" s="66" t="str">
        <f t="shared" si="55"/>
        <v>En gestión</v>
      </c>
      <c r="AW347" s="864" t="s">
        <v>1197</v>
      </c>
      <c r="AX347" s="599">
        <f>SUMPRODUCT(O347:O348,AR347:AR348)</f>
        <v>0.3</v>
      </c>
      <c r="AY347" s="600">
        <f>SUMPRODUCT(S347:S348,O347:O348)</f>
        <v>0.3</v>
      </c>
      <c r="AZ347" s="858" t="str">
        <f>IF(AY347&lt;1%,"Sin iniciar",IF(AY347=100%,"Terminado","En gestión"))</f>
        <v>En gestión</v>
      </c>
      <c r="BA347" s="858" t="str">
        <f>IF(AX347&lt;1%,"Sin iniciar",IF(AX347=100%,"Terminado","En gestión"))</f>
        <v>En gestión</v>
      </c>
      <c r="BB347" s="246"/>
      <c r="BC347" s="859" t="s">
        <v>1555</v>
      </c>
      <c r="BD347" s="852">
        <v>341398918</v>
      </c>
      <c r="BE347" s="852">
        <v>341398918</v>
      </c>
      <c r="BF347" s="852">
        <v>170699459</v>
      </c>
      <c r="BG347" s="853">
        <v>321000000</v>
      </c>
      <c r="BH347" s="853">
        <v>321000000</v>
      </c>
      <c r="BI347" s="852">
        <v>71828067</v>
      </c>
      <c r="BJ347" s="851" t="s">
        <v>2617</v>
      </c>
      <c r="BK347" s="850">
        <v>2017011000343</v>
      </c>
      <c r="BL347" s="851" t="s">
        <v>2625</v>
      </c>
      <c r="BM347" s="851" t="s">
        <v>2616</v>
      </c>
      <c r="BN347" s="834" t="s">
        <v>2626</v>
      </c>
      <c r="BO347" s="347">
        <v>0.65</v>
      </c>
      <c r="BP347" s="24" t="s">
        <v>3441</v>
      </c>
      <c r="BQ347" s="24" t="s">
        <v>3442</v>
      </c>
      <c r="BR347" s="19" t="str">
        <f t="shared" si="56"/>
        <v>En gestión</v>
      </c>
      <c r="BS347" s="19" t="str">
        <f t="shared" si="57"/>
        <v>En gestión</v>
      </c>
      <c r="BT347" s="24" t="s">
        <v>3443</v>
      </c>
      <c r="BU347" s="561">
        <f>SUMPRODUCT(O347:O348,BO347:BO348)</f>
        <v>0.65</v>
      </c>
      <c r="BV347" s="562">
        <f>SUMPRODUCT(O347:O348,T347:T348)</f>
        <v>0.65</v>
      </c>
      <c r="BW347" s="846" t="str">
        <f>IF(BV347&lt;1%,"Sin iniciar",IF(BV347=100%,"Terminado","En gestión"))</f>
        <v>En gestión</v>
      </c>
      <c r="BX347" s="846" t="str">
        <f>IF(BU347&lt;1%,"Sin iniciar",IF(BU347=100%,"Terminado","En gestión"))</f>
        <v>En gestión</v>
      </c>
      <c r="BY347" s="578" t="s">
        <v>37</v>
      </c>
      <c r="BZ347" s="578" t="s">
        <v>1555</v>
      </c>
      <c r="CA347" s="847">
        <v>341398918</v>
      </c>
      <c r="CB347" s="847">
        <v>341398918</v>
      </c>
      <c r="CC347" s="847">
        <f>CB347*75%</f>
        <v>256049188.5</v>
      </c>
      <c r="CD347" s="849">
        <f>BG347</f>
        <v>321000000</v>
      </c>
      <c r="CE347" s="856">
        <f>BH347</f>
        <v>321000000</v>
      </c>
      <c r="CF347" s="848">
        <v>98382654</v>
      </c>
      <c r="CG347" s="857" t="s">
        <v>2617</v>
      </c>
      <c r="CH347" s="857" t="s">
        <v>2625</v>
      </c>
      <c r="CI347" s="857" t="s">
        <v>2616</v>
      </c>
      <c r="CJ347" s="845" t="s">
        <v>2626</v>
      </c>
    </row>
    <row r="348" spans="2:88" ht="171.95" customHeight="1" x14ac:dyDescent="0.25">
      <c r="B348" s="1227"/>
      <c r="C348" s="831"/>
      <c r="D348" s="238" t="s">
        <v>1045</v>
      </c>
      <c r="E348" s="238" t="s">
        <v>160</v>
      </c>
      <c r="F348" s="832"/>
      <c r="G348" s="238" t="s">
        <v>28</v>
      </c>
      <c r="H348" s="238" t="s">
        <v>28</v>
      </c>
      <c r="I348" s="238" t="s">
        <v>59</v>
      </c>
      <c r="J348" s="238" t="s">
        <v>1047</v>
      </c>
      <c r="K348" s="833"/>
      <c r="L348" s="239" t="s">
        <v>164</v>
      </c>
      <c r="M348" s="240" t="s">
        <v>3444</v>
      </c>
      <c r="N348" s="241" t="s">
        <v>1095</v>
      </c>
      <c r="O348" s="242">
        <v>0.5</v>
      </c>
      <c r="P348" s="243">
        <v>44317</v>
      </c>
      <c r="Q348" s="243">
        <v>44561</v>
      </c>
      <c r="R348" s="242">
        <v>0</v>
      </c>
      <c r="S348" s="242">
        <v>0.3</v>
      </c>
      <c r="T348" s="242">
        <v>0.65</v>
      </c>
      <c r="U348" s="242">
        <v>1</v>
      </c>
      <c r="V348" s="233">
        <v>0</v>
      </c>
      <c r="W348" s="244" t="s">
        <v>37</v>
      </c>
      <c r="X348" s="250" t="s">
        <v>37</v>
      </c>
      <c r="Y348" s="19" t="str">
        <f t="shared" si="52"/>
        <v>Sin iniciar</v>
      </c>
      <c r="Z348" s="19" t="str">
        <f t="shared" si="53"/>
        <v>Sin iniciar</v>
      </c>
      <c r="AA348" s="834"/>
      <c r="AB348" s="596"/>
      <c r="AC348" s="597"/>
      <c r="AD348" s="846"/>
      <c r="AE348" s="846"/>
      <c r="AF348" s="246"/>
      <c r="AG348" s="829"/>
      <c r="AH348" s="829"/>
      <c r="AI348" s="829"/>
      <c r="AJ348" s="830"/>
      <c r="AK348" s="830"/>
      <c r="AL348" s="829"/>
      <c r="AM348" s="851"/>
      <c r="AN348" s="247">
        <v>2017011000343</v>
      </c>
      <c r="AO348" s="851"/>
      <c r="AP348" s="851"/>
      <c r="AQ348" s="246"/>
      <c r="AR348" s="1170">
        <v>0.3</v>
      </c>
      <c r="AS348" s="248" t="s">
        <v>1177</v>
      </c>
      <c r="AT348" s="257" t="s">
        <v>3445</v>
      </c>
      <c r="AU348" s="66" t="str">
        <f t="shared" si="54"/>
        <v>En gestión</v>
      </c>
      <c r="AV348" s="66" t="str">
        <f t="shared" si="55"/>
        <v>En gestión</v>
      </c>
      <c r="AW348" s="864"/>
      <c r="AX348" s="599"/>
      <c r="AY348" s="600"/>
      <c r="AZ348" s="858"/>
      <c r="BA348" s="858"/>
      <c r="BB348" s="246"/>
      <c r="BC348" s="859"/>
      <c r="BD348" s="852"/>
      <c r="BE348" s="852"/>
      <c r="BF348" s="852">
        <v>0</v>
      </c>
      <c r="BG348" s="853"/>
      <c r="BH348" s="853"/>
      <c r="BI348" s="852"/>
      <c r="BJ348" s="851"/>
      <c r="BK348" s="850"/>
      <c r="BL348" s="851"/>
      <c r="BM348" s="851"/>
      <c r="BN348" s="834"/>
      <c r="BO348" s="347">
        <v>0.65</v>
      </c>
      <c r="BP348" s="24" t="s">
        <v>3446</v>
      </c>
      <c r="BQ348" s="24" t="s">
        <v>3447</v>
      </c>
      <c r="BR348" s="19" t="str">
        <f t="shared" si="56"/>
        <v>En gestión</v>
      </c>
      <c r="BS348" s="19" t="str">
        <f t="shared" si="57"/>
        <v>En gestión</v>
      </c>
      <c r="BT348" s="24" t="s">
        <v>3448</v>
      </c>
      <c r="BU348" s="561"/>
      <c r="BV348" s="562"/>
      <c r="BW348" s="846"/>
      <c r="BX348" s="846"/>
      <c r="BY348" s="578"/>
      <c r="BZ348" s="578"/>
      <c r="CA348" s="847"/>
      <c r="CB348" s="847"/>
      <c r="CC348" s="847"/>
      <c r="CD348" s="849"/>
      <c r="CE348" s="856"/>
      <c r="CF348" s="848"/>
      <c r="CG348" s="857"/>
      <c r="CH348" s="857"/>
      <c r="CI348" s="857"/>
      <c r="CJ348" s="845"/>
    </row>
    <row r="349" spans="2:88" ht="171.95" customHeight="1" x14ac:dyDescent="0.25">
      <c r="B349" s="1227"/>
      <c r="C349" s="612" t="s">
        <v>3785</v>
      </c>
      <c r="D349" s="227" t="s">
        <v>1045</v>
      </c>
      <c r="E349" s="227" t="s">
        <v>160</v>
      </c>
      <c r="F349" s="819" t="s">
        <v>1096</v>
      </c>
      <c r="G349" s="227" t="s">
        <v>28</v>
      </c>
      <c r="H349" s="227" t="s">
        <v>28</v>
      </c>
      <c r="I349" s="227" t="s">
        <v>59</v>
      </c>
      <c r="J349" s="227" t="s">
        <v>1047</v>
      </c>
      <c r="K349" s="820" t="s">
        <v>1097</v>
      </c>
      <c r="L349" s="228" t="s">
        <v>1041</v>
      </c>
      <c r="M349" s="229" t="s">
        <v>3449</v>
      </c>
      <c r="N349" s="230" t="s">
        <v>1098</v>
      </c>
      <c r="O349" s="231">
        <v>0.13</v>
      </c>
      <c r="P349" s="232">
        <v>44287</v>
      </c>
      <c r="Q349" s="232">
        <v>44561</v>
      </c>
      <c r="R349" s="231">
        <v>0.05</v>
      </c>
      <c r="S349" s="231">
        <v>0.1</v>
      </c>
      <c r="T349" s="231">
        <v>0.5</v>
      </c>
      <c r="U349" s="231">
        <v>1</v>
      </c>
      <c r="V349" s="233">
        <v>0.05</v>
      </c>
      <c r="W349" s="234" t="s">
        <v>1099</v>
      </c>
      <c r="X349" s="251" t="s">
        <v>3450</v>
      </c>
      <c r="Y349" s="5" t="str">
        <f t="shared" si="52"/>
        <v>En gestión</v>
      </c>
      <c r="Z349" s="5" t="str">
        <f t="shared" si="53"/>
        <v>En gestión</v>
      </c>
      <c r="AA349" s="842" t="s">
        <v>1156</v>
      </c>
      <c r="AB349" s="854">
        <f>SUMPRODUCT(O349:O356,V349:V356)</f>
        <v>1.9000000000000003E-2</v>
      </c>
      <c r="AC349" s="855">
        <f>SUMPRODUCT(O349:O356,R349:R356)</f>
        <v>1.9000000000000003E-2</v>
      </c>
      <c r="AD349" s="827" t="str">
        <f>IF(AC349&lt;1%,"Sin iniciar",IF(AC349=100%,"Terminado","En gestión"))</f>
        <v>En gestión</v>
      </c>
      <c r="AE349" s="827" t="str">
        <f>IF(AB349&lt;1%,"Sin iniciar",IF(AB349=100%,"Terminado","En gestión"))</f>
        <v>En gestión</v>
      </c>
      <c r="AF349" s="236"/>
      <c r="AG349" s="828">
        <v>55723139</v>
      </c>
      <c r="AH349" s="828">
        <v>557231.39</v>
      </c>
      <c r="AI349" s="828">
        <v>27861.569500000001</v>
      </c>
      <c r="AJ349" s="825">
        <v>153241618</v>
      </c>
      <c r="AK349" s="825">
        <v>153241618</v>
      </c>
      <c r="AL349" s="828">
        <v>12259329.439999999</v>
      </c>
      <c r="AM349" s="822" t="s">
        <v>2609</v>
      </c>
      <c r="AN349" s="237">
        <v>2017011000343</v>
      </c>
      <c r="AO349" s="822" t="s">
        <v>2484</v>
      </c>
      <c r="AP349" s="822" t="s">
        <v>2612</v>
      </c>
      <c r="AQ349" s="236"/>
      <c r="AR349" s="1170">
        <v>0.1</v>
      </c>
      <c r="AS349" s="234" t="s">
        <v>1178</v>
      </c>
      <c r="AT349" s="258" t="s">
        <v>3451</v>
      </c>
      <c r="AU349" s="56" t="str">
        <f t="shared" si="54"/>
        <v>En gestión</v>
      </c>
      <c r="AV349" s="56" t="str">
        <f t="shared" si="55"/>
        <v>En gestión</v>
      </c>
      <c r="AW349" s="842" t="s">
        <v>1198</v>
      </c>
      <c r="AX349" s="861">
        <f>SUMPRODUCT(O349:O356,AR349:AR356)</f>
        <v>0.187</v>
      </c>
      <c r="AY349" s="860">
        <f>SUMPRODUCT(S349:S356,O349:O356)</f>
        <v>0.187</v>
      </c>
      <c r="AZ349" s="823" t="str">
        <f>IF(AY349&lt;1%,"Sin iniciar",IF(AY349=100%,"Terminado","En gestión"))</f>
        <v>En gestión</v>
      </c>
      <c r="BA349" s="823" t="str">
        <f>IF(AX349&lt;1%,"Sin iniciar",IF(AX349=100%,"Terminado","En gestión"))</f>
        <v>En gestión</v>
      </c>
      <c r="BB349" s="236"/>
      <c r="BC349" s="821" t="s">
        <v>1555</v>
      </c>
      <c r="BD349" s="824">
        <v>55723139</v>
      </c>
      <c r="BE349" s="824">
        <v>55723139</v>
      </c>
      <c r="BF349" s="824">
        <v>27861569.5</v>
      </c>
      <c r="BG349" s="844">
        <v>153241618</v>
      </c>
      <c r="BH349" s="844">
        <v>153241618</v>
      </c>
      <c r="BI349" s="824">
        <v>71828067</v>
      </c>
      <c r="BJ349" s="822" t="s">
        <v>2617</v>
      </c>
      <c r="BK349" s="841">
        <v>2017011000343</v>
      </c>
      <c r="BL349" s="822" t="s">
        <v>2625</v>
      </c>
      <c r="BM349" s="822" t="s">
        <v>2616</v>
      </c>
      <c r="BN349" s="842" t="s">
        <v>2626</v>
      </c>
      <c r="BO349" s="347">
        <v>0.5</v>
      </c>
      <c r="BP349" s="11" t="s">
        <v>3452</v>
      </c>
      <c r="BQ349" s="11" t="s">
        <v>3453</v>
      </c>
      <c r="BR349" s="5" t="str">
        <f t="shared" si="56"/>
        <v>En gestión</v>
      </c>
      <c r="BS349" s="5" t="str">
        <f t="shared" si="57"/>
        <v>En gestión</v>
      </c>
      <c r="BT349" s="11" t="s">
        <v>3454</v>
      </c>
      <c r="BU349" s="862">
        <f>SUMPRODUCT(O349:O356,BO349:BO356)</f>
        <v>0.55500000000000005</v>
      </c>
      <c r="BV349" s="863">
        <f>SUMPRODUCT(O349:O356,T349:T356)</f>
        <v>0.55500000000000005</v>
      </c>
      <c r="BW349" s="827" t="str">
        <f>IF(BV349&lt;1%,"Sin iniciar",IF(BV349=100%,"Terminado","En gestión"))</f>
        <v>En gestión</v>
      </c>
      <c r="BX349" s="827" t="str">
        <f>IF(BU349&lt;1%,"Sin iniciar",IF(BU349=100%,"Terminado","En gestión"))</f>
        <v>En gestión</v>
      </c>
      <c r="BY349" s="573" t="s">
        <v>37</v>
      </c>
      <c r="BZ349" s="573" t="s">
        <v>1555</v>
      </c>
      <c r="CA349" s="838">
        <v>55723139</v>
      </c>
      <c r="CB349" s="838">
        <v>55723139</v>
      </c>
      <c r="CC349" s="838">
        <f>CB349*75%</f>
        <v>41792354.25</v>
      </c>
      <c r="CD349" s="840">
        <f>BG349</f>
        <v>153241618</v>
      </c>
      <c r="CE349" s="835">
        <f>BH349</f>
        <v>153241618</v>
      </c>
      <c r="CF349" s="839">
        <v>98382654</v>
      </c>
      <c r="CG349" s="626" t="s">
        <v>2617</v>
      </c>
      <c r="CH349" s="626" t="s">
        <v>2625</v>
      </c>
      <c r="CI349" s="626" t="s">
        <v>2616</v>
      </c>
      <c r="CJ349" s="837" t="s">
        <v>2626</v>
      </c>
    </row>
    <row r="350" spans="2:88" ht="171.95" customHeight="1" x14ac:dyDescent="0.25">
      <c r="B350" s="1227"/>
      <c r="C350" s="612"/>
      <c r="D350" s="227" t="s">
        <v>1045</v>
      </c>
      <c r="E350" s="227" t="s">
        <v>160</v>
      </c>
      <c r="F350" s="819"/>
      <c r="G350" s="227" t="s">
        <v>28</v>
      </c>
      <c r="H350" s="227" t="s">
        <v>28</v>
      </c>
      <c r="I350" s="227" t="s">
        <v>59</v>
      </c>
      <c r="J350" s="227" t="s">
        <v>1047</v>
      </c>
      <c r="K350" s="820"/>
      <c r="L350" s="228" t="s">
        <v>1041</v>
      </c>
      <c r="M350" s="229" t="s">
        <v>3455</v>
      </c>
      <c r="N350" s="230" t="s">
        <v>1100</v>
      </c>
      <c r="O350" s="231">
        <v>0.13</v>
      </c>
      <c r="P350" s="232">
        <v>44287</v>
      </c>
      <c r="Q350" s="232">
        <v>44561</v>
      </c>
      <c r="R350" s="231">
        <v>0</v>
      </c>
      <c r="S350" s="231">
        <v>0.25</v>
      </c>
      <c r="T350" s="231">
        <v>0.75</v>
      </c>
      <c r="U350" s="231">
        <v>1</v>
      </c>
      <c r="V350" s="233">
        <v>0.05</v>
      </c>
      <c r="W350" s="234" t="s">
        <v>1101</v>
      </c>
      <c r="X350" s="235" t="s">
        <v>3456</v>
      </c>
      <c r="Y350" s="5" t="str">
        <f t="shared" si="52"/>
        <v>Sin iniciar</v>
      </c>
      <c r="Z350" s="5" t="str">
        <f t="shared" si="53"/>
        <v>En gestión</v>
      </c>
      <c r="AA350" s="842"/>
      <c r="AB350" s="854"/>
      <c r="AC350" s="855"/>
      <c r="AD350" s="827"/>
      <c r="AE350" s="827"/>
      <c r="AF350" s="236"/>
      <c r="AG350" s="828"/>
      <c r="AH350" s="828"/>
      <c r="AI350" s="828"/>
      <c r="AJ350" s="825"/>
      <c r="AK350" s="825"/>
      <c r="AL350" s="828"/>
      <c r="AM350" s="822"/>
      <c r="AN350" s="237">
        <v>2017011000343</v>
      </c>
      <c r="AO350" s="822"/>
      <c r="AP350" s="822"/>
      <c r="AQ350" s="236"/>
      <c r="AR350" s="1170">
        <v>0.25</v>
      </c>
      <c r="AS350" s="234" t="s">
        <v>1179</v>
      </c>
      <c r="AT350" s="251" t="s">
        <v>3457</v>
      </c>
      <c r="AU350" s="56" t="str">
        <f t="shared" si="54"/>
        <v>En gestión</v>
      </c>
      <c r="AV350" s="56" t="str">
        <f t="shared" si="55"/>
        <v>En gestión</v>
      </c>
      <c r="AW350" s="842"/>
      <c r="AX350" s="861"/>
      <c r="AY350" s="860"/>
      <c r="AZ350" s="823"/>
      <c r="BA350" s="823"/>
      <c r="BB350" s="236"/>
      <c r="BC350" s="821"/>
      <c r="BD350" s="824"/>
      <c r="BE350" s="824"/>
      <c r="BF350" s="824">
        <v>0</v>
      </c>
      <c r="BG350" s="844"/>
      <c r="BH350" s="844"/>
      <c r="BI350" s="824"/>
      <c r="BJ350" s="822"/>
      <c r="BK350" s="841"/>
      <c r="BL350" s="822"/>
      <c r="BM350" s="822"/>
      <c r="BN350" s="842"/>
      <c r="BO350" s="347">
        <v>0.75</v>
      </c>
      <c r="BP350" s="11" t="s">
        <v>3458</v>
      </c>
      <c r="BQ350" s="372" t="s">
        <v>3459</v>
      </c>
      <c r="BR350" s="5" t="str">
        <f t="shared" si="56"/>
        <v>En gestión</v>
      </c>
      <c r="BS350" s="5" t="str">
        <f t="shared" si="57"/>
        <v>En gestión</v>
      </c>
      <c r="BT350" s="11" t="s">
        <v>3460</v>
      </c>
      <c r="BU350" s="862"/>
      <c r="BV350" s="863"/>
      <c r="BW350" s="827"/>
      <c r="BX350" s="827"/>
      <c r="BY350" s="573"/>
      <c r="BZ350" s="573"/>
      <c r="CA350" s="838"/>
      <c r="CB350" s="838"/>
      <c r="CC350" s="838"/>
      <c r="CD350" s="840"/>
      <c r="CE350" s="835"/>
      <c r="CF350" s="839"/>
      <c r="CG350" s="626"/>
      <c r="CH350" s="626"/>
      <c r="CI350" s="626"/>
      <c r="CJ350" s="837"/>
    </row>
    <row r="351" spans="2:88" ht="171.95" customHeight="1" x14ac:dyDescent="0.25">
      <c r="B351" s="1227"/>
      <c r="C351" s="612"/>
      <c r="D351" s="227" t="s">
        <v>1045</v>
      </c>
      <c r="E351" s="227" t="s">
        <v>160</v>
      </c>
      <c r="F351" s="819"/>
      <c r="G351" s="227" t="s">
        <v>28</v>
      </c>
      <c r="H351" s="227" t="s">
        <v>28</v>
      </c>
      <c r="I351" s="227" t="s">
        <v>59</v>
      </c>
      <c r="J351" s="227" t="s">
        <v>1047</v>
      </c>
      <c r="K351" s="820"/>
      <c r="L351" s="228" t="s">
        <v>1041</v>
      </c>
      <c r="M351" s="229" t="s">
        <v>3461</v>
      </c>
      <c r="N351" s="230" t="s">
        <v>1102</v>
      </c>
      <c r="O351" s="231">
        <v>0.13</v>
      </c>
      <c r="P351" s="232">
        <v>44197</v>
      </c>
      <c r="Q351" s="232">
        <v>44561</v>
      </c>
      <c r="R351" s="231">
        <v>0.05</v>
      </c>
      <c r="S351" s="231">
        <v>0.25</v>
      </c>
      <c r="T351" s="231">
        <v>0.35</v>
      </c>
      <c r="U351" s="231">
        <v>1</v>
      </c>
      <c r="V351" s="233">
        <v>0</v>
      </c>
      <c r="W351" s="234"/>
      <c r="X351" s="234" t="s">
        <v>37</v>
      </c>
      <c r="Y351" s="5" t="str">
        <f t="shared" si="52"/>
        <v>En gestión</v>
      </c>
      <c r="Z351" s="5" t="str">
        <f t="shared" si="53"/>
        <v>Sin iniciar</v>
      </c>
      <c r="AA351" s="842"/>
      <c r="AB351" s="854"/>
      <c r="AC351" s="855"/>
      <c r="AD351" s="827"/>
      <c r="AE351" s="827"/>
      <c r="AF351" s="236"/>
      <c r="AG351" s="828"/>
      <c r="AH351" s="828"/>
      <c r="AI351" s="828"/>
      <c r="AJ351" s="825"/>
      <c r="AK351" s="825"/>
      <c r="AL351" s="828"/>
      <c r="AM351" s="822"/>
      <c r="AN351" s="237"/>
      <c r="AO351" s="822"/>
      <c r="AP351" s="822"/>
      <c r="AQ351" s="236"/>
      <c r="AR351" s="1170">
        <v>0.25</v>
      </c>
      <c r="AS351" s="234" t="s">
        <v>1180</v>
      </c>
      <c r="AT351" s="251" t="s">
        <v>3462</v>
      </c>
      <c r="AU351" s="56" t="str">
        <f t="shared" si="54"/>
        <v>En gestión</v>
      </c>
      <c r="AV351" s="56" t="str">
        <f t="shared" si="55"/>
        <v>En gestión</v>
      </c>
      <c r="AW351" s="842"/>
      <c r="AX351" s="861"/>
      <c r="AY351" s="860"/>
      <c r="AZ351" s="823"/>
      <c r="BA351" s="823"/>
      <c r="BB351" s="236"/>
      <c r="BC351" s="821"/>
      <c r="BD351" s="824"/>
      <c r="BE351" s="824"/>
      <c r="BF351" s="824">
        <v>0</v>
      </c>
      <c r="BG351" s="844"/>
      <c r="BH351" s="844"/>
      <c r="BI351" s="824"/>
      <c r="BJ351" s="822"/>
      <c r="BK351" s="841"/>
      <c r="BL351" s="822"/>
      <c r="BM351" s="822"/>
      <c r="BN351" s="842"/>
      <c r="BO351" s="347">
        <v>0.35</v>
      </c>
      <c r="BP351" s="11" t="s">
        <v>3463</v>
      </c>
      <c r="BQ351" s="11" t="s">
        <v>3464</v>
      </c>
      <c r="BR351" s="5" t="str">
        <f t="shared" si="56"/>
        <v>En gestión</v>
      </c>
      <c r="BS351" s="5" t="str">
        <f t="shared" si="57"/>
        <v>En gestión</v>
      </c>
      <c r="BT351" s="11" t="s">
        <v>3465</v>
      </c>
      <c r="BU351" s="862"/>
      <c r="BV351" s="863"/>
      <c r="BW351" s="827"/>
      <c r="BX351" s="827"/>
      <c r="BY351" s="573"/>
      <c r="BZ351" s="573"/>
      <c r="CA351" s="838"/>
      <c r="CB351" s="838"/>
      <c r="CC351" s="838"/>
      <c r="CD351" s="840"/>
      <c r="CE351" s="835"/>
      <c r="CF351" s="839"/>
      <c r="CG351" s="626"/>
      <c r="CH351" s="626"/>
      <c r="CI351" s="626"/>
      <c r="CJ351" s="837"/>
    </row>
    <row r="352" spans="2:88" ht="171.95" customHeight="1" x14ac:dyDescent="0.25">
      <c r="B352" s="1227"/>
      <c r="C352" s="612"/>
      <c r="D352" s="227" t="s">
        <v>1045</v>
      </c>
      <c r="E352" s="227" t="s">
        <v>160</v>
      </c>
      <c r="F352" s="819"/>
      <c r="G352" s="227" t="s">
        <v>28</v>
      </c>
      <c r="H352" s="227" t="s">
        <v>28</v>
      </c>
      <c r="I352" s="227" t="s">
        <v>59</v>
      </c>
      <c r="J352" s="227" t="s">
        <v>1047</v>
      </c>
      <c r="K352" s="820"/>
      <c r="L352" s="228" t="s">
        <v>1041</v>
      </c>
      <c r="M352" s="229" t="s">
        <v>3466</v>
      </c>
      <c r="N352" s="230" t="s">
        <v>1103</v>
      </c>
      <c r="O352" s="231">
        <v>0.13</v>
      </c>
      <c r="P352" s="232">
        <v>44287</v>
      </c>
      <c r="Q352" s="232">
        <v>44561</v>
      </c>
      <c r="R352" s="231">
        <v>0</v>
      </c>
      <c r="S352" s="231">
        <v>0.1</v>
      </c>
      <c r="T352" s="231">
        <v>0.5</v>
      </c>
      <c r="U352" s="231">
        <v>1</v>
      </c>
      <c r="V352" s="233">
        <v>0</v>
      </c>
      <c r="W352" s="234" t="s">
        <v>37</v>
      </c>
      <c r="X352" s="234" t="s">
        <v>37</v>
      </c>
      <c r="Y352" s="5" t="str">
        <f t="shared" si="52"/>
        <v>Sin iniciar</v>
      </c>
      <c r="Z352" s="5" t="str">
        <f t="shared" si="53"/>
        <v>Sin iniciar</v>
      </c>
      <c r="AA352" s="842"/>
      <c r="AB352" s="854"/>
      <c r="AC352" s="855"/>
      <c r="AD352" s="827"/>
      <c r="AE352" s="827"/>
      <c r="AF352" s="236"/>
      <c r="AG352" s="828"/>
      <c r="AH352" s="828"/>
      <c r="AI352" s="828"/>
      <c r="AJ352" s="825"/>
      <c r="AK352" s="825"/>
      <c r="AL352" s="828"/>
      <c r="AM352" s="822"/>
      <c r="AN352" s="237"/>
      <c r="AO352" s="822"/>
      <c r="AP352" s="822"/>
      <c r="AQ352" s="236"/>
      <c r="AR352" s="1170">
        <v>0.1</v>
      </c>
      <c r="AS352" s="234" t="s">
        <v>1181</v>
      </c>
      <c r="AT352" s="251" t="s">
        <v>3467</v>
      </c>
      <c r="AU352" s="56" t="str">
        <f t="shared" si="54"/>
        <v>En gestión</v>
      </c>
      <c r="AV352" s="56" t="str">
        <f t="shared" si="55"/>
        <v>En gestión</v>
      </c>
      <c r="AW352" s="842"/>
      <c r="AX352" s="861"/>
      <c r="AY352" s="860"/>
      <c r="AZ352" s="823"/>
      <c r="BA352" s="823"/>
      <c r="BB352" s="236"/>
      <c r="BC352" s="821"/>
      <c r="BD352" s="824"/>
      <c r="BE352" s="824"/>
      <c r="BF352" s="824">
        <v>0</v>
      </c>
      <c r="BG352" s="844"/>
      <c r="BH352" s="844"/>
      <c r="BI352" s="824"/>
      <c r="BJ352" s="822"/>
      <c r="BK352" s="841"/>
      <c r="BL352" s="822"/>
      <c r="BM352" s="822"/>
      <c r="BN352" s="842"/>
      <c r="BO352" s="347">
        <v>0.5</v>
      </c>
      <c r="BP352" s="11" t="s">
        <v>3468</v>
      </c>
      <c r="BQ352" s="368" t="s">
        <v>5250</v>
      </c>
      <c r="BR352" s="5" t="str">
        <f t="shared" si="56"/>
        <v>En gestión</v>
      </c>
      <c r="BS352" s="5" t="str">
        <f t="shared" si="57"/>
        <v>En gestión</v>
      </c>
      <c r="BT352" s="11" t="s">
        <v>3469</v>
      </c>
      <c r="BU352" s="862"/>
      <c r="BV352" s="863"/>
      <c r="BW352" s="827"/>
      <c r="BX352" s="827"/>
      <c r="BY352" s="573"/>
      <c r="BZ352" s="573"/>
      <c r="CA352" s="838"/>
      <c r="CB352" s="838"/>
      <c r="CC352" s="838"/>
      <c r="CD352" s="840"/>
      <c r="CE352" s="835"/>
      <c r="CF352" s="839"/>
      <c r="CG352" s="626"/>
      <c r="CH352" s="626"/>
      <c r="CI352" s="626"/>
      <c r="CJ352" s="837"/>
    </row>
    <row r="353" spans="2:88" ht="171.95" customHeight="1" x14ac:dyDescent="0.25">
      <c r="B353" s="1227"/>
      <c r="C353" s="612"/>
      <c r="D353" s="227" t="s">
        <v>1045</v>
      </c>
      <c r="E353" s="227" t="s">
        <v>160</v>
      </c>
      <c r="F353" s="819"/>
      <c r="G353" s="227" t="s">
        <v>28</v>
      </c>
      <c r="H353" s="227" t="s">
        <v>28</v>
      </c>
      <c r="I353" s="227" t="s">
        <v>59</v>
      </c>
      <c r="J353" s="227" t="s">
        <v>1047</v>
      </c>
      <c r="K353" s="820"/>
      <c r="L353" s="228" t="s">
        <v>1041</v>
      </c>
      <c r="M353" s="229" t="s">
        <v>3470</v>
      </c>
      <c r="N353" s="230" t="s">
        <v>1104</v>
      </c>
      <c r="O353" s="231">
        <v>0.12</v>
      </c>
      <c r="P353" s="232">
        <v>44287</v>
      </c>
      <c r="Q353" s="232">
        <v>44561</v>
      </c>
      <c r="R353" s="231">
        <v>0</v>
      </c>
      <c r="S353" s="231">
        <v>0.1</v>
      </c>
      <c r="T353" s="231">
        <v>0.5</v>
      </c>
      <c r="U353" s="231">
        <v>1</v>
      </c>
      <c r="V353" s="233">
        <v>0</v>
      </c>
      <c r="W353" s="234" t="s">
        <v>37</v>
      </c>
      <c r="X353" s="234" t="s">
        <v>37</v>
      </c>
      <c r="Y353" s="5" t="str">
        <f t="shared" si="52"/>
        <v>Sin iniciar</v>
      </c>
      <c r="Z353" s="5" t="str">
        <f t="shared" si="53"/>
        <v>Sin iniciar</v>
      </c>
      <c r="AA353" s="842"/>
      <c r="AB353" s="854"/>
      <c r="AC353" s="855"/>
      <c r="AD353" s="827"/>
      <c r="AE353" s="827"/>
      <c r="AF353" s="236"/>
      <c r="AG353" s="828"/>
      <c r="AH353" s="828"/>
      <c r="AI353" s="828"/>
      <c r="AJ353" s="825"/>
      <c r="AK353" s="825"/>
      <c r="AL353" s="828"/>
      <c r="AM353" s="822"/>
      <c r="AN353" s="237"/>
      <c r="AO353" s="822"/>
      <c r="AP353" s="822"/>
      <c r="AQ353" s="236"/>
      <c r="AR353" s="1170">
        <v>0.1</v>
      </c>
      <c r="AS353" s="234" t="s">
        <v>1182</v>
      </c>
      <c r="AT353" s="251" t="s">
        <v>3471</v>
      </c>
      <c r="AU353" s="56" t="str">
        <f t="shared" si="54"/>
        <v>En gestión</v>
      </c>
      <c r="AV353" s="56" t="str">
        <f t="shared" si="55"/>
        <v>En gestión</v>
      </c>
      <c r="AW353" s="842"/>
      <c r="AX353" s="861"/>
      <c r="AY353" s="860"/>
      <c r="AZ353" s="823"/>
      <c r="BA353" s="823"/>
      <c r="BB353" s="236"/>
      <c r="BC353" s="821"/>
      <c r="BD353" s="824"/>
      <c r="BE353" s="824"/>
      <c r="BF353" s="824">
        <v>0</v>
      </c>
      <c r="BG353" s="844"/>
      <c r="BH353" s="844"/>
      <c r="BI353" s="824"/>
      <c r="BJ353" s="822"/>
      <c r="BK353" s="841"/>
      <c r="BL353" s="822"/>
      <c r="BM353" s="822"/>
      <c r="BN353" s="842"/>
      <c r="BO353" s="347">
        <v>0.5</v>
      </c>
      <c r="BP353" s="11" t="s">
        <v>3452</v>
      </c>
      <c r="BQ353" s="11" t="s">
        <v>3472</v>
      </c>
      <c r="BR353" s="5" t="str">
        <f t="shared" si="56"/>
        <v>En gestión</v>
      </c>
      <c r="BS353" s="5" t="str">
        <f t="shared" si="57"/>
        <v>En gestión</v>
      </c>
      <c r="BT353" s="11" t="s">
        <v>3473</v>
      </c>
      <c r="BU353" s="862"/>
      <c r="BV353" s="863"/>
      <c r="BW353" s="827"/>
      <c r="BX353" s="827"/>
      <c r="BY353" s="573"/>
      <c r="BZ353" s="573"/>
      <c r="CA353" s="838"/>
      <c r="CB353" s="838"/>
      <c r="CC353" s="838"/>
      <c r="CD353" s="840"/>
      <c r="CE353" s="835"/>
      <c r="CF353" s="839"/>
      <c r="CG353" s="626"/>
      <c r="CH353" s="626"/>
      <c r="CI353" s="626"/>
      <c r="CJ353" s="837"/>
    </row>
    <row r="354" spans="2:88" ht="171.95" customHeight="1" x14ac:dyDescent="0.25">
      <c r="B354" s="1227"/>
      <c r="C354" s="612"/>
      <c r="D354" s="227" t="s">
        <v>1045</v>
      </c>
      <c r="E354" s="227" t="s">
        <v>160</v>
      </c>
      <c r="F354" s="819"/>
      <c r="G354" s="227" t="s">
        <v>28</v>
      </c>
      <c r="H354" s="227" t="s">
        <v>28</v>
      </c>
      <c r="I354" s="227" t="s">
        <v>59</v>
      </c>
      <c r="J354" s="227" t="s">
        <v>1047</v>
      </c>
      <c r="K354" s="820"/>
      <c r="L354" s="228" t="s">
        <v>1041</v>
      </c>
      <c r="M354" s="229" t="s">
        <v>3474</v>
      </c>
      <c r="N354" s="230" t="s">
        <v>1105</v>
      </c>
      <c r="O354" s="231">
        <v>0.12</v>
      </c>
      <c r="P354" s="232">
        <v>44287</v>
      </c>
      <c r="Q354" s="232">
        <v>44561</v>
      </c>
      <c r="R354" s="231">
        <v>0</v>
      </c>
      <c r="S354" s="231">
        <v>0.2</v>
      </c>
      <c r="T354" s="231">
        <v>0.75</v>
      </c>
      <c r="U354" s="231">
        <v>1</v>
      </c>
      <c r="V354" s="233">
        <v>0</v>
      </c>
      <c r="W354" s="234" t="s">
        <v>37</v>
      </c>
      <c r="X354" s="234" t="s">
        <v>37</v>
      </c>
      <c r="Y354" s="5" t="str">
        <f t="shared" si="52"/>
        <v>Sin iniciar</v>
      </c>
      <c r="Z354" s="5" t="str">
        <f t="shared" si="53"/>
        <v>Sin iniciar</v>
      </c>
      <c r="AA354" s="842"/>
      <c r="AB354" s="854"/>
      <c r="AC354" s="855"/>
      <c r="AD354" s="827"/>
      <c r="AE354" s="827"/>
      <c r="AF354" s="236"/>
      <c r="AG354" s="828"/>
      <c r="AH354" s="828"/>
      <c r="AI354" s="828"/>
      <c r="AJ354" s="825"/>
      <c r="AK354" s="825"/>
      <c r="AL354" s="828"/>
      <c r="AM354" s="822"/>
      <c r="AN354" s="237"/>
      <c r="AO354" s="822"/>
      <c r="AP354" s="822"/>
      <c r="AQ354" s="236"/>
      <c r="AR354" s="1170">
        <v>0.2</v>
      </c>
      <c r="AS354" s="234" t="s">
        <v>1183</v>
      </c>
      <c r="AT354" s="251" t="s">
        <v>3475</v>
      </c>
      <c r="AU354" s="56" t="str">
        <f t="shared" si="54"/>
        <v>En gestión</v>
      </c>
      <c r="AV354" s="56" t="str">
        <f t="shared" si="55"/>
        <v>En gestión</v>
      </c>
      <c r="AW354" s="842"/>
      <c r="AX354" s="861"/>
      <c r="AY354" s="860"/>
      <c r="AZ354" s="823"/>
      <c r="BA354" s="823"/>
      <c r="BB354" s="236"/>
      <c r="BC354" s="821"/>
      <c r="BD354" s="824"/>
      <c r="BE354" s="824"/>
      <c r="BF354" s="824">
        <v>0</v>
      </c>
      <c r="BG354" s="844"/>
      <c r="BH354" s="844"/>
      <c r="BI354" s="824"/>
      <c r="BJ354" s="822"/>
      <c r="BK354" s="841"/>
      <c r="BL354" s="822"/>
      <c r="BM354" s="822"/>
      <c r="BN354" s="842"/>
      <c r="BO354" s="347">
        <v>0.75</v>
      </c>
      <c r="BP354" s="11" t="s">
        <v>3476</v>
      </c>
      <c r="BQ354" s="11" t="s">
        <v>3477</v>
      </c>
      <c r="BR354" s="5" t="str">
        <f t="shared" si="56"/>
        <v>En gestión</v>
      </c>
      <c r="BS354" s="5" t="str">
        <f t="shared" si="57"/>
        <v>En gestión</v>
      </c>
      <c r="BT354" s="11" t="s">
        <v>3478</v>
      </c>
      <c r="BU354" s="862"/>
      <c r="BV354" s="863"/>
      <c r="BW354" s="827"/>
      <c r="BX354" s="827"/>
      <c r="BY354" s="573"/>
      <c r="BZ354" s="573"/>
      <c r="CA354" s="838"/>
      <c r="CB354" s="838"/>
      <c r="CC354" s="838"/>
      <c r="CD354" s="840"/>
      <c r="CE354" s="835"/>
      <c r="CF354" s="839"/>
      <c r="CG354" s="626"/>
      <c r="CH354" s="626"/>
      <c r="CI354" s="626"/>
      <c r="CJ354" s="837"/>
    </row>
    <row r="355" spans="2:88" ht="171.95" customHeight="1" x14ac:dyDescent="0.25">
      <c r="B355" s="1227"/>
      <c r="C355" s="612"/>
      <c r="D355" s="227" t="s">
        <v>1045</v>
      </c>
      <c r="E355" s="227" t="s">
        <v>160</v>
      </c>
      <c r="F355" s="819"/>
      <c r="G355" s="227" t="s">
        <v>28</v>
      </c>
      <c r="H355" s="227" t="s">
        <v>28</v>
      </c>
      <c r="I355" s="227" t="s">
        <v>59</v>
      </c>
      <c r="J355" s="227" t="s">
        <v>1047</v>
      </c>
      <c r="K355" s="820"/>
      <c r="L355" s="228" t="s">
        <v>1041</v>
      </c>
      <c r="M355" s="229" t="s">
        <v>3479</v>
      </c>
      <c r="N355" s="230" t="s">
        <v>1106</v>
      </c>
      <c r="O355" s="231">
        <v>0.12</v>
      </c>
      <c r="P355" s="232">
        <v>44287</v>
      </c>
      <c r="Q355" s="232">
        <v>44561</v>
      </c>
      <c r="R355" s="231">
        <v>0</v>
      </c>
      <c r="S355" s="231">
        <v>0.25</v>
      </c>
      <c r="T355" s="231">
        <v>0.75</v>
      </c>
      <c r="U355" s="231">
        <v>1</v>
      </c>
      <c r="V355" s="233">
        <v>0</v>
      </c>
      <c r="W355" s="234" t="s">
        <v>37</v>
      </c>
      <c r="X355" s="234" t="s">
        <v>37</v>
      </c>
      <c r="Y355" s="5" t="str">
        <f t="shared" si="52"/>
        <v>Sin iniciar</v>
      </c>
      <c r="Z355" s="5" t="str">
        <f t="shared" si="53"/>
        <v>Sin iniciar</v>
      </c>
      <c r="AA355" s="842"/>
      <c r="AB355" s="854"/>
      <c r="AC355" s="855"/>
      <c r="AD355" s="827"/>
      <c r="AE355" s="827"/>
      <c r="AF355" s="236"/>
      <c r="AG355" s="828"/>
      <c r="AH355" s="828"/>
      <c r="AI355" s="828"/>
      <c r="AJ355" s="825"/>
      <c r="AK355" s="825"/>
      <c r="AL355" s="828"/>
      <c r="AM355" s="822"/>
      <c r="AN355" s="237"/>
      <c r="AO355" s="822"/>
      <c r="AP355" s="822"/>
      <c r="AQ355" s="236"/>
      <c r="AR355" s="1170">
        <v>0.25</v>
      </c>
      <c r="AS355" s="234" t="s">
        <v>1184</v>
      </c>
      <c r="AT355" s="251" t="s">
        <v>3480</v>
      </c>
      <c r="AU355" s="56" t="str">
        <f t="shared" si="54"/>
        <v>En gestión</v>
      </c>
      <c r="AV355" s="56" t="str">
        <f t="shared" si="55"/>
        <v>En gestión</v>
      </c>
      <c r="AW355" s="842"/>
      <c r="AX355" s="861"/>
      <c r="AY355" s="860"/>
      <c r="AZ355" s="823"/>
      <c r="BA355" s="823"/>
      <c r="BB355" s="236"/>
      <c r="BC355" s="821"/>
      <c r="BD355" s="824"/>
      <c r="BE355" s="824"/>
      <c r="BF355" s="824">
        <v>0</v>
      </c>
      <c r="BG355" s="844"/>
      <c r="BH355" s="844"/>
      <c r="BI355" s="824"/>
      <c r="BJ355" s="822"/>
      <c r="BK355" s="841"/>
      <c r="BL355" s="822"/>
      <c r="BM355" s="822"/>
      <c r="BN355" s="842"/>
      <c r="BO355" s="347">
        <v>0.75</v>
      </c>
      <c r="BP355" s="11" t="s">
        <v>3481</v>
      </c>
      <c r="BQ355" s="11" t="s">
        <v>3482</v>
      </c>
      <c r="BR355" s="5" t="str">
        <f t="shared" si="56"/>
        <v>En gestión</v>
      </c>
      <c r="BS355" s="5" t="str">
        <f t="shared" si="57"/>
        <v>En gestión</v>
      </c>
      <c r="BT355" s="11" t="s">
        <v>3483</v>
      </c>
      <c r="BU355" s="862"/>
      <c r="BV355" s="863"/>
      <c r="BW355" s="827"/>
      <c r="BX355" s="827"/>
      <c r="BY355" s="573"/>
      <c r="BZ355" s="573"/>
      <c r="CA355" s="838"/>
      <c r="CB355" s="838"/>
      <c r="CC355" s="838"/>
      <c r="CD355" s="840"/>
      <c r="CE355" s="835"/>
      <c r="CF355" s="839"/>
      <c r="CG355" s="626"/>
      <c r="CH355" s="626"/>
      <c r="CI355" s="626"/>
      <c r="CJ355" s="837"/>
    </row>
    <row r="356" spans="2:88" ht="171.95" customHeight="1" x14ac:dyDescent="0.25">
      <c r="B356" s="1227"/>
      <c r="C356" s="612"/>
      <c r="D356" s="227" t="s">
        <v>1045</v>
      </c>
      <c r="E356" s="227" t="s">
        <v>160</v>
      </c>
      <c r="F356" s="819"/>
      <c r="G356" s="227" t="s">
        <v>28</v>
      </c>
      <c r="H356" s="227" t="s">
        <v>28</v>
      </c>
      <c r="I356" s="227" t="s">
        <v>59</v>
      </c>
      <c r="J356" s="227" t="s">
        <v>1047</v>
      </c>
      <c r="K356" s="820"/>
      <c r="L356" s="228" t="s">
        <v>1041</v>
      </c>
      <c r="M356" s="229" t="s">
        <v>3484</v>
      </c>
      <c r="N356" s="230" t="s">
        <v>1107</v>
      </c>
      <c r="O356" s="231">
        <v>0.12</v>
      </c>
      <c r="P356" s="232">
        <v>44197</v>
      </c>
      <c r="Q356" s="232">
        <v>44561</v>
      </c>
      <c r="R356" s="231">
        <v>0.05</v>
      </c>
      <c r="S356" s="231">
        <v>0.25</v>
      </c>
      <c r="T356" s="231">
        <v>0.35</v>
      </c>
      <c r="U356" s="231">
        <v>1</v>
      </c>
      <c r="V356" s="233">
        <v>0.05</v>
      </c>
      <c r="W356" s="234" t="s">
        <v>1101</v>
      </c>
      <c r="X356" s="235" t="s">
        <v>3456</v>
      </c>
      <c r="Y356" s="5" t="str">
        <f t="shared" si="52"/>
        <v>En gestión</v>
      </c>
      <c r="Z356" s="5" t="str">
        <f t="shared" si="53"/>
        <v>En gestión</v>
      </c>
      <c r="AA356" s="842"/>
      <c r="AB356" s="854"/>
      <c r="AC356" s="855"/>
      <c r="AD356" s="827"/>
      <c r="AE356" s="827"/>
      <c r="AF356" s="236"/>
      <c r="AG356" s="828"/>
      <c r="AH356" s="828"/>
      <c r="AI356" s="828"/>
      <c r="AJ356" s="825"/>
      <c r="AK356" s="825"/>
      <c r="AL356" s="828"/>
      <c r="AM356" s="822"/>
      <c r="AN356" s="237">
        <v>2017011000343</v>
      </c>
      <c r="AO356" s="822"/>
      <c r="AP356" s="822"/>
      <c r="AQ356" s="236"/>
      <c r="AR356" s="1170">
        <v>0.25</v>
      </c>
      <c r="AS356" s="234" t="s">
        <v>1185</v>
      </c>
      <c r="AT356" s="251" t="s">
        <v>3485</v>
      </c>
      <c r="AU356" s="56" t="str">
        <f t="shared" si="54"/>
        <v>En gestión</v>
      </c>
      <c r="AV356" s="56" t="str">
        <f t="shared" si="55"/>
        <v>En gestión</v>
      </c>
      <c r="AW356" s="842"/>
      <c r="AX356" s="861"/>
      <c r="AY356" s="860"/>
      <c r="AZ356" s="823"/>
      <c r="BA356" s="823"/>
      <c r="BB356" s="236"/>
      <c r="BC356" s="821"/>
      <c r="BD356" s="824"/>
      <c r="BE356" s="824"/>
      <c r="BF356" s="824">
        <v>0</v>
      </c>
      <c r="BG356" s="844"/>
      <c r="BH356" s="844"/>
      <c r="BI356" s="824"/>
      <c r="BJ356" s="822"/>
      <c r="BK356" s="841"/>
      <c r="BL356" s="822"/>
      <c r="BM356" s="822"/>
      <c r="BN356" s="842"/>
      <c r="BO356" s="347">
        <v>0.35</v>
      </c>
      <c r="BP356" s="11" t="s">
        <v>3486</v>
      </c>
      <c r="BQ356" s="372" t="s">
        <v>3487</v>
      </c>
      <c r="BR356" s="5" t="str">
        <f t="shared" si="56"/>
        <v>En gestión</v>
      </c>
      <c r="BS356" s="5" t="str">
        <f t="shared" si="57"/>
        <v>En gestión</v>
      </c>
      <c r="BT356" s="11" t="s">
        <v>3488</v>
      </c>
      <c r="BU356" s="862"/>
      <c r="BV356" s="863"/>
      <c r="BW356" s="827"/>
      <c r="BX356" s="827"/>
      <c r="BY356" s="573"/>
      <c r="BZ356" s="573"/>
      <c r="CA356" s="838"/>
      <c r="CB356" s="838"/>
      <c r="CC356" s="838"/>
      <c r="CD356" s="840"/>
      <c r="CE356" s="835"/>
      <c r="CF356" s="839"/>
      <c r="CG356" s="626"/>
      <c r="CH356" s="626"/>
      <c r="CI356" s="626"/>
      <c r="CJ356" s="837"/>
    </row>
    <row r="357" spans="2:88" ht="171.95" customHeight="1" x14ac:dyDescent="0.25">
      <c r="B357" s="1227"/>
      <c r="C357" s="240" t="s">
        <v>1108</v>
      </c>
      <c r="D357" s="238" t="s">
        <v>1045</v>
      </c>
      <c r="E357" s="238" t="s">
        <v>160</v>
      </c>
      <c r="F357" s="238" t="s">
        <v>1046</v>
      </c>
      <c r="G357" s="238" t="s">
        <v>28</v>
      </c>
      <c r="H357" s="238" t="s">
        <v>28</v>
      </c>
      <c r="I357" s="238" t="s">
        <v>1065</v>
      </c>
      <c r="J357" s="259" t="s">
        <v>1047</v>
      </c>
      <c r="K357" s="260" t="s">
        <v>1109</v>
      </c>
      <c r="L357" s="239" t="s">
        <v>1110</v>
      </c>
      <c r="M357" s="261" t="s">
        <v>3489</v>
      </c>
      <c r="N357" s="261" t="s">
        <v>1111</v>
      </c>
      <c r="O357" s="242">
        <v>1</v>
      </c>
      <c r="P357" s="243">
        <v>44198</v>
      </c>
      <c r="Q357" s="243">
        <v>44377</v>
      </c>
      <c r="R357" s="242">
        <v>0.4</v>
      </c>
      <c r="S357" s="242">
        <v>1</v>
      </c>
      <c r="T357" s="242">
        <v>1</v>
      </c>
      <c r="U357" s="242">
        <v>1</v>
      </c>
      <c r="V357" s="233">
        <v>0.4</v>
      </c>
      <c r="W357" s="244" t="s">
        <v>1112</v>
      </c>
      <c r="X357" s="252" t="s">
        <v>3490</v>
      </c>
      <c r="Y357" s="19" t="str">
        <f t="shared" si="52"/>
        <v>En gestión</v>
      </c>
      <c r="Z357" s="19" t="str">
        <f t="shared" si="53"/>
        <v>En gestión</v>
      </c>
      <c r="AA357" s="244" t="s">
        <v>1157</v>
      </c>
      <c r="AB357" s="262">
        <f>O357*V357</f>
        <v>0.4</v>
      </c>
      <c r="AC357" s="263">
        <f>O357*R357</f>
        <v>0.4</v>
      </c>
      <c r="AD357" s="22" t="str">
        <f>IF(AC357&lt;1%,"Sin iniciar",IF(AC357=100%,"Terminado","En gestión"))</f>
        <v>En gestión</v>
      </c>
      <c r="AE357" s="22" t="str">
        <f>IF(AB357&lt;1%,"Sin iniciar",IF(AB357=100%,"Terminado","En gestión"))</f>
        <v>En gestión</v>
      </c>
      <c r="AF357" s="246"/>
      <c r="AG357" s="264">
        <v>155641922</v>
      </c>
      <c r="AH357" s="264">
        <v>155641922</v>
      </c>
      <c r="AI357" s="264">
        <v>62256768.799999997</v>
      </c>
      <c r="AJ357" s="265">
        <v>183009000</v>
      </c>
      <c r="AK357" s="265">
        <v>183009000</v>
      </c>
      <c r="AL357" s="264">
        <v>14640720</v>
      </c>
      <c r="AM357" s="244" t="s">
        <v>2609</v>
      </c>
      <c r="AN357" s="247">
        <v>2017011000343</v>
      </c>
      <c r="AO357" s="244" t="s">
        <v>2610</v>
      </c>
      <c r="AP357" s="244" t="s">
        <v>2611</v>
      </c>
      <c r="AQ357" s="246"/>
      <c r="AR357" s="1170">
        <v>1</v>
      </c>
      <c r="AS357" s="248" t="s">
        <v>1186</v>
      </c>
      <c r="AT357" s="266" t="s">
        <v>3491</v>
      </c>
      <c r="AU357" s="66" t="str">
        <f t="shared" si="54"/>
        <v>Terminado</v>
      </c>
      <c r="AV357" s="66" t="str">
        <f t="shared" si="55"/>
        <v>Terminado</v>
      </c>
      <c r="AW357" s="267" t="s">
        <v>1199</v>
      </c>
      <c r="AX357" s="30">
        <f>O357*AR357</f>
        <v>1</v>
      </c>
      <c r="AY357" s="31">
        <f>S357*O357</f>
        <v>1</v>
      </c>
      <c r="AZ357" s="268" t="str">
        <f>IF(AY357&lt;1%,"Sin iniciar",IF(AY357=100%,"Terminado","En gestión"))</f>
        <v>Terminado</v>
      </c>
      <c r="BA357" s="268" t="str">
        <f>IF(AX357&lt;1%,"Sin iniciar",IF(AX357=100%,"Terminado","En gestión"))</f>
        <v>Terminado</v>
      </c>
      <c r="BB357" s="246"/>
      <c r="BC357" s="246" t="s">
        <v>1555</v>
      </c>
      <c r="BD357" s="269">
        <v>155641922</v>
      </c>
      <c r="BE357" s="269">
        <v>155641922</v>
      </c>
      <c r="BF357" s="269">
        <v>77820961</v>
      </c>
      <c r="BG357" s="270">
        <v>183009000</v>
      </c>
      <c r="BH357" s="270">
        <v>183009000</v>
      </c>
      <c r="BI357" s="269">
        <v>77220718.5</v>
      </c>
      <c r="BJ357" s="271" t="s">
        <v>2617</v>
      </c>
      <c r="BK357" s="272">
        <v>2017011000343</v>
      </c>
      <c r="BL357" s="244" t="s">
        <v>2627</v>
      </c>
      <c r="BM357" s="244" t="s">
        <v>2542</v>
      </c>
      <c r="BN357" s="244" t="s">
        <v>2543</v>
      </c>
      <c r="BO357" s="347">
        <v>1</v>
      </c>
      <c r="BP357" s="273" t="s">
        <v>3492</v>
      </c>
      <c r="BQ357" s="25" t="s">
        <v>2792</v>
      </c>
      <c r="BR357" s="19" t="str">
        <f t="shared" si="56"/>
        <v>Terminado</v>
      </c>
      <c r="BS357" s="19" t="str">
        <f t="shared" si="57"/>
        <v>Terminado</v>
      </c>
      <c r="BT357" s="25" t="s">
        <v>2792</v>
      </c>
      <c r="BU357" s="359">
        <f>O357*BO357</f>
        <v>1</v>
      </c>
      <c r="BV357" s="362">
        <f>O357*T357</f>
        <v>1</v>
      </c>
      <c r="BW357" s="22" t="str">
        <f>IF(BV357&lt;1%,"Sin iniciar",IF(BV357=100%,"Terminado","En gestión"))</f>
        <v>Terminado</v>
      </c>
      <c r="BX357" s="22" t="str">
        <f>IF(BU357&lt;1%,"Sin iniciar",IF(BU357=100%,"Terminado","En gestión"))</f>
        <v>Terminado</v>
      </c>
      <c r="BY357" s="25" t="s">
        <v>37</v>
      </c>
      <c r="BZ357" s="25" t="s">
        <v>1555</v>
      </c>
      <c r="CA357" s="274">
        <v>155641922</v>
      </c>
      <c r="CB357" s="274">
        <v>155641922</v>
      </c>
      <c r="CC357" s="274">
        <f>CB357*75%</f>
        <v>116731441.5</v>
      </c>
      <c r="CD357" s="275">
        <f t="shared" ref="CD357:CE359" si="58">BG357</f>
        <v>183009000</v>
      </c>
      <c r="CE357" s="276">
        <f t="shared" si="58"/>
        <v>183009000</v>
      </c>
      <c r="CF357" s="277">
        <v>111983773</v>
      </c>
      <c r="CG357" s="278" t="s">
        <v>2617</v>
      </c>
      <c r="CH357" s="77" t="s">
        <v>2627</v>
      </c>
      <c r="CI357" s="77" t="s">
        <v>2542</v>
      </c>
      <c r="CJ357" s="279" t="s">
        <v>2543</v>
      </c>
    </row>
    <row r="358" spans="2:88" ht="171.95" customHeight="1" x14ac:dyDescent="0.25">
      <c r="B358" s="1227"/>
      <c r="C358" s="229" t="s">
        <v>1113</v>
      </c>
      <c r="D358" s="227" t="s">
        <v>1045</v>
      </c>
      <c r="E358" s="227" t="s">
        <v>160</v>
      </c>
      <c r="F358" s="227" t="s">
        <v>1114</v>
      </c>
      <c r="G358" s="227" t="s">
        <v>28</v>
      </c>
      <c r="H358" s="227" t="s">
        <v>28</v>
      </c>
      <c r="I358" s="280" t="s">
        <v>59</v>
      </c>
      <c r="J358" s="280" t="s">
        <v>1047</v>
      </c>
      <c r="K358" s="281" t="s">
        <v>1115</v>
      </c>
      <c r="L358" s="228" t="s">
        <v>1110</v>
      </c>
      <c r="M358" s="229" t="s">
        <v>3493</v>
      </c>
      <c r="N358" s="254" t="s">
        <v>1116</v>
      </c>
      <c r="O358" s="231">
        <v>1</v>
      </c>
      <c r="P358" s="232">
        <v>44198</v>
      </c>
      <c r="Q358" s="232">
        <v>44255</v>
      </c>
      <c r="R358" s="231">
        <v>1</v>
      </c>
      <c r="S358" s="231">
        <v>1</v>
      </c>
      <c r="T358" s="231">
        <v>1</v>
      </c>
      <c r="U358" s="231">
        <v>1</v>
      </c>
      <c r="V358" s="233">
        <v>1</v>
      </c>
      <c r="W358" s="234" t="s">
        <v>1117</v>
      </c>
      <c r="X358" s="251" t="s">
        <v>3494</v>
      </c>
      <c r="Y358" s="5" t="str">
        <f t="shared" si="52"/>
        <v>Terminado</v>
      </c>
      <c r="Z358" s="5" t="str">
        <f t="shared" si="53"/>
        <v>Terminado</v>
      </c>
      <c r="AA358" s="234" t="s">
        <v>3778</v>
      </c>
      <c r="AB358" s="262">
        <f>O358*V358</f>
        <v>1</v>
      </c>
      <c r="AC358" s="263">
        <f>O358*R358</f>
        <v>1</v>
      </c>
      <c r="AD358" s="9" t="str">
        <f>IF(AC358&lt;1%,"Sin iniciar",IF(AC358=100%,"Terminado","En gestión"))</f>
        <v>Terminado</v>
      </c>
      <c r="AE358" s="9" t="str">
        <f>IF(AB358&lt;1%,"Sin iniciar",IF(AB358=100%,"Terminado","En gestión"))</f>
        <v>Terminado</v>
      </c>
      <c r="AF358" s="236"/>
      <c r="AG358" s="282">
        <v>55723139</v>
      </c>
      <c r="AH358" s="282">
        <v>55723139</v>
      </c>
      <c r="AI358" s="282">
        <v>55723139</v>
      </c>
      <c r="AJ358" s="283">
        <v>153241618</v>
      </c>
      <c r="AK358" s="283">
        <v>12259329.439999999</v>
      </c>
      <c r="AL358" s="282">
        <v>12259329.439999999</v>
      </c>
      <c r="AM358" s="234" t="s">
        <v>2609</v>
      </c>
      <c r="AN358" s="237">
        <v>2017011000343</v>
      </c>
      <c r="AO358" s="234" t="s">
        <v>2484</v>
      </c>
      <c r="AP358" s="234" t="s">
        <v>2612</v>
      </c>
      <c r="AQ358" s="236"/>
      <c r="AR358" s="1170">
        <v>1</v>
      </c>
      <c r="AS358" s="255" t="s">
        <v>2434</v>
      </c>
      <c r="AT358" s="284" t="s">
        <v>1187</v>
      </c>
      <c r="AU358" s="56" t="str">
        <f t="shared" si="54"/>
        <v>Terminado</v>
      </c>
      <c r="AV358" s="56" t="str">
        <f t="shared" si="55"/>
        <v>Terminado</v>
      </c>
      <c r="AW358" s="255" t="s">
        <v>1187</v>
      </c>
      <c r="AX358" s="30">
        <f>O358*AR358</f>
        <v>1</v>
      </c>
      <c r="AY358" s="31">
        <f>S358*O358</f>
        <v>1</v>
      </c>
      <c r="AZ358" s="285" t="str">
        <f>IF(AY358&lt;1%,"Sin iniciar",IF(AY358=100%,"Terminado","En gestión"))</f>
        <v>Terminado</v>
      </c>
      <c r="BA358" s="285" t="str">
        <f>IF(AX358&lt;1%,"Sin iniciar",IF(AX358=100%,"Terminado","En gestión"))</f>
        <v>Terminado</v>
      </c>
      <c r="BB358" s="236"/>
      <c r="BC358" s="236" t="s">
        <v>1555</v>
      </c>
      <c r="BD358" s="286">
        <v>55723139</v>
      </c>
      <c r="BE358" s="286">
        <v>55723139</v>
      </c>
      <c r="BF358" s="286">
        <v>27861569.5</v>
      </c>
      <c r="BG358" s="287">
        <v>153241618</v>
      </c>
      <c r="BH358" s="287">
        <v>12259329.439999999</v>
      </c>
      <c r="BI358" s="286">
        <v>47367645.600000001</v>
      </c>
      <c r="BJ358" s="288" t="s">
        <v>2617</v>
      </c>
      <c r="BK358" s="289">
        <v>2017011000343</v>
      </c>
      <c r="BL358" s="234" t="s">
        <v>2549</v>
      </c>
      <c r="BM358" s="234" t="s">
        <v>2628</v>
      </c>
      <c r="BN358" s="234" t="s">
        <v>2551</v>
      </c>
      <c r="BO358" s="347">
        <v>1</v>
      </c>
      <c r="BP358" s="12" t="s">
        <v>3386</v>
      </c>
      <c r="BQ358" s="12" t="s">
        <v>28</v>
      </c>
      <c r="BR358" s="5" t="str">
        <f t="shared" si="56"/>
        <v>Terminado</v>
      </c>
      <c r="BS358" s="5" t="str">
        <f t="shared" si="57"/>
        <v>Terminado</v>
      </c>
      <c r="BT358" s="12" t="s">
        <v>28</v>
      </c>
      <c r="BU358" s="359">
        <f>O358*BO358</f>
        <v>1</v>
      </c>
      <c r="BV358" s="362">
        <f>O358*T358</f>
        <v>1</v>
      </c>
      <c r="BW358" s="9" t="str">
        <f>IF(BV358&lt;1%,"Sin iniciar",IF(BV358=100%,"Terminado","En gestión"))</f>
        <v>Terminado</v>
      </c>
      <c r="BX358" s="9" t="str">
        <f>IF(BU358&lt;1%,"Sin iniciar",IF(BU358=100%,"Terminado","En gestión"))</f>
        <v>Terminado</v>
      </c>
      <c r="BY358" s="12" t="s">
        <v>37</v>
      </c>
      <c r="BZ358" s="12" t="s">
        <v>1555</v>
      </c>
      <c r="CA358" s="290">
        <v>55723139</v>
      </c>
      <c r="CB358" s="290">
        <v>55723139</v>
      </c>
      <c r="CC358" s="290">
        <f>CB358*75%</f>
        <v>41792354.25</v>
      </c>
      <c r="CD358" s="291">
        <f t="shared" si="58"/>
        <v>153241618</v>
      </c>
      <c r="CE358" s="292">
        <f t="shared" si="58"/>
        <v>12259329.439999999</v>
      </c>
      <c r="CF358" s="292">
        <v>12259329</v>
      </c>
      <c r="CG358" s="293" t="s">
        <v>2617</v>
      </c>
      <c r="CH358" s="86" t="s">
        <v>2549</v>
      </c>
      <c r="CI358" s="86" t="s">
        <v>2628</v>
      </c>
      <c r="CJ358" s="294" t="s">
        <v>2551</v>
      </c>
    </row>
    <row r="359" spans="2:88" ht="171.95" customHeight="1" x14ac:dyDescent="0.25">
      <c r="B359" s="1227"/>
      <c r="C359" s="831" t="s">
        <v>1118</v>
      </c>
      <c r="D359" s="238" t="s">
        <v>686</v>
      </c>
      <c r="E359" s="238" t="s">
        <v>160</v>
      </c>
      <c r="F359" s="986" t="s">
        <v>1052</v>
      </c>
      <c r="G359" s="238" t="s">
        <v>28</v>
      </c>
      <c r="H359" s="238" t="s">
        <v>28</v>
      </c>
      <c r="I359" s="238" t="s">
        <v>59</v>
      </c>
      <c r="J359" s="238" t="s">
        <v>1047</v>
      </c>
      <c r="K359" s="833" t="s">
        <v>1119</v>
      </c>
      <c r="L359" s="239" t="s">
        <v>752</v>
      </c>
      <c r="M359" s="240" t="s">
        <v>3495</v>
      </c>
      <c r="N359" s="261" t="s">
        <v>1120</v>
      </c>
      <c r="O359" s="242">
        <v>0.2</v>
      </c>
      <c r="P359" s="243">
        <v>44197</v>
      </c>
      <c r="Q359" s="243">
        <v>44561</v>
      </c>
      <c r="R359" s="242">
        <v>0.05</v>
      </c>
      <c r="S359" s="242">
        <v>0.3</v>
      </c>
      <c r="T359" s="242">
        <v>0.65</v>
      </c>
      <c r="U359" s="242">
        <v>1</v>
      </c>
      <c r="V359" s="233">
        <v>0.05</v>
      </c>
      <c r="W359" s="244" t="s">
        <v>1121</v>
      </c>
      <c r="X359" s="252" t="s">
        <v>3496</v>
      </c>
      <c r="Y359" s="19" t="str">
        <f t="shared" si="52"/>
        <v>En gestión</v>
      </c>
      <c r="Z359" s="19" t="str">
        <f t="shared" si="53"/>
        <v>En gestión</v>
      </c>
      <c r="AA359" s="834" t="s">
        <v>1158</v>
      </c>
      <c r="AB359" s="854">
        <f>SUMPRODUCT(O359:O363,V359:V363)</f>
        <v>5.000000000000001E-2</v>
      </c>
      <c r="AC359" s="855">
        <f>SUMPRODUCT(O359:O363,R359:R363)</f>
        <v>5.000000000000001E-2</v>
      </c>
      <c r="AD359" s="846" t="str">
        <f>IF(AC359&lt;1%,"Sin iniciar",IF(AC359=100%,"Terminado","En gestión"))</f>
        <v>En gestión</v>
      </c>
      <c r="AE359" s="846" t="str">
        <f>IF(AB359&lt;1%,"Sin iniciar",IF(AB359=100%,"Terminado","En gestión"))</f>
        <v>En gestión</v>
      </c>
      <c r="AF359" s="246"/>
      <c r="AG359" s="829">
        <v>64502141</v>
      </c>
      <c r="AH359" s="829">
        <v>64502141</v>
      </c>
      <c r="AI359" s="829">
        <v>3225107.05</v>
      </c>
      <c r="AJ359" s="830">
        <v>137333333.33333299</v>
      </c>
      <c r="AK359" s="830">
        <v>137333333.33333299</v>
      </c>
      <c r="AL359" s="829">
        <v>10986666.6666667</v>
      </c>
      <c r="AM359" s="851" t="s">
        <v>2609</v>
      </c>
      <c r="AN359" s="247">
        <v>2017011000343</v>
      </c>
      <c r="AO359" s="851" t="s">
        <v>2483</v>
      </c>
      <c r="AP359" s="851" t="s">
        <v>2547</v>
      </c>
      <c r="AQ359" s="246"/>
      <c r="AR359" s="1170">
        <v>0.3</v>
      </c>
      <c r="AS359" s="248" t="s">
        <v>1188</v>
      </c>
      <c r="AT359" s="253" t="s">
        <v>3497</v>
      </c>
      <c r="AU359" s="66" t="str">
        <f t="shared" si="54"/>
        <v>En gestión</v>
      </c>
      <c r="AV359" s="66" t="str">
        <f t="shared" si="55"/>
        <v>En gestión</v>
      </c>
      <c r="AW359" s="864" t="s">
        <v>1200</v>
      </c>
      <c r="AX359" s="861">
        <f>SUMPRODUCT(O359:O363,AR359:AR363)</f>
        <v>0.3</v>
      </c>
      <c r="AY359" s="860">
        <f>SUMPRODUCT(S359:S363,O359:O363)</f>
        <v>0.3</v>
      </c>
      <c r="AZ359" s="858" t="str">
        <f>IF(AY359&lt;1%,"Sin iniciar",IF(AY359=100%,"Terminado","En gestión"))</f>
        <v>En gestión</v>
      </c>
      <c r="BA359" s="858" t="str">
        <f>IF(AX359&lt;1%,"Sin iniciar",IF(AX359=100%,"Terminado","En gestión"))</f>
        <v>En gestión</v>
      </c>
      <c r="BB359" s="246"/>
      <c r="BC359" s="859" t="s">
        <v>1555</v>
      </c>
      <c r="BD359" s="852">
        <v>64502141</v>
      </c>
      <c r="BE359" s="852">
        <v>64502141</v>
      </c>
      <c r="BF359" s="852">
        <v>32251070.5</v>
      </c>
      <c r="BG359" s="853">
        <v>137333333.33333299</v>
      </c>
      <c r="BH359" s="853">
        <v>137333333.33333299</v>
      </c>
      <c r="BI359" s="852">
        <v>49084473</v>
      </c>
      <c r="BJ359" s="851" t="s">
        <v>2617</v>
      </c>
      <c r="BK359" s="850">
        <v>2017011000343</v>
      </c>
      <c r="BL359" s="851" t="s">
        <v>2546</v>
      </c>
      <c r="BM359" s="851" t="s">
        <v>2619</v>
      </c>
      <c r="BN359" s="834" t="s">
        <v>2548</v>
      </c>
      <c r="BO359" s="347">
        <v>0.65</v>
      </c>
      <c r="BP359" s="24" t="s">
        <v>3498</v>
      </c>
      <c r="BQ359" s="24" t="s">
        <v>3499</v>
      </c>
      <c r="BR359" s="19" t="str">
        <f t="shared" si="56"/>
        <v>En gestión</v>
      </c>
      <c r="BS359" s="19" t="str">
        <f t="shared" si="57"/>
        <v>En gestión</v>
      </c>
      <c r="BT359" s="24" t="s">
        <v>3500</v>
      </c>
      <c r="BU359" s="862">
        <f>SUMPRODUCT(O359:O363,BO359:BO363)</f>
        <v>0.65</v>
      </c>
      <c r="BV359" s="863">
        <f>SUMPRODUCT(O359:O363,T359:T363)</f>
        <v>0.65</v>
      </c>
      <c r="BW359" s="846" t="str">
        <f>IF(BV359&lt;1%,"Sin iniciar",IF(BV359=100%,"Terminado","En gestión"))</f>
        <v>En gestión</v>
      </c>
      <c r="BX359" s="846" t="str">
        <f>IF(BU359&lt;1%,"Sin iniciar",IF(BU359=100%,"Terminado","En gestión"))</f>
        <v>En gestión</v>
      </c>
      <c r="BY359" s="578" t="s">
        <v>37</v>
      </c>
      <c r="BZ359" s="578" t="s">
        <v>1555</v>
      </c>
      <c r="CA359" s="847">
        <v>64502141</v>
      </c>
      <c r="CB359" s="847">
        <v>64502141</v>
      </c>
      <c r="CC359" s="847">
        <f>CB359*75%</f>
        <v>48376605.75</v>
      </c>
      <c r="CD359" s="849">
        <f t="shared" si="58"/>
        <v>137333333.33333299</v>
      </c>
      <c r="CE359" s="856">
        <f t="shared" si="58"/>
        <v>137333333.33333299</v>
      </c>
      <c r="CF359" s="848">
        <v>88257153</v>
      </c>
      <c r="CG359" s="857" t="s">
        <v>2617</v>
      </c>
      <c r="CH359" s="857" t="s">
        <v>2546</v>
      </c>
      <c r="CI359" s="857" t="s">
        <v>2619</v>
      </c>
      <c r="CJ359" s="845" t="s">
        <v>2548</v>
      </c>
    </row>
    <row r="360" spans="2:88" ht="171.95" customHeight="1" x14ac:dyDescent="0.25">
      <c r="B360" s="1227"/>
      <c r="C360" s="831"/>
      <c r="D360" s="238" t="s">
        <v>686</v>
      </c>
      <c r="E360" s="238" t="s">
        <v>160</v>
      </c>
      <c r="F360" s="987"/>
      <c r="G360" s="238" t="s">
        <v>28</v>
      </c>
      <c r="H360" s="238" t="s">
        <v>28</v>
      </c>
      <c r="I360" s="238" t="s">
        <v>59</v>
      </c>
      <c r="J360" s="238" t="s">
        <v>1047</v>
      </c>
      <c r="K360" s="833"/>
      <c r="L360" s="239" t="s">
        <v>752</v>
      </c>
      <c r="M360" s="240" t="s">
        <v>3501</v>
      </c>
      <c r="N360" s="261" t="s">
        <v>1122</v>
      </c>
      <c r="O360" s="242">
        <v>0.2</v>
      </c>
      <c r="P360" s="243">
        <v>44197</v>
      </c>
      <c r="Q360" s="243">
        <v>44561</v>
      </c>
      <c r="R360" s="242">
        <v>0.05</v>
      </c>
      <c r="S360" s="242">
        <v>0.3</v>
      </c>
      <c r="T360" s="242">
        <v>0.65</v>
      </c>
      <c r="U360" s="242">
        <v>1</v>
      </c>
      <c r="V360" s="233">
        <v>0.05</v>
      </c>
      <c r="W360" s="244" t="s">
        <v>1123</v>
      </c>
      <c r="X360" s="252" t="s">
        <v>3502</v>
      </c>
      <c r="Y360" s="19" t="str">
        <f t="shared" si="52"/>
        <v>En gestión</v>
      </c>
      <c r="Z360" s="19" t="str">
        <f t="shared" si="53"/>
        <v>En gestión</v>
      </c>
      <c r="AA360" s="834"/>
      <c r="AB360" s="854"/>
      <c r="AC360" s="855"/>
      <c r="AD360" s="846"/>
      <c r="AE360" s="846"/>
      <c r="AF360" s="246"/>
      <c r="AG360" s="829"/>
      <c r="AH360" s="829"/>
      <c r="AI360" s="829"/>
      <c r="AJ360" s="830"/>
      <c r="AK360" s="830"/>
      <c r="AL360" s="829"/>
      <c r="AM360" s="851"/>
      <c r="AN360" s="247">
        <v>2017011000343</v>
      </c>
      <c r="AO360" s="851"/>
      <c r="AP360" s="851"/>
      <c r="AQ360" s="246"/>
      <c r="AR360" s="1170">
        <v>0.3</v>
      </c>
      <c r="AS360" s="248" t="s">
        <v>1188</v>
      </c>
      <c r="AT360" s="253" t="s">
        <v>3503</v>
      </c>
      <c r="AU360" s="66" t="str">
        <f t="shared" si="54"/>
        <v>En gestión</v>
      </c>
      <c r="AV360" s="66" t="str">
        <f t="shared" si="55"/>
        <v>En gestión</v>
      </c>
      <c r="AW360" s="865"/>
      <c r="AX360" s="861"/>
      <c r="AY360" s="860"/>
      <c r="AZ360" s="858"/>
      <c r="BA360" s="858"/>
      <c r="BB360" s="246"/>
      <c r="BC360" s="859"/>
      <c r="BD360" s="852"/>
      <c r="BE360" s="852"/>
      <c r="BF360" s="852"/>
      <c r="BG360" s="853"/>
      <c r="BH360" s="853"/>
      <c r="BI360" s="852"/>
      <c r="BJ360" s="851"/>
      <c r="BK360" s="850"/>
      <c r="BL360" s="851"/>
      <c r="BM360" s="851"/>
      <c r="BN360" s="834"/>
      <c r="BO360" s="347">
        <v>0.65</v>
      </c>
      <c r="BP360" s="24" t="s">
        <v>3504</v>
      </c>
      <c r="BQ360" s="24" t="s">
        <v>3505</v>
      </c>
      <c r="BR360" s="19" t="str">
        <f t="shared" si="56"/>
        <v>En gestión</v>
      </c>
      <c r="BS360" s="19" t="str">
        <f t="shared" si="57"/>
        <v>En gestión</v>
      </c>
      <c r="BT360" s="24" t="s">
        <v>3504</v>
      </c>
      <c r="BU360" s="862"/>
      <c r="BV360" s="863"/>
      <c r="BW360" s="846"/>
      <c r="BX360" s="846"/>
      <c r="BY360" s="578"/>
      <c r="BZ360" s="578"/>
      <c r="CA360" s="847"/>
      <c r="CB360" s="847"/>
      <c r="CC360" s="847"/>
      <c r="CD360" s="849"/>
      <c r="CE360" s="856"/>
      <c r="CF360" s="848"/>
      <c r="CG360" s="857"/>
      <c r="CH360" s="857"/>
      <c r="CI360" s="857"/>
      <c r="CJ360" s="845"/>
    </row>
    <row r="361" spans="2:88" ht="171.95" customHeight="1" x14ac:dyDescent="0.25">
      <c r="B361" s="1227"/>
      <c r="C361" s="831"/>
      <c r="D361" s="238" t="s">
        <v>686</v>
      </c>
      <c r="E361" s="238" t="s">
        <v>160</v>
      </c>
      <c r="F361" s="987"/>
      <c r="G361" s="238" t="s">
        <v>28</v>
      </c>
      <c r="H361" s="238" t="s">
        <v>28</v>
      </c>
      <c r="I361" s="238" t="s">
        <v>59</v>
      </c>
      <c r="J361" s="238" t="s">
        <v>1047</v>
      </c>
      <c r="K361" s="833"/>
      <c r="L361" s="239" t="s">
        <v>752</v>
      </c>
      <c r="M361" s="240" t="s">
        <v>3506</v>
      </c>
      <c r="N361" s="261" t="s">
        <v>1124</v>
      </c>
      <c r="O361" s="242">
        <v>0.2</v>
      </c>
      <c r="P361" s="243">
        <v>44197</v>
      </c>
      <c r="Q361" s="243">
        <v>44561</v>
      </c>
      <c r="R361" s="242">
        <v>0.05</v>
      </c>
      <c r="S361" s="242">
        <v>0.3</v>
      </c>
      <c r="T361" s="242">
        <v>0.65</v>
      </c>
      <c r="U361" s="242">
        <v>1</v>
      </c>
      <c r="V361" s="233">
        <v>0.05</v>
      </c>
      <c r="W361" s="244" t="s">
        <v>1125</v>
      </c>
      <c r="X361" s="252" t="s">
        <v>3507</v>
      </c>
      <c r="Y361" s="19" t="str">
        <f t="shared" si="52"/>
        <v>En gestión</v>
      </c>
      <c r="Z361" s="19" t="str">
        <f t="shared" si="53"/>
        <v>En gestión</v>
      </c>
      <c r="AA361" s="834"/>
      <c r="AB361" s="854"/>
      <c r="AC361" s="855"/>
      <c r="AD361" s="846"/>
      <c r="AE361" s="846"/>
      <c r="AF361" s="246"/>
      <c r="AG361" s="829"/>
      <c r="AH361" s="829"/>
      <c r="AI361" s="829"/>
      <c r="AJ361" s="830"/>
      <c r="AK361" s="830"/>
      <c r="AL361" s="829"/>
      <c r="AM361" s="851"/>
      <c r="AN361" s="247">
        <v>2017011000343</v>
      </c>
      <c r="AO361" s="851"/>
      <c r="AP361" s="851"/>
      <c r="AQ361" s="246"/>
      <c r="AR361" s="1170">
        <v>0.3</v>
      </c>
      <c r="AS361" s="248" t="s">
        <v>1188</v>
      </c>
      <c r="AT361" s="253" t="s">
        <v>3503</v>
      </c>
      <c r="AU361" s="66" t="str">
        <f t="shared" si="54"/>
        <v>En gestión</v>
      </c>
      <c r="AV361" s="66" t="str">
        <f t="shared" si="55"/>
        <v>En gestión</v>
      </c>
      <c r="AW361" s="865"/>
      <c r="AX361" s="861"/>
      <c r="AY361" s="860"/>
      <c r="AZ361" s="858"/>
      <c r="BA361" s="858"/>
      <c r="BB361" s="246"/>
      <c r="BC361" s="859"/>
      <c r="BD361" s="852"/>
      <c r="BE361" s="852"/>
      <c r="BF361" s="852"/>
      <c r="BG361" s="853"/>
      <c r="BH361" s="853"/>
      <c r="BI361" s="852"/>
      <c r="BJ361" s="851"/>
      <c r="BK361" s="850"/>
      <c r="BL361" s="851"/>
      <c r="BM361" s="851"/>
      <c r="BN361" s="834"/>
      <c r="BO361" s="347">
        <v>0.65</v>
      </c>
      <c r="BP361" s="24" t="s">
        <v>3508</v>
      </c>
      <c r="BQ361" s="25" t="s">
        <v>3509</v>
      </c>
      <c r="BR361" s="19" t="str">
        <f t="shared" si="56"/>
        <v>En gestión</v>
      </c>
      <c r="BS361" s="19" t="str">
        <f t="shared" si="57"/>
        <v>En gestión</v>
      </c>
      <c r="BT361" s="24" t="s">
        <v>3508</v>
      </c>
      <c r="BU361" s="862"/>
      <c r="BV361" s="863"/>
      <c r="BW361" s="846"/>
      <c r="BX361" s="846"/>
      <c r="BY361" s="578"/>
      <c r="BZ361" s="578"/>
      <c r="CA361" s="847"/>
      <c r="CB361" s="847"/>
      <c r="CC361" s="847"/>
      <c r="CD361" s="849"/>
      <c r="CE361" s="856"/>
      <c r="CF361" s="848"/>
      <c r="CG361" s="857"/>
      <c r="CH361" s="857"/>
      <c r="CI361" s="857"/>
      <c r="CJ361" s="845"/>
    </row>
    <row r="362" spans="2:88" ht="171.95" customHeight="1" x14ac:dyDescent="0.25">
      <c r="B362" s="1227"/>
      <c r="C362" s="831"/>
      <c r="D362" s="238" t="s">
        <v>686</v>
      </c>
      <c r="E362" s="238" t="s">
        <v>160</v>
      </c>
      <c r="F362" s="987"/>
      <c r="G362" s="238" t="s">
        <v>28</v>
      </c>
      <c r="H362" s="238" t="s">
        <v>28</v>
      </c>
      <c r="I362" s="238" t="s">
        <v>59</v>
      </c>
      <c r="J362" s="238" t="s">
        <v>1047</v>
      </c>
      <c r="K362" s="833"/>
      <c r="L362" s="239" t="s">
        <v>752</v>
      </c>
      <c r="M362" s="240" t="s">
        <v>3510</v>
      </c>
      <c r="N362" s="261" t="s">
        <v>1126</v>
      </c>
      <c r="O362" s="242">
        <v>0.2</v>
      </c>
      <c r="P362" s="243">
        <v>44197</v>
      </c>
      <c r="Q362" s="243">
        <v>44561</v>
      </c>
      <c r="R362" s="242">
        <v>0.05</v>
      </c>
      <c r="S362" s="242">
        <v>0.3</v>
      </c>
      <c r="T362" s="242">
        <v>0.65</v>
      </c>
      <c r="U362" s="242">
        <v>1</v>
      </c>
      <c r="V362" s="233">
        <v>0.05</v>
      </c>
      <c r="W362" s="244" t="s">
        <v>1127</v>
      </c>
      <c r="X362" s="252" t="s">
        <v>3511</v>
      </c>
      <c r="Y362" s="19" t="str">
        <f t="shared" si="52"/>
        <v>En gestión</v>
      </c>
      <c r="Z362" s="19" t="str">
        <f t="shared" si="53"/>
        <v>En gestión</v>
      </c>
      <c r="AA362" s="834"/>
      <c r="AB362" s="854"/>
      <c r="AC362" s="855"/>
      <c r="AD362" s="846"/>
      <c r="AE362" s="846"/>
      <c r="AF362" s="246"/>
      <c r="AG362" s="829"/>
      <c r="AH362" s="829"/>
      <c r="AI362" s="829"/>
      <c r="AJ362" s="830"/>
      <c r="AK362" s="830"/>
      <c r="AL362" s="829"/>
      <c r="AM362" s="851"/>
      <c r="AN362" s="247">
        <v>2017011000343</v>
      </c>
      <c r="AO362" s="851"/>
      <c r="AP362" s="851"/>
      <c r="AQ362" s="246"/>
      <c r="AR362" s="1170">
        <v>0.3</v>
      </c>
      <c r="AS362" s="248" t="s">
        <v>1188</v>
      </c>
      <c r="AT362" s="253" t="s">
        <v>3503</v>
      </c>
      <c r="AU362" s="66" t="str">
        <f t="shared" si="54"/>
        <v>En gestión</v>
      </c>
      <c r="AV362" s="66" t="str">
        <f t="shared" si="55"/>
        <v>En gestión</v>
      </c>
      <c r="AW362" s="865"/>
      <c r="AX362" s="861"/>
      <c r="AY362" s="860"/>
      <c r="AZ362" s="858"/>
      <c r="BA362" s="858"/>
      <c r="BB362" s="246"/>
      <c r="BC362" s="859"/>
      <c r="BD362" s="852"/>
      <c r="BE362" s="852"/>
      <c r="BF362" s="852"/>
      <c r="BG362" s="853"/>
      <c r="BH362" s="853"/>
      <c r="BI362" s="852"/>
      <c r="BJ362" s="851"/>
      <c r="BK362" s="850"/>
      <c r="BL362" s="851"/>
      <c r="BM362" s="851"/>
      <c r="BN362" s="834"/>
      <c r="BO362" s="347">
        <v>0.65</v>
      </c>
      <c r="BP362" s="24" t="s">
        <v>3504</v>
      </c>
      <c r="BQ362" s="24" t="s">
        <v>3505</v>
      </c>
      <c r="BR362" s="19" t="str">
        <f t="shared" si="56"/>
        <v>En gestión</v>
      </c>
      <c r="BS362" s="19" t="str">
        <f t="shared" si="57"/>
        <v>En gestión</v>
      </c>
      <c r="BT362" s="24" t="s">
        <v>3504</v>
      </c>
      <c r="BU362" s="862"/>
      <c r="BV362" s="863"/>
      <c r="BW362" s="846"/>
      <c r="BX362" s="846"/>
      <c r="BY362" s="578"/>
      <c r="BZ362" s="578"/>
      <c r="CA362" s="847"/>
      <c r="CB362" s="847"/>
      <c r="CC362" s="847"/>
      <c r="CD362" s="849"/>
      <c r="CE362" s="856"/>
      <c r="CF362" s="848"/>
      <c r="CG362" s="857"/>
      <c r="CH362" s="857"/>
      <c r="CI362" s="857"/>
      <c r="CJ362" s="845"/>
    </row>
    <row r="363" spans="2:88" ht="171.95" customHeight="1" x14ac:dyDescent="0.25">
      <c r="B363" s="1227"/>
      <c r="C363" s="831"/>
      <c r="D363" s="238" t="s">
        <v>686</v>
      </c>
      <c r="E363" s="238" t="s">
        <v>160</v>
      </c>
      <c r="F363" s="988"/>
      <c r="G363" s="238" t="s">
        <v>28</v>
      </c>
      <c r="H363" s="238" t="s">
        <v>28</v>
      </c>
      <c r="I363" s="238" t="s">
        <v>59</v>
      </c>
      <c r="J363" s="238" t="s">
        <v>1047</v>
      </c>
      <c r="K363" s="833"/>
      <c r="L363" s="239" t="s">
        <v>752</v>
      </c>
      <c r="M363" s="240" t="s">
        <v>3512</v>
      </c>
      <c r="N363" s="261" t="s">
        <v>1128</v>
      </c>
      <c r="O363" s="242">
        <v>0.2</v>
      </c>
      <c r="P363" s="243">
        <v>44197</v>
      </c>
      <c r="Q363" s="243">
        <v>44561</v>
      </c>
      <c r="R363" s="242">
        <v>0.05</v>
      </c>
      <c r="S363" s="242">
        <v>0.3</v>
      </c>
      <c r="T363" s="242">
        <v>0.65</v>
      </c>
      <c r="U363" s="242">
        <v>1</v>
      </c>
      <c r="V363" s="233">
        <v>0.05</v>
      </c>
      <c r="W363" s="244" t="s">
        <v>1129</v>
      </c>
      <c r="X363" s="252" t="s">
        <v>3513</v>
      </c>
      <c r="Y363" s="19" t="str">
        <f t="shared" si="52"/>
        <v>En gestión</v>
      </c>
      <c r="Z363" s="19" t="str">
        <f t="shared" si="53"/>
        <v>En gestión</v>
      </c>
      <c r="AA363" s="834"/>
      <c r="AB363" s="854"/>
      <c r="AC363" s="855"/>
      <c r="AD363" s="846"/>
      <c r="AE363" s="846"/>
      <c r="AF363" s="246"/>
      <c r="AG363" s="829"/>
      <c r="AH363" s="829"/>
      <c r="AI363" s="829"/>
      <c r="AJ363" s="830"/>
      <c r="AK363" s="830"/>
      <c r="AL363" s="829"/>
      <c r="AM363" s="851"/>
      <c r="AN363" s="247">
        <v>2017011000343</v>
      </c>
      <c r="AO363" s="851"/>
      <c r="AP363" s="851"/>
      <c r="AQ363" s="246"/>
      <c r="AR363" s="1170">
        <v>0.3</v>
      </c>
      <c r="AS363" s="248" t="s">
        <v>1188</v>
      </c>
      <c r="AT363" s="253" t="s">
        <v>3503</v>
      </c>
      <c r="AU363" s="66" t="str">
        <f t="shared" si="54"/>
        <v>En gestión</v>
      </c>
      <c r="AV363" s="66" t="str">
        <f t="shared" si="55"/>
        <v>En gestión</v>
      </c>
      <c r="AW363" s="865"/>
      <c r="AX363" s="861"/>
      <c r="AY363" s="860"/>
      <c r="AZ363" s="858"/>
      <c r="BA363" s="858"/>
      <c r="BB363" s="246"/>
      <c r="BC363" s="859"/>
      <c r="BD363" s="852"/>
      <c r="BE363" s="852"/>
      <c r="BF363" s="852"/>
      <c r="BG363" s="853"/>
      <c r="BH363" s="853"/>
      <c r="BI363" s="852"/>
      <c r="BJ363" s="851"/>
      <c r="BK363" s="850"/>
      <c r="BL363" s="851"/>
      <c r="BM363" s="851"/>
      <c r="BN363" s="834"/>
      <c r="BO363" s="347">
        <v>0.65</v>
      </c>
      <c r="BP363" s="24" t="s">
        <v>3514</v>
      </c>
      <c r="BQ363" s="24" t="s">
        <v>3499</v>
      </c>
      <c r="BR363" s="19" t="str">
        <f t="shared" si="56"/>
        <v>En gestión</v>
      </c>
      <c r="BS363" s="19" t="str">
        <f t="shared" si="57"/>
        <v>En gestión</v>
      </c>
      <c r="BT363" s="24" t="s">
        <v>3500</v>
      </c>
      <c r="BU363" s="862"/>
      <c r="BV363" s="863"/>
      <c r="BW363" s="846"/>
      <c r="BX363" s="846"/>
      <c r="BY363" s="578"/>
      <c r="BZ363" s="578"/>
      <c r="CA363" s="847"/>
      <c r="CB363" s="847"/>
      <c r="CC363" s="847"/>
      <c r="CD363" s="849"/>
      <c r="CE363" s="856"/>
      <c r="CF363" s="848"/>
      <c r="CG363" s="857"/>
      <c r="CH363" s="857"/>
      <c r="CI363" s="857"/>
      <c r="CJ363" s="845"/>
    </row>
    <row r="364" spans="2:88" ht="171.95" customHeight="1" x14ac:dyDescent="0.25">
      <c r="B364" s="1227"/>
      <c r="C364" s="612" t="s">
        <v>1130</v>
      </c>
      <c r="D364" s="227" t="s">
        <v>1045</v>
      </c>
      <c r="E364" s="227" t="s">
        <v>160</v>
      </c>
      <c r="F364" s="227" t="s">
        <v>1131</v>
      </c>
      <c r="G364" s="227" t="s">
        <v>28</v>
      </c>
      <c r="H364" s="227" t="s">
        <v>28</v>
      </c>
      <c r="I364" s="227" t="s">
        <v>59</v>
      </c>
      <c r="J364" s="227" t="s">
        <v>1047</v>
      </c>
      <c r="K364" s="820" t="s">
        <v>1132</v>
      </c>
      <c r="L364" s="228" t="s">
        <v>752</v>
      </c>
      <c r="M364" s="229" t="s">
        <v>3515</v>
      </c>
      <c r="N364" s="254" t="s">
        <v>1133</v>
      </c>
      <c r="O364" s="231">
        <v>0.2</v>
      </c>
      <c r="P364" s="232">
        <v>44197</v>
      </c>
      <c r="Q364" s="232">
        <v>44561</v>
      </c>
      <c r="R364" s="231">
        <v>0.05</v>
      </c>
      <c r="S364" s="231">
        <v>0.4</v>
      </c>
      <c r="T364" s="231">
        <v>0.7</v>
      </c>
      <c r="U364" s="231">
        <v>1</v>
      </c>
      <c r="V364" s="233">
        <v>0.05</v>
      </c>
      <c r="W364" s="234" t="s">
        <v>1134</v>
      </c>
      <c r="X364" s="251" t="s">
        <v>3516</v>
      </c>
      <c r="Y364" s="5" t="str">
        <f t="shared" si="52"/>
        <v>En gestión</v>
      </c>
      <c r="Z364" s="5" t="str">
        <f t="shared" si="53"/>
        <v>En gestión</v>
      </c>
      <c r="AA364" s="842" t="s">
        <v>1159</v>
      </c>
      <c r="AB364" s="854">
        <f>SUMPRODUCT(O364:O368,V364:V368)</f>
        <v>6.0000000000000012E-2</v>
      </c>
      <c r="AC364" s="855">
        <f>SUMPRODUCT(O364:O368,R364:R368)</f>
        <v>6.0000000000000012E-2</v>
      </c>
      <c r="AD364" s="827" t="str">
        <f>IF(AC364&lt;1%,"Sin iniciar",IF(AC364=100%,"Terminado","En gestión"))</f>
        <v>En gestión</v>
      </c>
      <c r="AE364" s="827" t="str">
        <f>IF(AB364&lt;1%,"Sin iniciar",IF(AB364=100%,"Terminado","En gestión"))</f>
        <v>En gestión</v>
      </c>
      <c r="AF364" s="236"/>
      <c r="AG364" s="828">
        <v>276322280</v>
      </c>
      <c r="AH364" s="828">
        <v>276322280</v>
      </c>
      <c r="AI364" s="828">
        <v>16579336.800000001</v>
      </c>
      <c r="AJ364" s="825">
        <v>262333338</v>
      </c>
      <c r="AK364" s="825">
        <v>262333338</v>
      </c>
      <c r="AL364" s="828">
        <v>20986667.039999999</v>
      </c>
      <c r="AM364" s="822" t="s">
        <v>2609</v>
      </c>
      <c r="AN364" s="237">
        <v>2017011000343</v>
      </c>
      <c r="AO364" s="822" t="s">
        <v>2613</v>
      </c>
      <c r="AP364" s="822" t="s">
        <v>2614</v>
      </c>
      <c r="AQ364" s="236"/>
      <c r="AR364" s="1170">
        <v>0.4</v>
      </c>
      <c r="AS364" s="255" t="s">
        <v>1189</v>
      </c>
      <c r="AT364" s="284" t="s">
        <v>3517</v>
      </c>
      <c r="AU364" s="56" t="str">
        <f t="shared" si="54"/>
        <v>En gestión</v>
      </c>
      <c r="AV364" s="56" t="str">
        <f t="shared" si="55"/>
        <v>En gestión</v>
      </c>
      <c r="AW364" s="866" t="s">
        <v>1201</v>
      </c>
      <c r="AX364" s="861">
        <f>SUMPRODUCT(O364:O368,AR364:AR368)</f>
        <v>0.56000000000000005</v>
      </c>
      <c r="AY364" s="860">
        <f>SUMPRODUCT(S364:S368,O364:O368)</f>
        <v>0.56000000000000005</v>
      </c>
      <c r="AZ364" s="823" t="str">
        <f>IF(AY364&lt;1%,"Sin iniciar",IF(AY364=100%,"Terminado","En gestión"))</f>
        <v>En gestión</v>
      </c>
      <c r="BA364" s="823" t="str">
        <f>IF(AX364&lt;1%,"Sin iniciar",IF(AX364=100%,"Terminado","En gestión"))</f>
        <v>En gestión</v>
      </c>
      <c r="BB364" s="236"/>
      <c r="BC364" s="821" t="s">
        <v>1555</v>
      </c>
      <c r="BD364" s="824">
        <v>276322280</v>
      </c>
      <c r="BE364" s="824">
        <v>276322280</v>
      </c>
      <c r="BF364" s="824">
        <v>138161140</v>
      </c>
      <c r="BG364" s="844">
        <v>262333338</v>
      </c>
      <c r="BH364" s="844">
        <v>262333338</v>
      </c>
      <c r="BI364" s="824">
        <v>85106027</v>
      </c>
      <c r="BJ364" s="822" t="s">
        <v>2617</v>
      </c>
      <c r="BK364" s="841">
        <v>2017011000343</v>
      </c>
      <c r="BL364" s="822" t="s">
        <v>2621</v>
      </c>
      <c r="BM364" s="822" t="s">
        <v>2622</v>
      </c>
      <c r="BN364" s="842" t="s">
        <v>2623</v>
      </c>
      <c r="BO364" s="347">
        <v>0.7</v>
      </c>
      <c r="BP364" s="11" t="s">
        <v>3518</v>
      </c>
      <c r="BQ364" s="11" t="s">
        <v>3519</v>
      </c>
      <c r="BR364" s="5" t="str">
        <f t="shared" si="56"/>
        <v>En gestión</v>
      </c>
      <c r="BS364" s="5" t="str">
        <f t="shared" si="57"/>
        <v>En gestión</v>
      </c>
      <c r="BT364" s="11" t="s">
        <v>3520</v>
      </c>
      <c r="BU364" s="862">
        <f>SUMPRODUCT(O364:O368,BO364:BO368)</f>
        <v>0.82</v>
      </c>
      <c r="BV364" s="863">
        <f>SUMPRODUCT(O364:O368,T364:T368)</f>
        <v>0.82</v>
      </c>
      <c r="BW364" s="827" t="str">
        <f>IF(BV364&lt;1%,"Sin iniciar",IF(BV364=100%,"Terminado","En gestión"))</f>
        <v>En gestión</v>
      </c>
      <c r="BX364" s="827" t="str">
        <f>IF(BU364&lt;1%,"Sin iniciar",IF(BU364=100%,"Terminado","En gestión"))</f>
        <v>En gestión</v>
      </c>
      <c r="BY364" s="573" t="s">
        <v>37</v>
      </c>
      <c r="BZ364" s="573" t="s">
        <v>1555</v>
      </c>
      <c r="CA364" s="838">
        <v>276322280</v>
      </c>
      <c r="CB364" s="838">
        <v>276322280</v>
      </c>
      <c r="CC364" s="838">
        <f>CB364*75%</f>
        <v>207241710</v>
      </c>
      <c r="CD364" s="840">
        <f>BG364</f>
        <v>262333338</v>
      </c>
      <c r="CE364" s="835">
        <f>BH364</f>
        <v>262333338</v>
      </c>
      <c r="CF364" s="839">
        <v>126979386</v>
      </c>
      <c r="CG364" s="626" t="s">
        <v>2617</v>
      </c>
      <c r="CH364" s="626" t="s">
        <v>2621</v>
      </c>
      <c r="CI364" s="626" t="s">
        <v>2622</v>
      </c>
      <c r="CJ364" s="837" t="s">
        <v>2623</v>
      </c>
    </row>
    <row r="365" spans="2:88" ht="171.95" customHeight="1" x14ac:dyDescent="0.25">
      <c r="B365" s="1227"/>
      <c r="C365" s="612"/>
      <c r="D365" s="227" t="s">
        <v>1045</v>
      </c>
      <c r="E365" s="227" t="s">
        <v>160</v>
      </c>
      <c r="F365" s="227" t="s">
        <v>1131</v>
      </c>
      <c r="G365" s="227" t="s">
        <v>28</v>
      </c>
      <c r="H365" s="227" t="s">
        <v>28</v>
      </c>
      <c r="I365" s="227" t="s">
        <v>59</v>
      </c>
      <c r="J365" s="227" t="s">
        <v>1047</v>
      </c>
      <c r="K365" s="820"/>
      <c r="L365" s="228"/>
      <c r="M365" s="229" t="s">
        <v>3521</v>
      </c>
      <c r="N365" s="254" t="s">
        <v>1135</v>
      </c>
      <c r="O365" s="231">
        <v>0.2</v>
      </c>
      <c r="P365" s="232">
        <v>44197</v>
      </c>
      <c r="Q365" s="232">
        <v>44469</v>
      </c>
      <c r="R365" s="231">
        <v>0.05</v>
      </c>
      <c r="S365" s="231">
        <v>0.6</v>
      </c>
      <c r="T365" s="231">
        <v>1</v>
      </c>
      <c r="U365" s="231">
        <v>1</v>
      </c>
      <c r="V365" s="233">
        <v>0.05</v>
      </c>
      <c r="W365" s="234" t="s">
        <v>1136</v>
      </c>
      <c r="X365" s="251" t="s">
        <v>3522</v>
      </c>
      <c r="Y365" s="5" t="str">
        <f t="shared" si="52"/>
        <v>En gestión</v>
      </c>
      <c r="Z365" s="5" t="str">
        <f t="shared" si="53"/>
        <v>En gestión</v>
      </c>
      <c r="AA365" s="842"/>
      <c r="AB365" s="854"/>
      <c r="AC365" s="855"/>
      <c r="AD365" s="827"/>
      <c r="AE365" s="827"/>
      <c r="AF365" s="236"/>
      <c r="AG365" s="828"/>
      <c r="AH365" s="828"/>
      <c r="AI365" s="828"/>
      <c r="AJ365" s="825"/>
      <c r="AK365" s="825"/>
      <c r="AL365" s="828"/>
      <c r="AM365" s="822"/>
      <c r="AN365" s="237">
        <v>2017011000343</v>
      </c>
      <c r="AO365" s="822"/>
      <c r="AP365" s="822"/>
      <c r="AQ365" s="236"/>
      <c r="AR365" s="1170">
        <v>0.6</v>
      </c>
      <c r="AS365" s="255" t="s">
        <v>1189</v>
      </c>
      <c r="AT365" s="284" t="s">
        <v>3523</v>
      </c>
      <c r="AU365" s="56" t="str">
        <f t="shared" si="54"/>
        <v>En gestión</v>
      </c>
      <c r="AV365" s="56" t="str">
        <f t="shared" si="55"/>
        <v>En gestión</v>
      </c>
      <c r="AW365" s="866"/>
      <c r="AX365" s="861"/>
      <c r="AY365" s="860"/>
      <c r="AZ365" s="823"/>
      <c r="BA365" s="823"/>
      <c r="BB365" s="236"/>
      <c r="BC365" s="821"/>
      <c r="BD365" s="824"/>
      <c r="BE365" s="824"/>
      <c r="BF365" s="824"/>
      <c r="BG365" s="844"/>
      <c r="BH365" s="844"/>
      <c r="BI365" s="824"/>
      <c r="BJ365" s="822"/>
      <c r="BK365" s="841"/>
      <c r="BL365" s="822"/>
      <c r="BM365" s="822"/>
      <c r="BN365" s="842"/>
      <c r="BO365" s="347">
        <v>1</v>
      </c>
      <c r="BP365" s="11" t="s">
        <v>3524</v>
      </c>
      <c r="BQ365" s="11" t="s">
        <v>3525</v>
      </c>
      <c r="BR365" s="5" t="str">
        <f t="shared" si="56"/>
        <v>Terminado</v>
      </c>
      <c r="BS365" s="5" t="str">
        <f t="shared" si="57"/>
        <v>Terminado</v>
      </c>
      <c r="BT365" s="11" t="s">
        <v>3524</v>
      </c>
      <c r="BU365" s="862"/>
      <c r="BV365" s="863"/>
      <c r="BW365" s="827"/>
      <c r="BX365" s="827"/>
      <c r="BY365" s="573"/>
      <c r="BZ365" s="573"/>
      <c r="CA365" s="838"/>
      <c r="CB365" s="838"/>
      <c r="CC365" s="838"/>
      <c r="CD365" s="840"/>
      <c r="CE365" s="835"/>
      <c r="CF365" s="839"/>
      <c r="CG365" s="626"/>
      <c r="CH365" s="626"/>
      <c r="CI365" s="626"/>
      <c r="CJ365" s="837"/>
    </row>
    <row r="366" spans="2:88" ht="171.95" customHeight="1" x14ac:dyDescent="0.25">
      <c r="B366" s="1227"/>
      <c r="C366" s="612"/>
      <c r="D366" s="227" t="s">
        <v>1045</v>
      </c>
      <c r="E366" s="227" t="s">
        <v>160</v>
      </c>
      <c r="F366" s="227" t="s">
        <v>1131</v>
      </c>
      <c r="G366" s="227" t="s">
        <v>28</v>
      </c>
      <c r="H366" s="227" t="s">
        <v>28</v>
      </c>
      <c r="I366" s="227" t="s">
        <v>59</v>
      </c>
      <c r="J366" s="227" t="s">
        <v>1047</v>
      </c>
      <c r="K366" s="820"/>
      <c r="L366" s="228" t="s">
        <v>752</v>
      </c>
      <c r="M366" s="229" t="s">
        <v>3526</v>
      </c>
      <c r="N366" s="254" t="s">
        <v>1137</v>
      </c>
      <c r="O366" s="231">
        <v>0.2</v>
      </c>
      <c r="P366" s="232">
        <v>44197</v>
      </c>
      <c r="Q366" s="232">
        <v>44561</v>
      </c>
      <c r="R366" s="231">
        <v>0.05</v>
      </c>
      <c r="S366" s="231">
        <v>0.3</v>
      </c>
      <c r="T366" s="231">
        <v>0.65</v>
      </c>
      <c r="U366" s="231">
        <v>1</v>
      </c>
      <c r="V366" s="233">
        <v>0.05</v>
      </c>
      <c r="W366" s="234" t="s">
        <v>1134</v>
      </c>
      <c r="X366" s="251" t="s">
        <v>3516</v>
      </c>
      <c r="Y366" s="5" t="str">
        <f t="shared" si="52"/>
        <v>En gestión</v>
      </c>
      <c r="Z366" s="5" t="str">
        <f t="shared" si="53"/>
        <v>En gestión</v>
      </c>
      <c r="AA366" s="842"/>
      <c r="AB366" s="854"/>
      <c r="AC366" s="855"/>
      <c r="AD366" s="827"/>
      <c r="AE366" s="827"/>
      <c r="AF366" s="236"/>
      <c r="AG366" s="828"/>
      <c r="AH366" s="828"/>
      <c r="AI366" s="828"/>
      <c r="AJ366" s="825"/>
      <c r="AK366" s="825"/>
      <c r="AL366" s="828"/>
      <c r="AM366" s="822"/>
      <c r="AN366" s="237">
        <v>2017011000343</v>
      </c>
      <c r="AO366" s="822"/>
      <c r="AP366" s="822"/>
      <c r="AQ366" s="236"/>
      <c r="AR366" s="1170">
        <v>0.3</v>
      </c>
      <c r="AS366" s="255" t="s">
        <v>1189</v>
      </c>
      <c r="AT366" s="284" t="s">
        <v>3527</v>
      </c>
      <c r="AU366" s="56" t="str">
        <f t="shared" si="54"/>
        <v>En gestión</v>
      </c>
      <c r="AV366" s="56" t="str">
        <f t="shared" si="55"/>
        <v>En gestión</v>
      </c>
      <c r="AW366" s="866"/>
      <c r="AX366" s="861"/>
      <c r="AY366" s="860"/>
      <c r="AZ366" s="823"/>
      <c r="BA366" s="823"/>
      <c r="BB366" s="236"/>
      <c r="BC366" s="821"/>
      <c r="BD366" s="824"/>
      <c r="BE366" s="824"/>
      <c r="BF366" s="824"/>
      <c r="BG366" s="844"/>
      <c r="BH366" s="844"/>
      <c r="BI366" s="824"/>
      <c r="BJ366" s="822"/>
      <c r="BK366" s="841"/>
      <c r="BL366" s="822"/>
      <c r="BM366" s="822"/>
      <c r="BN366" s="842"/>
      <c r="BO366" s="347">
        <v>0.65</v>
      </c>
      <c r="BP366" s="11" t="s">
        <v>3528</v>
      </c>
      <c r="BQ366" s="11" t="s">
        <v>3529</v>
      </c>
      <c r="BR366" s="5" t="str">
        <f t="shared" si="56"/>
        <v>En gestión</v>
      </c>
      <c r="BS366" s="5" t="str">
        <f t="shared" si="57"/>
        <v>En gestión</v>
      </c>
      <c r="BT366" s="11" t="s">
        <v>3530</v>
      </c>
      <c r="BU366" s="862"/>
      <c r="BV366" s="863"/>
      <c r="BW366" s="827"/>
      <c r="BX366" s="827"/>
      <c r="BY366" s="573"/>
      <c r="BZ366" s="573"/>
      <c r="CA366" s="838"/>
      <c r="CB366" s="838"/>
      <c r="CC366" s="838"/>
      <c r="CD366" s="840"/>
      <c r="CE366" s="835"/>
      <c r="CF366" s="839"/>
      <c r="CG366" s="626"/>
      <c r="CH366" s="626"/>
      <c r="CI366" s="626"/>
      <c r="CJ366" s="837"/>
    </row>
    <row r="367" spans="2:88" ht="171.95" customHeight="1" x14ac:dyDescent="0.25">
      <c r="B367" s="1227"/>
      <c r="C367" s="612"/>
      <c r="D367" s="227" t="s">
        <v>1045</v>
      </c>
      <c r="E367" s="227" t="s">
        <v>160</v>
      </c>
      <c r="F367" s="227" t="s">
        <v>1138</v>
      </c>
      <c r="G367" s="227" t="s">
        <v>28</v>
      </c>
      <c r="H367" s="227" t="s">
        <v>28</v>
      </c>
      <c r="I367" s="227" t="s">
        <v>59</v>
      </c>
      <c r="J367" s="227" t="s">
        <v>1047</v>
      </c>
      <c r="K367" s="820"/>
      <c r="L367" s="228" t="s">
        <v>752</v>
      </c>
      <c r="M367" s="229" t="s">
        <v>3531</v>
      </c>
      <c r="N367" s="254" t="s">
        <v>1139</v>
      </c>
      <c r="O367" s="231">
        <v>0.2</v>
      </c>
      <c r="P367" s="232">
        <v>44197</v>
      </c>
      <c r="Q367" s="232">
        <v>44377</v>
      </c>
      <c r="R367" s="231">
        <v>0.1</v>
      </c>
      <c r="S367" s="231">
        <v>1</v>
      </c>
      <c r="T367" s="231">
        <v>1</v>
      </c>
      <c r="U367" s="231">
        <v>1</v>
      </c>
      <c r="V367" s="233">
        <v>0.1</v>
      </c>
      <c r="W367" s="234" t="s">
        <v>1134</v>
      </c>
      <c r="X367" s="251" t="s">
        <v>3516</v>
      </c>
      <c r="Y367" s="5" t="str">
        <f t="shared" si="52"/>
        <v>En gestión</v>
      </c>
      <c r="Z367" s="5" t="str">
        <f t="shared" si="53"/>
        <v>En gestión</v>
      </c>
      <c r="AA367" s="842"/>
      <c r="AB367" s="854"/>
      <c r="AC367" s="855"/>
      <c r="AD367" s="827"/>
      <c r="AE367" s="827"/>
      <c r="AF367" s="236"/>
      <c r="AG367" s="828"/>
      <c r="AH367" s="828"/>
      <c r="AI367" s="828"/>
      <c r="AJ367" s="825"/>
      <c r="AK367" s="825"/>
      <c r="AL367" s="828"/>
      <c r="AM367" s="822"/>
      <c r="AN367" s="237">
        <v>2017011000343</v>
      </c>
      <c r="AO367" s="822"/>
      <c r="AP367" s="822"/>
      <c r="AQ367" s="236"/>
      <c r="AR367" s="1170">
        <v>1</v>
      </c>
      <c r="AS367" s="255" t="s">
        <v>1189</v>
      </c>
      <c r="AT367" s="284" t="s">
        <v>3532</v>
      </c>
      <c r="AU367" s="56" t="str">
        <f t="shared" si="54"/>
        <v>Terminado</v>
      </c>
      <c r="AV367" s="56" t="str">
        <f t="shared" si="55"/>
        <v>Terminado</v>
      </c>
      <c r="AW367" s="866"/>
      <c r="AX367" s="861"/>
      <c r="AY367" s="860"/>
      <c r="AZ367" s="823"/>
      <c r="BA367" s="823"/>
      <c r="BB367" s="236"/>
      <c r="BC367" s="821"/>
      <c r="BD367" s="824"/>
      <c r="BE367" s="824"/>
      <c r="BF367" s="824"/>
      <c r="BG367" s="844"/>
      <c r="BH367" s="844"/>
      <c r="BI367" s="824"/>
      <c r="BJ367" s="822"/>
      <c r="BK367" s="841"/>
      <c r="BL367" s="822"/>
      <c r="BM367" s="822"/>
      <c r="BN367" s="842"/>
      <c r="BO367" s="347">
        <v>1</v>
      </c>
      <c r="BP367" s="11" t="s">
        <v>3386</v>
      </c>
      <c r="BQ367" s="12" t="s">
        <v>28</v>
      </c>
      <c r="BR367" s="5" t="str">
        <f t="shared" si="56"/>
        <v>Terminado</v>
      </c>
      <c r="BS367" s="5" t="str">
        <f t="shared" si="57"/>
        <v>Terminado</v>
      </c>
      <c r="BT367" s="12" t="s">
        <v>28</v>
      </c>
      <c r="BU367" s="862"/>
      <c r="BV367" s="863"/>
      <c r="BW367" s="827"/>
      <c r="BX367" s="827"/>
      <c r="BY367" s="573"/>
      <c r="BZ367" s="573"/>
      <c r="CA367" s="838"/>
      <c r="CB367" s="838"/>
      <c r="CC367" s="838"/>
      <c r="CD367" s="840"/>
      <c r="CE367" s="835"/>
      <c r="CF367" s="839"/>
      <c r="CG367" s="626"/>
      <c r="CH367" s="626"/>
      <c r="CI367" s="626"/>
      <c r="CJ367" s="837"/>
    </row>
    <row r="368" spans="2:88" ht="171.95" customHeight="1" x14ac:dyDescent="0.25">
      <c r="B368" s="1227"/>
      <c r="C368" s="612"/>
      <c r="D368" s="227" t="s">
        <v>1045</v>
      </c>
      <c r="E368" s="227" t="s">
        <v>160</v>
      </c>
      <c r="F368" s="227" t="s">
        <v>1131</v>
      </c>
      <c r="G368" s="227" t="s">
        <v>28</v>
      </c>
      <c r="H368" s="227" t="s">
        <v>28</v>
      </c>
      <c r="I368" s="227" t="s">
        <v>59</v>
      </c>
      <c r="J368" s="227" t="s">
        <v>1047</v>
      </c>
      <c r="K368" s="820"/>
      <c r="L368" s="228" t="s">
        <v>752</v>
      </c>
      <c r="M368" s="229" t="s">
        <v>3533</v>
      </c>
      <c r="N368" s="254" t="s">
        <v>1140</v>
      </c>
      <c r="O368" s="231">
        <v>0.2</v>
      </c>
      <c r="P368" s="232">
        <v>44197</v>
      </c>
      <c r="Q368" s="232">
        <v>44561</v>
      </c>
      <c r="R368" s="231">
        <v>0.05</v>
      </c>
      <c r="S368" s="231">
        <v>0.5</v>
      </c>
      <c r="T368" s="231">
        <v>0.75</v>
      </c>
      <c r="U368" s="231">
        <v>1</v>
      </c>
      <c r="V368" s="233">
        <v>0.05</v>
      </c>
      <c r="W368" s="234" t="s">
        <v>1134</v>
      </c>
      <c r="X368" s="251" t="s">
        <v>3516</v>
      </c>
      <c r="Y368" s="5" t="str">
        <f t="shared" si="52"/>
        <v>En gestión</v>
      </c>
      <c r="Z368" s="5" t="str">
        <f t="shared" si="53"/>
        <v>En gestión</v>
      </c>
      <c r="AA368" s="842"/>
      <c r="AB368" s="854"/>
      <c r="AC368" s="855"/>
      <c r="AD368" s="827"/>
      <c r="AE368" s="827"/>
      <c r="AF368" s="236"/>
      <c r="AG368" s="828"/>
      <c r="AH368" s="828"/>
      <c r="AI368" s="828"/>
      <c r="AJ368" s="825"/>
      <c r="AK368" s="825"/>
      <c r="AL368" s="828"/>
      <c r="AM368" s="822"/>
      <c r="AN368" s="237">
        <v>2017011000343</v>
      </c>
      <c r="AO368" s="822"/>
      <c r="AP368" s="822"/>
      <c r="AQ368" s="236"/>
      <c r="AR368" s="1170">
        <v>0.5</v>
      </c>
      <c r="AS368" s="255" t="s">
        <v>1189</v>
      </c>
      <c r="AT368" s="284" t="s">
        <v>3534</v>
      </c>
      <c r="AU368" s="56" t="str">
        <f t="shared" si="54"/>
        <v>En gestión</v>
      </c>
      <c r="AV368" s="56" t="str">
        <f t="shared" si="55"/>
        <v>En gestión</v>
      </c>
      <c r="AW368" s="866"/>
      <c r="AX368" s="861"/>
      <c r="AY368" s="860"/>
      <c r="AZ368" s="823"/>
      <c r="BA368" s="823"/>
      <c r="BB368" s="236"/>
      <c r="BC368" s="821"/>
      <c r="BD368" s="824"/>
      <c r="BE368" s="824"/>
      <c r="BF368" s="824"/>
      <c r="BG368" s="844"/>
      <c r="BH368" s="844"/>
      <c r="BI368" s="824"/>
      <c r="BJ368" s="822"/>
      <c r="BK368" s="841"/>
      <c r="BL368" s="822"/>
      <c r="BM368" s="822"/>
      <c r="BN368" s="842"/>
      <c r="BO368" s="347">
        <v>0.75</v>
      </c>
      <c r="BP368" s="11" t="s">
        <v>3535</v>
      </c>
      <c r="BQ368" s="11" t="s">
        <v>3536</v>
      </c>
      <c r="BR368" s="5" t="str">
        <f t="shared" si="56"/>
        <v>En gestión</v>
      </c>
      <c r="BS368" s="5" t="str">
        <f t="shared" si="57"/>
        <v>En gestión</v>
      </c>
      <c r="BT368" s="11" t="s">
        <v>3537</v>
      </c>
      <c r="BU368" s="862"/>
      <c r="BV368" s="863"/>
      <c r="BW368" s="827"/>
      <c r="BX368" s="827"/>
      <c r="BY368" s="573"/>
      <c r="BZ368" s="573"/>
      <c r="CA368" s="838"/>
      <c r="CB368" s="838"/>
      <c r="CC368" s="838"/>
      <c r="CD368" s="840"/>
      <c r="CE368" s="835"/>
      <c r="CF368" s="839"/>
      <c r="CG368" s="626"/>
      <c r="CH368" s="626"/>
      <c r="CI368" s="626"/>
      <c r="CJ368" s="837"/>
    </row>
    <row r="369" spans="2:88" ht="171.95" customHeight="1" x14ac:dyDescent="0.25">
      <c r="B369" s="1227"/>
      <c r="C369" s="867" t="s">
        <v>1141</v>
      </c>
      <c r="D369" s="238" t="s">
        <v>1045</v>
      </c>
      <c r="E369" s="238" t="s">
        <v>160</v>
      </c>
      <c r="F369" s="238" t="s">
        <v>1142</v>
      </c>
      <c r="G369" s="238" t="s">
        <v>28</v>
      </c>
      <c r="H369" s="238" t="s">
        <v>28</v>
      </c>
      <c r="I369" s="238" t="s">
        <v>1065</v>
      </c>
      <c r="J369" s="238" t="s">
        <v>1047</v>
      </c>
      <c r="K369" s="869" t="s">
        <v>1143</v>
      </c>
      <c r="L369" s="239" t="s">
        <v>752</v>
      </c>
      <c r="M369" s="240" t="s">
        <v>3538</v>
      </c>
      <c r="N369" s="261" t="s">
        <v>1144</v>
      </c>
      <c r="O369" s="242">
        <v>0.5</v>
      </c>
      <c r="P369" s="243">
        <v>44197</v>
      </c>
      <c r="Q369" s="243">
        <v>44377</v>
      </c>
      <c r="R369" s="242">
        <v>0.05</v>
      </c>
      <c r="S369" s="242">
        <v>1</v>
      </c>
      <c r="T369" s="242">
        <v>1</v>
      </c>
      <c r="U369" s="242">
        <v>1</v>
      </c>
      <c r="V369" s="233">
        <v>0.05</v>
      </c>
      <c r="W369" s="244" t="s">
        <v>1145</v>
      </c>
      <c r="X369" s="252" t="s">
        <v>3539</v>
      </c>
      <c r="Y369" s="19" t="str">
        <f t="shared" si="52"/>
        <v>En gestión</v>
      </c>
      <c r="Z369" s="19" t="str">
        <f t="shared" si="53"/>
        <v>En gestión</v>
      </c>
      <c r="AA369" s="871" t="s">
        <v>1160</v>
      </c>
      <c r="AB369" s="873">
        <f>SUMPRODUCT(O369:O370,V369:V370)</f>
        <v>2.5000000000000001E-2</v>
      </c>
      <c r="AC369" s="875">
        <f>SUMPRODUCT(O369:O370,R369:R370)</f>
        <v>2.5000000000000001E-2</v>
      </c>
      <c r="AD369" s="877" t="str">
        <f>IF(AC369&lt;1%,"Sin iniciar",IF(AC369=100%,"Terminado","En gestión"))</f>
        <v>En gestión</v>
      </c>
      <c r="AE369" s="877" t="str">
        <f>IF(AB369&lt;1%,"Sin iniciar",IF(AB369=100%,"Terminado","En gestión"))</f>
        <v>En gestión</v>
      </c>
      <c r="AF369" s="246"/>
      <c r="AG369" s="895">
        <v>55723139</v>
      </c>
      <c r="AH369" s="895">
        <v>55723139</v>
      </c>
      <c r="AI369" s="895">
        <v>1671694.17</v>
      </c>
      <c r="AJ369" s="897">
        <v>153241618</v>
      </c>
      <c r="AK369" s="897">
        <v>153241618</v>
      </c>
      <c r="AL369" s="895">
        <v>13797587.439999999</v>
      </c>
      <c r="AM369" s="881" t="s">
        <v>2609</v>
      </c>
      <c r="AN369" s="247">
        <v>2017011000343</v>
      </c>
      <c r="AO369" s="881" t="s">
        <v>2484</v>
      </c>
      <c r="AP369" s="881" t="s">
        <v>2612</v>
      </c>
      <c r="AQ369" s="246"/>
      <c r="AR369" s="1170">
        <v>1</v>
      </c>
      <c r="AS369" s="248" t="s">
        <v>1190</v>
      </c>
      <c r="AT369" s="253" t="s">
        <v>3540</v>
      </c>
      <c r="AU369" s="66" t="str">
        <f t="shared" si="54"/>
        <v>Terminado</v>
      </c>
      <c r="AV369" s="66" t="str">
        <f t="shared" si="55"/>
        <v>Terminado</v>
      </c>
      <c r="AW369" s="889" t="s">
        <v>1202</v>
      </c>
      <c r="AX369" s="891">
        <f>SUMPRODUCT(O369:O370,AR369:AR370)</f>
        <v>0.52500000000000002</v>
      </c>
      <c r="AY369" s="893">
        <f>SUMPRODUCT(S369:S370,O369:O370)</f>
        <v>0.52500000000000002</v>
      </c>
      <c r="AZ369" s="885" t="str">
        <f>IF(AY369&lt;1%,"Sin iniciar",IF(AY369=100%,"Terminado","En gestión"))</f>
        <v>En gestión</v>
      </c>
      <c r="BA369" s="885" t="str">
        <f>IF(AX369&lt;1%,"Sin iniciar",IF(AX369=100%,"Terminado","En gestión"))</f>
        <v>En gestión</v>
      </c>
      <c r="BB369" s="246"/>
      <c r="BC369" s="887" t="s">
        <v>1555</v>
      </c>
      <c r="BD369" s="879">
        <v>55723139</v>
      </c>
      <c r="BE369" s="879">
        <v>55723139</v>
      </c>
      <c r="BF369" s="879">
        <v>27861569.5</v>
      </c>
      <c r="BG369" s="915">
        <v>153241618</v>
      </c>
      <c r="BH369" s="915">
        <v>153241618</v>
      </c>
      <c r="BI369" s="879">
        <v>47367644.600000001</v>
      </c>
      <c r="BJ369" s="881" t="s">
        <v>2617</v>
      </c>
      <c r="BK369" s="883">
        <v>2017011000343</v>
      </c>
      <c r="BL369" s="881" t="s">
        <v>2549</v>
      </c>
      <c r="BM369" s="881" t="s">
        <v>2628</v>
      </c>
      <c r="BN369" s="871" t="s">
        <v>2551</v>
      </c>
      <c r="BO369" s="347">
        <v>1</v>
      </c>
      <c r="BP369" s="24" t="s">
        <v>3541</v>
      </c>
      <c r="BQ369" s="25" t="s">
        <v>28</v>
      </c>
      <c r="BR369" s="19" t="str">
        <f t="shared" si="56"/>
        <v>Terminado</v>
      </c>
      <c r="BS369" s="19" t="str">
        <f t="shared" si="57"/>
        <v>Terminado</v>
      </c>
      <c r="BT369" s="25" t="s">
        <v>28</v>
      </c>
      <c r="BU369" s="911">
        <f>SUMPRODUCT(O369:O370,BO369:BO370)</f>
        <v>0.65</v>
      </c>
      <c r="BV369" s="913">
        <f>SUMPRODUCT(O369:O370,T369:T370)</f>
        <v>0.65</v>
      </c>
      <c r="BW369" s="877" t="str">
        <f>IF(BV369&lt;1%,"Sin iniciar",IF(BV369=100%,"Terminado","En gestión"))</f>
        <v>En gestión</v>
      </c>
      <c r="BX369" s="877" t="str">
        <f>IF(BU369&lt;1%,"Sin iniciar",IF(BU369=100%,"Terminado","En gestión"))</f>
        <v>En gestión</v>
      </c>
      <c r="BY369" s="613" t="s">
        <v>37</v>
      </c>
      <c r="BZ369" s="613" t="s">
        <v>1555</v>
      </c>
      <c r="CA369" s="903">
        <f>BD369</f>
        <v>55723139</v>
      </c>
      <c r="CB369" s="905">
        <f>BE369</f>
        <v>55723139</v>
      </c>
      <c r="CC369" s="903">
        <f>CB369*75%</f>
        <v>41792354.25</v>
      </c>
      <c r="CD369" s="907">
        <f>BG369</f>
        <v>153241618</v>
      </c>
      <c r="CE369" s="909">
        <f>BH369</f>
        <v>153241618</v>
      </c>
      <c r="CF369" s="905">
        <v>120670271</v>
      </c>
      <c r="CG369" s="899" t="s">
        <v>2617</v>
      </c>
      <c r="CH369" s="899" t="s">
        <v>2549</v>
      </c>
      <c r="CI369" s="899" t="s">
        <v>2628</v>
      </c>
      <c r="CJ369" s="901" t="s">
        <v>2551</v>
      </c>
    </row>
    <row r="370" spans="2:88" ht="171.95" customHeight="1" x14ac:dyDescent="0.25">
      <c r="B370" s="1227"/>
      <c r="C370" s="868"/>
      <c r="D370" s="238" t="s">
        <v>1045</v>
      </c>
      <c r="E370" s="238" t="s">
        <v>160</v>
      </c>
      <c r="F370" s="238" t="s">
        <v>1142</v>
      </c>
      <c r="G370" s="238" t="s">
        <v>28</v>
      </c>
      <c r="H370" s="238" t="s">
        <v>28</v>
      </c>
      <c r="I370" s="238" t="s">
        <v>1065</v>
      </c>
      <c r="J370" s="238" t="s">
        <v>1047</v>
      </c>
      <c r="K370" s="870"/>
      <c r="L370" s="239" t="s">
        <v>752</v>
      </c>
      <c r="M370" s="240" t="s">
        <v>3542</v>
      </c>
      <c r="N370" s="261" t="s">
        <v>1146</v>
      </c>
      <c r="O370" s="242">
        <v>0.5</v>
      </c>
      <c r="P370" s="243">
        <v>44287</v>
      </c>
      <c r="Q370" s="243">
        <v>44561</v>
      </c>
      <c r="R370" s="242">
        <v>0</v>
      </c>
      <c r="S370" s="242">
        <v>0.05</v>
      </c>
      <c r="T370" s="242">
        <v>0.3</v>
      </c>
      <c r="U370" s="242">
        <v>1</v>
      </c>
      <c r="V370" s="233">
        <v>0</v>
      </c>
      <c r="W370" s="244" t="s">
        <v>37</v>
      </c>
      <c r="X370" s="250" t="s">
        <v>37</v>
      </c>
      <c r="Y370" s="19" t="str">
        <f t="shared" si="52"/>
        <v>Sin iniciar</v>
      </c>
      <c r="Z370" s="19" t="str">
        <f t="shared" si="53"/>
        <v>Sin iniciar</v>
      </c>
      <c r="AA370" s="872"/>
      <c r="AB370" s="874"/>
      <c r="AC370" s="876"/>
      <c r="AD370" s="878"/>
      <c r="AE370" s="878"/>
      <c r="AF370" s="246"/>
      <c r="AG370" s="896"/>
      <c r="AH370" s="896"/>
      <c r="AI370" s="896"/>
      <c r="AJ370" s="898"/>
      <c r="AK370" s="898"/>
      <c r="AL370" s="896"/>
      <c r="AM370" s="882"/>
      <c r="AN370" s="247">
        <v>2017011000343</v>
      </c>
      <c r="AO370" s="882"/>
      <c r="AP370" s="882"/>
      <c r="AQ370" s="246"/>
      <c r="AR370" s="1170">
        <v>0.05</v>
      </c>
      <c r="AS370" s="248" t="s">
        <v>1191</v>
      </c>
      <c r="AT370" s="295" t="s">
        <v>3543</v>
      </c>
      <c r="AU370" s="66" t="str">
        <f t="shared" si="54"/>
        <v>En gestión</v>
      </c>
      <c r="AV370" s="66" t="str">
        <f t="shared" si="55"/>
        <v>En gestión</v>
      </c>
      <c r="AW370" s="890"/>
      <c r="AX370" s="892"/>
      <c r="AY370" s="894"/>
      <c r="AZ370" s="886"/>
      <c r="BA370" s="886"/>
      <c r="BB370" s="246"/>
      <c r="BC370" s="888"/>
      <c r="BD370" s="880"/>
      <c r="BE370" s="880"/>
      <c r="BF370" s="880"/>
      <c r="BG370" s="916"/>
      <c r="BH370" s="916"/>
      <c r="BI370" s="880"/>
      <c r="BJ370" s="882"/>
      <c r="BK370" s="884"/>
      <c r="BL370" s="882"/>
      <c r="BM370" s="882"/>
      <c r="BN370" s="872"/>
      <c r="BO370" s="347">
        <v>0.3</v>
      </c>
      <c r="BP370" s="24" t="s">
        <v>3544</v>
      </c>
      <c r="BQ370" s="24" t="s">
        <v>3545</v>
      </c>
      <c r="BR370" s="19" t="str">
        <f t="shared" si="56"/>
        <v>En gestión</v>
      </c>
      <c r="BS370" s="19" t="str">
        <f t="shared" si="57"/>
        <v>En gestión</v>
      </c>
      <c r="BT370" s="24" t="s">
        <v>3546</v>
      </c>
      <c r="BU370" s="912"/>
      <c r="BV370" s="914"/>
      <c r="BW370" s="878"/>
      <c r="BX370" s="878"/>
      <c r="BY370" s="614"/>
      <c r="BZ370" s="614"/>
      <c r="CA370" s="904"/>
      <c r="CB370" s="906"/>
      <c r="CC370" s="904"/>
      <c r="CD370" s="908"/>
      <c r="CE370" s="910"/>
      <c r="CF370" s="906"/>
      <c r="CG370" s="900"/>
      <c r="CH370" s="900"/>
      <c r="CI370" s="900"/>
      <c r="CJ370" s="902"/>
    </row>
    <row r="371" spans="2:88" ht="171.95" customHeight="1" x14ac:dyDescent="0.25">
      <c r="B371" s="1227"/>
      <c r="C371" s="612" t="s">
        <v>1147</v>
      </c>
      <c r="D371" s="227" t="s">
        <v>1045</v>
      </c>
      <c r="E371" s="227" t="s">
        <v>160</v>
      </c>
      <c r="F371" s="227" t="s">
        <v>1142</v>
      </c>
      <c r="G371" s="227" t="s">
        <v>28</v>
      </c>
      <c r="H371" s="227" t="s">
        <v>28</v>
      </c>
      <c r="I371" s="227" t="s">
        <v>1065</v>
      </c>
      <c r="J371" s="227" t="s">
        <v>1047</v>
      </c>
      <c r="K371" s="820" t="s">
        <v>1148</v>
      </c>
      <c r="L371" s="228" t="s">
        <v>752</v>
      </c>
      <c r="M371" s="229" t="s">
        <v>3547</v>
      </c>
      <c r="N371" s="254" t="s">
        <v>1149</v>
      </c>
      <c r="O371" s="231">
        <v>0.7</v>
      </c>
      <c r="P371" s="232">
        <v>44287</v>
      </c>
      <c r="Q371" s="232">
        <v>44561</v>
      </c>
      <c r="R371" s="231">
        <v>0</v>
      </c>
      <c r="S371" s="231">
        <v>0.05</v>
      </c>
      <c r="T371" s="231">
        <v>0.3</v>
      </c>
      <c r="U371" s="231">
        <v>1</v>
      </c>
      <c r="V371" s="233">
        <v>0</v>
      </c>
      <c r="W371" s="234" t="s">
        <v>37</v>
      </c>
      <c r="X371" s="235" t="s">
        <v>37</v>
      </c>
      <c r="Y371" s="5" t="str">
        <f t="shared" si="52"/>
        <v>Sin iniciar</v>
      </c>
      <c r="Z371" s="5" t="str">
        <f t="shared" si="53"/>
        <v>Sin iniciar</v>
      </c>
      <c r="AA371" s="842" t="s">
        <v>1151</v>
      </c>
      <c r="AB371" s="596">
        <f>SUMPRODUCT(O371:O372,V371:V372)</f>
        <v>0</v>
      </c>
      <c r="AC371" s="597">
        <f>SUMPRODUCT(O371:O372,R371:R372)</f>
        <v>0</v>
      </c>
      <c r="AD371" s="827" t="str">
        <f>IF(AC371&lt;1%,"Sin iniciar",IF(AC371=100%,"Terminado","En gestión"))</f>
        <v>Sin iniciar</v>
      </c>
      <c r="AE371" s="827" t="str">
        <f>IF(AB371&lt;1%,"Sin iniciar",IF(AB371=100%,"Terminado","En gestión"))</f>
        <v>Sin iniciar</v>
      </c>
      <c r="AF371" s="236"/>
      <c r="AG371" s="282"/>
      <c r="AH371" s="282"/>
      <c r="AI371" s="296"/>
      <c r="AJ371" s="283"/>
      <c r="AK371" s="283"/>
      <c r="AL371" s="296"/>
      <c r="AM371" s="288"/>
      <c r="AN371" s="237"/>
      <c r="AO371" s="288"/>
      <c r="AP371" s="288"/>
      <c r="AQ371" s="236"/>
      <c r="AR371" s="1170">
        <v>0.05</v>
      </c>
      <c r="AS371" s="842" t="s">
        <v>1192</v>
      </c>
      <c r="AT371" s="297" t="s">
        <v>5216</v>
      </c>
      <c r="AU371" s="56" t="str">
        <f t="shared" si="54"/>
        <v>En gestión</v>
      </c>
      <c r="AV371" s="56" t="str">
        <f t="shared" si="55"/>
        <v>En gestión</v>
      </c>
      <c r="AW371" s="842" t="s">
        <v>1203</v>
      </c>
      <c r="AX371" s="599">
        <f>SUMPRODUCT(O371:O372,AR371:AR372)</f>
        <v>4.9999999999999996E-2</v>
      </c>
      <c r="AY371" s="600">
        <f>SUMPRODUCT(S371:S372,O371:O372)</f>
        <v>4.9999999999999996E-2</v>
      </c>
      <c r="AZ371" s="823" t="str">
        <f>IF(AY371&lt;1%,"Sin iniciar",IF(AY371=100%,"Terminado","En gestión"))</f>
        <v>En gestión</v>
      </c>
      <c r="BA371" s="823" t="str">
        <f>IF(AX371&lt;1%,"Sin iniciar",IF(AX371=100%,"Terminado","En gestión"))</f>
        <v>En gestión</v>
      </c>
      <c r="BB371" s="236"/>
      <c r="BC371" s="821" t="s">
        <v>1555</v>
      </c>
      <c r="BD371" s="824">
        <v>10562882.5</v>
      </c>
      <c r="BE371" s="824">
        <v>10562882.5</v>
      </c>
      <c r="BF371" s="843">
        <v>5281441.25</v>
      </c>
      <c r="BG371" s="844">
        <v>35219193.5</v>
      </c>
      <c r="BH371" s="844">
        <v>35219193.5</v>
      </c>
      <c r="BI371" s="843">
        <v>49084473</v>
      </c>
      <c r="BJ371" s="822" t="s">
        <v>2617</v>
      </c>
      <c r="BK371" s="841">
        <v>2017011000343</v>
      </c>
      <c r="BL371" s="822" t="s">
        <v>2624</v>
      </c>
      <c r="BM371" s="822" t="s">
        <v>2547</v>
      </c>
      <c r="BN371" s="822" t="s">
        <v>2552</v>
      </c>
      <c r="BO371" s="347">
        <v>0.5</v>
      </c>
      <c r="BP371" s="581" t="s">
        <v>3548</v>
      </c>
      <c r="BQ371" s="581" t="s">
        <v>3549</v>
      </c>
      <c r="BR371" s="5" t="str">
        <f t="shared" si="56"/>
        <v>En gestión</v>
      </c>
      <c r="BS371" s="5" t="str">
        <f t="shared" si="57"/>
        <v>En gestión</v>
      </c>
      <c r="BT371" s="581" t="s">
        <v>3427</v>
      </c>
      <c r="BU371" s="561">
        <f>SUMPRODUCT(O371:O372,BO371:BO372)</f>
        <v>0.5</v>
      </c>
      <c r="BV371" s="562">
        <f>SUMPRODUCT(O371:O372,T371:T372)</f>
        <v>0.3</v>
      </c>
      <c r="BW371" s="827" t="str">
        <f>IF(BV371&lt;1%,"Sin iniciar",IF(BV371=100%,"Terminado","En gestión"))</f>
        <v>En gestión</v>
      </c>
      <c r="BX371" s="827" t="str">
        <f>IF(BU371&lt;1%,"Sin iniciar",IF(BU371=100%,"Terminado","En gestión"))</f>
        <v>En gestión</v>
      </c>
      <c r="BY371" s="573" t="s">
        <v>37</v>
      </c>
      <c r="BZ371" s="573" t="s">
        <v>1555</v>
      </c>
      <c r="CA371" s="838">
        <v>10562882.5</v>
      </c>
      <c r="CB371" s="838">
        <v>10562882.5</v>
      </c>
      <c r="CC371" s="838">
        <f>CB371*75%</f>
        <v>7922161.875</v>
      </c>
      <c r="CD371" s="840">
        <v>35219193.5</v>
      </c>
      <c r="CE371" s="917">
        <v>35219193.5</v>
      </c>
      <c r="CF371" s="919">
        <v>35219194</v>
      </c>
      <c r="CG371" s="626" t="s">
        <v>2617</v>
      </c>
      <c r="CH371" s="626" t="s">
        <v>2624</v>
      </c>
      <c r="CI371" s="626" t="s">
        <v>2547</v>
      </c>
      <c r="CJ371" s="626" t="s">
        <v>2552</v>
      </c>
    </row>
    <row r="372" spans="2:88" ht="171.95" customHeight="1" x14ac:dyDescent="0.25">
      <c r="B372" s="1227"/>
      <c r="C372" s="612"/>
      <c r="D372" s="227" t="s">
        <v>1045</v>
      </c>
      <c r="E372" s="227" t="s">
        <v>160</v>
      </c>
      <c r="F372" s="227" t="s">
        <v>1142</v>
      </c>
      <c r="G372" s="227" t="s">
        <v>28</v>
      </c>
      <c r="H372" s="227" t="s">
        <v>28</v>
      </c>
      <c r="I372" s="227" t="s">
        <v>1065</v>
      </c>
      <c r="J372" s="227" t="s">
        <v>1047</v>
      </c>
      <c r="K372" s="820"/>
      <c r="L372" s="228" t="s">
        <v>752</v>
      </c>
      <c r="M372" s="229" t="s">
        <v>3550</v>
      </c>
      <c r="N372" s="254" t="s">
        <v>1150</v>
      </c>
      <c r="O372" s="231">
        <v>0.3</v>
      </c>
      <c r="P372" s="232">
        <v>44287</v>
      </c>
      <c r="Q372" s="232">
        <v>44561</v>
      </c>
      <c r="R372" s="231">
        <v>0</v>
      </c>
      <c r="S372" s="231">
        <v>0.05</v>
      </c>
      <c r="T372" s="231">
        <v>0.3</v>
      </c>
      <c r="U372" s="231">
        <v>1</v>
      </c>
      <c r="V372" s="233">
        <v>0</v>
      </c>
      <c r="W372" s="234" t="s">
        <v>37</v>
      </c>
      <c r="X372" s="235" t="s">
        <v>37</v>
      </c>
      <c r="Y372" s="5" t="str">
        <f t="shared" si="52"/>
        <v>Sin iniciar</v>
      </c>
      <c r="Z372" s="5" t="str">
        <f t="shared" si="53"/>
        <v>Sin iniciar</v>
      </c>
      <c r="AA372" s="842"/>
      <c r="AB372" s="596"/>
      <c r="AC372" s="597"/>
      <c r="AD372" s="827"/>
      <c r="AE372" s="827"/>
      <c r="AF372" s="236"/>
      <c r="AG372" s="282"/>
      <c r="AH372" s="282"/>
      <c r="AI372" s="296"/>
      <c r="AJ372" s="283"/>
      <c r="AK372" s="283"/>
      <c r="AL372" s="296"/>
      <c r="AM372" s="288"/>
      <c r="AN372" s="237"/>
      <c r="AO372" s="288"/>
      <c r="AP372" s="288"/>
      <c r="AQ372" s="236"/>
      <c r="AR372" s="1170">
        <v>0.05</v>
      </c>
      <c r="AS372" s="842"/>
      <c r="AT372" s="298" t="s">
        <v>3551</v>
      </c>
      <c r="AU372" s="56" t="str">
        <f t="shared" si="54"/>
        <v>En gestión</v>
      </c>
      <c r="AV372" s="56" t="str">
        <f t="shared" si="55"/>
        <v>En gestión</v>
      </c>
      <c r="AW372" s="842"/>
      <c r="AX372" s="599"/>
      <c r="AY372" s="600"/>
      <c r="AZ372" s="823"/>
      <c r="BA372" s="823"/>
      <c r="BB372" s="236"/>
      <c r="BC372" s="821"/>
      <c r="BD372" s="824">
        <v>10562882.5</v>
      </c>
      <c r="BE372" s="824">
        <v>10562882.5</v>
      </c>
      <c r="BF372" s="843"/>
      <c r="BG372" s="844"/>
      <c r="BH372" s="844"/>
      <c r="BI372" s="843"/>
      <c r="BJ372" s="822"/>
      <c r="BK372" s="841"/>
      <c r="BL372" s="822"/>
      <c r="BM372" s="822"/>
      <c r="BN372" s="822"/>
      <c r="BO372" s="347">
        <v>0.5</v>
      </c>
      <c r="BP372" s="581"/>
      <c r="BQ372" s="581"/>
      <c r="BR372" s="5" t="str">
        <f t="shared" si="56"/>
        <v>En gestión</v>
      </c>
      <c r="BS372" s="5" t="str">
        <f t="shared" si="57"/>
        <v>En gestión</v>
      </c>
      <c r="BT372" s="581"/>
      <c r="BU372" s="561"/>
      <c r="BV372" s="562"/>
      <c r="BW372" s="827"/>
      <c r="BX372" s="827"/>
      <c r="BY372" s="573"/>
      <c r="BZ372" s="573"/>
      <c r="CA372" s="838">
        <v>10562882.5</v>
      </c>
      <c r="CB372" s="838">
        <v>10562882.5</v>
      </c>
      <c r="CC372" s="838">
        <v>10562882.5</v>
      </c>
      <c r="CD372" s="840"/>
      <c r="CE372" s="918"/>
      <c r="CF372" s="920"/>
      <c r="CG372" s="626"/>
      <c r="CH372" s="626"/>
      <c r="CI372" s="626"/>
      <c r="CJ372" s="626"/>
    </row>
    <row r="373" spans="2:88" ht="171.95" customHeight="1" x14ac:dyDescent="0.25">
      <c r="B373" s="1227" t="s">
        <v>5229</v>
      </c>
      <c r="C373" s="639" t="s">
        <v>1205</v>
      </c>
      <c r="D373" s="41" t="s">
        <v>57</v>
      </c>
      <c r="E373" s="41" t="s">
        <v>26</v>
      </c>
      <c r="F373" s="640" t="s">
        <v>1206</v>
      </c>
      <c r="G373" s="41" t="s">
        <v>28</v>
      </c>
      <c r="H373" s="41" t="s">
        <v>28</v>
      </c>
      <c r="I373" s="41" t="s">
        <v>326</v>
      </c>
      <c r="J373" s="41" t="s">
        <v>30</v>
      </c>
      <c r="K373" s="641" t="s">
        <v>1207</v>
      </c>
      <c r="L373" s="52" t="s">
        <v>187</v>
      </c>
      <c r="M373" s="42" t="s">
        <v>1208</v>
      </c>
      <c r="N373" s="108" t="s">
        <v>1209</v>
      </c>
      <c r="O373" s="41">
        <v>0.7</v>
      </c>
      <c r="P373" s="44">
        <v>44334</v>
      </c>
      <c r="Q373" s="44">
        <v>44449</v>
      </c>
      <c r="R373" s="45">
        <v>0</v>
      </c>
      <c r="S373" s="45">
        <v>0.2</v>
      </c>
      <c r="T373" s="45">
        <v>1</v>
      </c>
      <c r="U373" s="45">
        <v>1</v>
      </c>
      <c r="V373" s="90">
        <v>0</v>
      </c>
      <c r="W373" s="62" t="s">
        <v>37</v>
      </c>
      <c r="X373" s="63" t="s">
        <v>37</v>
      </c>
      <c r="Y373" s="19" t="str">
        <f t="shared" ref="Y373:Y400" si="59">IF(R373&lt;1%,"Sin iniciar",IF(R373=100%,"Terminado","En gestión"))</f>
        <v>Sin iniciar</v>
      </c>
      <c r="Z373" s="19" t="str">
        <f t="shared" ref="Z373:Z400" si="60">IF(V373&lt;1%,"Sin iniciar",IF(V373=100%,"Terminado","En gestión"))</f>
        <v>Sin iniciar</v>
      </c>
      <c r="AA373" s="532" t="s">
        <v>179</v>
      </c>
      <c r="AB373" s="596">
        <f>SUMPRODUCT(O373:O374,V373:V374)</f>
        <v>0</v>
      </c>
      <c r="AC373" s="597">
        <f>SUMPRODUCT(O373:O374,R373:R374)</f>
        <v>0</v>
      </c>
      <c r="AD373" s="611" t="str">
        <f>IF(AC373&lt;1%,"Sin iniciar",IF(AC373=100%,"Terminado","En gestión"))</f>
        <v>Sin iniciar</v>
      </c>
      <c r="AE373" s="611" t="str">
        <f>IF(AB373&lt;1%,"Sin iniciar",IF(AB373=100%,"Terminado","En gestión"))</f>
        <v>Sin iniciar</v>
      </c>
      <c r="AF373" s="66"/>
      <c r="AG373" s="579">
        <v>19852783.200000003</v>
      </c>
      <c r="AH373" s="579">
        <v>0</v>
      </c>
      <c r="AI373" s="579">
        <v>0</v>
      </c>
      <c r="AJ373" s="579">
        <v>18122850</v>
      </c>
      <c r="AK373" s="579">
        <v>0</v>
      </c>
      <c r="AL373" s="579">
        <v>0</v>
      </c>
      <c r="AM373" s="592" t="s">
        <v>2485</v>
      </c>
      <c r="AN373" s="598" t="s">
        <v>2486</v>
      </c>
      <c r="AO373" s="521" t="s">
        <v>2487</v>
      </c>
      <c r="AP373" s="532" t="s">
        <v>2488</v>
      </c>
      <c r="AQ373" s="579">
        <f>+AK373</f>
        <v>0</v>
      </c>
      <c r="AR373" s="1161">
        <v>0.2</v>
      </c>
      <c r="AS373" s="62" t="s">
        <v>1297</v>
      </c>
      <c r="AT373" s="198" t="s">
        <v>3552</v>
      </c>
      <c r="AU373" s="66" t="str">
        <f t="shared" ref="AU373:AU400" si="61">IF(S373&lt;1%,"Sin iniciar",IF(S373=100%,"Terminado","En gestión"))</f>
        <v>En gestión</v>
      </c>
      <c r="AV373" s="66" t="str">
        <f t="shared" ref="AV373:AV400" si="62">IF(AR373&lt;1%,"Sin iniciar",IF(AR373=100%,"Terminado","En gestión"))</f>
        <v>En gestión</v>
      </c>
      <c r="AW373" s="532" t="s">
        <v>1312</v>
      </c>
      <c r="AX373" s="599">
        <f>SUMPRODUCT(O373:O374,AR373:AR374)</f>
        <v>0.13999999999999999</v>
      </c>
      <c r="AY373" s="600">
        <f>SUMPRODUCT(S373:S374,O373:O374)</f>
        <v>0.13999999999999999</v>
      </c>
      <c r="AZ373" s="530" t="str">
        <f>IF(AY373&lt;1%,"Sin iniciar",IF(AY373=100%,"Terminado","En gestión"))</f>
        <v>En gestión</v>
      </c>
      <c r="BA373" s="530" t="str">
        <f>IF(AX373&lt;1%,"Sin iniciar",IF(AX373=100%,"Terminado","En gestión"))</f>
        <v>En gestión</v>
      </c>
      <c r="BB373" s="66"/>
      <c r="BC373" s="66"/>
      <c r="BD373" s="579">
        <v>19852783.200000003</v>
      </c>
      <c r="BE373" s="579">
        <v>30583097.596969701</v>
      </c>
      <c r="BF373" s="579">
        <v>9814871.6689655166</v>
      </c>
      <c r="BG373" s="579">
        <v>18122850</v>
      </c>
      <c r="BH373" s="579">
        <v>18122850</v>
      </c>
      <c r="BI373" s="579">
        <v>3825000</v>
      </c>
      <c r="BJ373" s="592" t="s">
        <v>2485</v>
      </c>
      <c r="BK373" s="557"/>
      <c r="BL373" s="521" t="s">
        <v>2487</v>
      </c>
      <c r="BM373" s="532" t="s">
        <v>2488</v>
      </c>
      <c r="BN373" s="579" t="s">
        <v>2664</v>
      </c>
      <c r="BO373" s="348">
        <v>1</v>
      </c>
      <c r="BP373" s="24" t="s">
        <v>3553</v>
      </c>
      <c r="BQ373" s="24" t="s">
        <v>3554</v>
      </c>
      <c r="BR373" s="19" t="str">
        <f t="shared" ref="BR373:BR400" si="63">IF(T373&lt;1%,"Sin iniciar",IF(T373=100%,"Terminado","En gestión"))</f>
        <v>Terminado</v>
      </c>
      <c r="BS373" s="19" t="str">
        <f t="shared" ref="BS373:BS400" si="64">IF(BO373&lt;1%,"Sin iniciar",IF(BO373=100%,"Terminado","En gestión"))</f>
        <v>Terminado</v>
      </c>
      <c r="BT373" s="560" t="s">
        <v>3555</v>
      </c>
      <c r="BU373" s="561">
        <f>SUMPRODUCT(O373:O374,BO373:BO374)</f>
        <v>1</v>
      </c>
      <c r="BV373" s="562">
        <f>SUMPRODUCT(O373:O374,T373:T374)</f>
        <v>1</v>
      </c>
      <c r="BW373" s="611" t="str">
        <f>IF(BV373&lt;1%,"Sin iniciar",IF(BV373=100%,"Terminado","En gestión"))</f>
        <v>Terminado</v>
      </c>
      <c r="BX373" s="611" t="str">
        <f>IF(BU373&lt;1%,"Sin iniciar",IF(BU373=100%,"Terminado","En gestión"))</f>
        <v>Terminado</v>
      </c>
      <c r="BY373" s="578" t="s">
        <v>37</v>
      </c>
      <c r="BZ373" s="560" t="s">
        <v>3556</v>
      </c>
      <c r="CA373" s="579">
        <v>30583097.596969701</v>
      </c>
      <c r="CB373" s="579"/>
      <c r="CC373" s="579">
        <f>CA373*BV373</f>
        <v>30583097.596969701</v>
      </c>
      <c r="CD373" s="579">
        <v>18122850</v>
      </c>
      <c r="CE373" s="579">
        <v>47985534.666666701</v>
      </c>
      <c r="CF373" s="579">
        <v>29246849.833333299</v>
      </c>
      <c r="CG373" s="560" t="s">
        <v>3557</v>
      </c>
      <c r="CH373" s="560" t="s">
        <v>3558</v>
      </c>
      <c r="CI373" s="560" t="s">
        <v>3559</v>
      </c>
      <c r="CJ373" s="560" t="s">
        <v>2664</v>
      </c>
    </row>
    <row r="374" spans="2:88" ht="171.95" customHeight="1" x14ac:dyDescent="0.25">
      <c r="B374" s="1227"/>
      <c r="C374" s="639"/>
      <c r="D374" s="41" t="s">
        <v>57</v>
      </c>
      <c r="E374" s="41" t="s">
        <v>26</v>
      </c>
      <c r="F374" s="640"/>
      <c r="G374" s="41" t="s">
        <v>28</v>
      </c>
      <c r="H374" s="41" t="s">
        <v>28</v>
      </c>
      <c r="I374" s="41" t="s">
        <v>326</v>
      </c>
      <c r="J374" s="41" t="s">
        <v>30</v>
      </c>
      <c r="K374" s="641"/>
      <c r="L374" s="52" t="s">
        <v>187</v>
      </c>
      <c r="M374" s="42" t="s">
        <v>1210</v>
      </c>
      <c r="N374" s="108" t="s">
        <v>1211</v>
      </c>
      <c r="O374" s="41">
        <v>0.3</v>
      </c>
      <c r="P374" s="44">
        <v>44452</v>
      </c>
      <c r="Q374" s="44">
        <v>44461</v>
      </c>
      <c r="R374" s="45">
        <v>0</v>
      </c>
      <c r="S374" s="45">
        <v>0</v>
      </c>
      <c r="T374" s="45">
        <v>1</v>
      </c>
      <c r="U374" s="45">
        <v>1</v>
      </c>
      <c r="V374" s="90">
        <v>0</v>
      </c>
      <c r="W374" s="62" t="s">
        <v>37</v>
      </c>
      <c r="X374" s="63" t="s">
        <v>37</v>
      </c>
      <c r="Y374" s="19" t="str">
        <f t="shared" si="59"/>
        <v>Sin iniciar</v>
      </c>
      <c r="Z374" s="19" t="str">
        <f t="shared" si="60"/>
        <v>Sin iniciar</v>
      </c>
      <c r="AA374" s="532"/>
      <c r="AB374" s="596"/>
      <c r="AC374" s="597"/>
      <c r="AD374" s="611"/>
      <c r="AE374" s="611"/>
      <c r="AF374" s="66"/>
      <c r="AG374" s="579"/>
      <c r="AH374" s="579"/>
      <c r="AI374" s="579"/>
      <c r="AJ374" s="579"/>
      <c r="AK374" s="579"/>
      <c r="AL374" s="579"/>
      <c r="AM374" s="592"/>
      <c r="AN374" s="598"/>
      <c r="AO374" s="521"/>
      <c r="AP374" s="532"/>
      <c r="AQ374" s="579"/>
      <c r="AR374" s="1161">
        <v>0</v>
      </c>
      <c r="AS374" s="62" t="s">
        <v>2437</v>
      </c>
      <c r="AT374" s="63"/>
      <c r="AU374" s="66" t="str">
        <f t="shared" si="61"/>
        <v>Sin iniciar</v>
      </c>
      <c r="AV374" s="66" t="str">
        <f t="shared" si="62"/>
        <v>Sin iniciar</v>
      </c>
      <c r="AW374" s="532"/>
      <c r="AX374" s="599"/>
      <c r="AY374" s="600"/>
      <c r="AZ374" s="530"/>
      <c r="BA374" s="530"/>
      <c r="BB374" s="66"/>
      <c r="BC374" s="66"/>
      <c r="BD374" s="579"/>
      <c r="BE374" s="579"/>
      <c r="BF374" s="579"/>
      <c r="BG374" s="579"/>
      <c r="BH374" s="579"/>
      <c r="BI374" s="579"/>
      <c r="BJ374" s="592"/>
      <c r="BK374" s="558"/>
      <c r="BL374" s="521"/>
      <c r="BM374" s="532"/>
      <c r="BN374" s="579"/>
      <c r="BO374" s="348">
        <v>1</v>
      </c>
      <c r="BP374" s="24" t="s">
        <v>3560</v>
      </c>
      <c r="BQ374" s="24" t="s">
        <v>3561</v>
      </c>
      <c r="BR374" s="19" t="str">
        <f t="shared" si="63"/>
        <v>Terminado</v>
      </c>
      <c r="BS374" s="19" t="str">
        <f t="shared" si="64"/>
        <v>Terminado</v>
      </c>
      <c r="BT374" s="560"/>
      <c r="BU374" s="561"/>
      <c r="BV374" s="562"/>
      <c r="BW374" s="611"/>
      <c r="BX374" s="611"/>
      <c r="BY374" s="578"/>
      <c r="BZ374" s="560"/>
      <c r="CA374" s="579"/>
      <c r="CB374" s="579"/>
      <c r="CC374" s="579"/>
      <c r="CD374" s="579"/>
      <c r="CE374" s="579"/>
      <c r="CF374" s="579"/>
      <c r="CG374" s="560"/>
      <c r="CH374" s="560"/>
      <c r="CI374" s="560"/>
      <c r="CJ374" s="560"/>
    </row>
    <row r="375" spans="2:88" ht="171.95" customHeight="1" x14ac:dyDescent="0.25">
      <c r="B375" s="1227"/>
      <c r="C375" s="632" t="s">
        <v>1212</v>
      </c>
      <c r="D375" s="33" t="s">
        <v>267</v>
      </c>
      <c r="E375" s="33" t="s">
        <v>160</v>
      </c>
      <c r="F375" s="633" t="s">
        <v>1213</v>
      </c>
      <c r="G375" s="33" t="s">
        <v>28</v>
      </c>
      <c r="H375" s="33" t="s">
        <v>28</v>
      </c>
      <c r="I375" s="33" t="s">
        <v>326</v>
      </c>
      <c r="J375" s="33" t="s">
        <v>1039</v>
      </c>
      <c r="K375" s="634" t="s">
        <v>1214</v>
      </c>
      <c r="L375" s="51" t="s">
        <v>752</v>
      </c>
      <c r="M375" s="34" t="s">
        <v>1215</v>
      </c>
      <c r="N375" s="93" t="s">
        <v>1216</v>
      </c>
      <c r="O375" s="33">
        <v>0.5</v>
      </c>
      <c r="P375" s="36">
        <v>44235</v>
      </c>
      <c r="Q375" s="36">
        <v>44347</v>
      </c>
      <c r="R375" s="37">
        <v>0.5</v>
      </c>
      <c r="S375" s="37">
        <v>1</v>
      </c>
      <c r="T375" s="37">
        <v>1</v>
      </c>
      <c r="U375" s="37">
        <v>1</v>
      </c>
      <c r="V375" s="90">
        <v>0.5</v>
      </c>
      <c r="W375" s="13" t="s">
        <v>1217</v>
      </c>
      <c r="X375" s="55" t="s">
        <v>3562</v>
      </c>
      <c r="Y375" s="5" t="str">
        <f t="shared" si="59"/>
        <v>En gestión</v>
      </c>
      <c r="Z375" s="5" t="str">
        <f t="shared" si="60"/>
        <v>En gestión</v>
      </c>
      <c r="AA375" s="531" t="s">
        <v>1288</v>
      </c>
      <c r="AB375" s="596">
        <f>SUMPRODUCT(O375:O377,V375:V377)</f>
        <v>0.25</v>
      </c>
      <c r="AC375" s="597">
        <f>SUMPRODUCT(O375:O377,R375:R377)</f>
        <v>0.25</v>
      </c>
      <c r="AD375" s="610" t="str">
        <f>IF(AC375&lt;1%,"Sin iniciar",IF(AC375=100%,"Terminado","En gestión"))</f>
        <v>En gestión</v>
      </c>
      <c r="AE375" s="610" t="str">
        <f>IF(AB375&lt;1%,"Sin iniciar",IF(AB375=100%,"Terminado","En gestión"))</f>
        <v>En gestión</v>
      </c>
      <c r="AF375" s="56"/>
      <c r="AG375" s="583">
        <v>74440664.879999995</v>
      </c>
      <c r="AH375" s="583">
        <v>0</v>
      </c>
      <c r="AI375" s="583">
        <v>18610166.219999999</v>
      </c>
      <c r="AJ375" s="583">
        <v>0</v>
      </c>
      <c r="AK375" s="583">
        <v>0</v>
      </c>
      <c r="AL375" s="583">
        <v>0</v>
      </c>
      <c r="AM375" s="593" t="s">
        <v>2501</v>
      </c>
      <c r="AN375" s="603" t="s">
        <v>2502</v>
      </c>
      <c r="AO375" s="536"/>
      <c r="AP375" s="921"/>
      <c r="AQ375" s="583">
        <f>+AH375</f>
        <v>0</v>
      </c>
      <c r="AR375" s="1163">
        <v>1</v>
      </c>
      <c r="AS375" s="13" t="s">
        <v>1298</v>
      </c>
      <c r="AT375" s="55" t="s">
        <v>3563</v>
      </c>
      <c r="AU375" s="56" t="str">
        <f t="shared" si="61"/>
        <v>Terminado</v>
      </c>
      <c r="AV375" s="56" t="str">
        <f t="shared" si="62"/>
        <v>Terminado</v>
      </c>
      <c r="AW375" s="531" t="s">
        <v>1313</v>
      </c>
      <c r="AX375" s="599">
        <f>SUMPRODUCT(O375:O377,AR375:AR377)</f>
        <v>0.56000000000000005</v>
      </c>
      <c r="AY375" s="600">
        <f>SUMPRODUCT(S375:S377,O375:O377)</f>
        <v>0.56000000000000005</v>
      </c>
      <c r="AZ375" s="536" t="str">
        <f>IF(AY375&lt;1%,"Sin iniciar",IF(AY375=100%,"Terminado","En gestión"))</f>
        <v>En gestión</v>
      </c>
      <c r="BA375" s="536" t="str">
        <f>IF(AX375&lt;1%,"Sin iniciar",IF(AX375=100%,"Terminado","En gestión"))</f>
        <v>En gestión</v>
      </c>
      <c r="BB375" s="56"/>
      <c r="BC375" s="56"/>
      <c r="BD375" s="583">
        <v>74440664.879999995</v>
      </c>
      <c r="BE375" s="583">
        <v>10330723.696969699</v>
      </c>
      <c r="BF375" s="583">
        <v>7547454.4022988509</v>
      </c>
      <c r="BG375" s="583">
        <v>0</v>
      </c>
      <c r="BH375" s="583">
        <v>0</v>
      </c>
      <c r="BI375" s="583">
        <v>0</v>
      </c>
      <c r="BJ375" s="593"/>
      <c r="BK375" s="554"/>
      <c r="BL375" s="536"/>
      <c r="BM375" s="921"/>
      <c r="BN375" s="583"/>
      <c r="BO375" s="348">
        <v>1</v>
      </c>
      <c r="BP375" s="11" t="s">
        <v>3564</v>
      </c>
      <c r="BQ375" s="11" t="s">
        <v>3562</v>
      </c>
      <c r="BR375" s="5" t="str">
        <f t="shared" si="63"/>
        <v>Terminado</v>
      </c>
      <c r="BS375" s="5" t="str">
        <f t="shared" si="64"/>
        <v>Terminado</v>
      </c>
      <c r="BT375" s="581" t="s">
        <v>3565</v>
      </c>
      <c r="BU375" s="561">
        <f>SUMPRODUCT(O375:O377,BO375:BO377)</f>
        <v>0.8</v>
      </c>
      <c r="BV375" s="562">
        <f>SUMPRODUCT(O375:O377,T375:T377)</f>
        <v>0.8</v>
      </c>
      <c r="BW375" s="610" t="str">
        <f>IF(BV375&lt;1%,"Sin iniciar",IF(BV375=100%,"Terminado","En gestión"))</f>
        <v>En gestión</v>
      </c>
      <c r="BX375" s="610" t="str">
        <f>IF(BU375&lt;1%,"Sin iniciar",IF(BU375=100%,"Terminado","En gestión"))</f>
        <v>En gestión</v>
      </c>
      <c r="BY375" s="573" t="s">
        <v>37</v>
      </c>
      <c r="BZ375" s="581" t="s">
        <v>3556</v>
      </c>
      <c r="CA375" s="583">
        <v>10330723.696969699</v>
      </c>
      <c r="CB375" s="583"/>
      <c r="CC375" s="583">
        <f>CA375*BV375</f>
        <v>8264578.9575757599</v>
      </c>
      <c r="CD375" s="583">
        <v>0</v>
      </c>
      <c r="CE375" s="583">
        <v>0</v>
      </c>
      <c r="CF375" s="583"/>
      <c r="CG375" s="581"/>
      <c r="CH375" s="581"/>
      <c r="CI375" s="581"/>
      <c r="CJ375" s="581"/>
    </row>
    <row r="376" spans="2:88" ht="171.95" customHeight="1" x14ac:dyDescent="0.25">
      <c r="B376" s="1227"/>
      <c r="C376" s="632"/>
      <c r="D376" s="33" t="s">
        <v>267</v>
      </c>
      <c r="E376" s="33" t="s">
        <v>160</v>
      </c>
      <c r="F376" s="633"/>
      <c r="G376" s="33" t="s">
        <v>28</v>
      </c>
      <c r="H376" s="33" t="s">
        <v>28</v>
      </c>
      <c r="I376" s="33" t="s">
        <v>326</v>
      </c>
      <c r="J376" s="33" t="s">
        <v>1039</v>
      </c>
      <c r="K376" s="634"/>
      <c r="L376" s="51" t="s">
        <v>752</v>
      </c>
      <c r="M376" s="34" t="s">
        <v>1218</v>
      </c>
      <c r="N376" s="93" t="s">
        <v>1219</v>
      </c>
      <c r="O376" s="33">
        <v>0.3</v>
      </c>
      <c r="P376" s="36">
        <v>44348</v>
      </c>
      <c r="Q376" s="36">
        <v>44469</v>
      </c>
      <c r="R376" s="37">
        <v>0</v>
      </c>
      <c r="S376" s="37">
        <v>0.2</v>
      </c>
      <c r="T376" s="37">
        <v>1</v>
      </c>
      <c r="U376" s="37">
        <v>1</v>
      </c>
      <c r="V376" s="90">
        <v>0</v>
      </c>
      <c r="W376" s="13" t="s">
        <v>37</v>
      </c>
      <c r="X376" s="55" t="s">
        <v>37</v>
      </c>
      <c r="Y376" s="5" t="str">
        <f t="shared" si="59"/>
        <v>Sin iniciar</v>
      </c>
      <c r="Z376" s="5" t="str">
        <f t="shared" si="60"/>
        <v>Sin iniciar</v>
      </c>
      <c r="AA376" s="531"/>
      <c r="AB376" s="596"/>
      <c r="AC376" s="597"/>
      <c r="AD376" s="610"/>
      <c r="AE376" s="610"/>
      <c r="AF376" s="56"/>
      <c r="AG376" s="583"/>
      <c r="AH376" s="583"/>
      <c r="AI376" s="583"/>
      <c r="AJ376" s="583"/>
      <c r="AK376" s="583"/>
      <c r="AL376" s="583"/>
      <c r="AM376" s="593"/>
      <c r="AN376" s="603"/>
      <c r="AO376" s="536"/>
      <c r="AP376" s="921"/>
      <c r="AQ376" s="583"/>
      <c r="AR376" s="1163">
        <v>0.2</v>
      </c>
      <c r="AS376" s="13" t="s">
        <v>1299</v>
      </c>
      <c r="AT376" s="55" t="s">
        <v>3563</v>
      </c>
      <c r="AU376" s="56" t="str">
        <f t="shared" si="61"/>
        <v>En gestión</v>
      </c>
      <c r="AV376" s="56" t="str">
        <f t="shared" si="62"/>
        <v>En gestión</v>
      </c>
      <c r="AW376" s="531"/>
      <c r="AX376" s="599"/>
      <c r="AY376" s="600"/>
      <c r="AZ376" s="536"/>
      <c r="BA376" s="536"/>
      <c r="BB376" s="56"/>
      <c r="BC376" s="56"/>
      <c r="BD376" s="583"/>
      <c r="BE376" s="583"/>
      <c r="BF376" s="583"/>
      <c r="BG376" s="583"/>
      <c r="BH376" s="583"/>
      <c r="BI376" s="583"/>
      <c r="BJ376" s="593"/>
      <c r="BK376" s="555"/>
      <c r="BL376" s="536"/>
      <c r="BM376" s="921"/>
      <c r="BN376" s="583"/>
      <c r="BO376" s="348">
        <v>1</v>
      </c>
      <c r="BP376" s="11" t="s">
        <v>3566</v>
      </c>
      <c r="BQ376" s="11" t="s">
        <v>3567</v>
      </c>
      <c r="BR376" s="5" t="str">
        <f t="shared" si="63"/>
        <v>Terminado</v>
      </c>
      <c r="BS376" s="5" t="str">
        <f t="shared" si="64"/>
        <v>Terminado</v>
      </c>
      <c r="BT376" s="581"/>
      <c r="BU376" s="561"/>
      <c r="BV376" s="562"/>
      <c r="BW376" s="610"/>
      <c r="BX376" s="610"/>
      <c r="BY376" s="573"/>
      <c r="BZ376" s="581"/>
      <c r="CA376" s="583"/>
      <c r="CB376" s="583"/>
      <c r="CC376" s="583"/>
      <c r="CD376" s="583"/>
      <c r="CE376" s="583"/>
      <c r="CF376" s="583"/>
      <c r="CG376" s="581"/>
      <c r="CH376" s="581"/>
      <c r="CI376" s="581"/>
      <c r="CJ376" s="581"/>
    </row>
    <row r="377" spans="2:88" ht="171.95" customHeight="1" x14ac:dyDescent="0.25">
      <c r="B377" s="1227"/>
      <c r="C377" s="632"/>
      <c r="D377" s="33" t="s">
        <v>267</v>
      </c>
      <c r="E377" s="33" t="s">
        <v>160</v>
      </c>
      <c r="F377" s="633"/>
      <c r="G377" s="33" t="s">
        <v>28</v>
      </c>
      <c r="H377" s="33" t="s">
        <v>28</v>
      </c>
      <c r="I377" s="33" t="s">
        <v>326</v>
      </c>
      <c r="J377" s="33" t="s">
        <v>1039</v>
      </c>
      <c r="K377" s="634"/>
      <c r="L377" s="51" t="s">
        <v>752</v>
      </c>
      <c r="M377" s="34" t="s">
        <v>1220</v>
      </c>
      <c r="N377" s="93" t="s">
        <v>1221</v>
      </c>
      <c r="O377" s="33">
        <v>0.2</v>
      </c>
      <c r="P377" s="36">
        <v>44470</v>
      </c>
      <c r="Q377" s="36">
        <v>44550</v>
      </c>
      <c r="R377" s="37">
        <v>0</v>
      </c>
      <c r="S377" s="37">
        <v>0</v>
      </c>
      <c r="T377" s="37">
        <v>0</v>
      </c>
      <c r="U377" s="37">
        <v>1</v>
      </c>
      <c r="V377" s="90">
        <v>0</v>
      </c>
      <c r="W377" s="13" t="s">
        <v>37</v>
      </c>
      <c r="X377" s="55" t="s">
        <v>37</v>
      </c>
      <c r="Y377" s="5" t="str">
        <f t="shared" si="59"/>
        <v>Sin iniciar</v>
      </c>
      <c r="Z377" s="5" t="str">
        <f t="shared" si="60"/>
        <v>Sin iniciar</v>
      </c>
      <c r="AA377" s="531"/>
      <c r="AB377" s="596"/>
      <c r="AC377" s="597"/>
      <c r="AD377" s="610"/>
      <c r="AE377" s="610"/>
      <c r="AF377" s="56"/>
      <c r="AG377" s="583"/>
      <c r="AH377" s="583"/>
      <c r="AI377" s="583"/>
      <c r="AJ377" s="583"/>
      <c r="AK377" s="583"/>
      <c r="AL377" s="583"/>
      <c r="AM377" s="593"/>
      <c r="AN377" s="603"/>
      <c r="AO377" s="536"/>
      <c r="AP377" s="921"/>
      <c r="AQ377" s="583"/>
      <c r="AR377" s="1163">
        <v>0</v>
      </c>
      <c r="AS377" s="13" t="s">
        <v>2437</v>
      </c>
      <c r="AT377" s="55"/>
      <c r="AU377" s="56" t="str">
        <f t="shared" si="61"/>
        <v>Sin iniciar</v>
      </c>
      <c r="AV377" s="56" t="str">
        <f t="shared" si="62"/>
        <v>Sin iniciar</v>
      </c>
      <c r="AW377" s="531"/>
      <c r="AX377" s="599"/>
      <c r="AY377" s="600"/>
      <c r="AZ377" s="536"/>
      <c r="BA377" s="536"/>
      <c r="BB377" s="56"/>
      <c r="BC377" s="56"/>
      <c r="BD377" s="583"/>
      <c r="BE377" s="583"/>
      <c r="BF377" s="583"/>
      <c r="BG377" s="583"/>
      <c r="BH377" s="583"/>
      <c r="BI377" s="583"/>
      <c r="BJ377" s="593"/>
      <c r="BK377" s="556"/>
      <c r="BL377" s="536"/>
      <c r="BM377" s="921"/>
      <c r="BN377" s="583"/>
      <c r="BO377" s="348">
        <v>0</v>
      </c>
      <c r="BP377" s="11" t="s">
        <v>2824</v>
      </c>
      <c r="BQ377" s="11" t="s">
        <v>28</v>
      </c>
      <c r="BR377" s="5" t="str">
        <f t="shared" si="63"/>
        <v>Sin iniciar</v>
      </c>
      <c r="BS377" s="5" t="str">
        <f t="shared" si="64"/>
        <v>Sin iniciar</v>
      </c>
      <c r="BT377" s="581"/>
      <c r="BU377" s="561"/>
      <c r="BV377" s="562"/>
      <c r="BW377" s="610"/>
      <c r="BX377" s="610"/>
      <c r="BY377" s="573"/>
      <c r="BZ377" s="581"/>
      <c r="CA377" s="583"/>
      <c r="CB377" s="583"/>
      <c r="CC377" s="583">
        <f t="shared" ref="CC377" si="65">CA377*BV377</f>
        <v>0</v>
      </c>
      <c r="CD377" s="583"/>
      <c r="CE377" s="583"/>
      <c r="CF377" s="583"/>
      <c r="CG377" s="581"/>
      <c r="CH377" s="581"/>
      <c r="CI377" s="581"/>
      <c r="CJ377" s="581"/>
    </row>
    <row r="378" spans="2:88" ht="171.95" customHeight="1" x14ac:dyDescent="0.25">
      <c r="B378" s="1227"/>
      <c r="C378" s="639" t="s">
        <v>1222</v>
      </c>
      <c r="D378" s="41" t="s">
        <v>57</v>
      </c>
      <c r="E378" s="41" t="s">
        <v>26</v>
      </c>
      <c r="F378" s="640" t="s">
        <v>1223</v>
      </c>
      <c r="G378" s="41" t="s">
        <v>28</v>
      </c>
      <c r="H378" s="41" t="s">
        <v>28</v>
      </c>
      <c r="I378" s="41" t="s">
        <v>326</v>
      </c>
      <c r="J378" s="41" t="s">
        <v>1039</v>
      </c>
      <c r="K378" s="641" t="s">
        <v>1224</v>
      </c>
      <c r="L378" s="52" t="s">
        <v>752</v>
      </c>
      <c r="M378" s="42" t="s">
        <v>1225</v>
      </c>
      <c r="N378" s="108" t="s">
        <v>1226</v>
      </c>
      <c r="O378" s="41">
        <v>0.1</v>
      </c>
      <c r="P378" s="44">
        <v>44221</v>
      </c>
      <c r="Q378" s="44">
        <v>44239</v>
      </c>
      <c r="R378" s="45">
        <v>1</v>
      </c>
      <c r="S378" s="45">
        <v>1</v>
      </c>
      <c r="T378" s="45">
        <v>1</v>
      </c>
      <c r="U378" s="45">
        <v>1</v>
      </c>
      <c r="V378" s="90">
        <v>0.9</v>
      </c>
      <c r="W378" s="62" t="s">
        <v>1227</v>
      </c>
      <c r="X378" s="91" t="s">
        <v>3568</v>
      </c>
      <c r="Y378" s="19" t="str">
        <f t="shared" si="59"/>
        <v>Terminado</v>
      </c>
      <c r="Z378" s="19" t="str">
        <f t="shared" si="60"/>
        <v>En gestión</v>
      </c>
      <c r="AA378" s="532" t="s">
        <v>1289</v>
      </c>
      <c r="AB378" s="596">
        <f>SUMPRODUCT(O378:O380,V378:V380)</f>
        <v>0.21000000000000002</v>
      </c>
      <c r="AC378" s="597">
        <f>SUMPRODUCT(O378:O380,R378:R380)</f>
        <v>0.30000000000000004</v>
      </c>
      <c r="AD378" s="611" t="str">
        <f>IF(AC378&lt;1%,"Sin iniciar",IF(AC378=100%,"Terminado","En gestión"))</f>
        <v>En gestión</v>
      </c>
      <c r="AE378" s="611" t="str">
        <f>IF(AB378&lt;1%,"Sin iniciar",IF(AB378=100%,"Terminado","En gestión"))</f>
        <v>En gestión</v>
      </c>
      <c r="AF378" s="62" t="s">
        <v>1290</v>
      </c>
      <c r="AG378" s="579">
        <v>98854867.200000003</v>
      </c>
      <c r="AH378" s="579">
        <v>0</v>
      </c>
      <c r="AI378" s="579">
        <v>20759522.112000003</v>
      </c>
      <c r="AJ378" s="579">
        <v>0</v>
      </c>
      <c r="AK378" s="579">
        <v>0</v>
      </c>
      <c r="AL378" s="579">
        <v>0</v>
      </c>
      <c r="AM378" s="592" t="s">
        <v>2501</v>
      </c>
      <c r="AN378" s="598" t="s">
        <v>2502</v>
      </c>
      <c r="AO378" s="530"/>
      <c r="AP378" s="922"/>
      <c r="AQ378" s="579">
        <f>+AH378</f>
        <v>0</v>
      </c>
      <c r="AR378" s="1161">
        <v>0.9</v>
      </c>
      <c r="AS378" s="62" t="s">
        <v>1435</v>
      </c>
      <c r="AT378" s="63"/>
      <c r="AU378" s="66" t="str">
        <f t="shared" si="61"/>
        <v>Terminado</v>
      </c>
      <c r="AV378" s="66" t="str">
        <f t="shared" si="62"/>
        <v>En gestión</v>
      </c>
      <c r="AW378" s="532" t="s">
        <v>1314</v>
      </c>
      <c r="AX378" s="599">
        <f>SUMPRODUCT(O378:O380,AR378:AR380)</f>
        <v>0.42000000000000004</v>
      </c>
      <c r="AY378" s="600">
        <f>SUMPRODUCT(S378:S380,O378:O380)</f>
        <v>0.51</v>
      </c>
      <c r="AZ378" s="530" t="str">
        <f>IF(AY378&lt;1%,"Sin iniciar",IF(AY378=100%,"Terminado","En gestión"))</f>
        <v>En gestión</v>
      </c>
      <c r="BA378" s="530" t="str">
        <f>IF(AX378&lt;1%,"Sin iniciar",IF(AX378=100%,"Terminado","En gestión"))</f>
        <v>En gestión</v>
      </c>
      <c r="BB378" s="62"/>
      <c r="BC378" s="62"/>
      <c r="BD378" s="579">
        <v>98854867.200000003</v>
      </c>
      <c r="BE378" s="579">
        <v>100762965.44897</v>
      </c>
      <c r="BF378" s="579">
        <v>56223607.971298851</v>
      </c>
      <c r="BG378" s="579">
        <v>0</v>
      </c>
      <c r="BH378" s="579">
        <v>0</v>
      </c>
      <c r="BI378" s="579">
        <v>0</v>
      </c>
      <c r="BJ378" s="592"/>
      <c r="BK378" s="557"/>
      <c r="BL378" s="530"/>
      <c r="BM378" s="922"/>
      <c r="BN378" s="579"/>
      <c r="BO378" s="348">
        <v>1</v>
      </c>
      <c r="BP378" s="24" t="s">
        <v>2875</v>
      </c>
      <c r="BQ378" s="24"/>
      <c r="BR378" s="19" t="str">
        <f t="shared" si="63"/>
        <v>Terminado</v>
      </c>
      <c r="BS378" s="19" t="str">
        <f>IF(BO378&lt;1%,"Sin iniciar",IF(BO378=100%,"Terminado","En gestión"))</f>
        <v>Terminado</v>
      </c>
      <c r="BT378" s="560" t="s">
        <v>3569</v>
      </c>
      <c r="BU378" s="561">
        <f>SUMPRODUCT(O378:O380,BO378:BO380)</f>
        <v>0.72</v>
      </c>
      <c r="BV378" s="562">
        <f>SUMPRODUCT(O378:O380,T378:T380)</f>
        <v>0.72</v>
      </c>
      <c r="BW378" s="611" t="str">
        <f>IF(BV378&lt;1%,"Sin iniciar",IF(BV378=100%,"Terminado","En gestión"))</f>
        <v>En gestión</v>
      </c>
      <c r="BX378" s="611" t="str">
        <f>IF(BU378&lt;1%,"Sin iniciar",IF(BU378=100%,"Terminado","En gestión"))</f>
        <v>En gestión</v>
      </c>
      <c r="BY378" s="578" t="s">
        <v>37</v>
      </c>
      <c r="BZ378" s="560" t="s">
        <v>3556</v>
      </c>
      <c r="CA378" s="579">
        <v>100762965.44897</v>
      </c>
      <c r="CB378" s="579"/>
      <c r="CC378" s="579">
        <f>CA378*BV378</f>
        <v>72549335.123258397</v>
      </c>
      <c r="CD378" s="579">
        <v>0</v>
      </c>
      <c r="CE378" s="579">
        <v>0</v>
      </c>
      <c r="CF378" s="579"/>
      <c r="CG378" s="560"/>
      <c r="CH378" s="560"/>
      <c r="CI378" s="560"/>
      <c r="CJ378" s="560"/>
    </row>
    <row r="379" spans="2:88" ht="171.95" customHeight="1" x14ac:dyDescent="0.25">
      <c r="B379" s="1227"/>
      <c r="C379" s="639"/>
      <c r="D379" s="41" t="s">
        <v>57</v>
      </c>
      <c r="E379" s="41" t="s">
        <v>26</v>
      </c>
      <c r="F379" s="640"/>
      <c r="G379" s="41" t="s">
        <v>28</v>
      </c>
      <c r="H379" s="41" t="s">
        <v>28</v>
      </c>
      <c r="I379" s="41" t="s">
        <v>326</v>
      </c>
      <c r="J379" s="41" t="s">
        <v>1039</v>
      </c>
      <c r="K379" s="641"/>
      <c r="L379" s="52" t="s">
        <v>752</v>
      </c>
      <c r="M379" s="42" t="s">
        <v>1228</v>
      </c>
      <c r="N379" s="108" t="s">
        <v>1229</v>
      </c>
      <c r="O379" s="41">
        <v>0.2</v>
      </c>
      <c r="P379" s="44">
        <v>44242</v>
      </c>
      <c r="Q379" s="44">
        <v>44286</v>
      </c>
      <c r="R379" s="45">
        <v>1</v>
      </c>
      <c r="S379" s="45">
        <v>1</v>
      </c>
      <c r="T379" s="45">
        <v>1</v>
      </c>
      <c r="U379" s="45">
        <v>1</v>
      </c>
      <c r="V379" s="90">
        <v>0.6</v>
      </c>
      <c r="W379" s="62" t="s">
        <v>1230</v>
      </c>
      <c r="X379" s="91" t="s">
        <v>3570</v>
      </c>
      <c r="Y379" s="19" t="str">
        <f t="shared" si="59"/>
        <v>Terminado</v>
      </c>
      <c r="Z379" s="19" t="str">
        <f t="shared" si="60"/>
        <v>En gestión</v>
      </c>
      <c r="AA379" s="532"/>
      <c r="AB379" s="596"/>
      <c r="AC379" s="597"/>
      <c r="AD379" s="611"/>
      <c r="AE379" s="611"/>
      <c r="AF379" s="62" t="s">
        <v>1291</v>
      </c>
      <c r="AG379" s="579"/>
      <c r="AH379" s="579"/>
      <c r="AI379" s="579"/>
      <c r="AJ379" s="579"/>
      <c r="AK379" s="579"/>
      <c r="AL379" s="579"/>
      <c r="AM379" s="592"/>
      <c r="AN379" s="598"/>
      <c r="AO379" s="530"/>
      <c r="AP379" s="922"/>
      <c r="AQ379" s="579"/>
      <c r="AR379" s="1161">
        <v>0.6</v>
      </c>
      <c r="AS379" s="62" t="s">
        <v>1435</v>
      </c>
      <c r="AT379" s="63"/>
      <c r="AU379" s="66" t="str">
        <f t="shared" si="61"/>
        <v>Terminado</v>
      </c>
      <c r="AV379" s="66" t="str">
        <f t="shared" si="62"/>
        <v>En gestión</v>
      </c>
      <c r="AW379" s="532"/>
      <c r="AX379" s="599"/>
      <c r="AY379" s="600"/>
      <c r="AZ379" s="530"/>
      <c r="BA379" s="530"/>
      <c r="BB379" s="62"/>
      <c r="BC379" s="62"/>
      <c r="BD379" s="579"/>
      <c r="BE379" s="579"/>
      <c r="BF379" s="579"/>
      <c r="BG379" s="579"/>
      <c r="BH379" s="579"/>
      <c r="BI379" s="579"/>
      <c r="BJ379" s="592"/>
      <c r="BK379" s="559"/>
      <c r="BL379" s="530"/>
      <c r="BM379" s="922"/>
      <c r="BN379" s="579"/>
      <c r="BO379" s="348">
        <v>1</v>
      </c>
      <c r="BP379" s="24" t="s">
        <v>2875</v>
      </c>
      <c r="BQ379" s="24"/>
      <c r="BR379" s="19" t="str">
        <f t="shared" si="63"/>
        <v>Terminado</v>
      </c>
      <c r="BS379" s="19" t="str">
        <f>IF(BO379&lt;1%,"Sin iniciar",IF(BO379=100%,"Terminado","En gestión"))</f>
        <v>Terminado</v>
      </c>
      <c r="BT379" s="560"/>
      <c r="BU379" s="561"/>
      <c r="BV379" s="562"/>
      <c r="BW379" s="611"/>
      <c r="BX379" s="611"/>
      <c r="BY379" s="578"/>
      <c r="BZ379" s="560"/>
      <c r="CA379" s="579"/>
      <c r="CB379" s="579"/>
      <c r="CC379" s="579"/>
      <c r="CD379" s="579"/>
      <c r="CE379" s="579"/>
      <c r="CF379" s="579"/>
      <c r="CG379" s="560"/>
      <c r="CH379" s="560"/>
      <c r="CI379" s="560"/>
      <c r="CJ379" s="560"/>
    </row>
    <row r="380" spans="2:88" ht="171.95" customHeight="1" x14ac:dyDescent="0.25">
      <c r="B380" s="1227"/>
      <c r="C380" s="639"/>
      <c r="D380" s="41" t="s">
        <v>57</v>
      </c>
      <c r="E380" s="41" t="s">
        <v>26</v>
      </c>
      <c r="F380" s="640"/>
      <c r="G380" s="41" t="s">
        <v>28</v>
      </c>
      <c r="H380" s="41" t="s">
        <v>28</v>
      </c>
      <c r="I380" s="41" t="s">
        <v>326</v>
      </c>
      <c r="J380" s="41" t="s">
        <v>1039</v>
      </c>
      <c r="K380" s="641"/>
      <c r="L380" s="52" t="s">
        <v>752</v>
      </c>
      <c r="M380" s="42" t="s">
        <v>1231</v>
      </c>
      <c r="N380" s="108" t="s">
        <v>1232</v>
      </c>
      <c r="O380" s="41">
        <v>0.7</v>
      </c>
      <c r="P380" s="44">
        <v>44287</v>
      </c>
      <c r="Q380" s="44">
        <v>44530</v>
      </c>
      <c r="R380" s="45">
        <v>0</v>
      </c>
      <c r="S380" s="45">
        <v>0.3</v>
      </c>
      <c r="T380" s="45">
        <v>0.6</v>
      </c>
      <c r="U380" s="45">
        <v>1</v>
      </c>
      <c r="V380" s="90">
        <v>0</v>
      </c>
      <c r="W380" s="62" t="s">
        <v>37</v>
      </c>
      <c r="X380" s="63" t="s">
        <v>37</v>
      </c>
      <c r="Y380" s="19" t="str">
        <f t="shared" si="59"/>
        <v>Sin iniciar</v>
      </c>
      <c r="Z380" s="19" t="str">
        <f t="shared" si="60"/>
        <v>Sin iniciar</v>
      </c>
      <c r="AA380" s="532"/>
      <c r="AB380" s="596"/>
      <c r="AC380" s="597"/>
      <c r="AD380" s="611"/>
      <c r="AE380" s="611"/>
      <c r="AF380" s="66"/>
      <c r="AG380" s="579"/>
      <c r="AH380" s="579"/>
      <c r="AI380" s="579"/>
      <c r="AJ380" s="579"/>
      <c r="AK380" s="579"/>
      <c r="AL380" s="579"/>
      <c r="AM380" s="592"/>
      <c r="AN380" s="598"/>
      <c r="AO380" s="530"/>
      <c r="AP380" s="922"/>
      <c r="AQ380" s="579"/>
      <c r="AR380" s="1161">
        <v>0.3</v>
      </c>
      <c r="AS380" s="62" t="s">
        <v>1300</v>
      </c>
      <c r="AT380" s="63" t="s">
        <v>3571</v>
      </c>
      <c r="AU380" s="66" t="str">
        <f t="shared" si="61"/>
        <v>En gestión</v>
      </c>
      <c r="AV380" s="66" t="str">
        <f t="shared" si="62"/>
        <v>En gestión</v>
      </c>
      <c r="AW380" s="532"/>
      <c r="AX380" s="599"/>
      <c r="AY380" s="600"/>
      <c r="AZ380" s="530"/>
      <c r="BA380" s="530"/>
      <c r="BB380" s="66"/>
      <c r="BC380" s="66"/>
      <c r="BD380" s="579"/>
      <c r="BE380" s="579"/>
      <c r="BF380" s="579"/>
      <c r="BG380" s="579"/>
      <c r="BH380" s="579"/>
      <c r="BI380" s="579"/>
      <c r="BJ380" s="592"/>
      <c r="BK380" s="558"/>
      <c r="BL380" s="530"/>
      <c r="BM380" s="922"/>
      <c r="BN380" s="579"/>
      <c r="BO380" s="348">
        <v>0.6</v>
      </c>
      <c r="BP380" s="24" t="s">
        <v>3572</v>
      </c>
      <c r="BQ380" s="24" t="s">
        <v>3573</v>
      </c>
      <c r="BR380" s="19" t="str">
        <f t="shared" si="63"/>
        <v>En gestión</v>
      </c>
      <c r="BS380" s="19" t="str">
        <f>IF(BO380&lt;1%,"Sin iniciar",IF(BO380=100%,"Terminado","En gestión"))</f>
        <v>En gestión</v>
      </c>
      <c r="BT380" s="560"/>
      <c r="BU380" s="561"/>
      <c r="BV380" s="562"/>
      <c r="BW380" s="611"/>
      <c r="BX380" s="611"/>
      <c r="BY380" s="578"/>
      <c r="BZ380" s="560"/>
      <c r="CA380" s="579"/>
      <c r="CB380" s="579"/>
      <c r="CC380" s="579"/>
      <c r="CD380" s="579"/>
      <c r="CE380" s="579"/>
      <c r="CF380" s="579"/>
      <c r="CG380" s="560"/>
      <c r="CH380" s="560"/>
      <c r="CI380" s="560"/>
      <c r="CJ380" s="560"/>
    </row>
    <row r="381" spans="2:88" ht="171.95" customHeight="1" x14ac:dyDescent="0.25">
      <c r="B381" s="1227"/>
      <c r="C381" s="632" t="s">
        <v>1233</v>
      </c>
      <c r="D381" s="33" t="s">
        <v>57</v>
      </c>
      <c r="E381" s="33" t="s">
        <v>26</v>
      </c>
      <c r="F381" s="633" t="s">
        <v>1206</v>
      </c>
      <c r="G381" s="33" t="s">
        <v>28</v>
      </c>
      <c r="H381" s="33" t="s">
        <v>28</v>
      </c>
      <c r="I381" s="33" t="s">
        <v>326</v>
      </c>
      <c r="J381" s="33" t="s">
        <v>30</v>
      </c>
      <c r="K381" s="634" t="s">
        <v>1234</v>
      </c>
      <c r="L381" s="51" t="s">
        <v>187</v>
      </c>
      <c r="M381" s="34" t="s">
        <v>1235</v>
      </c>
      <c r="N381" s="93" t="s">
        <v>1236</v>
      </c>
      <c r="O381" s="33">
        <v>0.7</v>
      </c>
      <c r="P381" s="36">
        <v>44390</v>
      </c>
      <c r="Q381" s="36">
        <v>44498</v>
      </c>
      <c r="R381" s="37">
        <v>0</v>
      </c>
      <c r="S381" s="37">
        <v>0</v>
      </c>
      <c r="T381" s="37">
        <v>0.8</v>
      </c>
      <c r="U381" s="37">
        <v>1</v>
      </c>
      <c r="V381" s="90">
        <v>0</v>
      </c>
      <c r="W381" s="13" t="s">
        <v>37</v>
      </c>
      <c r="X381" s="55" t="s">
        <v>37</v>
      </c>
      <c r="Y381" s="5" t="str">
        <f t="shared" si="59"/>
        <v>Sin iniciar</v>
      </c>
      <c r="Z381" s="5" t="str">
        <f t="shared" si="60"/>
        <v>Sin iniciar</v>
      </c>
      <c r="AA381" s="531" t="s">
        <v>179</v>
      </c>
      <c r="AB381" s="596">
        <f>SUMPRODUCT(O381:O382,V381:V382)</f>
        <v>0</v>
      </c>
      <c r="AC381" s="597">
        <f>SUMPRODUCT(O381:O382,R381:R382)</f>
        <v>0</v>
      </c>
      <c r="AD381" s="610" t="str">
        <f>IF(AC381&lt;1%,"Sin iniciar",IF(AC381=100%,"Terminado","En gestión"))</f>
        <v>Sin iniciar</v>
      </c>
      <c r="AE381" s="610" t="str">
        <f>IF(AB381&lt;1%,"Sin iniciar",IF(AB381=100%,"Terminado","En gestión"))</f>
        <v>Sin iniciar</v>
      </c>
      <c r="AF381" s="56"/>
      <c r="AG381" s="583">
        <v>16361304</v>
      </c>
      <c r="AH381" s="583">
        <v>0</v>
      </c>
      <c r="AI381" s="583">
        <v>0</v>
      </c>
      <c r="AJ381" s="583">
        <v>11040000</v>
      </c>
      <c r="AK381" s="583">
        <v>0</v>
      </c>
      <c r="AL381" s="583">
        <v>0</v>
      </c>
      <c r="AM381" s="593" t="s">
        <v>2485</v>
      </c>
      <c r="AN381" s="603" t="s">
        <v>2486</v>
      </c>
      <c r="AO381" s="520" t="s">
        <v>2489</v>
      </c>
      <c r="AP381" s="531" t="s">
        <v>2490</v>
      </c>
      <c r="AQ381" s="583">
        <v>0</v>
      </c>
      <c r="AR381" s="1163">
        <v>0</v>
      </c>
      <c r="AS381" s="13" t="s">
        <v>2437</v>
      </c>
      <c r="AT381" s="55"/>
      <c r="AU381" s="56" t="str">
        <f t="shared" si="61"/>
        <v>Sin iniciar</v>
      </c>
      <c r="AV381" s="56" t="str">
        <f t="shared" si="62"/>
        <v>Sin iniciar</v>
      </c>
      <c r="AW381" s="531"/>
      <c r="AX381" s="599">
        <f>SUMPRODUCT(O381:O382,AR381:AR382)</f>
        <v>0</v>
      </c>
      <c r="AY381" s="600">
        <f>SUMPRODUCT(S381:S382,O381:O382)</f>
        <v>0</v>
      </c>
      <c r="AZ381" s="536" t="str">
        <f>IF(AY381&lt;1%,"Sin iniciar",IF(AY381=100%,"Terminado","En gestión"))</f>
        <v>Sin iniciar</v>
      </c>
      <c r="BA381" s="536" t="str">
        <f>IF(AX381&lt;1%,"Sin iniciar",IF(AX381=100%,"Terminado","En gestión"))</f>
        <v>Sin iniciar</v>
      </c>
      <c r="BB381" s="56"/>
      <c r="BC381" s="56"/>
      <c r="BD381" s="583">
        <v>16361304</v>
      </c>
      <c r="BE381" s="583">
        <v>19031668.144969702</v>
      </c>
      <c r="BF381" s="583">
        <v>0</v>
      </c>
      <c r="BG381" s="583">
        <v>11040000</v>
      </c>
      <c r="BH381" s="583">
        <v>11040000</v>
      </c>
      <c r="BI381" s="583">
        <v>0</v>
      </c>
      <c r="BJ381" s="593" t="s">
        <v>2485</v>
      </c>
      <c r="BK381" s="554"/>
      <c r="BL381" s="520" t="s">
        <v>2489</v>
      </c>
      <c r="BM381" s="531" t="s">
        <v>2490</v>
      </c>
      <c r="BN381" s="583" t="s">
        <v>2665</v>
      </c>
      <c r="BO381" s="348">
        <v>0.8</v>
      </c>
      <c r="BP381" s="11" t="s">
        <v>3574</v>
      </c>
      <c r="BQ381" s="11" t="s">
        <v>3575</v>
      </c>
      <c r="BR381" s="5" t="str">
        <f t="shared" si="63"/>
        <v>En gestión</v>
      </c>
      <c r="BS381" s="5" t="str">
        <f>IF(BO381&lt;1%,"Sin iniciar",IF(BO381=100%,"Terminado","En gestión"))</f>
        <v>En gestión</v>
      </c>
      <c r="BT381" s="581" t="s">
        <v>3576</v>
      </c>
      <c r="BU381" s="561">
        <f>SUMPRODUCT(O381:O382,BO381:BO382)</f>
        <v>0.55999999999999994</v>
      </c>
      <c r="BV381" s="562">
        <f>SUMPRODUCT(O381:O382,T381:T382)</f>
        <v>0.55999999999999994</v>
      </c>
      <c r="BW381" s="610" t="str">
        <f>IF(BV381&lt;1%,"Sin iniciar",IF(BV381=100%,"Terminado","En gestión"))</f>
        <v>En gestión</v>
      </c>
      <c r="BX381" s="610" t="str">
        <f>IF(BU381&lt;1%,"Sin iniciar",IF(BU381=100%,"Terminado","En gestión"))</f>
        <v>En gestión</v>
      </c>
      <c r="BY381" s="573" t="s">
        <v>37</v>
      </c>
      <c r="BZ381" s="581" t="s">
        <v>3556</v>
      </c>
      <c r="CA381" s="583">
        <v>19031668.144969702</v>
      </c>
      <c r="CB381" s="583"/>
      <c r="CC381" s="583">
        <f>CA381*BV381</f>
        <v>10657734.161183031</v>
      </c>
      <c r="CD381" s="583">
        <v>11040000</v>
      </c>
      <c r="CE381" s="583">
        <v>60400780.833333299</v>
      </c>
      <c r="CF381" s="583">
        <v>35056993.3716667</v>
      </c>
      <c r="CG381" s="581" t="s">
        <v>3557</v>
      </c>
      <c r="CH381" s="581" t="s">
        <v>3577</v>
      </c>
      <c r="CI381" s="581" t="s">
        <v>3578</v>
      </c>
      <c r="CJ381" s="581" t="s">
        <v>2665</v>
      </c>
    </row>
    <row r="382" spans="2:88" ht="171.95" customHeight="1" x14ac:dyDescent="0.25">
      <c r="B382" s="1227"/>
      <c r="C382" s="632"/>
      <c r="D382" s="33" t="s">
        <v>57</v>
      </c>
      <c r="E382" s="33" t="s">
        <v>26</v>
      </c>
      <c r="F382" s="633"/>
      <c r="G382" s="33" t="s">
        <v>28</v>
      </c>
      <c r="H382" s="33" t="s">
        <v>28</v>
      </c>
      <c r="I382" s="33" t="s">
        <v>326</v>
      </c>
      <c r="J382" s="33" t="s">
        <v>30</v>
      </c>
      <c r="K382" s="634"/>
      <c r="L382" s="51" t="s">
        <v>187</v>
      </c>
      <c r="M382" s="34" t="s">
        <v>1237</v>
      </c>
      <c r="N382" s="93" t="s">
        <v>1238</v>
      </c>
      <c r="O382" s="33">
        <v>0.3</v>
      </c>
      <c r="P382" s="36">
        <v>44501</v>
      </c>
      <c r="Q382" s="36">
        <v>44511</v>
      </c>
      <c r="R382" s="37">
        <v>0</v>
      </c>
      <c r="S382" s="37">
        <v>0</v>
      </c>
      <c r="T382" s="37">
        <v>0</v>
      </c>
      <c r="U382" s="37">
        <v>1</v>
      </c>
      <c r="V382" s="90">
        <v>0</v>
      </c>
      <c r="W382" s="13" t="s">
        <v>37</v>
      </c>
      <c r="X382" s="55" t="s">
        <v>37</v>
      </c>
      <c r="Y382" s="5" t="str">
        <f t="shared" si="59"/>
        <v>Sin iniciar</v>
      </c>
      <c r="Z382" s="5" t="str">
        <f t="shared" si="60"/>
        <v>Sin iniciar</v>
      </c>
      <c r="AA382" s="531"/>
      <c r="AB382" s="596"/>
      <c r="AC382" s="597"/>
      <c r="AD382" s="610"/>
      <c r="AE382" s="610"/>
      <c r="AF382" s="56"/>
      <c r="AG382" s="583"/>
      <c r="AH382" s="583"/>
      <c r="AI382" s="583"/>
      <c r="AJ382" s="583"/>
      <c r="AK382" s="583"/>
      <c r="AL382" s="583"/>
      <c r="AM382" s="593"/>
      <c r="AN382" s="603"/>
      <c r="AO382" s="520"/>
      <c r="AP382" s="531"/>
      <c r="AQ382" s="583"/>
      <c r="AR382" s="1163">
        <v>0</v>
      </c>
      <c r="AS382" s="13" t="s">
        <v>2437</v>
      </c>
      <c r="AT382" s="55"/>
      <c r="AU382" s="56" t="str">
        <f t="shared" si="61"/>
        <v>Sin iniciar</v>
      </c>
      <c r="AV382" s="56" t="str">
        <f t="shared" si="62"/>
        <v>Sin iniciar</v>
      </c>
      <c r="AW382" s="531"/>
      <c r="AX382" s="599"/>
      <c r="AY382" s="600"/>
      <c r="AZ382" s="536"/>
      <c r="BA382" s="536"/>
      <c r="BB382" s="56"/>
      <c r="BC382" s="56"/>
      <c r="BD382" s="583"/>
      <c r="BE382" s="583"/>
      <c r="BF382" s="583"/>
      <c r="BG382" s="583"/>
      <c r="BH382" s="583"/>
      <c r="BI382" s="583"/>
      <c r="BJ382" s="593"/>
      <c r="BK382" s="556"/>
      <c r="BL382" s="520"/>
      <c r="BM382" s="531"/>
      <c r="BN382" s="583"/>
      <c r="BO382" s="348">
        <v>0</v>
      </c>
      <c r="BP382" s="11" t="s">
        <v>2824</v>
      </c>
      <c r="BQ382" s="11" t="s">
        <v>28</v>
      </c>
      <c r="BR382" s="5" t="str">
        <f t="shared" si="63"/>
        <v>Sin iniciar</v>
      </c>
      <c r="BS382" s="5" t="str">
        <f>IF(BO382&lt;1%,"Sin iniciar",IF(BO382=100%,"Terminado","En gestión"))</f>
        <v>Sin iniciar</v>
      </c>
      <c r="BT382" s="581"/>
      <c r="BU382" s="561"/>
      <c r="BV382" s="562"/>
      <c r="BW382" s="610"/>
      <c r="BX382" s="610"/>
      <c r="BY382" s="573"/>
      <c r="BZ382" s="581"/>
      <c r="CA382" s="583"/>
      <c r="CB382" s="583"/>
      <c r="CC382" s="583"/>
      <c r="CD382" s="583"/>
      <c r="CE382" s="583"/>
      <c r="CF382" s="583"/>
      <c r="CG382" s="581"/>
      <c r="CH382" s="581"/>
      <c r="CI382" s="581"/>
      <c r="CJ382" s="581"/>
    </row>
    <row r="383" spans="2:88" ht="171.95" customHeight="1" x14ac:dyDescent="0.25">
      <c r="B383" s="1227"/>
      <c r="C383" s="639" t="s">
        <v>1239</v>
      </c>
      <c r="D383" s="41" t="s">
        <v>57</v>
      </c>
      <c r="E383" s="41" t="s">
        <v>26</v>
      </c>
      <c r="F383" s="640" t="s">
        <v>1223</v>
      </c>
      <c r="G383" s="41" t="s">
        <v>28</v>
      </c>
      <c r="H383" s="41" t="s">
        <v>28</v>
      </c>
      <c r="I383" s="41" t="s">
        <v>326</v>
      </c>
      <c r="J383" s="41" t="s">
        <v>194</v>
      </c>
      <c r="K383" s="641" t="s">
        <v>1240</v>
      </c>
      <c r="L383" s="52" t="s">
        <v>187</v>
      </c>
      <c r="M383" s="42" t="s">
        <v>1241</v>
      </c>
      <c r="N383" s="108" t="s">
        <v>1242</v>
      </c>
      <c r="O383" s="41">
        <v>0.2</v>
      </c>
      <c r="P383" s="44">
        <v>44287</v>
      </c>
      <c r="Q383" s="44">
        <v>44377</v>
      </c>
      <c r="R383" s="45">
        <v>0</v>
      </c>
      <c r="S383" s="45">
        <v>1</v>
      </c>
      <c r="T383" s="45">
        <v>1</v>
      </c>
      <c r="U383" s="45">
        <v>1</v>
      </c>
      <c r="V383" s="90">
        <v>0</v>
      </c>
      <c r="W383" s="62" t="s">
        <v>37</v>
      </c>
      <c r="X383" s="63" t="s">
        <v>37</v>
      </c>
      <c r="Y383" s="19" t="str">
        <f t="shared" si="59"/>
        <v>Sin iniciar</v>
      </c>
      <c r="Z383" s="19" t="str">
        <f t="shared" si="60"/>
        <v>Sin iniciar</v>
      </c>
      <c r="AA383" s="532" t="s">
        <v>179</v>
      </c>
      <c r="AB383" s="596">
        <f>SUMPRODUCT(O383:O385,V383:V385)</f>
        <v>0</v>
      </c>
      <c r="AC383" s="597">
        <f>SUMPRODUCT(O383:O385,R383:R385)</f>
        <v>0</v>
      </c>
      <c r="AD383" s="611" t="str">
        <f>IF(AC383&lt;1%,"Sin iniciar",IF(AC383=100%,"Terminado","En gestión"))</f>
        <v>Sin iniciar</v>
      </c>
      <c r="AE383" s="611" t="str">
        <f>IF(AB383&lt;1%,"Sin iniciar",IF(AB383=100%,"Terminado","En gestión"))</f>
        <v>Sin iniciar</v>
      </c>
      <c r="AF383" s="66"/>
      <c r="AG383" s="579">
        <v>60412618.079999991</v>
      </c>
      <c r="AH383" s="579">
        <v>0</v>
      </c>
      <c r="AI383" s="579">
        <v>0</v>
      </c>
      <c r="AJ383" s="579">
        <v>55490000</v>
      </c>
      <c r="AK383" s="579">
        <v>0</v>
      </c>
      <c r="AL383" s="579">
        <v>0</v>
      </c>
      <c r="AM383" s="592" t="s">
        <v>2485</v>
      </c>
      <c r="AN383" s="598" t="s">
        <v>2486</v>
      </c>
      <c r="AO383" s="521" t="s">
        <v>2491</v>
      </c>
      <c r="AP383" s="532" t="s">
        <v>2492</v>
      </c>
      <c r="AQ383" s="579">
        <f>+AK383</f>
        <v>0</v>
      </c>
      <c r="AR383" s="1161">
        <v>1</v>
      </c>
      <c r="AS383" s="62" t="s">
        <v>1301</v>
      </c>
      <c r="AT383" s="63" t="s">
        <v>3579</v>
      </c>
      <c r="AU383" s="66" t="str">
        <f t="shared" si="61"/>
        <v>Terminado</v>
      </c>
      <c r="AV383" s="66" t="str">
        <f t="shared" si="62"/>
        <v>Terminado</v>
      </c>
      <c r="AW383" s="532" t="s">
        <v>1315</v>
      </c>
      <c r="AX383" s="599">
        <f>SUMPRODUCT(O383:O385,AR383:AR385)</f>
        <v>0.2</v>
      </c>
      <c r="AY383" s="600">
        <f>SUMPRODUCT(S383:S385,O383:O385)</f>
        <v>0.2</v>
      </c>
      <c r="AZ383" s="530" t="str">
        <f>IF(AY383&lt;1%,"Sin iniciar",IF(AY383=100%,"Terminado","En gestión"))</f>
        <v>En gestión</v>
      </c>
      <c r="BA383" s="530" t="str">
        <f>IF(AX383&lt;1%,"Sin iniciar",IF(AX383=100%,"Terminado","En gestión"))</f>
        <v>En gestión</v>
      </c>
      <c r="BB383" s="66"/>
      <c r="BC383" s="66"/>
      <c r="BD383" s="579">
        <v>60412618.079999991</v>
      </c>
      <c r="BE383" s="579">
        <v>73965126.760969698</v>
      </c>
      <c r="BF383" s="579">
        <v>19004695.83496552</v>
      </c>
      <c r="BG383" s="579">
        <v>55490000</v>
      </c>
      <c r="BH383" s="579">
        <v>55490000</v>
      </c>
      <c r="BI383" s="579">
        <v>15284700</v>
      </c>
      <c r="BJ383" s="592" t="s">
        <v>2485</v>
      </c>
      <c r="BK383" s="557"/>
      <c r="BL383" s="521" t="s">
        <v>2491</v>
      </c>
      <c r="BM383" s="532" t="s">
        <v>2492</v>
      </c>
      <c r="BN383" s="579" t="s">
        <v>2665</v>
      </c>
      <c r="BO383" s="348">
        <v>1</v>
      </c>
      <c r="BP383" s="24" t="s">
        <v>3580</v>
      </c>
      <c r="BQ383" s="24" t="s">
        <v>3581</v>
      </c>
      <c r="BR383" s="19" t="str">
        <f t="shared" si="63"/>
        <v>Terminado</v>
      </c>
      <c r="BS383" s="19" t="str">
        <f t="shared" si="64"/>
        <v>Terminado</v>
      </c>
      <c r="BT383" s="560" t="s">
        <v>3582</v>
      </c>
      <c r="BU383" s="561">
        <f>SUMPRODUCT(O383:O385,BO383:BO385)</f>
        <v>0.64</v>
      </c>
      <c r="BV383" s="562">
        <f>SUMPRODUCT(O383:O385,T383:T385)</f>
        <v>0.64</v>
      </c>
      <c r="BW383" s="611" t="str">
        <f>IF(BV383&lt;1%,"Sin iniciar",IF(BV383=100%,"Terminado","En gestión"))</f>
        <v>En gestión</v>
      </c>
      <c r="BX383" s="611" t="str">
        <f>IF(BU383&lt;1%,"Sin iniciar",IF(BU383=100%,"Terminado","En gestión"))</f>
        <v>En gestión</v>
      </c>
      <c r="BY383" s="578" t="s">
        <v>37</v>
      </c>
      <c r="BZ383" s="560" t="s">
        <v>3556</v>
      </c>
      <c r="CA383" s="579">
        <v>73965126.760969698</v>
      </c>
      <c r="CB383" s="579"/>
      <c r="CC383" s="579">
        <f>CA383*BV383</f>
        <v>47337681.127020605</v>
      </c>
      <c r="CD383" s="579">
        <v>55490000</v>
      </c>
      <c r="CE383" s="579">
        <v>57766666.666666701</v>
      </c>
      <c r="CF383" s="579">
        <v>35700000</v>
      </c>
      <c r="CG383" s="560" t="s">
        <v>3557</v>
      </c>
      <c r="CH383" s="560" t="s">
        <v>3583</v>
      </c>
      <c r="CI383" s="560" t="s">
        <v>3584</v>
      </c>
      <c r="CJ383" s="560" t="s">
        <v>2699</v>
      </c>
    </row>
    <row r="384" spans="2:88" ht="171.95" customHeight="1" x14ac:dyDescent="0.25">
      <c r="B384" s="1227"/>
      <c r="C384" s="639"/>
      <c r="D384" s="41" t="s">
        <v>57</v>
      </c>
      <c r="E384" s="41" t="s">
        <v>26</v>
      </c>
      <c r="F384" s="640"/>
      <c r="G384" s="41" t="s">
        <v>28</v>
      </c>
      <c r="H384" s="41" t="s">
        <v>28</v>
      </c>
      <c r="I384" s="41" t="s">
        <v>326</v>
      </c>
      <c r="J384" s="41" t="s">
        <v>194</v>
      </c>
      <c r="K384" s="641"/>
      <c r="L384" s="52" t="s">
        <v>187</v>
      </c>
      <c r="M384" s="42" t="s">
        <v>1243</v>
      </c>
      <c r="N384" s="108" t="s">
        <v>1244</v>
      </c>
      <c r="O384" s="41">
        <v>0.3</v>
      </c>
      <c r="P384" s="44">
        <v>44378</v>
      </c>
      <c r="Q384" s="44">
        <v>44498</v>
      </c>
      <c r="R384" s="45">
        <v>0</v>
      </c>
      <c r="S384" s="45">
        <v>0</v>
      </c>
      <c r="T384" s="45">
        <v>0.8</v>
      </c>
      <c r="U384" s="45">
        <v>1</v>
      </c>
      <c r="V384" s="90">
        <v>0</v>
      </c>
      <c r="W384" s="62" t="s">
        <v>37</v>
      </c>
      <c r="X384" s="63" t="s">
        <v>37</v>
      </c>
      <c r="Y384" s="19" t="str">
        <f t="shared" si="59"/>
        <v>Sin iniciar</v>
      </c>
      <c r="Z384" s="19" t="str">
        <f t="shared" si="60"/>
        <v>Sin iniciar</v>
      </c>
      <c r="AA384" s="532"/>
      <c r="AB384" s="596"/>
      <c r="AC384" s="597"/>
      <c r="AD384" s="611"/>
      <c r="AE384" s="611"/>
      <c r="AF384" s="66"/>
      <c r="AG384" s="579"/>
      <c r="AH384" s="579"/>
      <c r="AI384" s="579"/>
      <c r="AJ384" s="579"/>
      <c r="AK384" s="579"/>
      <c r="AL384" s="579"/>
      <c r="AM384" s="592"/>
      <c r="AN384" s="598"/>
      <c r="AO384" s="521"/>
      <c r="AP384" s="532"/>
      <c r="AQ384" s="579"/>
      <c r="AR384" s="1163">
        <v>0</v>
      </c>
      <c r="AS384" s="62" t="s">
        <v>2437</v>
      </c>
      <c r="AT384" s="63"/>
      <c r="AU384" s="66" t="str">
        <f t="shared" si="61"/>
        <v>Sin iniciar</v>
      </c>
      <c r="AV384" s="66" t="str">
        <f t="shared" si="62"/>
        <v>Sin iniciar</v>
      </c>
      <c r="AW384" s="532"/>
      <c r="AX384" s="599"/>
      <c r="AY384" s="600"/>
      <c r="AZ384" s="530"/>
      <c r="BA384" s="530"/>
      <c r="BB384" s="66"/>
      <c r="BC384" s="66"/>
      <c r="BD384" s="579"/>
      <c r="BE384" s="579"/>
      <c r="BF384" s="579"/>
      <c r="BG384" s="579"/>
      <c r="BH384" s="579"/>
      <c r="BI384" s="579"/>
      <c r="BJ384" s="592"/>
      <c r="BK384" s="559"/>
      <c r="BL384" s="521"/>
      <c r="BM384" s="532"/>
      <c r="BN384" s="579"/>
      <c r="BO384" s="348">
        <v>0.8</v>
      </c>
      <c r="BP384" s="24" t="s">
        <v>3585</v>
      </c>
      <c r="BQ384" s="24" t="s">
        <v>3586</v>
      </c>
      <c r="BR384" s="19" t="str">
        <f t="shared" si="63"/>
        <v>En gestión</v>
      </c>
      <c r="BS384" s="19" t="str">
        <f t="shared" si="64"/>
        <v>En gestión</v>
      </c>
      <c r="BT384" s="560"/>
      <c r="BU384" s="561"/>
      <c r="BV384" s="562"/>
      <c r="BW384" s="611"/>
      <c r="BX384" s="611"/>
      <c r="BY384" s="578"/>
      <c r="BZ384" s="560"/>
      <c r="CA384" s="579"/>
      <c r="CB384" s="579"/>
      <c r="CC384" s="579"/>
      <c r="CD384" s="579"/>
      <c r="CE384" s="579"/>
      <c r="CF384" s="579"/>
      <c r="CG384" s="560"/>
      <c r="CH384" s="560"/>
      <c r="CI384" s="560"/>
      <c r="CJ384" s="560"/>
    </row>
    <row r="385" spans="2:88" ht="171.95" customHeight="1" x14ac:dyDescent="0.25">
      <c r="B385" s="1227"/>
      <c r="C385" s="639"/>
      <c r="D385" s="41" t="s">
        <v>57</v>
      </c>
      <c r="E385" s="41" t="s">
        <v>26</v>
      </c>
      <c r="F385" s="640"/>
      <c r="G385" s="41" t="s">
        <v>28</v>
      </c>
      <c r="H385" s="41" t="s">
        <v>28</v>
      </c>
      <c r="I385" s="41" t="s">
        <v>326</v>
      </c>
      <c r="J385" s="41" t="s">
        <v>194</v>
      </c>
      <c r="K385" s="641"/>
      <c r="L385" s="52" t="s">
        <v>187</v>
      </c>
      <c r="M385" s="42" t="s">
        <v>1245</v>
      </c>
      <c r="N385" s="108" t="s">
        <v>1246</v>
      </c>
      <c r="O385" s="41">
        <v>0.5</v>
      </c>
      <c r="P385" s="44">
        <v>44378</v>
      </c>
      <c r="Q385" s="44">
        <v>44557</v>
      </c>
      <c r="R385" s="45">
        <v>0</v>
      </c>
      <c r="S385" s="45">
        <v>0</v>
      </c>
      <c r="T385" s="45">
        <v>0.4</v>
      </c>
      <c r="U385" s="45">
        <v>1</v>
      </c>
      <c r="V385" s="90">
        <v>0</v>
      </c>
      <c r="W385" s="62" t="s">
        <v>37</v>
      </c>
      <c r="X385" s="63" t="s">
        <v>37</v>
      </c>
      <c r="Y385" s="19" t="str">
        <f t="shared" si="59"/>
        <v>Sin iniciar</v>
      </c>
      <c r="Z385" s="19" t="str">
        <f t="shared" si="60"/>
        <v>Sin iniciar</v>
      </c>
      <c r="AA385" s="532"/>
      <c r="AB385" s="596"/>
      <c r="AC385" s="597"/>
      <c r="AD385" s="611"/>
      <c r="AE385" s="611"/>
      <c r="AF385" s="66"/>
      <c r="AG385" s="579"/>
      <c r="AH385" s="579"/>
      <c r="AI385" s="579"/>
      <c r="AJ385" s="579"/>
      <c r="AK385" s="579"/>
      <c r="AL385" s="579"/>
      <c r="AM385" s="592"/>
      <c r="AN385" s="598"/>
      <c r="AO385" s="521"/>
      <c r="AP385" s="532"/>
      <c r="AQ385" s="579"/>
      <c r="AR385" s="1163">
        <v>0</v>
      </c>
      <c r="AS385" s="62" t="s">
        <v>2437</v>
      </c>
      <c r="AT385" s="63"/>
      <c r="AU385" s="66" t="str">
        <f t="shared" si="61"/>
        <v>Sin iniciar</v>
      </c>
      <c r="AV385" s="66" t="str">
        <f t="shared" si="62"/>
        <v>Sin iniciar</v>
      </c>
      <c r="AW385" s="532"/>
      <c r="AX385" s="599"/>
      <c r="AY385" s="600"/>
      <c r="AZ385" s="530"/>
      <c r="BA385" s="530"/>
      <c r="BB385" s="66"/>
      <c r="BC385" s="66"/>
      <c r="BD385" s="579"/>
      <c r="BE385" s="579"/>
      <c r="BF385" s="579"/>
      <c r="BG385" s="579"/>
      <c r="BH385" s="579"/>
      <c r="BI385" s="579"/>
      <c r="BJ385" s="592"/>
      <c r="BK385" s="558"/>
      <c r="BL385" s="521"/>
      <c r="BM385" s="532"/>
      <c r="BN385" s="579"/>
      <c r="BO385" s="348">
        <v>0.4</v>
      </c>
      <c r="BP385" s="24" t="s">
        <v>3587</v>
      </c>
      <c r="BQ385" s="24" t="s">
        <v>3588</v>
      </c>
      <c r="BR385" s="19" t="str">
        <f t="shared" si="63"/>
        <v>En gestión</v>
      </c>
      <c r="BS385" s="19" t="str">
        <f t="shared" si="64"/>
        <v>En gestión</v>
      </c>
      <c r="BT385" s="560"/>
      <c r="BU385" s="561"/>
      <c r="BV385" s="562"/>
      <c r="BW385" s="611"/>
      <c r="BX385" s="611"/>
      <c r="BY385" s="578"/>
      <c r="BZ385" s="560"/>
      <c r="CA385" s="579"/>
      <c r="CB385" s="579"/>
      <c r="CC385" s="579"/>
      <c r="CD385" s="579"/>
      <c r="CE385" s="579"/>
      <c r="CF385" s="579"/>
      <c r="CG385" s="560"/>
      <c r="CH385" s="560"/>
      <c r="CI385" s="560"/>
      <c r="CJ385" s="560"/>
    </row>
    <row r="386" spans="2:88" ht="171.95" customHeight="1" x14ac:dyDescent="0.25">
      <c r="B386" s="1227"/>
      <c r="C386" s="632" t="s">
        <v>1247</v>
      </c>
      <c r="D386" s="33" t="s">
        <v>57</v>
      </c>
      <c r="E386" s="33" t="s">
        <v>26</v>
      </c>
      <c r="F386" s="633" t="s">
        <v>1223</v>
      </c>
      <c r="G386" s="33" t="s">
        <v>28</v>
      </c>
      <c r="H386" s="33" t="s">
        <v>28</v>
      </c>
      <c r="I386" s="33" t="s">
        <v>326</v>
      </c>
      <c r="J386" s="33" t="s">
        <v>1039</v>
      </c>
      <c r="K386" s="634" t="s">
        <v>1248</v>
      </c>
      <c r="L386" s="51" t="s">
        <v>752</v>
      </c>
      <c r="M386" s="34" t="s">
        <v>1249</v>
      </c>
      <c r="N386" s="93" t="s">
        <v>1226</v>
      </c>
      <c r="O386" s="33">
        <v>0.1</v>
      </c>
      <c r="P386" s="36">
        <v>44242</v>
      </c>
      <c r="Q386" s="36">
        <v>44260</v>
      </c>
      <c r="R386" s="37">
        <v>1</v>
      </c>
      <c r="S386" s="37">
        <v>1</v>
      </c>
      <c r="T386" s="37">
        <v>1</v>
      </c>
      <c r="U386" s="37">
        <v>1</v>
      </c>
      <c r="V386" s="90">
        <v>1</v>
      </c>
      <c r="W386" s="13" t="s">
        <v>1250</v>
      </c>
      <c r="X386" s="55" t="s">
        <v>3589</v>
      </c>
      <c r="Y386" s="5" t="str">
        <f t="shared" si="59"/>
        <v>Terminado</v>
      </c>
      <c r="Z386" s="5" t="str">
        <f t="shared" si="60"/>
        <v>Terminado</v>
      </c>
      <c r="AA386" s="531" t="s">
        <v>1292</v>
      </c>
      <c r="AB386" s="596">
        <f>SUMPRODUCT(O386:O388,V386:V388)</f>
        <v>0.16</v>
      </c>
      <c r="AC386" s="597">
        <f>SUMPRODUCT(O386:O388,R386:R388)</f>
        <v>0.16</v>
      </c>
      <c r="AD386" s="610" t="str">
        <f>IF(AC386&lt;1%,"Sin iniciar",IF(AC386=100%,"Terminado","En gestión"))</f>
        <v>En gestión</v>
      </c>
      <c r="AE386" s="610" t="str">
        <f>IF(AB386&lt;1%,"Sin iniciar",IF(AB386=100%,"Terminado","En gestión"))</f>
        <v>En gestión</v>
      </c>
      <c r="AF386" s="56"/>
      <c r="AG386" s="583">
        <v>52718020.919999994</v>
      </c>
      <c r="AH386" s="583">
        <v>0</v>
      </c>
      <c r="AI386" s="583">
        <v>8434883.3471999988</v>
      </c>
      <c r="AJ386" s="583">
        <v>12730800</v>
      </c>
      <c r="AK386" s="583">
        <v>0</v>
      </c>
      <c r="AL386" s="583">
        <v>3200000</v>
      </c>
      <c r="AM386" s="593" t="s">
        <v>2485</v>
      </c>
      <c r="AN386" s="603" t="s">
        <v>2486</v>
      </c>
      <c r="AO386" s="520" t="s">
        <v>2489</v>
      </c>
      <c r="AP386" s="531" t="s">
        <v>2490</v>
      </c>
      <c r="AQ386" s="583">
        <f>+AK386</f>
        <v>0</v>
      </c>
      <c r="AR386" s="1163">
        <v>1</v>
      </c>
      <c r="AS386" s="13" t="s">
        <v>2434</v>
      </c>
      <c r="AT386" s="55"/>
      <c r="AU386" s="56" t="str">
        <f t="shared" si="61"/>
        <v>Terminado</v>
      </c>
      <c r="AV386" s="56" t="str">
        <f t="shared" si="62"/>
        <v>Terminado</v>
      </c>
      <c r="AW386" s="531" t="s">
        <v>1316</v>
      </c>
      <c r="AX386" s="599">
        <f>SUMPRODUCT(O386:O388,AR386:AR388)</f>
        <v>0.52</v>
      </c>
      <c r="AY386" s="600">
        <f>SUMPRODUCT(S386:S388,O386:O388)</f>
        <v>0.52</v>
      </c>
      <c r="AZ386" s="536" t="str">
        <f>IF(AY386&lt;1%,"Sin iniciar",IF(AY386=100%,"Terminado","En gestión"))</f>
        <v>En gestión</v>
      </c>
      <c r="BA386" s="536" t="str">
        <f>IF(AX386&lt;1%,"Sin iniciar",IF(AX386=100%,"Terminado","En gestión"))</f>
        <v>En gestión</v>
      </c>
      <c r="BB386" s="56"/>
      <c r="BC386" s="56"/>
      <c r="BD386" s="583">
        <v>52718020.919999994</v>
      </c>
      <c r="BE386" s="583">
        <v>59437947.628969699</v>
      </c>
      <c r="BF386" s="583">
        <v>32886768.255298849</v>
      </c>
      <c r="BG386" s="583">
        <v>12730800</v>
      </c>
      <c r="BH386" s="583">
        <v>12730800</v>
      </c>
      <c r="BI386" s="583">
        <v>0</v>
      </c>
      <c r="BJ386" s="593" t="s">
        <v>2485</v>
      </c>
      <c r="BK386" s="554"/>
      <c r="BL386" s="520" t="s">
        <v>2489</v>
      </c>
      <c r="BM386" s="531" t="s">
        <v>2490</v>
      </c>
      <c r="BN386" s="583" t="s">
        <v>2665</v>
      </c>
      <c r="BO386" s="348">
        <v>1</v>
      </c>
      <c r="BP386" s="11" t="s">
        <v>3590</v>
      </c>
      <c r="BQ386" s="11" t="s">
        <v>28</v>
      </c>
      <c r="BR386" s="5" t="str">
        <f t="shared" si="63"/>
        <v>Terminado</v>
      </c>
      <c r="BS386" s="5" t="str">
        <f t="shared" si="64"/>
        <v>Terminado</v>
      </c>
      <c r="BT386" s="581" t="s">
        <v>3591</v>
      </c>
      <c r="BU386" s="561">
        <f>SUMPRODUCT(O386:O388,BO386:BO388)</f>
        <v>0.64</v>
      </c>
      <c r="BV386" s="562">
        <f>SUMPRODUCT(O386:O388,T386:T388)</f>
        <v>0.64</v>
      </c>
      <c r="BW386" s="610" t="str">
        <f>IF(BV386&lt;1%,"Sin iniciar",IF(BV386=100%,"Terminado","En gestión"))</f>
        <v>En gestión</v>
      </c>
      <c r="BX386" s="610" t="str">
        <f>IF(BU386&lt;1%,"Sin iniciar",IF(BU386=100%,"Terminado","En gestión"))</f>
        <v>En gestión</v>
      </c>
      <c r="BY386" s="573" t="s">
        <v>37</v>
      </c>
      <c r="BZ386" s="581" t="s">
        <v>3556</v>
      </c>
      <c r="CA386" s="583">
        <v>59437947.628969699</v>
      </c>
      <c r="CB386" s="583"/>
      <c r="CC386" s="583">
        <f>CA386*BV386</f>
        <v>38040286.482540607</v>
      </c>
      <c r="CD386" s="583">
        <v>12730800</v>
      </c>
      <c r="CE386" s="583">
        <v>0</v>
      </c>
      <c r="CF386" s="583">
        <v>0</v>
      </c>
      <c r="CG386" s="581"/>
      <c r="CH386" s="581"/>
      <c r="CI386" s="581"/>
      <c r="CJ386" s="581"/>
    </row>
    <row r="387" spans="2:88" ht="171.95" customHeight="1" x14ac:dyDescent="0.25">
      <c r="B387" s="1227"/>
      <c r="C387" s="632"/>
      <c r="D387" s="33" t="s">
        <v>57</v>
      </c>
      <c r="E387" s="33" t="s">
        <v>26</v>
      </c>
      <c r="F387" s="633"/>
      <c r="G387" s="33" t="s">
        <v>28</v>
      </c>
      <c r="H387" s="33" t="s">
        <v>28</v>
      </c>
      <c r="I387" s="33" t="s">
        <v>326</v>
      </c>
      <c r="J387" s="33" t="s">
        <v>1039</v>
      </c>
      <c r="K387" s="634"/>
      <c r="L387" s="51" t="s">
        <v>752</v>
      </c>
      <c r="M387" s="34" t="s">
        <v>1251</v>
      </c>
      <c r="N387" s="93" t="s">
        <v>1229</v>
      </c>
      <c r="O387" s="33">
        <v>0.3</v>
      </c>
      <c r="P387" s="36">
        <v>44256</v>
      </c>
      <c r="Q387" s="36">
        <v>44377</v>
      </c>
      <c r="R387" s="37">
        <v>0.2</v>
      </c>
      <c r="S387" s="37">
        <v>1</v>
      </c>
      <c r="T387" s="37">
        <v>1</v>
      </c>
      <c r="U387" s="37">
        <v>1</v>
      </c>
      <c r="V387" s="90">
        <v>0.2</v>
      </c>
      <c r="W387" s="13" t="s">
        <v>1252</v>
      </c>
      <c r="X387" s="55" t="s">
        <v>3592</v>
      </c>
      <c r="Y387" s="5" t="str">
        <f t="shared" si="59"/>
        <v>En gestión</v>
      </c>
      <c r="Z387" s="5" t="str">
        <f t="shared" si="60"/>
        <v>En gestión</v>
      </c>
      <c r="AA387" s="531"/>
      <c r="AB387" s="596"/>
      <c r="AC387" s="597"/>
      <c r="AD387" s="610"/>
      <c r="AE387" s="610"/>
      <c r="AF387" s="56"/>
      <c r="AG387" s="583"/>
      <c r="AH387" s="583"/>
      <c r="AI387" s="583"/>
      <c r="AJ387" s="583"/>
      <c r="AK387" s="583"/>
      <c r="AL387" s="583"/>
      <c r="AM387" s="593"/>
      <c r="AN387" s="603"/>
      <c r="AO387" s="520"/>
      <c r="AP387" s="531"/>
      <c r="AQ387" s="583"/>
      <c r="AR387" s="1163">
        <v>1</v>
      </c>
      <c r="AS387" s="13" t="s">
        <v>1302</v>
      </c>
      <c r="AT387" s="55" t="s">
        <v>3593</v>
      </c>
      <c r="AU387" s="56" t="str">
        <f t="shared" si="61"/>
        <v>Terminado</v>
      </c>
      <c r="AV387" s="56" t="str">
        <f t="shared" si="62"/>
        <v>Terminado</v>
      </c>
      <c r="AW387" s="531"/>
      <c r="AX387" s="599"/>
      <c r="AY387" s="600"/>
      <c r="AZ387" s="536"/>
      <c r="BA387" s="536"/>
      <c r="BB387" s="56"/>
      <c r="BC387" s="56"/>
      <c r="BD387" s="583"/>
      <c r="BE387" s="583"/>
      <c r="BF387" s="583"/>
      <c r="BG387" s="583"/>
      <c r="BH387" s="583"/>
      <c r="BI387" s="583"/>
      <c r="BJ387" s="593"/>
      <c r="BK387" s="555"/>
      <c r="BL387" s="520"/>
      <c r="BM387" s="531"/>
      <c r="BN387" s="583"/>
      <c r="BO387" s="348">
        <v>1</v>
      </c>
      <c r="BP387" s="11" t="s">
        <v>3590</v>
      </c>
      <c r="BQ387" s="11" t="s">
        <v>28</v>
      </c>
      <c r="BR387" s="5" t="str">
        <f t="shared" si="63"/>
        <v>Terminado</v>
      </c>
      <c r="BS387" s="5" t="str">
        <f t="shared" si="64"/>
        <v>Terminado</v>
      </c>
      <c r="BT387" s="581"/>
      <c r="BU387" s="561"/>
      <c r="BV387" s="562"/>
      <c r="BW387" s="610"/>
      <c r="BX387" s="610"/>
      <c r="BY387" s="573"/>
      <c r="BZ387" s="581"/>
      <c r="CA387" s="583"/>
      <c r="CB387" s="583"/>
      <c r="CC387" s="583"/>
      <c r="CD387" s="583"/>
      <c r="CE387" s="583"/>
      <c r="CF387" s="583"/>
      <c r="CG387" s="581"/>
      <c r="CH387" s="581"/>
      <c r="CI387" s="581"/>
      <c r="CJ387" s="581"/>
    </row>
    <row r="388" spans="2:88" ht="171.95" customHeight="1" x14ac:dyDescent="0.25">
      <c r="B388" s="1227"/>
      <c r="C388" s="632"/>
      <c r="D388" s="33" t="s">
        <v>57</v>
      </c>
      <c r="E388" s="33" t="s">
        <v>26</v>
      </c>
      <c r="F388" s="633"/>
      <c r="G388" s="33" t="s">
        <v>28</v>
      </c>
      <c r="H388" s="33" t="s">
        <v>28</v>
      </c>
      <c r="I388" s="33" t="s">
        <v>326</v>
      </c>
      <c r="J388" s="33" t="s">
        <v>1039</v>
      </c>
      <c r="K388" s="634"/>
      <c r="L388" s="51" t="s">
        <v>752</v>
      </c>
      <c r="M388" s="34" t="s">
        <v>1253</v>
      </c>
      <c r="N388" s="93" t="s">
        <v>1254</v>
      </c>
      <c r="O388" s="33">
        <v>0.6</v>
      </c>
      <c r="P388" s="36">
        <v>44287</v>
      </c>
      <c r="Q388" s="36">
        <v>44545</v>
      </c>
      <c r="R388" s="37">
        <v>0</v>
      </c>
      <c r="S388" s="37">
        <v>0.2</v>
      </c>
      <c r="T388" s="37">
        <v>0.4</v>
      </c>
      <c r="U388" s="37">
        <v>1</v>
      </c>
      <c r="V388" s="90">
        <v>0</v>
      </c>
      <c r="W388" s="13" t="s">
        <v>37</v>
      </c>
      <c r="X388" s="55" t="s">
        <v>37</v>
      </c>
      <c r="Y388" s="5" t="str">
        <f t="shared" si="59"/>
        <v>Sin iniciar</v>
      </c>
      <c r="Z388" s="5" t="str">
        <f t="shared" si="60"/>
        <v>Sin iniciar</v>
      </c>
      <c r="AA388" s="531"/>
      <c r="AB388" s="596"/>
      <c r="AC388" s="597"/>
      <c r="AD388" s="610"/>
      <c r="AE388" s="610"/>
      <c r="AF388" s="56"/>
      <c r="AG388" s="583"/>
      <c r="AH388" s="583"/>
      <c r="AI388" s="583"/>
      <c r="AJ388" s="583"/>
      <c r="AK388" s="583"/>
      <c r="AL388" s="583"/>
      <c r="AM388" s="593"/>
      <c r="AN388" s="603"/>
      <c r="AO388" s="520"/>
      <c r="AP388" s="531"/>
      <c r="AQ388" s="583"/>
      <c r="AR388" s="1163">
        <v>0.2</v>
      </c>
      <c r="AS388" s="13" t="s">
        <v>1303</v>
      </c>
      <c r="AT388" s="55" t="s">
        <v>3594</v>
      </c>
      <c r="AU388" s="56" t="str">
        <f t="shared" si="61"/>
        <v>En gestión</v>
      </c>
      <c r="AV388" s="56" t="str">
        <f t="shared" si="62"/>
        <v>En gestión</v>
      </c>
      <c r="AW388" s="531"/>
      <c r="AX388" s="599"/>
      <c r="AY388" s="600"/>
      <c r="AZ388" s="536"/>
      <c r="BA388" s="536"/>
      <c r="BB388" s="56"/>
      <c r="BC388" s="56"/>
      <c r="BD388" s="583"/>
      <c r="BE388" s="583"/>
      <c r="BF388" s="583"/>
      <c r="BG388" s="583"/>
      <c r="BH388" s="583"/>
      <c r="BI388" s="583"/>
      <c r="BJ388" s="593"/>
      <c r="BK388" s="556"/>
      <c r="BL388" s="520"/>
      <c r="BM388" s="531"/>
      <c r="BN388" s="583"/>
      <c r="BO388" s="348">
        <v>0.4</v>
      </c>
      <c r="BP388" s="11" t="s">
        <v>3595</v>
      </c>
      <c r="BQ388" s="11" t="s">
        <v>3596</v>
      </c>
      <c r="BR388" s="5" t="str">
        <f t="shared" si="63"/>
        <v>En gestión</v>
      </c>
      <c r="BS388" s="5" t="str">
        <f t="shared" si="64"/>
        <v>En gestión</v>
      </c>
      <c r="BT388" s="581"/>
      <c r="BU388" s="561"/>
      <c r="BV388" s="562"/>
      <c r="BW388" s="610"/>
      <c r="BX388" s="610"/>
      <c r="BY388" s="573"/>
      <c r="BZ388" s="581"/>
      <c r="CA388" s="583"/>
      <c r="CB388" s="583"/>
      <c r="CC388" s="583"/>
      <c r="CD388" s="583"/>
      <c r="CE388" s="583"/>
      <c r="CF388" s="583"/>
      <c r="CG388" s="581"/>
      <c r="CH388" s="581"/>
      <c r="CI388" s="581"/>
      <c r="CJ388" s="581"/>
    </row>
    <row r="389" spans="2:88" ht="171.95" customHeight="1" x14ac:dyDescent="0.25">
      <c r="B389" s="1227"/>
      <c r="C389" s="639" t="s">
        <v>1255</v>
      </c>
      <c r="D389" s="41" t="s">
        <v>57</v>
      </c>
      <c r="E389" s="41" t="s">
        <v>26</v>
      </c>
      <c r="F389" s="640" t="s">
        <v>1223</v>
      </c>
      <c r="G389" s="41" t="s">
        <v>28</v>
      </c>
      <c r="H389" s="41" t="s">
        <v>28</v>
      </c>
      <c r="I389" s="41" t="s">
        <v>326</v>
      </c>
      <c r="J389" s="41" t="s">
        <v>1039</v>
      </c>
      <c r="K389" s="641" t="s">
        <v>1256</v>
      </c>
      <c r="L389" s="52" t="s">
        <v>1257</v>
      </c>
      <c r="M389" s="42" t="s">
        <v>1258</v>
      </c>
      <c r="N389" s="108" t="s">
        <v>1259</v>
      </c>
      <c r="O389" s="41">
        <v>0.1</v>
      </c>
      <c r="P389" s="44">
        <v>44242</v>
      </c>
      <c r="Q389" s="44">
        <v>44285</v>
      </c>
      <c r="R389" s="45">
        <v>1</v>
      </c>
      <c r="S389" s="45">
        <v>1</v>
      </c>
      <c r="T389" s="45">
        <v>1</v>
      </c>
      <c r="U389" s="45">
        <v>1</v>
      </c>
      <c r="V389" s="90">
        <v>1</v>
      </c>
      <c r="W389" s="62" t="s">
        <v>1260</v>
      </c>
      <c r="X389" s="63" t="s">
        <v>3597</v>
      </c>
      <c r="Y389" s="19" t="str">
        <f t="shared" si="59"/>
        <v>Terminado</v>
      </c>
      <c r="Z389" s="19" t="str">
        <f t="shared" si="60"/>
        <v>Terminado</v>
      </c>
      <c r="AA389" s="532" t="s">
        <v>1293</v>
      </c>
      <c r="AB389" s="596">
        <f>SUMPRODUCT(O389:O391,V389:V391)</f>
        <v>0.1</v>
      </c>
      <c r="AC389" s="597">
        <f>SUMPRODUCT(O389:O391,R389:R391)</f>
        <v>0.1</v>
      </c>
      <c r="AD389" s="611" t="str">
        <f>IF(AC389&lt;1%,"Sin iniciar",IF(AC389=100%,"Terminado","En gestión"))</f>
        <v>En gestión</v>
      </c>
      <c r="AE389" s="611" t="str">
        <f>IF(AB389&lt;1%,"Sin iniciar",IF(AB389=100%,"Terminado","En gestión"))</f>
        <v>En gestión</v>
      </c>
      <c r="AF389" s="66"/>
      <c r="AG389" s="579">
        <v>38748391.920000002</v>
      </c>
      <c r="AH389" s="579">
        <v>0</v>
      </c>
      <c r="AI389" s="579">
        <v>3874839.1920000003</v>
      </c>
      <c r="AJ389" s="579">
        <v>55697250</v>
      </c>
      <c r="AK389" s="579">
        <v>0</v>
      </c>
      <c r="AL389" s="579">
        <v>5304500</v>
      </c>
      <c r="AM389" s="592" t="s">
        <v>2485</v>
      </c>
      <c r="AN389" s="598" t="s">
        <v>2486</v>
      </c>
      <c r="AO389" s="521" t="s">
        <v>2493</v>
      </c>
      <c r="AP389" s="532" t="s">
        <v>2494</v>
      </c>
      <c r="AQ389" s="579">
        <f>+AK389</f>
        <v>0</v>
      </c>
      <c r="AR389" s="1163">
        <v>1</v>
      </c>
      <c r="AS389" s="62" t="s">
        <v>2434</v>
      </c>
      <c r="AT389" s="63"/>
      <c r="AU389" s="66" t="str">
        <f t="shared" si="61"/>
        <v>Terminado</v>
      </c>
      <c r="AV389" s="66" t="str">
        <f t="shared" si="62"/>
        <v>Terminado</v>
      </c>
      <c r="AW389" s="532" t="s">
        <v>1317</v>
      </c>
      <c r="AX389" s="599">
        <f>SUMPRODUCT(O389:O391,AR389:AR391)</f>
        <v>0.52</v>
      </c>
      <c r="AY389" s="600">
        <f>SUMPRODUCT(S389:S391,O389:O391)</f>
        <v>0.52</v>
      </c>
      <c r="AZ389" s="530" t="str">
        <f>IF(AY389&lt;1%,"Sin iniciar",IF(AY389=100%,"Terminado","En gestión"))</f>
        <v>En gestión</v>
      </c>
      <c r="BA389" s="530" t="str">
        <f>IF(AX389&lt;1%,"Sin iniciar",IF(AX389=100%,"Terminado","En gestión"))</f>
        <v>En gestión</v>
      </c>
      <c r="BB389" s="66"/>
      <c r="BC389" s="66"/>
      <c r="BD389" s="579">
        <v>38748391.920000002</v>
      </c>
      <c r="BE389" s="579">
        <v>52878109.108969703</v>
      </c>
      <c r="BF389" s="579">
        <v>29148214.87529885</v>
      </c>
      <c r="BG389" s="579">
        <v>55697250</v>
      </c>
      <c r="BH389" s="579">
        <v>55697250</v>
      </c>
      <c r="BI389" s="579">
        <v>21218000</v>
      </c>
      <c r="BJ389" s="592" t="s">
        <v>2485</v>
      </c>
      <c r="BK389" s="557"/>
      <c r="BL389" s="521" t="s">
        <v>2493</v>
      </c>
      <c r="BM389" s="532" t="s">
        <v>2494</v>
      </c>
      <c r="BN389" s="579" t="s">
        <v>2665</v>
      </c>
      <c r="BO389" s="348">
        <v>1</v>
      </c>
      <c r="BP389" s="24" t="s">
        <v>3590</v>
      </c>
      <c r="BQ389" s="24" t="s">
        <v>28</v>
      </c>
      <c r="BR389" s="19" t="str">
        <f t="shared" si="63"/>
        <v>Terminado</v>
      </c>
      <c r="BS389" s="19" t="str">
        <f t="shared" si="64"/>
        <v>Terminado</v>
      </c>
      <c r="BT389" s="560" t="s">
        <v>3598</v>
      </c>
      <c r="BU389" s="561">
        <f>SUMPRODUCT(O389:O391,BO389:BO391)</f>
        <v>0.84000000000000008</v>
      </c>
      <c r="BV389" s="562">
        <f>SUMPRODUCT(O389:O391,T389:T391)</f>
        <v>0.84000000000000008</v>
      </c>
      <c r="BW389" s="611" t="str">
        <f>IF(BV389&lt;1%,"Sin iniciar",IF(BV389=100%,"Terminado","En gestión"))</f>
        <v>En gestión</v>
      </c>
      <c r="BX389" s="611" t="str">
        <f>IF(BU389&lt;1%,"Sin iniciar",IF(BU389=100%,"Terminado","En gestión"))</f>
        <v>En gestión</v>
      </c>
      <c r="BY389" s="578" t="s">
        <v>37</v>
      </c>
      <c r="BZ389" s="560" t="s">
        <v>3556</v>
      </c>
      <c r="CA389" s="579">
        <v>52878109.108969703</v>
      </c>
      <c r="CB389" s="579"/>
      <c r="CC389" s="579">
        <f>CA389*BV389</f>
        <v>44417611.651534557</v>
      </c>
      <c r="CD389" s="579">
        <v>55697250</v>
      </c>
      <c r="CE389" s="579">
        <v>51063075</v>
      </c>
      <c r="CF389" s="579">
        <v>32558100</v>
      </c>
      <c r="CG389" s="560" t="s">
        <v>3557</v>
      </c>
      <c r="CH389" s="560" t="s">
        <v>3599</v>
      </c>
      <c r="CI389" s="560" t="s">
        <v>3600</v>
      </c>
      <c r="CJ389" s="560" t="s">
        <v>2700</v>
      </c>
    </row>
    <row r="390" spans="2:88" ht="171.95" customHeight="1" x14ac:dyDescent="0.25">
      <c r="B390" s="1227"/>
      <c r="C390" s="639"/>
      <c r="D390" s="41" t="s">
        <v>57</v>
      </c>
      <c r="E390" s="41" t="s">
        <v>26</v>
      </c>
      <c r="F390" s="640"/>
      <c r="G390" s="41" t="s">
        <v>28</v>
      </c>
      <c r="H390" s="41" t="s">
        <v>28</v>
      </c>
      <c r="I390" s="41" t="s">
        <v>326</v>
      </c>
      <c r="J390" s="41" t="s">
        <v>1039</v>
      </c>
      <c r="K390" s="641"/>
      <c r="L390" s="52" t="s">
        <v>1257</v>
      </c>
      <c r="M390" s="42" t="s">
        <v>1261</v>
      </c>
      <c r="N390" s="108" t="s">
        <v>1229</v>
      </c>
      <c r="O390" s="41">
        <v>0.1</v>
      </c>
      <c r="P390" s="44">
        <v>44287</v>
      </c>
      <c r="Q390" s="44">
        <v>44377</v>
      </c>
      <c r="R390" s="45">
        <v>0</v>
      </c>
      <c r="S390" s="45">
        <v>1</v>
      </c>
      <c r="T390" s="45">
        <v>1</v>
      </c>
      <c r="U390" s="45">
        <v>1</v>
      </c>
      <c r="V390" s="90">
        <v>0</v>
      </c>
      <c r="W390" s="62" t="s">
        <v>37</v>
      </c>
      <c r="X390" s="63" t="s">
        <v>37</v>
      </c>
      <c r="Y390" s="19" t="str">
        <f t="shared" si="59"/>
        <v>Sin iniciar</v>
      </c>
      <c r="Z390" s="19" t="str">
        <f t="shared" si="60"/>
        <v>Sin iniciar</v>
      </c>
      <c r="AA390" s="532"/>
      <c r="AB390" s="596"/>
      <c r="AC390" s="597"/>
      <c r="AD390" s="611"/>
      <c r="AE390" s="611"/>
      <c r="AF390" s="66"/>
      <c r="AG390" s="579"/>
      <c r="AH390" s="579"/>
      <c r="AI390" s="579"/>
      <c r="AJ390" s="579"/>
      <c r="AK390" s="579"/>
      <c r="AL390" s="579"/>
      <c r="AM390" s="592" t="s">
        <v>2485</v>
      </c>
      <c r="AN390" s="598" t="s">
        <v>2486</v>
      </c>
      <c r="AO390" s="521" t="s">
        <v>2493</v>
      </c>
      <c r="AP390" s="532" t="s">
        <v>2494</v>
      </c>
      <c r="AQ390" s="579"/>
      <c r="AR390" s="1163">
        <v>1</v>
      </c>
      <c r="AS390" s="62" t="s">
        <v>1304</v>
      </c>
      <c r="AT390" s="63" t="s">
        <v>3601</v>
      </c>
      <c r="AU390" s="66" t="str">
        <f t="shared" si="61"/>
        <v>Terminado</v>
      </c>
      <c r="AV390" s="66" t="str">
        <f t="shared" si="62"/>
        <v>Terminado</v>
      </c>
      <c r="AW390" s="532"/>
      <c r="AX390" s="599"/>
      <c r="AY390" s="600"/>
      <c r="AZ390" s="530"/>
      <c r="BA390" s="530"/>
      <c r="BB390" s="66"/>
      <c r="BC390" s="66"/>
      <c r="BD390" s="579"/>
      <c r="BE390" s="579"/>
      <c r="BF390" s="579"/>
      <c r="BG390" s="579"/>
      <c r="BH390" s="579"/>
      <c r="BI390" s="579"/>
      <c r="BJ390" s="592" t="s">
        <v>2485</v>
      </c>
      <c r="BK390" s="559"/>
      <c r="BL390" s="521" t="s">
        <v>2493</v>
      </c>
      <c r="BM390" s="532" t="s">
        <v>2494</v>
      </c>
      <c r="BN390" s="579"/>
      <c r="BO390" s="348">
        <v>1</v>
      </c>
      <c r="BP390" s="24" t="s">
        <v>3590</v>
      </c>
      <c r="BQ390" s="24" t="s">
        <v>28</v>
      </c>
      <c r="BR390" s="19" t="str">
        <f t="shared" si="63"/>
        <v>Terminado</v>
      </c>
      <c r="BS390" s="19" t="str">
        <f t="shared" si="64"/>
        <v>Terminado</v>
      </c>
      <c r="BT390" s="560"/>
      <c r="BU390" s="561"/>
      <c r="BV390" s="562"/>
      <c r="BW390" s="611"/>
      <c r="BX390" s="611"/>
      <c r="BY390" s="578"/>
      <c r="BZ390" s="560"/>
      <c r="CA390" s="579"/>
      <c r="CB390" s="579"/>
      <c r="CC390" s="579"/>
      <c r="CD390" s="579"/>
      <c r="CE390" s="579"/>
      <c r="CF390" s="579"/>
      <c r="CG390" s="560"/>
      <c r="CH390" s="560"/>
      <c r="CI390" s="560"/>
      <c r="CJ390" s="560"/>
    </row>
    <row r="391" spans="2:88" ht="171.95" customHeight="1" x14ac:dyDescent="0.25">
      <c r="B391" s="1227"/>
      <c r="C391" s="639"/>
      <c r="D391" s="41" t="s">
        <v>57</v>
      </c>
      <c r="E391" s="41" t="s">
        <v>26</v>
      </c>
      <c r="F391" s="640"/>
      <c r="G391" s="41" t="s">
        <v>28</v>
      </c>
      <c r="H391" s="41" t="s">
        <v>28</v>
      </c>
      <c r="I391" s="41" t="s">
        <v>326</v>
      </c>
      <c r="J391" s="41" t="s">
        <v>1039</v>
      </c>
      <c r="K391" s="641"/>
      <c r="L391" s="52" t="s">
        <v>1257</v>
      </c>
      <c r="M391" s="42" t="s">
        <v>1262</v>
      </c>
      <c r="N391" s="108" t="s">
        <v>1263</v>
      </c>
      <c r="O391" s="41">
        <v>0.8</v>
      </c>
      <c r="P391" s="44">
        <v>44287</v>
      </c>
      <c r="Q391" s="44">
        <v>44545</v>
      </c>
      <c r="R391" s="45">
        <v>0</v>
      </c>
      <c r="S391" s="45">
        <v>0.4</v>
      </c>
      <c r="T391" s="45">
        <v>0.8</v>
      </c>
      <c r="U391" s="45">
        <v>1</v>
      </c>
      <c r="V391" s="90">
        <v>0</v>
      </c>
      <c r="W391" s="62" t="s">
        <v>37</v>
      </c>
      <c r="X391" s="63" t="s">
        <v>37</v>
      </c>
      <c r="Y391" s="19" t="str">
        <f t="shared" si="59"/>
        <v>Sin iniciar</v>
      </c>
      <c r="Z391" s="19" t="str">
        <f t="shared" si="60"/>
        <v>Sin iniciar</v>
      </c>
      <c r="AA391" s="532"/>
      <c r="AB391" s="596"/>
      <c r="AC391" s="597"/>
      <c r="AD391" s="611"/>
      <c r="AE391" s="611"/>
      <c r="AF391" s="66"/>
      <c r="AG391" s="579"/>
      <c r="AH391" s="579"/>
      <c r="AI391" s="579"/>
      <c r="AJ391" s="579"/>
      <c r="AK391" s="579"/>
      <c r="AL391" s="579"/>
      <c r="AM391" s="592" t="s">
        <v>2485</v>
      </c>
      <c r="AN391" s="598" t="s">
        <v>2486</v>
      </c>
      <c r="AO391" s="521" t="s">
        <v>2493</v>
      </c>
      <c r="AP391" s="532" t="s">
        <v>2494</v>
      </c>
      <c r="AQ391" s="579"/>
      <c r="AR391" s="1163">
        <v>0.4</v>
      </c>
      <c r="AS391" s="62" t="s">
        <v>1305</v>
      </c>
      <c r="AT391" s="63" t="s">
        <v>3602</v>
      </c>
      <c r="AU391" s="66" t="str">
        <f t="shared" si="61"/>
        <v>En gestión</v>
      </c>
      <c r="AV391" s="66" t="str">
        <f t="shared" si="62"/>
        <v>En gestión</v>
      </c>
      <c r="AW391" s="532"/>
      <c r="AX391" s="599"/>
      <c r="AY391" s="600"/>
      <c r="AZ391" s="530"/>
      <c r="BA391" s="530"/>
      <c r="BB391" s="66"/>
      <c r="BC391" s="66"/>
      <c r="BD391" s="579"/>
      <c r="BE391" s="579"/>
      <c r="BF391" s="579"/>
      <c r="BG391" s="579"/>
      <c r="BH391" s="579"/>
      <c r="BI391" s="579"/>
      <c r="BJ391" s="592" t="s">
        <v>2485</v>
      </c>
      <c r="BK391" s="558"/>
      <c r="BL391" s="521" t="s">
        <v>2493</v>
      </c>
      <c r="BM391" s="532" t="s">
        <v>2494</v>
      </c>
      <c r="BN391" s="579"/>
      <c r="BO391" s="348">
        <v>0.8</v>
      </c>
      <c r="BP391" s="24" t="s">
        <v>3603</v>
      </c>
      <c r="BQ391" s="24" t="s">
        <v>3602</v>
      </c>
      <c r="BR391" s="19" t="str">
        <f t="shared" si="63"/>
        <v>En gestión</v>
      </c>
      <c r="BS391" s="19" t="str">
        <f t="shared" si="64"/>
        <v>En gestión</v>
      </c>
      <c r="BT391" s="560"/>
      <c r="BU391" s="561"/>
      <c r="BV391" s="562"/>
      <c r="BW391" s="611"/>
      <c r="BX391" s="611"/>
      <c r="BY391" s="578"/>
      <c r="BZ391" s="560"/>
      <c r="CA391" s="579"/>
      <c r="CB391" s="579"/>
      <c r="CC391" s="579"/>
      <c r="CD391" s="579"/>
      <c r="CE391" s="579"/>
      <c r="CF391" s="579"/>
      <c r="CG391" s="560"/>
      <c r="CH391" s="560"/>
      <c r="CI391" s="560"/>
      <c r="CJ391" s="560"/>
    </row>
    <row r="392" spans="2:88" ht="171.95" customHeight="1" x14ac:dyDescent="0.25">
      <c r="B392" s="1227"/>
      <c r="C392" s="632" t="s">
        <v>1264</v>
      </c>
      <c r="D392" s="33" t="s">
        <v>57</v>
      </c>
      <c r="E392" s="33" t="s">
        <v>26</v>
      </c>
      <c r="F392" s="633" t="s">
        <v>1223</v>
      </c>
      <c r="G392" s="33" t="s">
        <v>28</v>
      </c>
      <c r="H392" s="33" t="s">
        <v>28</v>
      </c>
      <c r="I392" s="33" t="s">
        <v>326</v>
      </c>
      <c r="J392" s="33" t="s">
        <v>1039</v>
      </c>
      <c r="K392" s="634" t="s">
        <v>1265</v>
      </c>
      <c r="L392" s="51" t="s">
        <v>752</v>
      </c>
      <c r="M392" s="34" t="s">
        <v>1266</v>
      </c>
      <c r="N392" s="93" t="s">
        <v>1226</v>
      </c>
      <c r="O392" s="33">
        <v>0.1</v>
      </c>
      <c r="P392" s="36">
        <v>44200</v>
      </c>
      <c r="Q392" s="36">
        <v>44225</v>
      </c>
      <c r="R392" s="37">
        <v>1</v>
      </c>
      <c r="S392" s="37">
        <v>1</v>
      </c>
      <c r="T392" s="37">
        <v>1</v>
      </c>
      <c r="U392" s="37">
        <v>1</v>
      </c>
      <c r="V392" s="90">
        <v>1</v>
      </c>
      <c r="W392" s="13" t="s">
        <v>1267</v>
      </c>
      <c r="X392" s="55" t="s">
        <v>3604</v>
      </c>
      <c r="Y392" s="5" t="str">
        <f t="shared" si="59"/>
        <v>Terminado</v>
      </c>
      <c r="Z392" s="5" t="str">
        <f t="shared" si="60"/>
        <v>Terminado</v>
      </c>
      <c r="AA392" s="531" t="s">
        <v>1294</v>
      </c>
      <c r="AB392" s="596">
        <f>SUMPRODUCT(O392:O394,V392:V394)</f>
        <v>0.4</v>
      </c>
      <c r="AC392" s="597">
        <f>SUMPRODUCT(O392:O394,R392:R394)</f>
        <v>0.4</v>
      </c>
      <c r="AD392" s="610" t="str">
        <f>IF(AC392&lt;1%,"Sin iniciar",IF(AC392=100%,"Terminado","En gestión"))</f>
        <v>En gestión</v>
      </c>
      <c r="AE392" s="610" t="str">
        <f>IF(AB392&lt;1%,"Sin iniciar",IF(AB392=100%,"Terminado","En gestión"))</f>
        <v>En gestión</v>
      </c>
      <c r="AF392" s="56"/>
      <c r="AG392" s="583">
        <v>45958034.760000005</v>
      </c>
      <c r="AH392" s="583">
        <v>0</v>
      </c>
      <c r="AI392" s="583">
        <v>18383213.904000003</v>
      </c>
      <c r="AJ392" s="583">
        <v>0</v>
      </c>
      <c r="AK392" s="583">
        <v>0</v>
      </c>
      <c r="AL392" s="583">
        <v>0</v>
      </c>
      <c r="AM392" s="593" t="s">
        <v>2501</v>
      </c>
      <c r="AN392" s="603" t="s">
        <v>2502</v>
      </c>
      <c r="AO392" s="536"/>
      <c r="AP392" s="921"/>
      <c r="AQ392" s="583">
        <f>+AH392</f>
        <v>0</v>
      </c>
      <c r="AR392" s="1163">
        <v>1</v>
      </c>
      <c r="AS392" s="13" t="s">
        <v>2434</v>
      </c>
      <c r="AT392" s="55"/>
      <c r="AU392" s="56" t="str">
        <f t="shared" si="61"/>
        <v>Terminado</v>
      </c>
      <c r="AV392" s="56" t="str">
        <f t="shared" si="62"/>
        <v>Terminado</v>
      </c>
      <c r="AW392" s="531" t="s">
        <v>1318</v>
      </c>
      <c r="AX392" s="599">
        <f>SUMPRODUCT(O392:O394,AR392:AR394)</f>
        <v>0.66999999999999993</v>
      </c>
      <c r="AY392" s="600">
        <f>SUMPRODUCT(S392:S394,O392:O394)</f>
        <v>0.66999999999999993</v>
      </c>
      <c r="AZ392" s="536" t="str">
        <f>IF(AY392&lt;1%,"Sin iniciar",IF(AY392=100%,"Terminado","En gestión"))</f>
        <v>En gestión</v>
      </c>
      <c r="BA392" s="536" t="str">
        <f>IF(AX392&lt;1%,"Sin iniciar",IF(AX392=100%,"Terminado","En gestión"))</f>
        <v>En gestión</v>
      </c>
      <c r="BB392" s="56"/>
      <c r="BC392" s="56"/>
      <c r="BD392" s="583">
        <v>45958034.760000005</v>
      </c>
      <c r="BE392" s="583">
        <v>62153443.108969703</v>
      </c>
      <c r="BF392" s="583">
        <v>33785881.87529885</v>
      </c>
      <c r="BG392" s="583">
        <v>0</v>
      </c>
      <c r="BH392" s="583">
        <v>0</v>
      </c>
      <c r="BI392" s="583">
        <v>0</v>
      </c>
      <c r="BJ392" s="593"/>
      <c r="BK392" s="554"/>
      <c r="BL392" s="536"/>
      <c r="BM392" s="921"/>
      <c r="BN392" s="583"/>
      <c r="BO392" s="348">
        <v>1</v>
      </c>
      <c r="BP392" s="11" t="s">
        <v>3590</v>
      </c>
      <c r="BQ392" s="11" t="s">
        <v>28</v>
      </c>
      <c r="BR392" s="5" t="str">
        <f t="shared" si="63"/>
        <v>Terminado</v>
      </c>
      <c r="BS392" s="5" t="str">
        <f t="shared" si="64"/>
        <v>Terminado</v>
      </c>
      <c r="BT392" s="581" t="s">
        <v>3605</v>
      </c>
      <c r="BU392" s="561">
        <f>SUMPRODUCT(O392:O394,BO392:BO394)</f>
        <v>0.85</v>
      </c>
      <c r="BV392" s="562">
        <f>SUMPRODUCT(O392:O394,T392:T394)</f>
        <v>0.85</v>
      </c>
      <c r="BW392" s="610" t="str">
        <f>IF(BV392&lt;1%,"Sin iniciar",IF(BV392=100%,"Terminado","En gestión"))</f>
        <v>En gestión</v>
      </c>
      <c r="BX392" s="610" t="str">
        <f>IF(BU392&lt;1%,"Sin iniciar",IF(BU392=100%,"Terminado","En gestión"))</f>
        <v>En gestión</v>
      </c>
      <c r="BY392" s="573" t="s">
        <v>37</v>
      </c>
      <c r="BZ392" s="581" t="s">
        <v>3556</v>
      </c>
      <c r="CA392" s="583">
        <v>62153443.108969703</v>
      </c>
      <c r="CB392" s="583"/>
      <c r="CC392" s="583">
        <f>CA392*BV392</f>
        <v>52830426.642624244</v>
      </c>
      <c r="CD392" s="583">
        <v>0</v>
      </c>
      <c r="CE392" s="583">
        <v>0</v>
      </c>
      <c r="CF392" s="583">
        <v>0</v>
      </c>
      <c r="CG392" s="581"/>
      <c r="CH392" s="581"/>
      <c r="CI392" s="581"/>
      <c r="CJ392" s="581"/>
    </row>
    <row r="393" spans="2:88" ht="171.95" customHeight="1" x14ac:dyDescent="0.25">
      <c r="B393" s="1227"/>
      <c r="C393" s="632"/>
      <c r="D393" s="33" t="s">
        <v>57</v>
      </c>
      <c r="E393" s="33" t="s">
        <v>26</v>
      </c>
      <c r="F393" s="633"/>
      <c r="G393" s="33" t="s">
        <v>28</v>
      </c>
      <c r="H393" s="33" t="s">
        <v>28</v>
      </c>
      <c r="I393" s="33" t="s">
        <v>326</v>
      </c>
      <c r="J393" s="33" t="s">
        <v>1039</v>
      </c>
      <c r="K393" s="634"/>
      <c r="L393" s="51" t="s">
        <v>752</v>
      </c>
      <c r="M393" s="34" t="s">
        <v>1268</v>
      </c>
      <c r="N393" s="93" t="s">
        <v>1269</v>
      </c>
      <c r="O393" s="33">
        <v>0.3</v>
      </c>
      <c r="P393" s="36">
        <v>44208</v>
      </c>
      <c r="Q393" s="36">
        <v>44386</v>
      </c>
      <c r="R393" s="37">
        <v>0.5</v>
      </c>
      <c r="S393" s="37">
        <v>0.9</v>
      </c>
      <c r="T393" s="37">
        <v>1</v>
      </c>
      <c r="U393" s="37">
        <v>1</v>
      </c>
      <c r="V393" s="90">
        <v>0.5</v>
      </c>
      <c r="W393" s="13" t="s">
        <v>1270</v>
      </c>
      <c r="X393" s="55" t="s">
        <v>3606</v>
      </c>
      <c r="Y393" s="5" t="str">
        <f t="shared" si="59"/>
        <v>En gestión</v>
      </c>
      <c r="Z393" s="5" t="str">
        <f t="shared" si="60"/>
        <v>En gestión</v>
      </c>
      <c r="AA393" s="531"/>
      <c r="AB393" s="596"/>
      <c r="AC393" s="597"/>
      <c r="AD393" s="610"/>
      <c r="AE393" s="610"/>
      <c r="AF393" s="56"/>
      <c r="AG393" s="583"/>
      <c r="AH393" s="583"/>
      <c r="AI393" s="583"/>
      <c r="AJ393" s="583"/>
      <c r="AK393" s="583"/>
      <c r="AL393" s="583"/>
      <c r="AM393" s="593"/>
      <c r="AN393" s="603"/>
      <c r="AO393" s="536"/>
      <c r="AP393" s="921"/>
      <c r="AQ393" s="583"/>
      <c r="AR393" s="1163">
        <v>0.9</v>
      </c>
      <c r="AS393" s="13" t="s">
        <v>1306</v>
      </c>
      <c r="AT393" s="55" t="s">
        <v>3607</v>
      </c>
      <c r="AU393" s="56" t="str">
        <f t="shared" si="61"/>
        <v>En gestión</v>
      </c>
      <c r="AV393" s="56" t="str">
        <f t="shared" si="62"/>
        <v>En gestión</v>
      </c>
      <c r="AW393" s="531"/>
      <c r="AX393" s="599"/>
      <c r="AY393" s="600"/>
      <c r="AZ393" s="536"/>
      <c r="BA393" s="536"/>
      <c r="BB393" s="56"/>
      <c r="BC393" s="56"/>
      <c r="BD393" s="583"/>
      <c r="BE393" s="583"/>
      <c r="BF393" s="583"/>
      <c r="BG393" s="583"/>
      <c r="BH393" s="583"/>
      <c r="BI393" s="583"/>
      <c r="BJ393" s="593"/>
      <c r="BK393" s="555"/>
      <c r="BL393" s="536"/>
      <c r="BM393" s="921"/>
      <c r="BN393" s="583"/>
      <c r="BO393" s="348">
        <v>1</v>
      </c>
      <c r="BP393" s="11" t="s">
        <v>3608</v>
      </c>
      <c r="BQ393" s="11" t="s">
        <v>3609</v>
      </c>
      <c r="BR393" s="5" t="str">
        <f t="shared" si="63"/>
        <v>Terminado</v>
      </c>
      <c r="BS393" s="5" t="str">
        <f t="shared" si="64"/>
        <v>Terminado</v>
      </c>
      <c r="BT393" s="581"/>
      <c r="BU393" s="561"/>
      <c r="BV393" s="562"/>
      <c r="BW393" s="610"/>
      <c r="BX393" s="610"/>
      <c r="BY393" s="573"/>
      <c r="BZ393" s="581"/>
      <c r="CA393" s="583"/>
      <c r="CB393" s="583"/>
      <c r="CC393" s="583"/>
      <c r="CD393" s="583"/>
      <c r="CE393" s="583"/>
      <c r="CF393" s="583"/>
      <c r="CG393" s="581"/>
      <c r="CH393" s="581"/>
      <c r="CI393" s="581"/>
      <c r="CJ393" s="581"/>
    </row>
    <row r="394" spans="2:88" ht="171.95" customHeight="1" x14ac:dyDescent="0.25">
      <c r="B394" s="1227"/>
      <c r="C394" s="632"/>
      <c r="D394" s="33" t="s">
        <v>57</v>
      </c>
      <c r="E394" s="33" t="s">
        <v>26</v>
      </c>
      <c r="F394" s="633"/>
      <c r="G394" s="33" t="s">
        <v>28</v>
      </c>
      <c r="H394" s="33" t="s">
        <v>28</v>
      </c>
      <c r="I394" s="33" t="s">
        <v>326</v>
      </c>
      <c r="J394" s="33" t="s">
        <v>1039</v>
      </c>
      <c r="K394" s="634"/>
      <c r="L394" s="51" t="s">
        <v>752</v>
      </c>
      <c r="M394" s="34" t="s">
        <v>1271</v>
      </c>
      <c r="N394" s="93" t="s">
        <v>1272</v>
      </c>
      <c r="O394" s="33">
        <v>0.6</v>
      </c>
      <c r="P394" s="36">
        <v>44242</v>
      </c>
      <c r="Q394" s="36">
        <v>44526</v>
      </c>
      <c r="R394" s="37">
        <v>0.25</v>
      </c>
      <c r="S394" s="37">
        <v>0.5</v>
      </c>
      <c r="T394" s="37">
        <v>0.75</v>
      </c>
      <c r="U394" s="37">
        <v>1</v>
      </c>
      <c r="V394" s="90">
        <v>0.25</v>
      </c>
      <c r="W394" s="13" t="s">
        <v>1273</v>
      </c>
      <c r="X394" s="55" t="s">
        <v>3610</v>
      </c>
      <c r="Y394" s="5" t="str">
        <f t="shared" si="59"/>
        <v>En gestión</v>
      </c>
      <c r="Z394" s="5" t="str">
        <f t="shared" si="60"/>
        <v>En gestión</v>
      </c>
      <c r="AA394" s="531"/>
      <c r="AB394" s="596"/>
      <c r="AC394" s="597"/>
      <c r="AD394" s="610"/>
      <c r="AE394" s="610"/>
      <c r="AF394" s="56"/>
      <c r="AG394" s="583"/>
      <c r="AH394" s="583"/>
      <c r="AI394" s="583"/>
      <c r="AJ394" s="583"/>
      <c r="AK394" s="583"/>
      <c r="AL394" s="583"/>
      <c r="AM394" s="593"/>
      <c r="AN394" s="603"/>
      <c r="AO394" s="536"/>
      <c r="AP394" s="921"/>
      <c r="AQ394" s="583"/>
      <c r="AR394" s="1163">
        <v>0.5</v>
      </c>
      <c r="AS394" s="13" t="s">
        <v>1307</v>
      </c>
      <c r="AT394" s="299" t="s">
        <v>3611</v>
      </c>
      <c r="AU394" s="56" t="str">
        <f t="shared" si="61"/>
        <v>En gestión</v>
      </c>
      <c r="AV394" s="56" t="str">
        <f t="shared" si="62"/>
        <v>En gestión</v>
      </c>
      <c r="AW394" s="531"/>
      <c r="AX394" s="599"/>
      <c r="AY394" s="600"/>
      <c r="AZ394" s="536"/>
      <c r="BA394" s="536"/>
      <c r="BB394" s="56"/>
      <c r="BC394" s="56"/>
      <c r="BD394" s="583"/>
      <c r="BE394" s="583"/>
      <c r="BF394" s="583"/>
      <c r="BG394" s="583"/>
      <c r="BH394" s="583"/>
      <c r="BI394" s="583"/>
      <c r="BJ394" s="593"/>
      <c r="BK394" s="556"/>
      <c r="BL394" s="536"/>
      <c r="BM394" s="921"/>
      <c r="BN394" s="583"/>
      <c r="BO394" s="348">
        <v>0.75</v>
      </c>
      <c r="BP394" s="11" t="s">
        <v>3612</v>
      </c>
      <c r="BQ394" s="11" t="s">
        <v>3613</v>
      </c>
      <c r="BR394" s="5" t="str">
        <f t="shared" si="63"/>
        <v>En gestión</v>
      </c>
      <c r="BS394" s="5" t="str">
        <f t="shared" si="64"/>
        <v>En gestión</v>
      </c>
      <c r="BT394" s="581"/>
      <c r="BU394" s="561"/>
      <c r="BV394" s="562"/>
      <c r="BW394" s="610"/>
      <c r="BX394" s="610"/>
      <c r="BY394" s="573"/>
      <c r="BZ394" s="581"/>
      <c r="CA394" s="583"/>
      <c r="CB394" s="583"/>
      <c r="CC394" s="583"/>
      <c r="CD394" s="583"/>
      <c r="CE394" s="583"/>
      <c r="CF394" s="583"/>
      <c r="CG394" s="581"/>
      <c r="CH394" s="581"/>
      <c r="CI394" s="581"/>
      <c r="CJ394" s="581"/>
    </row>
    <row r="395" spans="2:88" ht="171.95" customHeight="1" x14ac:dyDescent="0.25">
      <c r="B395" s="1227"/>
      <c r="C395" s="639" t="s">
        <v>1274</v>
      </c>
      <c r="D395" s="41" t="s">
        <v>57</v>
      </c>
      <c r="E395" s="41" t="s">
        <v>26</v>
      </c>
      <c r="F395" s="640" t="s">
        <v>1223</v>
      </c>
      <c r="G395" s="41" t="s">
        <v>28</v>
      </c>
      <c r="H395" s="41" t="s">
        <v>28</v>
      </c>
      <c r="I395" s="41" t="s">
        <v>326</v>
      </c>
      <c r="J395" s="41" t="s">
        <v>1039</v>
      </c>
      <c r="K395" s="641" t="s">
        <v>1275</v>
      </c>
      <c r="L395" s="52" t="s">
        <v>1257</v>
      </c>
      <c r="M395" s="42" t="s">
        <v>1276</v>
      </c>
      <c r="N395" s="108" t="s">
        <v>1259</v>
      </c>
      <c r="O395" s="41">
        <v>0.1</v>
      </c>
      <c r="P395" s="44">
        <v>44242</v>
      </c>
      <c r="Q395" s="44">
        <v>44285</v>
      </c>
      <c r="R395" s="45">
        <v>1</v>
      </c>
      <c r="S395" s="45">
        <v>1</v>
      </c>
      <c r="T395" s="45">
        <v>1</v>
      </c>
      <c r="U395" s="45">
        <v>1</v>
      </c>
      <c r="V395" s="90">
        <v>1</v>
      </c>
      <c r="W395" s="62" t="s">
        <v>1277</v>
      </c>
      <c r="X395" s="63" t="s">
        <v>3614</v>
      </c>
      <c r="Y395" s="19" t="str">
        <f t="shared" si="59"/>
        <v>Terminado</v>
      </c>
      <c r="Z395" s="19" t="str">
        <f t="shared" si="60"/>
        <v>Terminado</v>
      </c>
      <c r="AA395" s="532" t="s">
        <v>1295</v>
      </c>
      <c r="AB395" s="596">
        <f>SUMPRODUCT(O395:O397,V395:V397)</f>
        <v>0.1</v>
      </c>
      <c r="AC395" s="597">
        <f>SUMPRODUCT(O395:O397,R395:R397)</f>
        <v>0.1</v>
      </c>
      <c r="AD395" s="611" t="str">
        <f>IF(AC395&lt;1%,"Sin iniciar",IF(AC395=100%,"Terminado","En gestión"))</f>
        <v>En gestión</v>
      </c>
      <c r="AE395" s="611" t="str">
        <f>IF(AB395&lt;1%,"Sin iniciar",IF(AB395=100%,"Terminado","En gestión"))</f>
        <v>En gestión</v>
      </c>
      <c r="AF395" s="66"/>
      <c r="AG395" s="579">
        <v>38748391.920000002</v>
      </c>
      <c r="AH395" s="579">
        <v>0</v>
      </c>
      <c r="AI395" s="579">
        <v>3874839.1920000003</v>
      </c>
      <c r="AJ395" s="579">
        <v>55697250</v>
      </c>
      <c r="AK395" s="579">
        <v>0</v>
      </c>
      <c r="AL395" s="579">
        <v>5304500</v>
      </c>
      <c r="AM395" s="592" t="s">
        <v>2485</v>
      </c>
      <c r="AN395" s="598" t="s">
        <v>2486</v>
      </c>
      <c r="AO395" s="521" t="s">
        <v>2493</v>
      </c>
      <c r="AP395" s="532" t="s">
        <v>2494</v>
      </c>
      <c r="AQ395" s="579">
        <f>+AK395</f>
        <v>0</v>
      </c>
      <c r="AR395" s="1163">
        <v>1</v>
      </c>
      <c r="AS395" s="62" t="s">
        <v>2434</v>
      </c>
      <c r="AT395" s="63"/>
      <c r="AU395" s="66" t="str">
        <f t="shared" si="61"/>
        <v>Terminado</v>
      </c>
      <c r="AV395" s="66" t="str">
        <f t="shared" si="62"/>
        <v>Terminado</v>
      </c>
      <c r="AW395" s="532" t="s">
        <v>1319</v>
      </c>
      <c r="AX395" s="599">
        <f>SUMPRODUCT(O395:O397,AR395:AR397)</f>
        <v>0.52</v>
      </c>
      <c r="AY395" s="600">
        <f>SUMPRODUCT(S395:S397,O395:O397)</f>
        <v>0.52</v>
      </c>
      <c r="AZ395" s="530" t="str">
        <f>IF(AY395&lt;1%,"Sin iniciar",IF(AY395=100%,"Terminado","En gestión"))</f>
        <v>En gestión</v>
      </c>
      <c r="BA395" s="530" t="str">
        <f>IF(AX395&lt;1%,"Sin iniciar",IF(AX395=100%,"Terminado","En gestión"))</f>
        <v>En gestión</v>
      </c>
      <c r="BB395" s="66"/>
      <c r="BC395" s="66"/>
      <c r="BD395" s="579">
        <v>38748391.920000002</v>
      </c>
      <c r="BE395" s="579">
        <v>52878109.108969703</v>
      </c>
      <c r="BF395" s="579">
        <v>29148214.87529885</v>
      </c>
      <c r="BG395" s="579">
        <v>55697250</v>
      </c>
      <c r="BH395" s="579">
        <v>55697250</v>
      </c>
      <c r="BI395" s="579">
        <v>21218000</v>
      </c>
      <c r="BJ395" s="592" t="s">
        <v>2485</v>
      </c>
      <c r="BK395" s="557"/>
      <c r="BL395" s="521" t="s">
        <v>2493</v>
      </c>
      <c r="BM395" s="532" t="s">
        <v>2494</v>
      </c>
      <c r="BN395" s="579" t="s">
        <v>2665</v>
      </c>
      <c r="BO395" s="348">
        <v>1</v>
      </c>
      <c r="BP395" s="24" t="s">
        <v>3590</v>
      </c>
      <c r="BQ395" s="24" t="s">
        <v>28</v>
      </c>
      <c r="BR395" s="19" t="str">
        <f t="shared" si="63"/>
        <v>Terminado</v>
      </c>
      <c r="BS395" s="19" t="str">
        <f t="shared" si="64"/>
        <v>Terminado</v>
      </c>
      <c r="BT395" s="560" t="s">
        <v>3615</v>
      </c>
      <c r="BU395" s="561">
        <f>SUMPRODUCT(O395:O397,BO395:BO397)</f>
        <v>0.84000000000000008</v>
      </c>
      <c r="BV395" s="562">
        <f>SUMPRODUCT(O395:O397,T395:T397)</f>
        <v>0.84000000000000008</v>
      </c>
      <c r="BW395" s="611" t="str">
        <f>IF(BV395&lt;1%,"Sin iniciar",IF(BV395=100%,"Terminado","En gestión"))</f>
        <v>En gestión</v>
      </c>
      <c r="BX395" s="611" t="str">
        <f>IF(BU395&lt;1%,"Sin iniciar",IF(BU395=100%,"Terminado","En gestión"))</f>
        <v>En gestión</v>
      </c>
      <c r="BY395" s="578" t="s">
        <v>37</v>
      </c>
      <c r="BZ395" s="560" t="s">
        <v>3556</v>
      </c>
      <c r="CA395" s="579">
        <v>52878109.108969703</v>
      </c>
      <c r="CB395" s="579"/>
      <c r="CC395" s="579">
        <f>CA395*BV395</f>
        <v>44417611.651534557</v>
      </c>
      <c r="CD395" s="579">
        <v>55697250</v>
      </c>
      <c r="CE395" s="579">
        <v>51063075</v>
      </c>
      <c r="CF395" s="579">
        <v>32558100</v>
      </c>
      <c r="CG395" s="560" t="s">
        <v>3557</v>
      </c>
      <c r="CH395" s="560" t="s">
        <v>3599</v>
      </c>
      <c r="CI395" s="560" t="s">
        <v>3600</v>
      </c>
      <c r="CJ395" s="560" t="s">
        <v>2700</v>
      </c>
    </row>
    <row r="396" spans="2:88" ht="171.95" customHeight="1" x14ac:dyDescent="0.25">
      <c r="B396" s="1227"/>
      <c r="C396" s="639"/>
      <c r="D396" s="41" t="s">
        <v>57</v>
      </c>
      <c r="E396" s="41" t="s">
        <v>26</v>
      </c>
      <c r="F396" s="640"/>
      <c r="G396" s="41" t="s">
        <v>28</v>
      </c>
      <c r="H396" s="41" t="s">
        <v>28</v>
      </c>
      <c r="I396" s="41" t="s">
        <v>326</v>
      </c>
      <c r="J396" s="41" t="s">
        <v>1039</v>
      </c>
      <c r="K396" s="641"/>
      <c r="L396" s="52" t="s">
        <v>1257</v>
      </c>
      <c r="M396" s="42" t="s">
        <v>1278</v>
      </c>
      <c r="N396" s="108" t="s">
        <v>1229</v>
      </c>
      <c r="O396" s="41">
        <v>0.1</v>
      </c>
      <c r="P396" s="44">
        <v>44287</v>
      </c>
      <c r="Q396" s="44">
        <v>44377</v>
      </c>
      <c r="R396" s="45">
        <v>0</v>
      </c>
      <c r="S396" s="45">
        <v>1</v>
      </c>
      <c r="T396" s="45">
        <v>1</v>
      </c>
      <c r="U396" s="45">
        <v>1</v>
      </c>
      <c r="V396" s="90">
        <v>0</v>
      </c>
      <c r="W396" s="62" t="s">
        <v>37</v>
      </c>
      <c r="X396" s="63" t="s">
        <v>37</v>
      </c>
      <c r="Y396" s="19" t="str">
        <f t="shared" si="59"/>
        <v>Sin iniciar</v>
      </c>
      <c r="Z396" s="19" t="str">
        <f t="shared" si="60"/>
        <v>Sin iniciar</v>
      </c>
      <c r="AA396" s="532"/>
      <c r="AB396" s="596"/>
      <c r="AC396" s="597"/>
      <c r="AD396" s="611"/>
      <c r="AE396" s="611"/>
      <c r="AF396" s="66"/>
      <c r="AG396" s="579"/>
      <c r="AH396" s="579"/>
      <c r="AI396" s="579"/>
      <c r="AJ396" s="579"/>
      <c r="AK396" s="579"/>
      <c r="AL396" s="579"/>
      <c r="AM396" s="592" t="s">
        <v>2485</v>
      </c>
      <c r="AN396" s="598" t="s">
        <v>2486</v>
      </c>
      <c r="AO396" s="521" t="s">
        <v>2493</v>
      </c>
      <c r="AP396" s="532" t="s">
        <v>2494</v>
      </c>
      <c r="AQ396" s="579"/>
      <c r="AR396" s="1163">
        <v>1</v>
      </c>
      <c r="AS396" s="62" t="s">
        <v>1308</v>
      </c>
      <c r="AT396" s="63" t="s">
        <v>3616</v>
      </c>
      <c r="AU396" s="66" t="str">
        <f t="shared" si="61"/>
        <v>Terminado</v>
      </c>
      <c r="AV396" s="66" t="str">
        <f t="shared" si="62"/>
        <v>Terminado</v>
      </c>
      <c r="AW396" s="532"/>
      <c r="AX396" s="599"/>
      <c r="AY396" s="600"/>
      <c r="AZ396" s="530"/>
      <c r="BA396" s="530"/>
      <c r="BB396" s="66"/>
      <c r="BC396" s="66"/>
      <c r="BD396" s="579"/>
      <c r="BE396" s="579"/>
      <c r="BF396" s="579"/>
      <c r="BG396" s="579"/>
      <c r="BH396" s="579"/>
      <c r="BI396" s="579"/>
      <c r="BJ396" s="592" t="s">
        <v>2485</v>
      </c>
      <c r="BK396" s="559"/>
      <c r="BL396" s="521" t="s">
        <v>2493</v>
      </c>
      <c r="BM396" s="532" t="s">
        <v>2494</v>
      </c>
      <c r="BN396" s="579"/>
      <c r="BO396" s="348">
        <v>1</v>
      </c>
      <c r="BP396" s="24" t="s">
        <v>3590</v>
      </c>
      <c r="BQ396" s="24" t="s">
        <v>28</v>
      </c>
      <c r="BR396" s="19" t="str">
        <f t="shared" si="63"/>
        <v>Terminado</v>
      </c>
      <c r="BS396" s="19" t="str">
        <f t="shared" si="64"/>
        <v>Terminado</v>
      </c>
      <c r="BT396" s="560"/>
      <c r="BU396" s="561"/>
      <c r="BV396" s="562"/>
      <c r="BW396" s="611"/>
      <c r="BX396" s="611"/>
      <c r="BY396" s="578"/>
      <c r="BZ396" s="560"/>
      <c r="CA396" s="579"/>
      <c r="CB396" s="579"/>
      <c r="CC396" s="579"/>
      <c r="CD396" s="579"/>
      <c r="CE396" s="579"/>
      <c r="CF396" s="579"/>
      <c r="CG396" s="560"/>
      <c r="CH396" s="560"/>
      <c r="CI396" s="560"/>
      <c r="CJ396" s="560"/>
    </row>
    <row r="397" spans="2:88" ht="171.95" customHeight="1" x14ac:dyDescent="0.25">
      <c r="B397" s="1227"/>
      <c r="C397" s="639"/>
      <c r="D397" s="41" t="s">
        <v>57</v>
      </c>
      <c r="E397" s="41" t="s">
        <v>26</v>
      </c>
      <c r="F397" s="640"/>
      <c r="G397" s="41" t="s">
        <v>28</v>
      </c>
      <c r="H397" s="41" t="s">
        <v>28</v>
      </c>
      <c r="I397" s="41" t="s">
        <v>326</v>
      </c>
      <c r="J397" s="41" t="s">
        <v>1039</v>
      </c>
      <c r="K397" s="641"/>
      <c r="L397" s="52" t="s">
        <v>1257</v>
      </c>
      <c r="M397" s="42" t="s">
        <v>1279</v>
      </c>
      <c r="N397" s="108" t="s">
        <v>1280</v>
      </c>
      <c r="O397" s="41">
        <v>0.8</v>
      </c>
      <c r="P397" s="44">
        <v>44287</v>
      </c>
      <c r="Q397" s="44">
        <v>44545</v>
      </c>
      <c r="R397" s="45">
        <v>0</v>
      </c>
      <c r="S397" s="45">
        <v>0.4</v>
      </c>
      <c r="T397" s="45">
        <v>0.8</v>
      </c>
      <c r="U397" s="45">
        <v>1</v>
      </c>
      <c r="V397" s="90">
        <v>0</v>
      </c>
      <c r="W397" s="62" t="s">
        <v>37</v>
      </c>
      <c r="X397" s="63" t="s">
        <v>37</v>
      </c>
      <c r="Y397" s="19" t="str">
        <f t="shared" si="59"/>
        <v>Sin iniciar</v>
      </c>
      <c r="Z397" s="19" t="str">
        <f t="shared" si="60"/>
        <v>Sin iniciar</v>
      </c>
      <c r="AA397" s="532"/>
      <c r="AB397" s="596"/>
      <c r="AC397" s="597"/>
      <c r="AD397" s="611"/>
      <c r="AE397" s="611"/>
      <c r="AF397" s="66"/>
      <c r="AG397" s="579"/>
      <c r="AH397" s="579"/>
      <c r="AI397" s="579"/>
      <c r="AJ397" s="579"/>
      <c r="AK397" s="579"/>
      <c r="AL397" s="579"/>
      <c r="AM397" s="592" t="s">
        <v>2485</v>
      </c>
      <c r="AN397" s="598" t="s">
        <v>2486</v>
      </c>
      <c r="AO397" s="521" t="s">
        <v>2493</v>
      </c>
      <c r="AP397" s="532" t="s">
        <v>2494</v>
      </c>
      <c r="AQ397" s="579"/>
      <c r="AR397" s="1163">
        <v>0.4</v>
      </c>
      <c r="AS397" s="62" t="s">
        <v>1309</v>
      </c>
      <c r="AT397" s="63" t="s">
        <v>3617</v>
      </c>
      <c r="AU397" s="66" t="str">
        <f t="shared" si="61"/>
        <v>En gestión</v>
      </c>
      <c r="AV397" s="66" t="str">
        <f t="shared" si="62"/>
        <v>En gestión</v>
      </c>
      <c r="AW397" s="532"/>
      <c r="AX397" s="599"/>
      <c r="AY397" s="600"/>
      <c r="AZ397" s="530"/>
      <c r="BA397" s="530"/>
      <c r="BB397" s="66"/>
      <c r="BC397" s="66"/>
      <c r="BD397" s="579"/>
      <c r="BE397" s="579"/>
      <c r="BF397" s="579"/>
      <c r="BG397" s="579"/>
      <c r="BH397" s="579"/>
      <c r="BI397" s="579"/>
      <c r="BJ397" s="592" t="s">
        <v>2485</v>
      </c>
      <c r="BK397" s="558"/>
      <c r="BL397" s="521" t="s">
        <v>2493</v>
      </c>
      <c r="BM397" s="532" t="s">
        <v>2494</v>
      </c>
      <c r="BN397" s="579"/>
      <c r="BO397" s="348">
        <v>0.8</v>
      </c>
      <c r="BP397" s="24" t="s">
        <v>3618</v>
      </c>
      <c r="BQ397" s="24" t="s">
        <v>3617</v>
      </c>
      <c r="BR397" s="19" t="str">
        <f t="shared" si="63"/>
        <v>En gestión</v>
      </c>
      <c r="BS397" s="19" t="str">
        <f t="shared" si="64"/>
        <v>En gestión</v>
      </c>
      <c r="BT397" s="560"/>
      <c r="BU397" s="561"/>
      <c r="BV397" s="562"/>
      <c r="BW397" s="611"/>
      <c r="BX397" s="611"/>
      <c r="BY397" s="578"/>
      <c r="BZ397" s="560"/>
      <c r="CA397" s="579"/>
      <c r="CB397" s="579"/>
      <c r="CC397" s="579"/>
      <c r="CD397" s="579"/>
      <c r="CE397" s="579"/>
      <c r="CF397" s="579"/>
      <c r="CG397" s="560"/>
      <c r="CH397" s="560"/>
      <c r="CI397" s="560"/>
      <c r="CJ397" s="560"/>
    </row>
    <row r="398" spans="2:88" ht="171.95" customHeight="1" x14ac:dyDescent="0.25">
      <c r="B398" s="1227"/>
      <c r="C398" s="632" t="s">
        <v>1281</v>
      </c>
      <c r="D398" s="33" t="s">
        <v>57</v>
      </c>
      <c r="E398" s="33" t="s">
        <v>26</v>
      </c>
      <c r="F398" s="633" t="s">
        <v>1223</v>
      </c>
      <c r="G398" s="33" t="s">
        <v>28</v>
      </c>
      <c r="H398" s="33" t="s">
        <v>28</v>
      </c>
      <c r="I398" s="33" t="s">
        <v>326</v>
      </c>
      <c r="J398" s="33" t="s">
        <v>1039</v>
      </c>
      <c r="K398" s="634" t="s">
        <v>1282</v>
      </c>
      <c r="L398" s="51" t="s">
        <v>752</v>
      </c>
      <c r="M398" s="34" t="s">
        <v>1283</v>
      </c>
      <c r="N398" s="93" t="s">
        <v>1226</v>
      </c>
      <c r="O398" s="33">
        <v>0.1</v>
      </c>
      <c r="P398" s="36">
        <v>44242</v>
      </c>
      <c r="Q398" s="36">
        <v>44260</v>
      </c>
      <c r="R398" s="37">
        <v>1</v>
      </c>
      <c r="S398" s="37">
        <v>1</v>
      </c>
      <c r="T398" s="37">
        <v>1</v>
      </c>
      <c r="U398" s="37">
        <v>1</v>
      </c>
      <c r="V398" s="90">
        <v>1</v>
      </c>
      <c r="W398" s="13" t="s">
        <v>1284</v>
      </c>
      <c r="X398" s="55" t="s">
        <v>3619</v>
      </c>
      <c r="Y398" s="5" t="str">
        <f t="shared" si="59"/>
        <v>Terminado</v>
      </c>
      <c r="Z398" s="5" t="str">
        <f t="shared" si="60"/>
        <v>Terminado</v>
      </c>
      <c r="AA398" s="531" t="s">
        <v>1296</v>
      </c>
      <c r="AB398" s="596">
        <f>SUMPRODUCT(O398:O400,V398:V400)</f>
        <v>0.16</v>
      </c>
      <c r="AC398" s="597">
        <f>SUMPRODUCT(O398:O400,R398:R400)</f>
        <v>0.16</v>
      </c>
      <c r="AD398" s="610" t="str">
        <f>IF(AC398&lt;1%,"Sin iniciar",IF(AC398=100%,"Terminado","En gestión"))</f>
        <v>En gestión</v>
      </c>
      <c r="AE398" s="610" t="str">
        <f>IF(AB398&lt;1%,"Sin iniciar",IF(AB398=100%,"Terminado","En gestión"))</f>
        <v>En gestión</v>
      </c>
      <c r="AF398" s="56"/>
      <c r="AG398" s="583">
        <v>52718020.919999994</v>
      </c>
      <c r="AH398" s="583">
        <v>0</v>
      </c>
      <c r="AI398" s="583">
        <v>8434883.3471999988</v>
      </c>
      <c r="AJ398" s="583">
        <v>0</v>
      </c>
      <c r="AK398" s="583">
        <v>0</v>
      </c>
      <c r="AL398" s="583">
        <v>0</v>
      </c>
      <c r="AM398" s="593" t="s">
        <v>2501</v>
      </c>
      <c r="AN398" s="603" t="s">
        <v>2502</v>
      </c>
      <c r="AO398" s="536"/>
      <c r="AP398" s="921"/>
      <c r="AQ398" s="583">
        <f>+AH398</f>
        <v>0</v>
      </c>
      <c r="AR398" s="1163">
        <v>1</v>
      </c>
      <c r="AS398" s="13" t="s">
        <v>2434</v>
      </c>
      <c r="AT398" s="55"/>
      <c r="AU398" s="56" t="str">
        <f t="shared" si="61"/>
        <v>Terminado</v>
      </c>
      <c r="AV398" s="56" t="str">
        <f t="shared" si="62"/>
        <v>Terminado</v>
      </c>
      <c r="AW398" s="531" t="s">
        <v>1320</v>
      </c>
      <c r="AX398" s="599">
        <f>SUMPRODUCT(O398:O400,AR398:AR400)</f>
        <v>0.52</v>
      </c>
      <c r="AY398" s="600">
        <f>SUMPRODUCT(S398:S400,O398:O400)</f>
        <v>0.52</v>
      </c>
      <c r="AZ398" s="536" t="str">
        <f>IF(AY398&lt;1%,"Sin iniciar",IF(AY398=100%,"Terminado","En gestión"))</f>
        <v>En gestión</v>
      </c>
      <c r="BA398" s="536" t="str">
        <f>IF(AX398&lt;1%,"Sin iniciar",IF(AX398=100%,"Terminado","En gestión"))</f>
        <v>En gestión</v>
      </c>
      <c r="BB398" s="56"/>
      <c r="BC398" s="56"/>
      <c r="BD398" s="583">
        <v>52718020.919999994</v>
      </c>
      <c r="BE398" s="583">
        <v>59490362.956969701</v>
      </c>
      <c r="BF398" s="583">
        <v>32899872.087298848</v>
      </c>
      <c r="BG398" s="583">
        <v>0</v>
      </c>
      <c r="BH398" s="583">
        <v>0</v>
      </c>
      <c r="BI398" s="583">
        <v>0</v>
      </c>
      <c r="BJ398" s="593"/>
      <c r="BK398" s="554"/>
      <c r="BL398" s="536"/>
      <c r="BM398" s="921"/>
      <c r="BN398" s="583"/>
      <c r="BO398" s="348">
        <v>1</v>
      </c>
      <c r="BP398" s="11" t="s">
        <v>3590</v>
      </c>
      <c r="BQ398" s="11" t="s">
        <v>28</v>
      </c>
      <c r="BR398" s="5" t="str">
        <f t="shared" si="63"/>
        <v>Terminado</v>
      </c>
      <c r="BS398" s="5" t="str">
        <f t="shared" si="64"/>
        <v>Terminado</v>
      </c>
      <c r="BT398" s="581" t="s">
        <v>3620</v>
      </c>
      <c r="BU398" s="561">
        <f>SUMPRODUCT(O398:O400,BO398:BO400)</f>
        <v>0.64</v>
      </c>
      <c r="BV398" s="562">
        <f>SUMPRODUCT(O398:O400,T398:T400)</f>
        <v>0.64</v>
      </c>
      <c r="BW398" s="610" t="str">
        <f>IF(BV398&lt;1%,"Sin iniciar",IF(BV398=100%,"Terminado","En gestión"))</f>
        <v>En gestión</v>
      </c>
      <c r="BX398" s="610" t="str">
        <f>IF(BU398&lt;1%,"Sin iniciar",IF(BU398=100%,"Terminado","En gestión"))</f>
        <v>En gestión</v>
      </c>
      <c r="BY398" s="573" t="s">
        <v>37</v>
      </c>
      <c r="BZ398" s="581" t="s">
        <v>3556</v>
      </c>
      <c r="CA398" s="583">
        <v>59490362.956969701</v>
      </c>
      <c r="CB398" s="583"/>
      <c r="CC398" s="583">
        <f>CA398*BV398</f>
        <v>38073832.292460613</v>
      </c>
      <c r="CD398" s="583">
        <v>0</v>
      </c>
      <c r="CE398" s="583">
        <v>0</v>
      </c>
      <c r="CF398" s="583">
        <v>0</v>
      </c>
      <c r="CG398" s="581"/>
      <c r="CH398" s="581"/>
      <c r="CI398" s="581"/>
      <c r="CJ398" s="581"/>
    </row>
    <row r="399" spans="2:88" ht="171.95" customHeight="1" x14ac:dyDescent="0.25">
      <c r="B399" s="1227"/>
      <c r="C399" s="632"/>
      <c r="D399" s="33" t="s">
        <v>57</v>
      </c>
      <c r="E399" s="33" t="s">
        <v>26</v>
      </c>
      <c r="F399" s="633"/>
      <c r="G399" s="33" t="s">
        <v>28</v>
      </c>
      <c r="H399" s="33" t="s">
        <v>28</v>
      </c>
      <c r="I399" s="33" t="s">
        <v>326</v>
      </c>
      <c r="J399" s="33" t="s">
        <v>1039</v>
      </c>
      <c r="K399" s="634"/>
      <c r="L399" s="51" t="s">
        <v>752</v>
      </c>
      <c r="M399" s="34" t="s">
        <v>1285</v>
      </c>
      <c r="N399" s="93" t="s">
        <v>1229</v>
      </c>
      <c r="O399" s="33">
        <v>0.3</v>
      </c>
      <c r="P399" s="36">
        <v>44256</v>
      </c>
      <c r="Q399" s="36">
        <v>44377</v>
      </c>
      <c r="R399" s="37">
        <v>0.2</v>
      </c>
      <c r="S399" s="37">
        <v>1</v>
      </c>
      <c r="T399" s="37">
        <v>1</v>
      </c>
      <c r="U399" s="37">
        <v>1</v>
      </c>
      <c r="V399" s="90">
        <v>0.2</v>
      </c>
      <c r="W399" s="13" t="s">
        <v>1286</v>
      </c>
      <c r="X399" s="55" t="s">
        <v>3621</v>
      </c>
      <c r="Y399" s="5" t="str">
        <f t="shared" si="59"/>
        <v>En gestión</v>
      </c>
      <c r="Z399" s="5" t="str">
        <f t="shared" si="60"/>
        <v>En gestión</v>
      </c>
      <c r="AA399" s="531"/>
      <c r="AB399" s="596"/>
      <c r="AC399" s="597"/>
      <c r="AD399" s="610"/>
      <c r="AE399" s="610"/>
      <c r="AF399" s="56"/>
      <c r="AG399" s="583"/>
      <c r="AH399" s="583"/>
      <c r="AI399" s="583"/>
      <c r="AJ399" s="583"/>
      <c r="AK399" s="583"/>
      <c r="AL399" s="583"/>
      <c r="AM399" s="593"/>
      <c r="AN399" s="603"/>
      <c r="AO399" s="536"/>
      <c r="AP399" s="921"/>
      <c r="AQ399" s="583"/>
      <c r="AR399" s="1163">
        <v>1</v>
      </c>
      <c r="AS399" s="13" t="s">
        <v>1310</v>
      </c>
      <c r="AT399" s="55" t="s">
        <v>3622</v>
      </c>
      <c r="AU399" s="56" t="str">
        <f t="shared" si="61"/>
        <v>Terminado</v>
      </c>
      <c r="AV399" s="56" t="str">
        <f t="shared" si="62"/>
        <v>Terminado</v>
      </c>
      <c r="AW399" s="531"/>
      <c r="AX399" s="599"/>
      <c r="AY399" s="600"/>
      <c r="AZ399" s="536"/>
      <c r="BA399" s="536"/>
      <c r="BB399" s="56"/>
      <c r="BC399" s="56"/>
      <c r="BD399" s="583"/>
      <c r="BE399" s="583"/>
      <c r="BF399" s="583"/>
      <c r="BG399" s="583"/>
      <c r="BH399" s="583"/>
      <c r="BI399" s="583"/>
      <c r="BJ399" s="593"/>
      <c r="BK399" s="555"/>
      <c r="BL399" s="536"/>
      <c r="BM399" s="921"/>
      <c r="BN399" s="583"/>
      <c r="BO399" s="348">
        <v>1</v>
      </c>
      <c r="BP399" s="11" t="s">
        <v>3590</v>
      </c>
      <c r="BQ399" s="11" t="s">
        <v>28</v>
      </c>
      <c r="BR399" s="5" t="str">
        <f t="shared" si="63"/>
        <v>Terminado</v>
      </c>
      <c r="BS399" s="5" t="str">
        <f t="shared" si="64"/>
        <v>Terminado</v>
      </c>
      <c r="BT399" s="581"/>
      <c r="BU399" s="561"/>
      <c r="BV399" s="562"/>
      <c r="BW399" s="610"/>
      <c r="BX399" s="610"/>
      <c r="BY399" s="573"/>
      <c r="BZ399" s="581"/>
      <c r="CA399" s="583"/>
      <c r="CB399" s="583"/>
      <c r="CC399" s="583"/>
      <c r="CD399" s="583"/>
      <c r="CE399" s="583"/>
      <c r="CF399" s="583"/>
      <c r="CG399" s="581"/>
      <c r="CH399" s="581"/>
      <c r="CI399" s="581"/>
      <c r="CJ399" s="581"/>
    </row>
    <row r="400" spans="2:88" ht="171.95" customHeight="1" x14ac:dyDescent="0.25">
      <c r="B400" s="1227"/>
      <c r="C400" s="632"/>
      <c r="D400" s="33" t="s">
        <v>57</v>
      </c>
      <c r="E400" s="33" t="s">
        <v>26</v>
      </c>
      <c r="F400" s="633"/>
      <c r="G400" s="33" t="s">
        <v>28</v>
      </c>
      <c r="H400" s="33" t="s">
        <v>28</v>
      </c>
      <c r="I400" s="33" t="s">
        <v>326</v>
      </c>
      <c r="J400" s="33" t="s">
        <v>1039</v>
      </c>
      <c r="K400" s="634"/>
      <c r="L400" s="51" t="s">
        <v>752</v>
      </c>
      <c r="M400" s="34" t="s">
        <v>1287</v>
      </c>
      <c r="N400" s="93" t="s">
        <v>1232</v>
      </c>
      <c r="O400" s="33">
        <v>0.6</v>
      </c>
      <c r="P400" s="36">
        <v>44287</v>
      </c>
      <c r="Q400" s="36">
        <v>44545</v>
      </c>
      <c r="R400" s="37">
        <v>0</v>
      </c>
      <c r="S400" s="37">
        <v>0.2</v>
      </c>
      <c r="T400" s="37">
        <v>0.4</v>
      </c>
      <c r="U400" s="37">
        <v>1</v>
      </c>
      <c r="V400" s="90">
        <v>0</v>
      </c>
      <c r="W400" s="13" t="s">
        <v>37</v>
      </c>
      <c r="X400" s="55" t="s">
        <v>37</v>
      </c>
      <c r="Y400" s="5" t="str">
        <f t="shared" si="59"/>
        <v>Sin iniciar</v>
      </c>
      <c r="Z400" s="5" t="str">
        <f t="shared" si="60"/>
        <v>Sin iniciar</v>
      </c>
      <c r="AA400" s="531"/>
      <c r="AB400" s="596"/>
      <c r="AC400" s="597"/>
      <c r="AD400" s="610"/>
      <c r="AE400" s="610"/>
      <c r="AF400" s="56"/>
      <c r="AG400" s="583"/>
      <c r="AH400" s="583"/>
      <c r="AI400" s="583"/>
      <c r="AJ400" s="583"/>
      <c r="AK400" s="583"/>
      <c r="AL400" s="583"/>
      <c r="AM400" s="593"/>
      <c r="AN400" s="603"/>
      <c r="AO400" s="536"/>
      <c r="AP400" s="921"/>
      <c r="AQ400" s="583"/>
      <c r="AR400" s="1163">
        <v>0.2</v>
      </c>
      <c r="AS400" s="13" t="s">
        <v>1311</v>
      </c>
      <c r="AT400" s="55" t="s">
        <v>3623</v>
      </c>
      <c r="AU400" s="56" t="str">
        <f t="shared" si="61"/>
        <v>En gestión</v>
      </c>
      <c r="AV400" s="56" t="str">
        <f t="shared" si="62"/>
        <v>En gestión</v>
      </c>
      <c r="AW400" s="531"/>
      <c r="AX400" s="599"/>
      <c r="AY400" s="600"/>
      <c r="AZ400" s="536"/>
      <c r="BA400" s="536"/>
      <c r="BB400" s="56"/>
      <c r="BC400" s="56"/>
      <c r="BD400" s="583"/>
      <c r="BE400" s="583"/>
      <c r="BF400" s="583"/>
      <c r="BG400" s="583"/>
      <c r="BH400" s="583"/>
      <c r="BI400" s="583"/>
      <c r="BJ400" s="593"/>
      <c r="BK400" s="556"/>
      <c r="BL400" s="536"/>
      <c r="BM400" s="921"/>
      <c r="BN400" s="583"/>
      <c r="BO400" s="348">
        <v>0.4</v>
      </c>
      <c r="BP400" s="11" t="s">
        <v>3624</v>
      </c>
      <c r="BQ400" s="11" t="s">
        <v>3625</v>
      </c>
      <c r="BR400" s="5" t="str">
        <f t="shared" si="63"/>
        <v>En gestión</v>
      </c>
      <c r="BS400" s="5" t="str">
        <f t="shared" si="64"/>
        <v>En gestión</v>
      </c>
      <c r="BT400" s="581"/>
      <c r="BU400" s="561"/>
      <c r="BV400" s="562"/>
      <c r="BW400" s="610"/>
      <c r="BX400" s="610"/>
      <c r="BY400" s="573"/>
      <c r="BZ400" s="581"/>
      <c r="CA400" s="583"/>
      <c r="CB400" s="583"/>
      <c r="CC400" s="583"/>
      <c r="CD400" s="583"/>
      <c r="CE400" s="583"/>
      <c r="CF400" s="583"/>
      <c r="CG400" s="581"/>
      <c r="CH400" s="581"/>
      <c r="CI400" s="581"/>
      <c r="CJ400" s="581"/>
    </row>
    <row r="401" spans="2:88" ht="171.95" customHeight="1" x14ac:dyDescent="0.25">
      <c r="B401" s="1227" t="s">
        <v>5230</v>
      </c>
      <c r="C401" s="662" t="s">
        <v>1321</v>
      </c>
      <c r="D401" s="300" t="s">
        <v>1045</v>
      </c>
      <c r="E401" s="300" t="s">
        <v>26</v>
      </c>
      <c r="F401" s="923" t="s">
        <v>1322</v>
      </c>
      <c r="G401" s="300" t="s">
        <v>28</v>
      </c>
      <c r="H401" s="300" t="s">
        <v>28</v>
      </c>
      <c r="I401" s="300" t="s">
        <v>59</v>
      </c>
      <c r="J401" s="300" t="s">
        <v>1039</v>
      </c>
      <c r="K401" s="662" t="s">
        <v>1323</v>
      </c>
      <c r="L401" s="71" t="s">
        <v>164</v>
      </c>
      <c r="M401" s="72" t="s">
        <v>1324</v>
      </c>
      <c r="N401" s="301" t="s">
        <v>1325</v>
      </c>
      <c r="O401" s="300">
        <v>0.1</v>
      </c>
      <c r="P401" s="302">
        <v>44197</v>
      </c>
      <c r="Q401" s="302">
        <v>44561</v>
      </c>
      <c r="R401" s="303">
        <v>0.2</v>
      </c>
      <c r="S401" s="303">
        <v>0.5</v>
      </c>
      <c r="T401" s="303">
        <v>0.8</v>
      </c>
      <c r="U401" s="303">
        <v>1</v>
      </c>
      <c r="V401" s="304">
        <v>0.2</v>
      </c>
      <c r="W401" s="76" t="s">
        <v>1326</v>
      </c>
      <c r="X401" s="305" t="s">
        <v>3626</v>
      </c>
      <c r="Y401" s="19" t="str">
        <f t="shared" ref="Y401:Y452" si="66">IF(R401&lt;1%,"Sin iniciar",IF(R401=100%,"Terminado","En gestión"))</f>
        <v>En gestión</v>
      </c>
      <c r="Z401" s="19" t="str">
        <f t="shared" ref="Z401:Z452" si="67">IF(V401&lt;1%,"Sin iniciar",IF(V401=100%,"Terminado","En gestión"))</f>
        <v>En gestión</v>
      </c>
      <c r="AA401" s="609" t="s">
        <v>1409</v>
      </c>
      <c r="AB401" s="924">
        <f>SUMPRODUCT(O401:O405,V401:V405)</f>
        <v>0.23499999999999999</v>
      </c>
      <c r="AC401" s="925">
        <f>SUMPRODUCT(O401:O405,R401:R405)</f>
        <v>0.23499999999999999</v>
      </c>
      <c r="AD401" s="926" t="str">
        <f>IF(AC401&lt;1%,"Sin iniciar",IF(AC401=100%,"Terminado","En gestión"))</f>
        <v>En gestión</v>
      </c>
      <c r="AE401" s="926" t="str">
        <f>IF(AB401&lt;1%,"Sin iniciar",IF(AB401=100%,"Terminado","En gestión"))</f>
        <v>En gestión</v>
      </c>
      <c r="AF401" s="306"/>
      <c r="AG401" s="307">
        <v>3950104</v>
      </c>
      <c r="AH401" s="306"/>
      <c r="AI401" s="307">
        <v>987526</v>
      </c>
      <c r="AJ401" s="308">
        <f>AQ401</f>
        <v>50600000</v>
      </c>
      <c r="AK401" s="307"/>
      <c r="AL401" s="307">
        <v>11000000</v>
      </c>
      <c r="AM401" s="309" t="s">
        <v>2521</v>
      </c>
      <c r="AN401" s="309"/>
      <c r="AO401" s="310" t="s">
        <v>2523</v>
      </c>
      <c r="AP401" s="76" t="s">
        <v>2556</v>
      </c>
      <c r="AQ401" s="311">
        <v>50600000</v>
      </c>
      <c r="AR401" s="1171">
        <v>0.5</v>
      </c>
      <c r="AS401" s="76" t="s">
        <v>1419</v>
      </c>
      <c r="AT401" s="305" t="s">
        <v>3627</v>
      </c>
      <c r="AU401" s="66" t="str">
        <f t="shared" ref="AU401:AU452" si="68">IF(S401&lt;1%,"Sin iniciar",IF(S401=100%,"Terminado","En gestión"))</f>
        <v>En gestión</v>
      </c>
      <c r="AV401" s="66" t="str">
        <f t="shared" ref="AV401:AV452" si="69">IF(AR401&lt;1%,"Sin iniciar",IF(AR401=100%,"Terminado","En gestión"))</f>
        <v>En gestión</v>
      </c>
      <c r="AW401" s="609" t="s">
        <v>1436</v>
      </c>
      <c r="AX401" s="935">
        <f>SUMPRODUCT(O401:O405,AR401:AR405)</f>
        <v>0.495</v>
      </c>
      <c r="AY401" s="936">
        <f>SUMPRODUCT(S401:S405,O401:O405)</f>
        <v>0.495</v>
      </c>
      <c r="AZ401" s="934" t="str">
        <f>IF(AY401&lt;1%,"Sin iniciar",IF(AY401=100%,"Terminado","En gestión"))</f>
        <v>En gestión</v>
      </c>
      <c r="BA401" s="934" t="str">
        <f>IF(AX401&lt;1%,"Sin iniciar",IF(AX401=100%,"Terminado","En gestión"))</f>
        <v>En gestión</v>
      </c>
      <c r="BB401" s="76"/>
      <c r="BC401" s="306"/>
      <c r="BD401" s="545">
        <v>3950104</v>
      </c>
      <c r="BE401" s="545">
        <v>3950104</v>
      </c>
      <c r="BF401" s="545">
        <v>1975052</v>
      </c>
      <c r="BG401" s="545">
        <v>50600000</v>
      </c>
      <c r="BH401" s="545">
        <v>50600000</v>
      </c>
      <c r="BI401" s="545">
        <v>21083333</v>
      </c>
      <c r="BJ401" s="545" t="s">
        <v>2666</v>
      </c>
      <c r="BK401" s="545"/>
      <c r="BL401" s="545" t="s">
        <v>2667</v>
      </c>
      <c r="BM401" s="545" t="s">
        <v>2668</v>
      </c>
      <c r="BN401" s="545" t="s">
        <v>2669</v>
      </c>
      <c r="BO401" s="355">
        <v>1</v>
      </c>
      <c r="BP401" s="76" t="s">
        <v>3628</v>
      </c>
      <c r="BQ401" s="24" t="s">
        <v>3629</v>
      </c>
      <c r="BR401" s="19" t="str">
        <f t="shared" ref="BR401:BR428" si="70">IF(T401&lt;1%,"Sin iniciar",IF(T401=100%,"Terminado","En gestión"))</f>
        <v>En gestión</v>
      </c>
      <c r="BS401" s="19" t="str">
        <f t="shared" ref="BS401:BS428" si="71">IF(BO401&lt;1%,"Sin iniciar",IF(BO401=100%,"Terminado","En gestión"))</f>
        <v>Terminado</v>
      </c>
      <c r="BT401" s="933" t="s">
        <v>3630</v>
      </c>
      <c r="BU401" s="930">
        <f>SUMPRODUCT(O401:O405,BO401:BO405)</f>
        <v>0.8</v>
      </c>
      <c r="BV401" s="931">
        <f>SUMPRODUCT(O401:O405,T401:T405)</f>
        <v>0.75500000000000012</v>
      </c>
      <c r="BW401" s="932" t="str">
        <f>IF(BV401&lt;1%,"Sin iniciar",IF(BV401=100%,"Terminado","En gestión"))</f>
        <v>En gestión</v>
      </c>
      <c r="BX401" s="932" t="str">
        <f>IF(BU401&lt;1%,"Sin iniciar",IF(BU401=100%,"Terminado","En gestión"))</f>
        <v>En gestión</v>
      </c>
      <c r="BY401" s="972" t="s">
        <v>37</v>
      </c>
      <c r="BZ401" s="560" t="s">
        <v>3631</v>
      </c>
      <c r="CA401" s="627">
        <v>3950104</v>
      </c>
      <c r="CB401" s="627">
        <v>4053202</v>
      </c>
      <c r="CC401" s="627">
        <v>3039902</v>
      </c>
      <c r="CD401" s="929">
        <v>50600000</v>
      </c>
      <c r="CE401" s="929">
        <v>50600000</v>
      </c>
      <c r="CF401" s="929">
        <v>37950000</v>
      </c>
      <c r="CG401" s="927" t="s">
        <v>2666</v>
      </c>
      <c r="CH401" s="927" t="s">
        <v>2667</v>
      </c>
      <c r="CI401" s="927" t="s">
        <v>2668</v>
      </c>
      <c r="CJ401" s="927" t="s">
        <v>2669</v>
      </c>
    </row>
    <row r="402" spans="2:88" ht="171.95" customHeight="1" x14ac:dyDescent="0.25">
      <c r="B402" s="1227"/>
      <c r="C402" s="662"/>
      <c r="D402" s="300" t="s">
        <v>1045</v>
      </c>
      <c r="E402" s="300" t="s">
        <v>26</v>
      </c>
      <c r="F402" s="923"/>
      <c r="G402" s="300" t="s">
        <v>28</v>
      </c>
      <c r="H402" s="300" t="s">
        <v>28</v>
      </c>
      <c r="I402" s="300" t="s">
        <v>59</v>
      </c>
      <c r="J402" s="300" t="s">
        <v>132</v>
      </c>
      <c r="K402" s="662"/>
      <c r="L402" s="71" t="s">
        <v>164</v>
      </c>
      <c r="M402" s="72" t="s">
        <v>1327</v>
      </c>
      <c r="N402" s="301" t="s">
        <v>1328</v>
      </c>
      <c r="O402" s="300">
        <v>0.1</v>
      </c>
      <c r="P402" s="302">
        <v>44197</v>
      </c>
      <c r="Q402" s="302">
        <v>44561</v>
      </c>
      <c r="R402" s="303">
        <v>0.15</v>
      </c>
      <c r="S402" s="303">
        <v>0.45</v>
      </c>
      <c r="T402" s="303">
        <v>0.75</v>
      </c>
      <c r="U402" s="303">
        <v>1</v>
      </c>
      <c r="V402" s="304">
        <v>0.15</v>
      </c>
      <c r="W402" s="76" t="s">
        <v>1329</v>
      </c>
      <c r="X402" s="305" t="s">
        <v>3632</v>
      </c>
      <c r="Y402" s="19" t="str">
        <f t="shared" si="66"/>
        <v>En gestión</v>
      </c>
      <c r="Z402" s="19" t="str">
        <f t="shared" si="67"/>
        <v>En gestión</v>
      </c>
      <c r="AA402" s="609"/>
      <c r="AB402" s="924"/>
      <c r="AC402" s="925"/>
      <c r="AD402" s="926"/>
      <c r="AE402" s="926"/>
      <c r="AF402" s="306"/>
      <c r="AG402" s="307"/>
      <c r="AH402" s="306"/>
      <c r="AI402" s="307"/>
      <c r="AJ402" s="306"/>
      <c r="AK402" s="307"/>
      <c r="AL402" s="307"/>
      <c r="AM402" s="309"/>
      <c r="AN402" s="309"/>
      <c r="AO402" s="310"/>
      <c r="AP402" s="76"/>
      <c r="AQ402" s="311"/>
      <c r="AR402" s="1171">
        <v>0.45</v>
      </c>
      <c r="AS402" s="76" t="s">
        <v>1420</v>
      </c>
      <c r="AT402" s="305" t="s">
        <v>3633</v>
      </c>
      <c r="AU402" s="66" t="str">
        <f t="shared" si="68"/>
        <v>En gestión</v>
      </c>
      <c r="AV402" s="66" t="str">
        <f t="shared" si="69"/>
        <v>En gestión</v>
      </c>
      <c r="AW402" s="609"/>
      <c r="AX402" s="935"/>
      <c r="AY402" s="936"/>
      <c r="AZ402" s="934"/>
      <c r="BA402" s="934"/>
      <c r="BB402" s="76"/>
      <c r="BC402" s="306"/>
      <c r="BD402" s="553"/>
      <c r="BE402" s="553"/>
      <c r="BF402" s="553"/>
      <c r="BG402" s="553"/>
      <c r="BH402" s="553"/>
      <c r="BI402" s="553"/>
      <c r="BJ402" s="553"/>
      <c r="BK402" s="553"/>
      <c r="BL402" s="553"/>
      <c r="BM402" s="553"/>
      <c r="BN402" s="553"/>
      <c r="BO402" s="355">
        <v>1</v>
      </c>
      <c r="BP402" s="76" t="s">
        <v>3634</v>
      </c>
      <c r="BQ402" s="24" t="s">
        <v>3635</v>
      </c>
      <c r="BR402" s="19" t="str">
        <f t="shared" si="70"/>
        <v>En gestión</v>
      </c>
      <c r="BS402" s="19" t="str">
        <f t="shared" si="71"/>
        <v>Terminado</v>
      </c>
      <c r="BT402" s="933"/>
      <c r="BU402" s="930"/>
      <c r="BV402" s="931"/>
      <c r="BW402" s="932"/>
      <c r="BX402" s="932"/>
      <c r="BY402" s="972"/>
      <c r="BZ402" s="560"/>
      <c r="CA402" s="627"/>
      <c r="CB402" s="627"/>
      <c r="CC402" s="627"/>
      <c r="CD402" s="929"/>
      <c r="CE402" s="929"/>
      <c r="CF402" s="929"/>
      <c r="CG402" s="927"/>
      <c r="CH402" s="927"/>
      <c r="CI402" s="927"/>
      <c r="CJ402" s="927"/>
    </row>
    <row r="403" spans="2:88" ht="171.95" customHeight="1" x14ac:dyDescent="0.25">
      <c r="B403" s="1227"/>
      <c r="C403" s="662"/>
      <c r="D403" s="300" t="s">
        <v>1045</v>
      </c>
      <c r="E403" s="300" t="s">
        <v>26</v>
      </c>
      <c r="F403" s="923"/>
      <c r="G403" s="300" t="s">
        <v>28</v>
      </c>
      <c r="H403" s="300" t="s">
        <v>28</v>
      </c>
      <c r="I403" s="300" t="s">
        <v>59</v>
      </c>
      <c r="J403" s="300" t="s">
        <v>185</v>
      </c>
      <c r="K403" s="662"/>
      <c r="L403" s="71" t="s">
        <v>164</v>
      </c>
      <c r="M403" s="72" t="s">
        <v>1330</v>
      </c>
      <c r="N403" s="301" t="s">
        <v>1331</v>
      </c>
      <c r="O403" s="300">
        <v>0.4</v>
      </c>
      <c r="P403" s="302">
        <v>44197</v>
      </c>
      <c r="Q403" s="302">
        <v>44561</v>
      </c>
      <c r="R403" s="303">
        <v>0.25</v>
      </c>
      <c r="S403" s="303">
        <v>0.5</v>
      </c>
      <c r="T403" s="303">
        <v>0.75</v>
      </c>
      <c r="U403" s="303">
        <v>1</v>
      </c>
      <c r="V403" s="304">
        <v>0.25</v>
      </c>
      <c r="W403" s="76" t="s">
        <v>1332</v>
      </c>
      <c r="X403" s="305" t="s">
        <v>3636</v>
      </c>
      <c r="Y403" s="19" t="str">
        <f t="shared" si="66"/>
        <v>En gestión</v>
      </c>
      <c r="Z403" s="19" t="str">
        <f t="shared" si="67"/>
        <v>En gestión</v>
      </c>
      <c r="AA403" s="609"/>
      <c r="AB403" s="924"/>
      <c r="AC403" s="925"/>
      <c r="AD403" s="926"/>
      <c r="AE403" s="926"/>
      <c r="AF403" s="306"/>
      <c r="AG403" s="307"/>
      <c r="AH403" s="306"/>
      <c r="AI403" s="307"/>
      <c r="AJ403" s="306"/>
      <c r="AK403" s="307"/>
      <c r="AL403" s="307"/>
      <c r="AM403" s="309"/>
      <c r="AN403" s="309"/>
      <c r="AO403" s="310"/>
      <c r="AP403" s="76"/>
      <c r="AQ403" s="311"/>
      <c r="AR403" s="1171">
        <v>0.5</v>
      </c>
      <c r="AS403" s="76" t="s">
        <v>1421</v>
      </c>
      <c r="AT403" s="305" t="s">
        <v>3636</v>
      </c>
      <c r="AU403" s="66" t="str">
        <f t="shared" si="68"/>
        <v>En gestión</v>
      </c>
      <c r="AV403" s="66" t="str">
        <f t="shared" si="69"/>
        <v>En gestión</v>
      </c>
      <c r="AW403" s="609"/>
      <c r="AX403" s="935"/>
      <c r="AY403" s="936"/>
      <c r="AZ403" s="934"/>
      <c r="BA403" s="934"/>
      <c r="BB403" s="76"/>
      <c r="BC403" s="306"/>
      <c r="BD403" s="553"/>
      <c r="BE403" s="553"/>
      <c r="BF403" s="553"/>
      <c r="BG403" s="553"/>
      <c r="BH403" s="553"/>
      <c r="BI403" s="553"/>
      <c r="BJ403" s="553"/>
      <c r="BK403" s="553"/>
      <c r="BL403" s="553"/>
      <c r="BM403" s="553"/>
      <c r="BN403" s="553"/>
      <c r="BO403" s="355">
        <v>0.75</v>
      </c>
      <c r="BP403" s="76" t="s">
        <v>3637</v>
      </c>
      <c r="BQ403" s="24" t="s">
        <v>3638</v>
      </c>
      <c r="BR403" s="19" t="str">
        <f t="shared" si="70"/>
        <v>En gestión</v>
      </c>
      <c r="BS403" s="19" t="str">
        <f t="shared" si="71"/>
        <v>En gestión</v>
      </c>
      <c r="BT403" s="933"/>
      <c r="BU403" s="930"/>
      <c r="BV403" s="931"/>
      <c r="BW403" s="932"/>
      <c r="BX403" s="932"/>
      <c r="BY403" s="972"/>
      <c r="BZ403" s="560"/>
      <c r="CA403" s="627"/>
      <c r="CB403" s="627"/>
      <c r="CC403" s="627"/>
      <c r="CD403" s="929"/>
      <c r="CE403" s="929"/>
      <c r="CF403" s="929"/>
      <c r="CG403" s="927"/>
      <c r="CH403" s="927"/>
      <c r="CI403" s="927"/>
      <c r="CJ403" s="927"/>
    </row>
    <row r="404" spans="2:88" ht="171.95" customHeight="1" x14ac:dyDescent="0.25">
      <c r="B404" s="1227"/>
      <c r="C404" s="662"/>
      <c r="D404" s="300" t="s">
        <v>1045</v>
      </c>
      <c r="E404" s="300" t="s">
        <v>26</v>
      </c>
      <c r="F404" s="923"/>
      <c r="G404" s="300" t="s">
        <v>28</v>
      </c>
      <c r="H404" s="300" t="s">
        <v>28</v>
      </c>
      <c r="I404" s="300" t="s">
        <v>59</v>
      </c>
      <c r="J404" s="300" t="s">
        <v>191</v>
      </c>
      <c r="K404" s="662"/>
      <c r="L404" s="71" t="s">
        <v>164</v>
      </c>
      <c r="M404" s="72" t="s">
        <v>1333</v>
      </c>
      <c r="N404" s="301" t="s">
        <v>1334</v>
      </c>
      <c r="O404" s="300">
        <v>0.2</v>
      </c>
      <c r="P404" s="302">
        <v>44197</v>
      </c>
      <c r="Q404" s="302">
        <v>44561</v>
      </c>
      <c r="R404" s="303">
        <v>0.25</v>
      </c>
      <c r="S404" s="303">
        <v>0.5</v>
      </c>
      <c r="T404" s="303">
        <v>0.75</v>
      </c>
      <c r="U404" s="303">
        <v>1</v>
      </c>
      <c r="V404" s="304">
        <v>0.25</v>
      </c>
      <c r="W404" s="76" t="s">
        <v>1335</v>
      </c>
      <c r="X404" s="305" t="s">
        <v>3639</v>
      </c>
      <c r="Y404" s="19" t="str">
        <f t="shared" si="66"/>
        <v>En gestión</v>
      </c>
      <c r="Z404" s="19" t="str">
        <f t="shared" si="67"/>
        <v>En gestión</v>
      </c>
      <c r="AA404" s="609"/>
      <c r="AB404" s="924"/>
      <c r="AC404" s="925"/>
      <c r="AD404" s="926"/>
      <c r="AE404" s="926"/>
      <c r="AF404" s="306"/>
      <c r="AG404" s="307"/>
      <c r="AH404" s="306"/>
      <c r="AI404" s="307"/>
      <c r="AJ404" s="306"/>
      <c r="AK404" s="307"/>
      <c r="AL404" s="307"/>
      <c r="AM404" s="309"/>
      <c r="AN404" s="309"/>
      <c r="AO404" s="310"/>
      <c r="AP404" s="76"/>
      <c r="AQ404" s="311"/>
      <c r="AR404" s="1171">
        <v>0.5</v>
      </c>
      <c r="AS404" s="76" t="s">
        <v>1422</v>
      </c>
      <c r="AT404" s="305" t="s">
        <v>3640</v>
      </c>
      <c r="AU404" s="66" t="str">
        <f t="shared" si="68"/>
        <v>En gestión</v>
      </c>
      <c r="AV404" s="66" t="str">
        <f t="shared" si="69"/>
        <v>En gestión</v>
      </c>
      <c r="AW404" s="609"/>
      <c r="AX404" s="935"/>
      <c r="AY404" s="936"/>
      <c r="AZ404" s="934"/>
      <c r="BA404" s="934"/>
      <c r="BB404" s="76"/>
      <c r="BC404" s="306"/>
      <c r="BD404" s="553"/>
      <c r="BE404" s="553"/>
      <c r="BF404" s="553"/>
      <c r="BG404" s="553"/>
      <c r="BH404" s="553"/>
      <c r="BI404" s="553"/>
      <c r="BJ404" s="553"/>
      <c r="BK404" s="553"/>
      <c r="BL404" s="553"/>
      <c r="BM404" s="553"/>
      <c r="BN404" s="553"/>
      <c r="BO404" s="355">
        <v>0.75</v>
      </c>
      <c r="BP404" s="76" t="s">
        <v>3641</v>
      </c>
      <c r="BQ404" s="24" t="s">
        <v>3642</v>
      </c>
      <c r="BR404" s="19" t="str">
        <f t="shared" si="70"/>
        <v>En gestión</v>
      </c>
      <c r="BS404" s="19" t="str">
        <f t="shared" si="71"/>
        <v>En gestión</v>
      </c>
      <c r="BT404" s="933"/>
      <c r="BU404" s="930"/>
      <c r="BV404" s="931"/>
      <c r="BW404" s="932"/>
      <c r="BX404" s="932"/>
      <c r="BY404" s="972"/>
      <c r="BZ404" s="560"/>
      <c r="CA404" s="627"/>
      <c r="CB404" s="627"/>
      <c r="CC404" s="627"/>
      <c r="CD404" s="929"/>
      <c r="CE404" s="929"/>
      <c r="CF404" s="929"/>
      <c r="CG404" s="927"/>
      <c r="CH404" s="927"/>
      <c r="CI404" s="927"/>
      <c r="CJ404" s="927"/>
    </row>
    <row r="405" spans="2:88" ht="171.95" customHeight="1" x14ac:dyDescent="0.25">
      <c r="B405" s="1227"/>
      <c r="C405" s="662"/>
      <c r="D405" s="300" t="s">
        <v>1045</v>
      </c>
      <c r="E405" s="300" t="s">
        <v>26</v>
      </c>
      <c r="F405" s="923"/>
      <c r="G405" s="300" t="s">
        <v>28</v>
      </c>
      <c r="H405" s="300" t="s">
        <v>28</v>
      </c>
      <c r="I405" s="300" t="s">
        <v>59</v>
      </c>
      <c r="J405" s="300" t="s">
        <v>194</v>
      </c>
      <c r="K405" s="662"/>
      <c r="L405" s="71" t="s">
        <v>164</v>
      </c>
      <c r="M405" s="72" t="s">
        <v>1336</v>
      </c>
      <c r="N405" s="301" t="s">
        <v>1337</v>
      </c>
      <c r="O405" s="300">
        <v>0.2</v>
      </c>
      <c r="P405" s="302">
        <v>44197</v>
      </c>
      <c r="Q405" s="302">
        <v>44561</v>
      </c>
      <c r="R405" s="303">
        <v>0.25</v>
      </c>
      <c r="S405" s="303">
        <v>0.5</v>
      </c>
      <c r="T405" s="303">
        <v>0.75</v>
      </c>
      <c r="U405" s="303">
        <v>1</v>
      </c>
      <c r="V405" s="304">
        <v>0.25</v>
      </c>
      <c r="W405" s="76" t="s">
        <v>1338</v>
      </c>
      <c r="X405" s="305" t="s">
        <v>3639</v>
      </c>
      <c r="Y405" s="19" t="str">
        <f t="shared" si="66"/>
        <v>En gestión</v>
      </c>
      <c r="Z405" s="19" t="str">
        <f t="shared" si="67"/>
        <v>En gestión</v>
      </c>
      <c r="AA405" s="609"/>
      <c r="AB405" s="924"/>
      <c r="AC405" s="925"/>
      <c r="AD405" s="926"/>
      <c r="AE405" s="926"/>
      <c r="AF405" s="306"/>
      <c r="AG405" s="307"/>
      <c r="AH405" s="306"/>
      <c r="AI405" s="307"/>
      <c r="AJ405" s="306"/>
      <c r="AK405" s="307"/>
      <c r="AL405" s="307"/>
      <c r="AM405" s="309"/>
      <c r="AN405" s="309"/>
      <c r="AO405" s="310"/>
      <c r="AP405" s="76"/>
      <c r="AQ405" s="311"/>
      <c r="AR405" s="1171">
        <v>0.5</v>
      </c>
      <c r="AS405" s="76" t="s">
        <v>1422</v>
      </c>
      <c r="AT405" s="305" t="s">
        <v>3640</v>
      </c>
      <c r="AU405" s="66" t="str">
        <f t="shared" si="68"/>
        <v>En gestión</v>
      </c>
      <c r="AV405" s="66" t="str">
        <f t="shared" si="69"/>
        <v>En gestión</v>
      </c>
      <c r="AW405" s="609"/>
      <c r="AX405" s="935"/>
      <c r="AY405" s="936"/>
      <c r="AZ405" s="934"/>
      <c r="BA405" s="934"/>
      <c r="BB405" s="76"/>
      <c r="BC405" s="306"/>
      <c r="BD405" s="546"/>
      <c r="BE405" s="546"/>
      <c r="BF405" s="546"/>
      <c r="BG405" s="546"/>
      <c r="BH405" s="546"/>
      <c r="BI405" s="546"/>
      <c r="BJ405" s="546"/>
      <c r="BK405" s="546"/>
      <c r="BL405" s="546"/>
      <c r="BM405" s="546"/>
      <c r="BN405" s="546"/>
      <c r="BO405" s="355">
        <v>0.75</v>
      </c>
      <c r="BP405" s="76" t="s">
        <v>3643</v>
      </c>
      <c r="BQ405" s="24" t="s">
        <v>3644</v>
      </c>
      <c r="BR405" s="19" t="str">
        <f t="shared" si="70"/>
        <v>En gestión</v>
      </c>
      <c r="BS405" s="19" t="str">
        <f t="shared" si="71"/>
        <v>En gestión</v>
      </c>
      <c r="BT405" s="933"/>
      <c r="BU405" s="930"/>
      <c r="BV405" s="931"/>
      <c r="BW405" s="932"/>
      <c r="BX405" s="932"/>
      <c r="BY405" s="972"/>
      <c r="BZ405" s="560"/>
      <c r="CA405" s="627"/>
      <c r="CB405" s="627"/>
      <c r="CC405" s="627"/>
      <c r="CD405" s="929"/>
      <c r="CE405" s="929"/>
      <c r="CF405" s="929"/>
      <c r="CG405" s="927"/>
      <c r="CH405" s="927"/>
      <c r="CI405" s="927"/>
      <c r="CJ405" s="927"/>
    </row>
    <row r="406" spans="2:88" ht="171.95" customHeight="1" x14ac:dyDescent="0.25">
      <c r="B406" s="1227"/>
      <c r="C406" s="668" t="s">
        <v>1339</v>
      </c>
      <c r="D406" s="313" t="s">
        <v>1045</v>
      </c>
      <c r="E406" s="313" t="s">
        <v>26</v>
      </c>
      <c r="F406" s="928" t="s">
        <v>1340</v>
      </c>
      <c r="G406" s="313" t="s">
        <v>28</v>
      </c>
      <c r="H406" s="313" t="s">
        <v>28</v>
      </c>
      <c r="I406" s="313" t="s">
        <v>59</v>
      </c>
      <c r="J406" s="313" t="s">
        <v>191</v>
      </c>
      <c r="K406" s="670" t="s">
        <v>3645</v>
      </c>
      <c r="L406" s="81" t="s">
        <v>164</v>
      </c>
      <c r="M406" s="82" t="s">
        <v>1341</v>
      </c>
      <c r="N406" s="314" t="s">
        <v>3646</v>
      </c>
      <c r="O406" s="313">
        <v>0.5</v>
      </c>
      <c r="P406" s="315">
        <v>44197</v>
      </c>
      <c r="Q406" s="315">
        <v>44561</v>
      </c>
      <c r="R406" s="316">
        <v>0.25</v>
      </c>
      <c r="S406" s="316">
        <v>0.5</v>
      </c>
      <c r="T406" s="316">
        <v>0.75</v>
      </c>
      <c r="U406" s="316">
        <v>1</v>
      </c>
      <c r="V406" s="304">
        <v>0.25</v>
      </c>
      <c r="W406" s="85" t="s">
        <v>1343</v>
      </c>
      <c r="X406" s="317" t="s">
        <v>3647</v>
      </c>
      <c r="Y406" s="5" t="str">
        <f t="shared" si="66"/>
        <v>En gestión</v>
      </c>
      <c r="Z406" s="5" t="str">
        <f t="shared" si="67"/>
        <v>En gestión</v>
      </c>
      <c r="AA406" s="671" t="s">
        <v>1410</v>
      </c>
      <c r="AB406" s="596">
        <f>SUMPRODUCT(O406:O407,V406:V407)</f>
        <v>0.125</v>
      </c>
      <c r="AC406" s="597">
        <f>SUMPRODUCT(O406:O407,R406:R407)</f>
        <v>0.125</v>
      </c>
      <c r="AD406" s="946" t="str">
        <f>IF(AC406&lt;1%,"Sin iniciar",IF(AC406=100%,"Terminado","En gestión"))</f>
        <v>En gestión</v>
      </c>
      <c r="AE406" s="946" t="str">
        <f>IF(AB406&lt;1%,"Sin iniciar",IF(AB406=100%,"Terminado","En gestión"))</f>
        <v>En gestión</v>
      </c>
      <c r="AF406" s="89"/>
      <c r="AG406" s="89" t="s">
        <v>2629</v>
      </c>
      <c r="AH406" s="89"/>
      <c r="AI406" s="89" t="s">
        <v>2629</v>
      </c>
      <c r="AJ406" s="318">
        <v>53400000</v>
      </c>
      <c r="AK406" s="319">
        <v>49950000</v>
      </c>
      <c r="AL406" s="319">
        <v>9000000</v>
      </c>
      <c r="AM406" s="89"/>
      <c r="AN406" s="89"/>
      <c r="AO406" s="89"/>
      <c r="AP406" s="89" t="s">
        <v>2466</v>
      </c>
      <c r="AQ406" s="89"/>
      <c r="AR406" s="1171">
        <v>0.5</v>
      </c>
      <c r="AS406" s="85" t="s">
        <v>1423</v>
      </c>
      <c r="AT406" s="317" t="s">
        <v>3648</v>
      </c>
      <c r="AU406" s="56" t="str">
        <f t="shared" si="68"/>
        <v>En gestión</v>
      </c>
      <c r="AV406" s="56" t="str">
        <f t="shared" si="69"/>
        <v>En gestión</v>
      </c>
      <c r="AW406" s="671" t="s">
        <v>1437</v>
      </c>
      <c r="AX406" s="599">
        <f>SUMPRODUCT(O406:O407,AR406:AR407)</f>
        <v>0.25</v>
      </c>
      <c r="AY406" s="600">
        <f>SUMPRODUCT(S406:S407,O406:O407)</f>
        <v>0.25</v>
      </c>
      <c r="AZ406" s="696" t="str">
        <f>IF(AY406&lt;1%,"Sin iniciar",IF(AY406=100%,"Terminado","En gestión"))</f>
        <v>En gestión</v>
      </c>
      <c r="BA406" s="696" t="str">
        <f>IF(AX406&lt;1%,"Sin iniciar",IF(AX406=100%,"Terminado","En gestión"))</f>
        <v>En gestión</v>
      </c>
      <c r="BB406" s="85"/>
      <c r="BC406" s="89"/>
      <c r="BD406" s="937">
        <v>0</v>
      </c>
      <c r="BE406" s="937">
        <v>0</v>
      </c>
      <c r="BF406" s="937">
        <v>0</v>
      </c>
      <c r="BG406" s="937">
        <v>53400000</v>
      </c>
      <c r="BH406" s="937">
        <v>53400000</v>
      </c>
      <c r="BI406" s="937">
        <v>22500000</v>
      </c>
      <c r="BJ406" s="944" t="s">
        <v>2666</v>
      </c>
      <c r="BK406" s="938"/>
      <c r="BL406" s="938" t="s">
        <v>2670</v>
      </c>
      <c r="BM406" s="938" t="s">
        <v>2671</v>
      </c>
      <c r="BN406" s="628" t="s">
        <v>2672</v>
      </c>
      <c r="BO406" s="355">
        <v>0.75</v>
      </c>
      <c r="BP406" s="85" t="s">
        <v>3649</v>
      </c>
      <c r="BQ406" s="11" t="s">
        <v>3650</v>
      </c>
      <c r="BR406" s="5" t="str">
        <f t="shared" si="70"/>
        <v>En gestión</v>
      </c>
      <c r="BS406" s="5" t="str">
        <f t="shared" si="71"/>
        <v>En gestión</v>
      </c>
      <c r="BT406" s="943" t="s">
        <v>3651</v>
      </c>
      <c r="BU406" s="940">
        <f>SUMPRODUCT(O406:O407,BO406:BO407)</f>
        <v>0.75</v>
      </c>
      <c r="BV406" s="941">
        <f>SUMPRODUCT(O406:O407,T406:T407)</f>
        <v>0.75</v>
      </c>
      <c r="BW406" s="942" t="str">
        <f>IF(BV406&lt;1%,"Sin iniciar",IF(BV406=100%,"Terminado","En gestión"))</f>
        <v>En gestión</v>
      </c>
      <c r="BX406" s="942" t="str">
        <f>IF(BU406&lt;1%,"Sin iniciar",IF(BU406=100%,"Terminado","En gestión"))</f>
        <v>En gestión</v>
      </c>
      <c r="BY406" s="989" t="s">
        <v>37</v>
      </c>
      <c r="BZ406" s="581" t="s">
        <v>3631</v>
      </c>
      <c r="CA406" s="937">
        <v>0</v>
      </c>
      <c r="CB406" s="573"/>
      <c r="CC406" s="939"/>
      <c r="CD406" s="937">
        <v>53400000</v>
      </c>
      <c r="CE406" s="937">
        <v>49950000</v>
      </c>
      <c r="CF406" s="937">
        <v>40500000</v>
      </c>
      <c r="CG406" s="938" t="s">
        <v>2666</v>
      </c>
      <c r="CH406" s="938" t="s">
        <v>2670</v>
      </c>
      <c r="CI406" s="938" t="s">
        <v>2671</v>
      </c>
      <c r="CJ406" s="628" t="s">
        <v>2672</v>
      </c>
    </row>
    <row r="407" spans="2:88" ht="171.95" customHeight="1" x14ac:dyDescent="0.25">
      <c r="B407" s="1227"/>
      <c r="C407" s="668"/>
      <c r="D407" s="313" t="s">
        <v>1045</v>
      </c>
      <c r="E407" s="313" t="s">
        <v>26</v>
      </c>
      <c r="F407" s="928"/>
      <c r="G407" s="313" t="s">
        <v>28</v>
      </c>
      <c r="H407" s="313" t="s">
        <v>28</v>
      </c>
      <c r="I407" s="313" t="s">
        <v>59</v>
      </c>
      <c r="J407" s="313" t="s">
        <v>194</v>
      </c>
      <c r="K407" s="670"/>
      <c r="L407" s="81" t="s">
        <v>164</v>
      </c>
      <c r="M407" s="82" t="s">
        <v>1344</v>
      </c>
      <c r="N407" s="314" t="s">
        <v>3652</v>
      </c>
      <c r="O407" s="313">
        <v>0.5</v>
      </c>
      <c r="P407" s="315">
        <v>44197</v>
      </c>
      <c r="Q407" s="315">
        <v>44561</v>
      </c>
      <c r="R407" s="316">
        <v>0</v>
      </c>
      <c r="S407" s="316">
        <v>0</v>
      </c>
      <c r="T407" s="316">
        <v>0.75</v>
      </c>
      <c r="U407" s="316">
        <v>1</v>
      </c>
      <c r="V407" s="304">
        <v>0</v>
      </c>
      <c r="W407" s="85" t="s">
        <v>1345</v>
      </c>
      <c r="X407" s="317" t="s">
        <v>37</v>
      </c>
      <c r="Y407" s="5" t="str">
        <f t="shared" si="66"/>
        <v>Sin iniciar</v>
      </c>
      <c r="Z407" s="5" t="str">
        <f t="shared" si="67"/>
        <v>Sin iniciar</v>
      </c>
      <c r="AA407" s="671"/>
      <c r="AB407" s="596"/>
      <c r="AC407" s="597"/>
      <c r="AD407" s="946"/>
      <c r="AE407" s="946"/>
      <c r="AF407" s="85" t="s">
        <v>1411</v>
      </c>
      <c r="AG407" s="89"/>
      <c r="AH407" s="89"/>
      <c r="AI407" s="89"/>
      <c r="AJ407" s="89"/>
      <c r="AK407" s="319"/>
      <c r="AL407" s="319"/>
      <c r="AM407" s="89"/>
      <c r="AN407" s="89"/>
      <c r="AO407" s="89"/>
      <c r="AP407" s="89" t="s">
        <v>2466</v>
      </c>
      <c r="AQ407" s="89"/>
      <c r="AR407" s="1171">
        <v>0</v>
      </c>
      <c r="AS407" s="85" t="s">
        <v>1345</v>
      </c>
      <c r="AT407" s="317" t="s">
        <v>28</v>
      </c>
      <c r="AU407" s="56" t="str">
        <f t="shared" si="68"/>
        <v>Sin iniciar</v>
      </c>
      <c r="AV407" s="56" t="str">
        <f t="shared" si="69"/>
        <v>Sin iniciar</v>
      </c>
      <c r="AW407" s="671"/>
      <c r="AX407" s="599"/>
      <c r="AY407" s="600"/>
      <c r="AZ407" s="696"/>
      <c r="BA407" s="696"/>
      <c r="BB407" s="85" t="s">
        <v>1345</v>
      </c>
      <c r="BC407" s="85"/>
      <c r="BD407" s="937"/>
      <c r="BE407" s="937"/>
      <c r="BF407" s="937"/>
      <c r="BG407" s="937"/>
      <c r="BH407" s="937"/>
      <c r="BI407" s="937"/>
      <c r="BJ407" s="944"/>
      <c r="BK407" s="938"/>
      <c r="BL407" s="938"/>
      <c r="BM407" s="938"/>
      <c r="BN407" s="628"/>
      <c r="BO407" s="355">
        <v>0.75</v>
      </c>
      <c r="BP407" s="85"/>
      <c r="BQ407" s="11" t="s">
        <v>3653</v>
      </c>
      <c r="BR407" s="5" t="str">
        <f t="shared" si="70"/>
        <v>En gestión</v>
      </c>
      <c r="BS407" s="5" t="str">
        <f t="shared" si="71"/>
        <v>En gestión</v>
      </c>
      <c r="BT407" s="943"/>
      <c r="BU407" s="940"/>
      <c r="BV407" s="941"/>
      <c r="BW407" s="942"/>
      <c r="BX407" s="942"/>
      <c r="BY407" s="989"/>
      <c r="BZ407" s="581"/>
      <c r="CA407" s="937"/>
      <c r="CB407" s="573"/>
      <c r="CC407" s="939"/>
      <c r="CD407" s="937"/>
      <c r="CE407" s="937"/>
      <c r="CF407" s="937"/>
      <c r="CG407" s="938"/>
      <c r="CH407" s="938"/>
      <c r="CI407" s="938"/>
      <c r="CJ407" s="628"/>
    </row>
    <row r="408" spans="2:88" ht="171.95" customHeight="1" x14ac:dyDescent="0.25">
      <c r="B408" s="1227"/>
      <c r="C408" s="72" t="s">
        <v>1347</v>
      </c>
      <c r="D408" s="300" t="s">
        <v>1045</v>
      </c>
      <c r="E408" s="300" t="s">
        <v>26</v>
      </c>
      <c r="F408" s="300" t="s">
        <v>1348</v>
      </c>
      <c r="G408" s="300" t="s">
        <v>28</v>
      </c>
      <c r="H408" s="300" t="s">
        <v>28</v>
      </c>
      <c r="I408" s="300" t="s">
        <v>59</v>
      </c>
      <c r="J408" s="300" t="s">
        <v>132</v>
      </c>
      <c r="K408" s="72" t="s">
        <v>1349</v>
      </c>
      <c r="L408" s="71" t="s">
        <v>164</v>
      </c>
      <c r="M408" s="72" t="s">
        <v>1350</v>
      </c>
      <c r="N408" s="71" t="s">
        <v>1351</v>
      </c>
      <c r="O408" s="300">
        <v>1</v>
      </c>
      <c r="P408" s="302">
        <v>44256</v>
      </c>
      <c r="Q408" s="302">
        <v>44560</v>
      </c>
      <c r="R408" s="303">
        <v>0.25</v>
      </c>
      <c r="S408" s="303">
        <v>0.5</v>
      </c>
      <c r="T408" s="303">
        <v>0.75</v>
      </c>
      <c r="U408" s="303">
        <v>1</v>
      </c>
      <c r="V408" s="304">
        <v>0.25</v>
      </c>
      <c r="W408" s="76" t="s">
        <v>1352</v>
      </c>
      <c r="X408" s="305" t="s">
        <v>3654</v>
      </c>
      <c r="Y408" s="19" t="str">
        <f t="shared" si="66"/>
        <v>En gestión</v>
      </c>
      <c r="Z408" s="19" t="str">
        <f t="shared" si="67"/>
        <v>En gestión</v>
      </c>
      <c r="AA408" s="76" t="s">
        <v>1412</v>
      </c>
      <c r="AB408" s="320">
        <f>O408*V408</f>
        <v>0.25</v>
      </c>
      <c r="AC408" s="321">
        <f>SUMPRODUCT(O408,R408)</f>
        <v>0.25</v>
      </c>
      <c r="AD408" s="322" t="str">
        <f>IF(AC408&lt;1%,"Sin iniciar",IF(AC408=100%,"Terminado","En gestión"))</f>
        <v>En gestión</v>
      </c>
      <c r="AE408" s="322" t="str">
        <f>IF(AB408&lt;1%,"Sin iniciar",IF(AB408=100%,"Terminado","En gestión"))</f>
        <v>En gestión</v>
      </c>
      <c r="AF408" s="306"/>
      <c r="AG408" s="307">
        <v>25005273</v>
      </c>
      <c r="AH408" s="306"/>
      <c r="AI408" s="307">
        <v>2500527</v>
      </c>
      <c r="AJ408" s="307">
        <v>30737397</v>
      </c>
      <c r="AK408" s="306"/>
      <c r="AL408" s="307">
        <v>5987829</v>
      </c>
      <c r="AM408" s="306"/>
      <c r="AN408" s="306"/>
      <c r="AO408" s="306"/>
      <c r="AP408" s="306" t="s">
        <v>2466</v>
      </c>
      <c r="AQ408" s="306"/>
      <c r="AR408" s="1171">
        <v>0.5</v>
      </c>
      <c r="AS408" s="76" t="s">
        <v>1424</v>
      </c>
      <c r="AT408" s="305" t="s">
        <v>3655</v>
      </c>
      <c r="AU408" s="66" t="str">
        <f t="shared" si="68"/>
        <v>En gestión</v>
      </c>
      <c r="AV408" s="66" t="str">
        <f t="shared" si="69"/>
        <v>En gestión</v>
      </c>
      <c r="AW408" s="76" t="s">
        <v>1412</v>
      </c>
      <c r="AX408" s="29">
        <f>O408*AR408</f>
        <v>0.5</v>
      </c>
      <c r="AY408" s="32">
        <f>SUMPRODUCT(S408,O408)</f>
        <v>0.5</v>
      </c>
      <c r="AZ408" s="323" t="str">
        <f>IF(AY408&lt;1%,"Sin iniciar",IF(AY408=100%,"Terminado","En gestión"))</f>
        <v>En gestión</v>
      </c>
      <c r="BA408" s="323" t="str">
        <f>IF(AX408&lt;1%,"Sin iniciar",IF(AX408=100%,"Terminado","En gestión"))</f>
        <v>En gestión</v>
      </c>
      <c r="BB408" s="76"/>
      <c r="BC408" s="306"/>
      <c r="BD408" s="307">
        <v>25005273</v>
      </c>
      <c r="BE408" s="307">
        <v>25005273</v>
      </c>
      <c r="BF408" s="307">
        <v>10002109</v>
      </c>
      <c r="BG408" s="307">
        <v>30737397</v>
      </c>
      <c r="BH408" s="307">
        <v>30737397</v>
      </c>
      <c r="BI408" s="307">
        <v>12137074</v>
      </c>
      <c r="BJ408" s="76" t="s">
        <v>2666</v>
      </c>
      <c r="BK408" s="76"/>
      <c r="BL408" s="76" t="s">
        <v>2673</v>
      </c>
      <c r="BM408" s="76" t="s">
        <v>2674</v>
      </c>
      <c r="BN408" s="76" t="s">
        <v>2675</v>
      </c>
      <c r="BO408" s="356">
        <v>1</v>
      </c>
      <c r="BP408" s="324" t="s">
        <v>3656</v>
      </c>
      <c r="BQ408" s="165" t="s">
        <v>3657</v>
      </c>
      <c r="BR408" s="19" t="str">
        <f t="shared" si="70"/>
        <v>En gestión</v>
      </c>
      <c r="BS408" s="19" t="str">
        <f t="shared" si="71"/>
        <v>Terminado</v>
      </c>
      <c r="BT408" s="324" t="s">
        <v>3658</v>
      </c>
      <c r="BU408" s="360">
        <f>O408*BO408</f>
        <v>1</v>
      </c>
      <c r="BV408" s="363">
        <f>SUMPRODUCT(O408,T408)</f>
        <v>0.75</v>
      </c>
      <c r="BW408" s="23" t="str">
        <f>IF(BV408&lt;1%,"Sin iniciar",IF(BV408=100%,"Terminado","En gestión"))</f>
        <v>En gestión</v>
      </c>
      <c r="BX408" s="23" t="str">
        <f>IF(BU408&lt;1%,"Sin iniciar",IF(BU408=100%,"Terminado","En gestión"))</f>
        <v>Terminado</v>
      </c>
      <c r="BY408" s="325" t="s">
        <v>37</v>
      </c>
      <c r="BZ408" s="24" t="s">
        <v>3631</v>
      </c>
      <c r="CA408" s="307">
        <v>25005273</v>
      </c>
      <c r="CB408" s="307">
        <v>25657913</v>
      </c>
      <c r="CC408" s="307">
        <v>17960539</v>
      </c>
      <c r="CD408" s="307">
        <v>30737397</v>
      </c>
      <c r="CE408" s="307">
        <v>24274147</v>
      </c>
      <c r="CF408" s="307">
        <v>21846732</v>
      </c>
      <c r="CG408" s="76" t="s">
        <v>2666</v>
      </c>
      <c r="CH408" s="76" t="s">
        <v>2673</v>
      </c>
      <c r="CI408" s="76" t="s">
        <v>2674</v>
      </c>
      <c r="CJ408" s="76" t="s">
        <v>2675</v>
      </c>
    </row>
    <row r="409" spans="2:88" ht="171.95" customHeight="1" x14ac:dyDescent="0.25">
      <c r="B409" s="1227"/>
      <c r="C409" s="668" t="s">
        <v>1353</v>
      </c>
      <c r="D409" s="313" t="s">
        <v>1045</v>
      </c>
      <c r="E409" s="313" t="s">
        <v>160</v>
      </c>
      <c r="F409" s="928" t="s">
        <v>1354</v>
      </c>
      <c r="G409" s="313" t="s">
        <v>28</v>
      </c>
      <c r="H409" s="313" t="s">
        <v>28</v>
      </c>
      <c r="I409" s="313" t="s">
        <v>29</v>
      </c>
      <c r="J409" s="313" t="s">
        <v>191</v>
      </c>
      <c r="K409" s="668" t="s">
        <v>1355</v>
      </c>
      <c r="L409" s="81" t="s">
        <v>164</v>
      </c>
      <c r="M409" s="82" t="s">
        <v>1356</v>
      </c>
      <c r="N409" s="81" t="s">
        <v>1357</v>
      </c>
      <c r="O409" s="313">
        <v>0.3</v>
      </c>
      <c r="P409" s="315">
        <v>44198</v>
      </c>
      <c r="Q409" s="315">
        <v>44560</v>
      </c>
      <c r="R409" s="316">
        <v>0.7</v>
      </c>
      <c r="S409" s="316">
        <v>0.75</v>
      </c>
      <c r="T409" s="316">
        <v>0.9</v>
      </c>
      <c r="U409" s="316">
        <v>1</v>
      </c>
      <c r="V409" s="304">
        <v>0.4</v>
      </c>
      <c r="W409" s="85" t="s">
        <v>1358</v>
      </c>
      <c r="X409" s="317" t="s">
        <v>3659</v>
      </c>
      <c r="Y409" s="5" t="str">
        <f t="shared" si="66"/>
        <v>En gestión</v>
      </c>
      <c r="Z409" s="5" t="str">
        <f t="shared" si="67"/>
        <v>En gestión</v>
      </c>
      <c r="AA409" s="671" t="s">
        <v>1413</v>
      </c>
      <c r="AB409" s="596">
        <f>SUMPRODUCT(O409:O411,V409:V411)</f>
        <v>0.12</v>
      </c>
      <c r="AC409" s="597">
        <f>SUMPRODUCT(O409:O411,R409:R411)</f>
        <v>0.21</v>
      </c>
      <c r="AD409" s="946" t="str">
        <f>IF(AC409&lt;1%,"Sin iniciar",IF(AC409=100%,"Terminado","En gestión"))</f>
        <v>En gestión</v>
      </c>
      <c r="AE409" s="946" t="str">
        <f>IF(AB409&lt;1%,"Sin iniciar",IF(AB409=100%,"Terminado","En gestión"))</f>
        <v>En gestión</v>
      </c>
      <c r="AF409" s="85" t="s">
        <v>1414</v>
      </c>
      <c r="AG409" s="319">
        <v>24355213</v>
      </c>
      <c r="AH409" s="89"/>
      <c r="AI409" s="319">
        <v>6088803</v>
      </c>
      <c r="AJ409" s="89" t="s">
        <v>2629</v>
      </c>
      <c r="AK409" s="89"/>
      <c r="AL409" s="89" t="s">
        <v>2629</v>
      </c>
      <c r="AM409" s="89"/>
      <c r="AN409" s="89"/>
      <c r="AO409" s="89"/>
      <c r="AP409" s="89" t="s">
        <v>2466</v>
      </c>
      <c r="AQ409" s="89"/>
      <c r="AR409" s="1171">
        <v>0.75</v>
      </c>
      <c r="AS409" s="85" t="s">
        <v>1425</v>
      </c>
      <c r="AT409" s="317" t="s">
        <v>3660</v>
      </c>
      <c r="AU409" s="56" t="str">
        <f t="shared" si="68"/>
        <v>En gestión</v>
      </c>
      <c r="AV409" s="56" t="str">
        <f t="shared" si="69"/>
        <v>En gestión</v>
      </c>
      <c r="AW409" s="671" t="s">
        <v>1438</v>
      </c>
      <c r="AX409" s="599">
        <f>SUMPRODUCT(O409:O411,AR409:AR411)</f>
        <v>0.375</v>
      </c>
      <c r="AY409" s="600">
        <f>SUMPRODUCT(S409:S411,O409:O411)</f>
        <v>0.375</v>
      </c>
      <c r="AZ409" s="696" t="str">
        <f>IF(AY409&lt;1%,"Sin iniciar",IF(AY409=100%,"Terminado","En gestión"))</f>
        <v>En gestión</v>
      </c>
      <c r="BA409" s="696" t="str">
        <f>IF(AX409&lt;1%,"Sin iniciar",IF(AX409=100%,"Terminado","En gestión"))</f>
        <v>En gestión</v>
      </c>
      <c r="BB409" s="85"/>
      <c r="BC409" s="85"/>
      <c r="BD409" s="537">
        <v>24355213</v>
      </c>
      <c r="BE409" s="537">
        <v>24355213</v>
      </c>
      <c r="BF409" s="537">
        <v>12177607</v>
      </c>
      <c r="BG409" s="537">
        <v>32800000</v>
      </c>
      <c r="BH409" s="537">
        <v>32800000</v>
      </c>
      <c r="BI409" s="537">
        <v>16145307</v>
      </c>
      <c r="BJ409" s="85" t="s">
        <v>2666</v>
      </c>
      <c r="BK409" s="85"/>
      <c r="BL409" s="85" t="s">
        <v>2676</v>
      </c>
      <c r="BM409" s="85" t="s">
        <v>2677</v>
      </c>
      <c r="BN409" s="85" t="s">
        <v>2678</v>
      </c>
      <c r="BO409" s="356">
        <v>0.9</v>
      </c>
      <c r="BP409" s="326" t="s">
        <v>3661</v>
      </c>
      <c r="BQ409" s="11" t="s">
        <v>3662</v>
      </c>
      <c r="BR409" s="5" t="str">
        <f t="shared" si="70"/>
        <v>En gestión</v>
      </c>
      <c r="BS409" s="5" t="str">
        <f t="shared" si="71"/>
        <v>En gestión</v>
      </c>
      <c r="BT409" s="943" t="s">
        <v>3663</v>
      </c>
      <c r="BU409" s="940">
        <f>SUMPRODUCT(O409:O411,BO409:BO411)</f>
        <v>0.56000000000000005</v>
      </c>
      <c r="BV409" s="941">
        <f>SUMPRODUCT(O409:O411,T409:T411)</f>
        <v>0.56000000000000005</v>
      </c>
      <c r="BW409" s="942" t="str">
        <f>IF(BV409&lt;1%,"Sin iniciar",IF(BV409=100%,"Terminado","En gestión"))</f>
        <v>En gestión</v>
      </c>
      <c r="BX409" s="942" t="str">
        <f>IF(BU409&lt;1%,"Sin iniciar",IF(BU409=100%,"Terminado","En gestión"))</f>
        <v>En gestión</v>
      </c>
      <c r="BY409" s="989" t="s">
        <v>37</v>
      </c>
      <c r="BZ409" s="581"/>
      <c r="CA409" s="628">
        <v>24355213</v>
      </c>
      <c r="CB409" s="628">
        <v>24990887</v>
      </c>
      <c r="CC409" s="628">
        <v>18743165</v>
      </c>
      <c r="CD409" s="628">
        <v>32800000</v>
      </c>
      <c r="CE409" s="628">
        <v>3280453</v>
      </c>
      <c r="CF409" s="628">
        <v>29061553</v>
      </c>
      <c r="CG409" s="85" t="s">
        <v>2666</v>
      </c>
      <c r="CH409" s="85" t="s">
        <v>2676</v>
      </c>
      <c r="CI409" s="85" t="s">
        <v>2677</v>
      </c>
      <c r="CJ409" s="85" t="s">
        <v>2678</v>
      </c>
    </row>
    <row r="410" spans="2:88" ht="171.95" customHeight="1" x14ac:dyDescent="0.25">
      <c r="B410" s="1227"/>
      <c r="C410" s="668"/>
      <c r="D410" s="313" t="s">
        <v>1045</v>
      </c>
      <c r="E410" s="313" t="s">
        <v>160</v>
      </c>
      <c r="F410" s="928"/>
      <c r="G410" s="313" t="s">
        <v>28</v>
      </c>
      <c r="H410" s="313" t="s">
        <v>28</v>
      </c>
      <c r="I410" s="313" t="s">
        <v>29</v>
      </c>
      <c r="J410" s="313" t="s">
        <v>132</v>
      </c>
      <c r="K410" s="668"/>
      <c r="L410" s="81" t="s">
        <v>164</v>
      </c>
      <c r="M410" s="82" t="s">
        <v>1359</v>
      </c>
      <c r="N410" s="81" t="s">
        <v>1360</v>
      </c>
      <c r="O410" s="313">
        <v>0.3</v>
      </c>
      <c r="P410" s="315">
        <v>44291</v>
      </c>
      <c r="Q410" s="315">
        <v>44560</v>
      </c>
      <c r="R410" s="316">
        <v>0</v>
      </c>
      <c r="S410" s="316">
        <v>0.5</v>
      </c>
      <c r="T410" s="316">
        <v>0.7</v>
      </c>
      <c r="U410" s="316">
        <v>1</v>
      </c>
      <c r="V410" s="304">
        <v>0</v>
      </c>
      <c r="W410" s="85" t="s">
        <v>1346</v>
      </c>
      <c r="X410" s="317" t="s">
        <v>37</v>
      </c>
      <c r="Y410" s="5" t="str">
        <f t="shared" si="66"/>
        <v>Sin iniciar</v>
      </c>
      <c r="Z410" s="5" t="str">
        <f t="shared" si="67"/>
        <v>Sin iniciar</v>
      </c>
      <c r="AA410" s="671"/>
      <c r="AB410" s="596"/>
      <c r="AC410" s="597"/>
      <c r="AD410" s="946"/>
      <c r="AE410" s="946"/>
      <c r="AF410" s="89"/>
      <c r="AG410" s="89"/>
      <c r="AH410" s="89"/>
      <c r="AI410" s="319"/>
      <c r="AJ410" s="89"/>
      <c r="AK410" s="89"/>
      <c r="AL410" s="89"/>
      <c r="AM410" s="89"/>
      <c r="AN410" s="89"/>
      <c r="AO410" s="89"/>
      <c r="AP410" s="89" t="s">
        <v>2466</v>
      </c>
      <c r="AQ410" s="89"/>
      <c r="AR410" s="1171">
        <v>0.5</v>
      </c>
      <c r="AS410" s="85" t="s">
        <v>1426</v>
      </c>
      <c r="AT410" s="317" t="s">
        <v>3660</v>
      </c>
      <c r="AU410" s="56" t="str">
        <f t="shared" si="68"/>
        <v>En gestión</v>
      </c>
      <c r="AV410" s="56" t="str">
        <f t="shared" si="69"/>
        <v>En gestión</v>
      </c>
      <c r="AW410" s="671"/>
      <c r="AX410" s="599"/>
      <c r="AY410" s="600"/>
      <c r="AZ410" s="696"/>
      <c r="BA410" s="696"/>
      <c r="BB410" s="85"/>
      <c r="BC410" s="89"/>
      <c r="BD410" s="538"/>
      <c r="BE410" s="538"/>
      <c r="BF410" s="538"/>
      <c r="BG410" s="538"/>
      <c r="BH410" s="538"/>
      <c r="BI410" s="538"/>
      <c r="BJ410" s="543" t="s">
        <v>2666</v>
      </c>
      <c r="BK410" s="543"/>
      <c r="BL410" s="543" t="s">
        <v>2673</v>
      </c>
      <c r="BM410" s="543" t="s">
        <v>2674</v>
      </c>
      <c r="BN410" s="543" t="s">
        <v>2679</v>
      </c>
      <c r="BO410" s="356">
        <v>0.7</v>
      </c>
      <c r="BP410" s="326" t="s">
        <v>3664</v>
      </c>
      <c r="BQ410" s="11" t="s">
        <v>3665</v>
      </c>
      <c r="BR410" s="5" t="str">
        <f t="shared" si="70"/>
        <v>En gestión</v>
      </c>
      <c r="BS410" s="5" t="str">
        <f t="shared" si="71"/>
        <v>En gestión</v>
      </c>
      <c r="BT410" s="943"/>
      <c r="BU410" s="940"/>
      <c r="BV410" s="941"/>
      <c r="BW410" s="942"/>
      <c r="BX410" s="942"/>
      <c r="BY410" s="989"/>
      <c r="BZ410" s="581"/>
      <c r="CA410" s="628"/>
      <c r="CB410" s="628"/>
      <c r="CC410" s="628"/>
      <c r="CD410" s="628"/>
      <c r="CE410" s="628"/>
      <c r="CF410" s="628"/>
      <c r="CG410" s="543" t="s">
        <v>2666</v>
      </c>
      <c r="CH410" s="543" t="s">
        <v>2673</v>
      </c>
      <c r="CI410" s="543" t="s">
        <v>2674</v>
      </c>
      <c r="CJ410" s="543" t="s">
        <v>2679</v>
      </c>
    </row>
    <row r="411" spans="2:88" ht="171.95" customHeight="1" x14ac:dyDescent="0.25">
      <c r="B411" s="1227"/>
      <c r="C411" s="668"/>
      <c r="D411" s="313" t="s">
        <v>1045</v>
      </c>
      <c r="E411" s="313" t="s">
        <v>160</v>
      </c>
      <c r="F411" s="928"/>
      <c r="G411" s="313" t="s">
        <v>28</v>
      </c>
      <c r="H411" s="313" t="s">
        <v>28</v>
      </c>
      <c r="I411" s="313" t="s">
        <v>29</v>
      </c>
      <c r="J411" s="313" t="s">
        <v>191</v>
      </c>
      <c r="K411" s="668"/>
      <c r="L411" s="81" t="s">
        <v>164</v>
      </c>
      <c r="M411" s="82" t="s">
        <v>1361</v>
      </c>
      <c r="N411" s="81" t="s">
        <v>1362</v>
      </c>
      <c r="O411" s="313">
        <v>0.4</v>
      </c>
      <c r="P411" s="315">
        <v>44378</v>
      </c>
      <c r="Q411" s="315">
        <v>44560</v>
      </c>
      <c r="R411" s="316">
        <v>0</v>
      </c>
      <c r="S411" s="316">
        <v>0</v>
      </c>
      <c r="T411" s="316">
        <v>0.2</v>
      </c>
      <c r="U411" s="316">
        <v>1</v>
      </c>
      <c r="V411" s="304">
        <v>0</v>
      </c>
      <c r="W411" s="85" t="s">
        <v>1346</v>
      </c>
      <c r="X411" s="317" t="s">
        <v>37</v>
      </c>
      <c r="Y411" s="5" t="str">
        <f t="shared" si="66"/>
        <v>Sin iniciar</v>
      </c>
      <c r="Z411" s="5" t="str">
        <f t="shared" si="67"/>
        <v>Sin iniciar</v>
      </c>
      <c r="AA411" s="671"/>
      <c r="AB411" s="596"/>
      <c r="AC411" s="597"/>
      <c r="AD411" s="946"/>
      <c r="AE411" s="946"/>
      <c r="AF411" s="89"/>
      <c r="AG411" s="89"/>
      <c r="AH411" s="89"/>
      <c r="AI411" s="319"/>
      <c r="AJ411" s="89"/>
      <c r="AK411" s="89"/>
      <c r="AL411" s="89"/>
      <c r="AM411" s="89"/>
      <c r="AN411" s="89"/>
      <c r="AO411" s="89"/>
      <c r="AP411" s="89" t="s">
        <v>2466</v>
      </c>
      <c r="AQ411" s="89"/>
      <c r="AR411" s="1171">
        <v>0</v>
      </c>
      <c r="AS411" s="85" t="s">
        <v>2437</v>
      </c>
      <c r="AT411" s="317" t="s">
        <v>37</v>
      </c>
      <c r="AU411" s="56" t="str">
        <f t="shared" si="68"/>
        <v>Sin iniciar</v>
      </c>
      <c r="AV411" s="56" t="str">
        <f t="shared" si="69"/>
        <v>Sin iniciar</v>
      </c>
      <c r="AW411" s="671"/>
      <c r="AX411" s="599"/>
      <c r="AY411" s="600"/>
      <c r="AZ411" s="696"/>
      <c r="BA411" s="696"/>
      <c r="BB411" s="85"/>
      <c r="BC411" s="89"/>
      <c r="BD411" s="539"/>
      <c r="BE411" s="539"/>
      <c r="BF411" s="539"/>
      <c r="BG411" s="539"/>
      <c r="BH411" s="539"/>
      <c r="BI411" s="539"/>
      <c r="BJ411" s="544"/>
      <c r="BK411" s="544"/>
      <c r="BL411" s="544"/>
      <c r="BM411" s="544"/>
      <c r="BN411" s="544"/>
      <c r="BO411" s="356">
        <v>0.2</v>
      </c>
      <c r="BP411" s="326" t="s">
        <v>3666</v>
      </c>
      <c r="BQ411" s="11" t="s">
        <v>3667</v>
      </c>
      <c r="BR411" s="5" t="str">
        <f t="shared" si="70"/>
        <v>En gestión</v>
      </c>
      <c r="BS411" s="5" t="str">
        <f t="shared" si="71"/>
        <v>En gestión</v>
      </c>
      <c r="BT411" s="943"/>
      <c r="BU411" s="940"/>
      <c r="BV411" s="941"/>
      <c r="BW411" s="942"/>
      <c r="BX411" s="942"/>
      <c r="BY411" s="989"/>
      <c r="BZ411" s="581"/>
      <c r="CA411" s="628"/>
      <c r="CB411" s="628"/>
      <c r="CC411" s="628"/>
      <c r="CD411" s="628"/>
      <c r="CE411" s="628"/>
      <c r="CF411" s="628"/>
      <c r="CG411" s="544"/>
      <c r="CH411" s="544"/>
      <c r="CI411" s="544"/>
      <c r="CJ411" s="544"/>
    </row>
    <row r="412" spans="2:88" ht="171.95" customHeight="1" x14ac:dyDescent="0.25">
      <c r="B412" s="1227"/>
      <c r="C412" s="662" t="s">
        <v>1363</v>
      </c>
      <c r="D412" s="300" t="s">
        <v>1045</v>
      </c>
      <c r="E412" s="300" t="s">
        <v>26</v>
      </c>
      <c r="F412" s="945" t="s">
        <v>1364</v>
      </c>
      <c r="G412" s="300" t="s">
        <v>28</v>
      </c>
      <c r="H412" s="300" t="s">
        <v>28</v>
      </c>
      <c r="I412" s="300" t="s">
        <v>29</v>
      </c>
      <c r="J412" s="300" t="s">
        <v>1039</v>
      </c>
      <c r="K412" s="662" t="s">
        <v>1365</v>
      </c>
      <c r="L412" s="71" t="s">
        <v>164</v>
      </c>
      <c r="M412" s="72" t="s">
        <v>1366</v>
      </c>
      <c r="N412" s="71" t="s">
        <v>1325</v>
      </c>
      <c r="O412" s="300">
        <v>0.2</v>
      </c>
      <c r="P412" s="302">
        <v>44198</v>
      </c>
      <c r="Q412" s="302">
        <v>44377</v>
      </c>
      <c r="R412" s="303">
        <v>0.5</v>
      </c>
      <c r="S412" s="303">
        <v>1</v>
      </c>
      <c r="T412" s="303">
        <v>1</v>
      </c>
      <c r="U412" s="303">
        <v>1</v>
      </c>
      <c r="V412" s="304">
        <v>0.5</v>
      </c>
      <c r="W412" s="76" t="s">
        <v>1367</v>
      </c>
      <c r="X412" s="305" t="s">
        <v>3668</v>
      </c>
      <c r="Y412" s="19" t="str">
        <f t="shared" si="66"/>
        <v>En gestión</v>
      </c>
      <c r="Z412" s="19" t="str">
        <f t="shared" si="67"/>
        <v>En gestión</v>
      </c>
      <c r="AA412" s="609" t="s">
        <v>3669</v>
      </c>
      <c r="AB412" s="924">
        <f>SUMPRODUCT(O412:O416,V412:V416)</f>
        <v>0.2</v>
      </c>
      <c r="AC412" s="925">
        <f>SUMPRODUCT(O412:O416,R412:R416)</f>
        <v>0.2</v>
      </c>
      <c r="AD412" s="926" t="str">
        <f>IF(AC412&lt;1%,"Sin iniciar",IF(AC412=100%,"Terminado","En gestión"))</f>
        <v>En gestión</v>
      </c>
      <c r="AE412" s="926" t="str">
        <f>IF(AB412&lt;1%,"Sin iniciar",IF(AB412=100%,"Terminado","En gestión"))</f>
        <v>En gestión</v>
      </c>
      <c r="AF412" s="306" t="s">
        <v>1415</v>
      </c>
      <c r="AG412" s="307">
        <v>27657821</v>
      </c>
      <c r="AH412" s="306"/>
      <c r="AI412" s="307">
        <v>6914455</v>
      </c>
      <c r="AJ412" s="306" t="s">
        <v>2629</v>
      </c>
      <c r="AK412" s="306"/>
      <c r="AL412" s="306" t="s">
        <v>2629</v>
      </c>
      <c r="AM412" s="306"/>
      <c r="AN412" s="306"/>
      <c r="AO412" s="306"/>
      <c r="AP412" s="306" t="s">
        <v>2466</v>
      </c>
      <c r="AQ412" s="306"/>
      <c r="AR412" s="1171">
        <v>0.95</v>
      </c>
      <c r="AS412" s="76" t="s">
        <v>1427</v>
      </c>
      <c r="AT412" s="305" t="s">
        <v>3668</v>
      </c>
      <c r="AU412" s="66" t="str">
        <f t="shared" si="68"/>
        <v>Terminado</v>
      </c>
      <c r="AV412" s="66" t="str">
        <f t="shared" si="69"/>
        <v>En gestión</v>
      </c>
      <c r="AW412" s="609" t="s">
        <v>1439</v>
      </c>
      <c r="AX412" s="935">
        <f>SUMPRODUCT(O412:O416,AR412:AR416)</f>
        <v>0.43000000000000005</v>
      </c>
      <c r="AY412" s="936">
        <f>SUMPRODUCT(S412:S416,O412:O416)</f>
        <v>0.44000000000000006</v>
      </c>
      <c r="AZ412" s="934" t="str">
        <f>IF(AY412&lt;1%,"Sin iniciar",IF(AY412=100%,"Terminado","En gestión"))</f>
        <v>En gestión</v>
      </c>
      <c r="BA412" s="934" t="str">
        <f>IF(AX412&lt;1%,"Sin iniciar",IF(AX412=100%,"Terminado","En gestión"))</f>
        <v>En gestión</v>
      </c>
      <c r="BB412" s="76" t="s">
        <v>1440</v>
      </c>
      <c r="BC412" s="306"/>
      <c r="BD412" s="547">
        <v>27657821</v>
      </c>
      <c r="BE412" s="547">
        <v>30647602</v>
      </c>
      <c r="BF412" s="547">
        <v>12465944</v>
      </c>
      <c r="BG412" s="547">
        <v>0</v>
      </c>
      <c r="BH412" s="547">
        <v>34465000</v>
      </c>
      <c r="BI412" s="547">
        <v>23087500</v>
      </c>
      <c r="BJ412" s="550" t="s">
        <v>2680</v>
      </c>
      <c r="BK412" s="550"/>
      <c r="BL412" s="550" t="s">
        <v>2681</v>
      </c>
      <c r="BM412" s="550" t="s">
        <v>2682</v>
      </c>
      <c r="BN412" s="550" t="s">
        <v>2683</v>
      </c>
      <c r="BO412" s="355">
        <v>0.98</v>
      </c>
      <c r="BP412" s="76" t="s">
        <v>3670</v>
      </c>
      <c r="BQ412" s="24" t="s">
        <v>3668</v>
      </c>
      <c r="BR412" s="19" t="str">
        <f t="shared" si="70"/>
        <v>Terminado</v>
      </c>
      <c r="BS412" s="19" t="str">
        <f t="shared" si="71"/>
        <v>En gestión</v>
      </c>
      <c r="BT412" s="933" t="s">
        <v>3671</v>
      </c>
      <c r="BU412" s="930">
        <f>SUMPRODUCT(O412:O416,BO412:BO416)</f>
        <v>0.69600000000000006</v>
      </c>
      <c r="BV412" s="931">
        <f>SUMPRODUCT(O412:O416,T412:T416)</f>
        <v>0.82000000000000006</v>
      </c>
      <c r="BW412" s="932" t="str">
        <f>IF(BV412&lt;1%,"Sin iniciar",IF(BV412=100%,"Terminado","En gestión"))</f>
        <v>En gestión</v>
      </c>
      <c r="BX412" s="932" t="str">
        <f>IF(BU412&lt;1%,"Sin iniciar",IF(BU412=100%,"Terminado","En gestión"))</f>
        <v>En gestión</v>
      </c>
      <c r="BY412" s="324" t="s">
        <v>5192</v>
      </c>
      <c r="BZ412" s="560" t="s">
        <v>3631</v>
      </c>
      <c r="CA412" s="627">
        <v>27657821</v>
      </c>
      <c r="CB412" s="627">
        <v>34164104</v>
      </c>
      <c r="CC412" s="627">
        <v>17419030</v>
      </c>
      <c r="CD412" s="627">
        <v>0</v>
      </c>
      <c r="CE412" s="627">
        <v>34605000</v>
      </c>
      <c r="CF412" s="627">
        <v>34605000</v>
      </c>
      <c r="CG412" s="609" t="s">
        <v>2680</v>
      </c>
      <c r="CH412" s="550" t="s">
        <v>2681</v>
      </c>
      <c r="CI412" s="550" t="s">
        <v>2682</v>
      </c>
      <c r="CJ412" s="609" t="s">
        <v>2683</v>
      </c>
    </row>
    <row r="413" spans="2:88" ht="171.95" customHeight="1" x14ac:dyDescent="0.25">
      <c r="B413" s="1227"/>
      <c r="C413" s="662"/>
      <c r="D413" s="300" t="s">
        <v>1045</v>
      </c>
      <c r="E413" s="300" t="s">
        <v>26</v>
      </c>
      <c r="F413" s="945"/>
      <c r="G413" s="300" t="s">
        <v>28</v>
      </c>
      <c r="H413" s="300" t="s">
        <v>28</v>
      </c>
      <c r="I413" s="300" t="s">
        <v>29</v>
      </c>
      <c r="J413" s="300" t="s">
        <v>132</v>
      </c>
      <c r="K413" s="662"/>
      <c r="L413" s="71" t="s">
        <v>164</v>
      </c>
      <c r="M413" s="72" t="s">
        <v>1368</v>
      </c>
      <c r="N413" s="71" t="s">
        <v>1369</v>
      </c>
      <c r="O413" s="300">
        <v>0.2</v>
      </c>
      <c r="P413" s="302">
        <v>44198</v>
      </c>
      <c r="Q413" s="302">
        <v>44377</v>
      </c>
      <c r="R413" s="303">
        <v>0.5</v>
      </c>
      <c r="S413" s="303">
        <v>1</v>
      </c>
      <c r="T413" s="303">
        <v>1</v>
      </c>
      <c r="U413" s="303">
        <v>1</v>
      </c>
      <c r="V413" s="304">
        <v>0.5</v>
      </c>
      <c r="W413" s="76" t="s">
        <v>1370</v>
      </c>
      <c r="X413" s="305" t="s">
        <v>3672</v>
      </c>
      <c r="Y413" s="19" t="str">
        <f t="shared" si="66"/>
        <v>En gestión</v>
      </c>
      <c r="Z413" s="19" t="str">
        <f t="shared" si="67"/>
        <v>En gestión</v>
      </c>
      <c r="AA413" s="609"/>
      <c r="AB413" s="924"/>
      <c r="AC413" s="925"/>
      <c r="AD413" s="926"/>
      <c r="AE413" s="926"/>
      <c r="AF413" s="306"/>
      <c r="AG413" s="306"/>
      <c r="AH413" s="306"/>
      <c r="AI413" s="307"/>
      <c r="AJ413" s="306"/>
      <c r="AK413" s="306"/>
      <c r="AL413" s="306"/>
      <c r="AM413" s="306"/>
      <c r="AN413" s="306"/>
      <c r="AO413" s="306"/>
      <c r="AP413" s="306" t="s">
        <v>2466</v>
      </c>
      <c r="AQ413" s="306"/>
      <c r="AR413" s="1171">
        <v>1</v>
      </c>
      <c r="AS413" s="76" t="s">
        <v>1428</v>
      </c>
      <c r="AT413" s="305" t="s">
        <v>3673</v>
      </c>
      <c r="AU413" s="66" t="str">
        <f t="shared" si="68"/>
        <v>Terminado</v>
      </c>
      <c r="AV413" s="66" t="str">
        <f t="shared" si="69"/>
        <v>Terminado</v>
      </c>
      <c r="AW413" s="609"/>
      <c r="AX413" s="935"/>
      <c r="AY413" s="936"/>
      <c r="AZ413" s="934"/>
      <c r="BA413" s="934"/>
      <c r="BB413" s="76"/>
      <c r="BC413" s="306"/>
      <c r="BD413" s="548"/>
      <c r="BE413" s="548"/>
      <c r="BF413" s="548"/>
      <c r="BG413" s="548"/>
      <c r="BH413" s="548"/>
      <c r="BI413" s="548"/>
      <c r="BJ413" s="551"/>
      <c r="BK413" s="551"/>
      <c r="BL413" s="551"/>
      <c r="BM413" s="551"/>
      <c r="BN413" s="551"/>
      <c r="BO413" s="355">
        <v>1</v>
      </c>
      <c r="BP413" s="76" t="s">
        <v>3786</v>
      </c>
      <c r="BQ413" s="24" t="s">
        <v>37</v>
      </c>
      <c r="BR413" s="19" t="str">
        <f t="shared" si="70"/>
        <v>Terminado</v>
      </c>
      <c r="BS413" s="19" t="str">
        <f t="shared" si="71"/>
        <v>Terminado</v>
      </c>
      <c r="BT413" s="933"/>
      <c r="BU413" s="930"/>
      <c r="BV413" s="931"/>
      <c r="BW413" s="932"/>
      <c r="BX413" s="932"/>
      <c r="BY413" s="972" t="s">
        <v>37</v>
      </c>
      <c r="BZ413" s="560"/>
      <c r="CA413" s="627"/>
      <c r="CB413" s="627"/>
      <c r="CC413" s="627"/>
      <c r="CD413" s="627"/>
      <c r="CE413" s="627"/>
      <c r="CF413" s="627"/>
      <c r="CG413" s="609"/>
      <c r="CH413" s="551"/>
      <c r="CI413" s="551"/>
      <c r="CJ413" s="609"/>
    </row>
    <row r="414" spans="2:88" ht="171.95" customHeight="1" x14ac:dyDescent="0.25">
      <c r="B414" s="1227"/>
      <c r="C414" s="662"/>
      <c r="D414" s="300" t="s">
        <v>1045</v>
      </c>
      <c r="E414" s="300" t="s">
        <v>26</v>
      </c>
      <c r="F414" s="945"/>
      <c r="G414" s="300" t="s">
        <v>28</v>
      </c>
      <c r="H414" s="300" t="s">
        <v>28</v>
      </c>
      <c r="I414" s="300" t="s">
        <v>29</v>
      </c>
      <c r="J414" s="300" t="s">
        <v>185</v>
      </c>
      <c r="K414" s="662"/>
      <c r="L414" s="71" t="s">
        <v>164</v>
      </c>
      <c r="M414" s="72" t="s">
        <v>1371</v>
      </c>
      <c r="N414" s="71" t="s">
        <v>1372</v>
      </c>
      <c r="O414" s="300">
        <v>0.2</v>
      </c>
      <c r="P414" s="302">
        <v>44354</v>
      </c>
      <c r="Q414" s="302">
        <v>44469</v>
      </c>
      <c r="R414" s="303">
        <v>0</v>
      </c>
      <c r="S414" s="303">
        <v>0.2</v>
      </c>
      <c r="T414" s="303">
        <v>1</v>
      </c>
      <c r="U414" s="303">
        <v>1</v>
      </c>
      <c r="V414" s="304">
        <v>0</v>
      </c>
      <c r="W414" s="76" t="s">
        <v>1346</v>
      </c>
      <c r="X414" s="305" t="s">
        <v>37</v>
      </c>
      <c r="Y414" s="19" t="str">
        <f t="shared" si="66"/>
        <v>Sin iniciar</v>
      </c>
      <c r="Z414" s="19" t="str">
        <f t="shared" si="67"/>
        <v>Sin iniciar</v>
      </c>
      <c r="AA414" s="609"/>
      <c r="AB414" s="924"/>
      <c r="AC414" s="925"/>
      <c r="AD414" s="926"/>
      <c r="AE414" s="926"/>
      <c r="AF414" s="306"/>
      <c r="AG414" s="306"/>
      <c r="AH414" s="306"/>
      <c r="AI414" s="307"/>
      <c r="AJ414" s="306"/>
      <c r="AK414" s="306"/>
      <c r="AL414" s="306"/>
      <c r="AM414" s="306"/>
      <c r="AN414" s="306"/>
      <c r="AO414" s="306"/>
      <c r="AP414" s="306" t="s">
        <v>2466</v>
      </c>
      <c r="AQ414" s="306"/>
      <c r="AR414" s="1171">
        <v>0.2</v>
      </c>
      <c r="AS414" s="76" t="s">
        <v>1429</v>
      </c>
      <c r="AT414" s="305" t="s">
        <v>3674</v>
      </c>
      <c r="AU414" s="66" t="str">
        <f t="shared" si="68"/>
        <v>En gestión</v>
      </c>
      <c r="AV414" s="66" t="str">
        <f t="shared" si="69"/>
        <v>En gestión</v>
      </c>
      <c r="AW414" s="609"/>
      <c r="AX414" s="935"/>
      <c r="AY414" s="936"/>
      <c r="AZ414" s="934"/>
      <c r="BA414" s="934"/>
      <c r="BB414" s="76"/>
      <c r="BC414" s="306"/>
      <c r="BD414" s="548"/>
      <c r="BE414" s="548"/>
      <c r="BF414" s="548"/>
      <c r="BG414" s="548"/>
      <c r="BH414" s="548"/>
      <c r="BI414" s="548"/>
      <c r="BJ414" s="552"/>
      <c r="BK414" s="552"/>
      <c r="BL414" s="552"/>
      <c r="BM414" s="552"/>
      <c r="BN414" s="552"/>
      <c r="BO414" s="355">
        <v>1</v>
      </c>
      <c r="BP414" s="76" t="s">
        <v>3675</v>
      </c>
      <c r="BQ414" s="374" t="s">
        <v>3676</v>
      </c>
      <c r="BR414" s="19" t="str">
        <f t="shared" si="70"/>
        <v>Terminado</v>
      </c>
      <c r="BS414" s="19" t="str">
        <f t="shared" si="71"/>
        <v>Terminado</v>
      </c>
      <c r="BT414" s="933"/>
      <c r="BU414" s="930"/>
      <c r="BV414" s="931"/>
      <c r="BW414" s="932"/>
      <c r="BX414" s="932"/>
      <c r="BY414" s="972"/>
      <c r="BZ414" s="560"/>
      <c r="CA414" s="627"/>
      <c r="CB414" s="627"/>
      <c r="CC414" s="627"/>
      <c r="CD414" s="627"/>
      <c r="CE414" s="627"/>
      <c r="CF414" s="627"/>
      <c r="CG414" s="609"/>
      <c r="CH414" s="552"/>
      <c r="CI414" s="552"/>
      <c r="CJ414" s="609"/>
    </row>
    <row r="415" spans="2:88" ht="171.95" customHeight="1" x14ac:dyDescent="0.25">
      <c r="B415" s="1227"/>
      <c r="C415" s="662"/>
      <c r="D415" s="300" t="s">
        <v>1045</v>
      </c>
      <c r="E415" s="300" t="s">
        <v>26</v>
      </c>
      <c r="F415" s="945"/>
      <c r="G415" s="300" t="s">
        <v>28</v>
      </c>
      <c r="H415" s="300" t="s">
        <v>28</v>
      </c>
      <c r="I415" s="300" t="s">
        <v>29</v>
      </c>
      <c r="J415" s="300" t="s">
        <v>191</v>
      </c>
      <c r="K415" s="662"/>
      <c r="L415" s="71" t="s">
        <v>164</v>
      </c>
      <c r="M415" s="72" t="s">
        <v>1373</v>
      </c>
      <c r="N415" s="71" t="s">
        <v>1374</v>
      </c>
      <c r="O415" s="300">
        <v>0.2</v>
      </c>
      <c r="P415" s="302">
        <v>44378</v>
      </c>
      <c r="Q415" s="302">
        <v>44560</v>
      </c>
      <c r="R415" s="303">
        <v>0</v>
      </c>
      <c r="S415" s="303">
        <v>0</v>
      </c>
      <c r="T415" s="303">
        <v>0.5</v>
      </c>
      <c r="U415" s="303">
        <v>1</v>
      </c>
      <c r="V415" s="304">
        <v>0</v>
      </c>
      <c r="W415" s="76" t="s">
        <v>1346</v>
      </c>
      <c r="X415" s="305" t="s">
        <v>37</v>
      </c>
      <c r="Y415" s="19" t="str">
        <f t="shared" si="66"/>
        <v>Sin iniciar</v>
      </c>
      <c r="Z415" s="19" t="str">
        <f t="shared" si="67"/>
        <v>Sin iniciar</v>
      </c>
      <c r="AA415" s="609"/>
      <c r="AB415" s="924"/>
      <c r="AC415" s="925"/>
      <c r="AD415" s="926"/>
      <c r="AE415" s="926"/>
      <c r="AF415" s="306"/>
      <c r="AG415" s="306"/>
      <c r="AH415" s="306"/>
      <c r="AI415" s="307"/>
      <c r="AJ415" s="306"/>
      <c r="AK415" s="306"/>
      <c r="AL415" s="306"/>
      <c r="AM415" s="306"/>
      <c r="AN415" s="306"/>
      <c r="AO415" s="306"/>
      <c r="AP415" s="306" t="s">
        <v>2466</v>
      </c>
      <c r="AQ415" s="306"/>
      <c r="AR415" s="1171">
        <v>0</v>
      </c>
      <c r="AS415" s="76" t="s">
        <v>2437</v>
      </c>
      <c r="AT415" s="305" t="s">
        <v>37</v>
      </c>
      <c r="AU415" s="66" t="str">
        <f t="shared" si="68"/>
        <v>Sin iniciar</v>
      </c>
      <c r="AV415" s="66" t="str">
        <f t="shared" si="69"/>
        <v>Sin iniciar</v>
      </c>
      <c r="AW415" s="609"/>
      <c r="AX415" s="935"/>
      <c r="AY415" s="936"/>
      <c r="AZ415" s="934"/>
      <c r="BA415" s="934"/>
      <c r="BB415" s="76"/>
      <c r="BC415" s="306"/>
      <c r="BD415" s="548"/>
      <c r="BE415" s="548"/>
      <c r="BF415" s="548"/>
      <c r="BG415" s="548"/>
      <c r="BH415" s="548"/>
      <c r="BI415" s="548"/>
      <c r="BJ415" s="550" t="s">
        <v>2680</v>
      </c>
      <c r="BK415" s="550"/>
      <c r="BL415" s="550" t="s">
        <v>2684</v>
      </c>
      <c r="BM415" s="550" t="s">
        <v>2685</v>
      </c>
      <c r="BN415" s="550" t="s">
        <v>2686</v>
      </c>
      <c r="BO415" s="357">
        <v>0.5</v>
      </c>
      <c r="BP415" s="76" t="s">
        <v>3677</v>
      </c>
      <c r="BQ415" s="24" t="s">
        <v>3678</v>
      </c>
      <c r="BR415" s="19" t="str">
        <f t="shared" si="70"/>
        <v>En gestión</v>
      </c>
      <c r="BS415" s="19" t="str">
        <f t="shared" si="71"/>
        <v>En gestión</v>
      </c>
      <c r="BT415" s="933"/>
      <c r="BU415" s="930"/>
      <c r="BV415" s="931"/>
      <c r="BW415" s="932"/>
      <c r="BX415" s="932"/>
      <c r="BY415" s="324" t="s">
        <v>3679</v>
      </c>
      <c r="BZ415" s="560"/>
      <c r="CA415" s="627"/>
      <c r="CB415" s="627"/>
      <c r="CC415" s="627"/>
      <c r="CD415" s="627"/>
      <c r="CE415" s="627"/>
      <c r="CF415" s="627"/>
      <c r="CG415" s="609"/>
      <c r="CH415" s="550" t="s">
        <v>2684</v>
      </c>
      <c r="CI415" s="550" t="s">
        <v>2685</v>
      </c>
      <c r="CJ415" s="609"/>
    </row>
    <row r="416" spans="2:88" ht="171.95" customHeight="1" x14ac:dyDescent="0.25">
      <c r="B416" s="1227"/>
      <c r="C416" s="662"/>
      <c r="D416" s="300" t="s">
        <v>1045</v>
      </c>
      <c r="E416" s="300" t="s">
        <v>26</v>
      </c>
      <c r="F416" s="945"/>
      <c r="G416" s="300" t="s">
        <v>28</v>
      </c>
      <c r="H416" s="300" t="s">
        <v>28</v>
      </c>
      <c r="I416" s="300" t="s">
        <v>29</v>
      </c>
      <c r="J416" s="300" t="s">
        <v>194</v>
      </c>
      <c r="K416" s="662"/>
      <c r="L416" s="71" t="s">
        <v>164</v>
      </c>
      <c r="M416" s="72" t="s">
        <v>1375</v>
      </c>
      <c r="N416" s="71" t="s">
        <v>1376</v>
      </c>
      <c r="O416" s="300">
        <v>0.2</v>
      </c>
      <c r="P416" s="302">
        <v>44378</v>
      </c>
      <c r="Q416" s="302">
        <v>44560</v>
      </c>
      <c r="R416" s="303">
        <v>0</v>
      </c>
      <c r="S416" s="303">
        <v>0</v>
      </c>
      <c r="T416" s="303">
        <v>0.6</v>
      </c>
      <c r="U416" s="303">
        <v>1</v>
      </c>
      <c r="V416" s="304">
        <v>0</v>
      </c>
      <c r="W416" s="76" t="s">
        <v>1346</v>
      </c>
      <c r="X416" s="305" t="s">
        <v>37</v>
      </c>
      <c r="Y416" s="19" t="str">
        <f t="shared" si="66"/>
        <v>Sin iniciar</v>
      </c>
      <c r="Z416" s="19" t="str">
        <f t="shared" si="67"/>
        <v>Sin iniciar</v>
      </c>
      <c r="AA416" s="609"/>
      <c r="AB416" s="924"/>
      <c r="AC416" s="925"/>
      <c r="AD416" s="926"/>
      <c r="AE416" s="926"/>
      <c r="AF416" s="306"/>
      <c r="AG416" s="306"/>
      <c r="AH416" s="306"/>
      <c r="AI416" s="307"/>
      <c r="AJ416" s="306"/>
      <c r="AK416" s="306"/>
      <c r="AL416" s="306"/>
      <c r="AM416" s="306"/>
      <c r="AN416" s="306"/>
      <c r="AO416" s="306"/>
      <c r="AP416" s="306" t="s">
        <v>2466</v>
      </c>
      <c r="AQ416" s="306"/>
      <c r="AR416" s="1171">
        <v>0</v>
      </c>
      <c r="AS416" s="76" t="s">
        <v>2437</v>
      </c>
      <c r="AT416" s="305" t="s">
        <v>37</v>
      </c>
      <c r="AU416" s="66" t="str">
        <f t="shared" si="68"/>
        <v>Sin iniciar</v>
      </c>
      <c r="AV416" s="66" t="str">
        <f t="shared" si="69"/>
        <v>Sin iniciar</v>
      </c>
      <c r="AW416" s="609"/>
      <c r="AX416" s="935"/>
      <c r="AY416" s="936"/>
      <c r="AZ416" s="934"/>
      <c r="BA416" s="934"/>
      <c r="BB416" s="76"/>
      <c r="BC416" s="306"/>
      <c r="BD416" s="549"/>
      <c r="BE416" s="549"/>
      <c r="BF416" s="549"/>
      <c r="BG416" s="549"/>
      <c r="BH416" s="549"/>
      <c r="BI416" s="549"/>
      <c r="BJ416" s="552"/>
      <c r="BK416" s="552"/>
      <c r="BL416" s="552"/>
      <c r="BM416" s="552"/>
      <c r="BN416" s="552"/>
      <c r="BO416" s="357">
        <v>0</v>
      </c>
      <c r="BP416" s="76" t="s">
        <v>3680</v>
      </c>
      <c r="BQ416" s="24" t="s">
        <v>37</v>
      </c>
      <c r="BR416" s="19" t="str">
        <f t="shared" si="70"/>
        <v>En gestión</v>
      </c>
      <c r="BS416" s="19" t="str">
        <f t="shared" si="71"/>
        <v>Sin iniciar</v>
      </c>
      <c r="BT416" s="933"/>
      <c r="BU416" s="930"/>
      <c r="BV416" s="931"/>
      <c r="BW416" s="932"/>
      <c r="BX416" s="932"/>
      <c r="BY416" s="324" t="s">
        <v>3680</v>
      </c>
      <c r="BZ416" s="560"/>
      <c r="CA416" s="627"/>
      <c r="CB416" s="627"/>
      <c r="CC416" s="627"/>
      <c r="CD416" s="627"/>
      <c r="CE416" s="627"/>
      <c r="CF416" s="627"/>
      <c r="CG416" s="609"/>
      <c r="CH416" s="552"/>
      <c r="CI416" s="552"/>
      <c r="CJ416" s="609"/>
    </row>
    <row r="417" spans="2:88" ht="171.95" customHeight="1" x14ac:dyDescent="0.25">
      <c r="B417" s="1227"/>
      <c r="C417" s="668" t="s">
        <v>1377</v>
      </c>
      <c r="D417" s="313" t="s">
        <v>1045</v>
      </c>
      <c r="E417" s="313" t="s">
        <v>26</v>
      </c>
      <c r="F417" s="947" t="s">
        <v>1378</v>
      </c>
      <c r="G417" s="313" t="s">
        <v>28</v>
      </c>
      <c r="H417" s="313" t="s">
        <v>28</v>
      </c>
      <c r="I417" s="313" t="s">
        <v>29</v>
      </c>
      <c r="J417" s="313" t="s">
        <v>1039</v>
      </c>
      <c r="K417" s="668" t="s">
        <v>3681</v>
      </c>
      <c r="L417" s="81" t="s">
        <v>164</v>
      </c>
      <c r="M417" s="82" t="s">
        <v>1379</v>
      </c>
      <c r="N417" s="81" t="s">
        <v>3682</v>
      </c>
      <c r="O417" s="313">
        <v>0.7</v>
      </c>
      <c r="P417" s="315">
        <v>44198</v>
      </c>
      <c r="Q417" s="315">
        <v>44561</v>
      </c>
      <c r="R417" s="316">
        <v>0</v>
      </c>
      <c r="S417" s="316">
        <v>0.4</v>
      </c>
      <c r="T417" s="316">
        <v>0.7</v>
      </c>
      <c r="U417" s="316">
        <v>1</v>
      </c>
      <c r="V417" s="304">
        <v>0.01</v>
      </c>
      <c r="W417" s="85" t="s">
        <v>1380</v>
      </c>
      <c r="X417" s="317" t="s">
        <v>3683</v>
      </c>
      <c r="Y417" s="5" t="str">
        <f t="shared" si="66"/>
        <v>Sin iniciar</v>
      </c>
      <c r="Z417" s="5" t="str">
        <f t="shared" si="67"/>
        <v>En gestión</v>
      </c>
      <c r="AA417" s="671" t="s">
        <v>1417</v>
      </c>
      <c r="AB417" s="596">
        <f>SUMPRODUCT(O417:O419,V417:V419)</f>
        <v>9.9999999999999985E-3</v>
      </c>
      <c r="AC417" s="597">
        <f>SUMPRODUCT(O417:O419,R417:R419)</f>
        <v>0</v>
      </c>
      <c r="AD417" s="946" t="str">
        <f>IF(AC417&lt;1%,"Sin iniciar",IF(AC417=100%,"Terminado","En gestión"))</f>
        <v>Sin iniciar</v>
      </c>
      <c r="AE417" s="946" t="str">
        <f>IF(AB417&lt;1%,"Sin iniciar",IF(AB417=100%,"Terminado","En gestión"))</f>
        <v>En gestión</v>
      </c>
      <c r="AF417" s="89"/>
      <c r="AG417" s="319">
        <v>18735950</v>
      </c>
      <c r="AH417" s="89"/>
      <c r="AI417" s="319">
        <v>4683987</v>
      </c>
      <c r="AJ417" s="89" t="s">
        <v>2629</v>
      </c>
      <c r="AK417" s="89"/>
      <c r="AL417" s="89" t="s">
        <v>2629</v>
      </c>
      <c r="AM417" s="89"/>
      <c r="AN417" s="89"/>
      <c r="AO417" s="89"/>
      <c r="AP417" s="89" t="s">
        <v>2466</v>
      </c>
      <c r="AQ417" s="89"/>
      <c r="AR417" s="1171">
        <v>0.4</v>
      </c>
      <c r="AS417" s="85" t="s">
        <v>1430</v>
      </c>
      <c r="AT417" s="317" t="s">
        <v>3683</v>
      </c>
      <c r="AU417" s="56" t="str">
        <f t="shared" si="68"/>
        <v>En gestión</v>
      </c>
      <c r="AV417" s="56" t="str">
        <f t="shared" si="69"/>
        <v>En gestión</v>
      </c>
      <c r="AW417" s="671" t="s">
        <v>1441</v>
      </c>
      <c r="AX417" s="599">
        <f>SUMPRODUCT(O417:O419,AR417:AR419)</f>
        <v>0.4</v>
      </c>
      <c r="AY417" s="600">
        <f>SUMPRODUCT(S417:S419,O417:O419)</f>
        <v>0.4</v>
      </c>
      <c r="AZ417" s="696" t="str">
        <f>IF(AY417&lt;1%,"Sin iniciar",IF(AY417=100%,"Terminado","En gestión"))</f>
        <v>En gestión</v>
      </c>
      <c r="BA417" s="696" t="str">
        <f>IF(AX417&lt;1%,"Sin iniciar",IF(AX417=100%,"Terminado","En gestión"))</f>
        <v>En gestión</v>
      </c>
      <c r="BB417" s="85"/>
      <c r="BC417" s="89"/>
      <c r="BD417" s="537">
        <v>18735950</v>
      </c>
      <c r="BE417" s="537">
        <v>18735950</v>
      </c>
      <c r="BF417" s="537">
        <v>9367675</v>
      </c>
      <c r="BG417" s="537">
        <v>0</v>
      </c>
      <c r="BH417" s="537">
        <v>31175100</v>
      </c>
      <c r="BI417" s="537">
        <v>12989625</v>
      </c>
      <c r="BJ417" s="85" t="s">
        <v>2666</v>
      </c>
      <c r="BK417" s="85"/>
      <c r="BL417" s="85" t="s">
        <v>2687</v>
      </c>
      <c r="BM417" s="85" t="s">
        <v>2668</v>
      </c>
      <c r="BN417" s="85" t="s">
        <v>2688</v>
      </c>
      <c r="BO417" s="355">
        <v>0.7</v>
      </c>
      <c r="BP417" s="85" t="s">
        <v>3684</v>
      </c>
      <c r="BQ417" s="11" t="s">
        <v>3685</v>
      </c>
      <c r="BR417" s="5" t="str">
        <f t="shared" si="70"/>
        <v>En gestión</v>
      </c>
      <c r="BS417" s="5" t="str">
        <f t="shared" si="71"/>
        <v>En gestión</v>
      </c>
      <c r="BT417" s="943" t="s">
        <v>3686</v>
      </c>
      <c r="BU417" s="940">
        <f>SUMPRODUCT(O417:O419,BO417:BO419)</f>
        <v>0.67499999999999993</v>
      </c>
      <c r="BV417" s="941">
        <f>SUMPRODUCT(O417:O419,T417:T419)</f>
        <v>0.7</v>
      </c>
      <c r="BW417" s="942" t="str">
        <f>IF(BV417&lt;1%,"Sin iniciar",IF(BV417=100%,"Terminado","En gestión"))</f>
        <v>En gestión</v>
      </c>
      <c r="BX417" s="942" t="str">
        <f>IF(BU417&lt;1%,"Sin iniciar",IF(BU417=100%,"Terminado","En gestión"))</f>
        <v>En gestión</v>
      </c>
      <c r="BY417" s="328"/>
      <c r="BZ417" s="581" t="s">
        <v>3631</v>
      </c>
      <c r="CA417" s="628">
        <v>18735950</v>
      </c>
      <c r="CB417" s="937">
        <v>19224959</v>
      </c>
      <c r="CC417" s="937">
        <v>14418720</v>
      </c>
      <c r="CD417" s="937">
        <v>0</v>
      </c>
      <c r="CE417" s="937">
        <v>31175100</v>
      </c>
      <c r="CF417" s="937">
        <v>23381325</v>
      </c>
      <c r="CG417" s="671" t="s">
        <v>2666</v>
      </c>
      <c r="CH417" s="85" t="s">
        <v>2687</v>
      </c>
      <c r="CI417" s="85" t="s">
        <v>2668</v>
      </c>
      <c r="CJ417" s="671" t="s">
        <v>2688</v>
      </c>
    </row>
    <row r="418" spans="2:88" ht="171.95" customHeight="1" x14ac:dyDescent="0.25">
      <c r="B418" s="1227"/>
      <c r="C418" s="668"/>
      <c r="D418" s="313" t="s">
        <v>1045</v>
      </c>
      <c r="E418" s="313" t="s">
        <v>26</v>
      </c>
      <c r="F418" s="947"/>
      <c r="G418" s="313" t="s">
        <v>28</v>
      </c>
      <c r="H418" s="313" t="s">
        <v>28</v>
      </c>
      <c r="I418" s="313" t="s">
        <v>29</v>
      </c>
      <c r="J418" s="313" t="s">
        <v>1039</v>
      </c>
      <c r="K418" s="668"/>
      <c r="L418" s="81" t="s">
        <v>164</v>
      </c>
      <c r="M418" s="82" t="s">
        <v>1381</v>
      </c>
      <c r="N418" s="81" t="s">
        <v>3687</v>
      </c>
      <c r="O418" s="313">
        <v>0.2</v>
      </c>
      <c r="P418" s="315">
        <v>44198</v>
      </c>
      <c r="Q418" s="315">
        <v>44561</v>
      </c>
      <c r="R418" s="316">
        <v>0</v>
      </c>
      <c r="S418" s="316">
        <v>0.5</v>
      </c>
      <c r="T418" s="316">
        <v>0.8</v>
      </c>
      <c r="U418" s="316">
        <v>1</v>
      </c>
      <c r="V418" s="304">
        <v>0.01</v>
      </c>
      <c r="W418" s="85" t="s">
        <v>1380</v>
      </c>
      <c r="X418" s="317" t="s">
        <v>3683</v>
      </c>
      <c r="Y418" s="5" t="str">
        <f t="shared" si="66"/>
        <v>Sin iniciar</v>
      </c>
      <c r="Z418" s="5" t="str">
        <f t="shared" si="67"/>
        <v>En gestión</v>
      </c>
      <c r="AA418" s="671"/>
      <c r="AB418" s="596"/>
      <c r="AC418" s="597"/>
      <c r="AD418" s="946"/>
      <c r="AE418" s="946"/>
      <c r="AF418" s="89"/>
      <c r="AG418" s="319"/>
      <c r="AH418" s="89"/>
      <c r="AI418" s="319"/>
      <c r="AJ418" s="89"/>
      <c r="AK418" s="89"/>
      <c r="AL418" s="89"/>
      <c r="AM418" s="89"/>
      <c r="AN418" s="89"/>
      <c r="AO418" s="89"/>
      <c r="AP418" s="89" t="s">
        <v>2466</v>
      </c>
      <c r="AQ418" s="89"/>
      <c r="AR418" s="1171">
        <v>0.5</v>
      </c>
      <c r="AS418" s="85" t="s">
        <v>1430</v>
      </c>
      <c r="AT418" s="317" t="s">
        <v>3683</v>
      </c>
      <c r="AU418" s="56" t="str">
        <f t="shared" si="68"/>
        <v>En gestión</v>
      </c>
      <c r="AV418" s="56" t="str">
        <f t="shared" si="69"/>
        <v>En gestión</v>
      </c>
      <c r="AW418" s="671"/>
      <c r="AX418" s="599"/>
      <c r="AY418" s="600"/>
      <c r="AZ418" s="696"/>
      <c r="BA418" s="696"/>
      <c r="BB418" s="85"/>
      <c r="BC418" s="89"/>
      <c r="BD418" s="538"/>
      <c r="BE418" s="538"/>
      <c r="BF418" s="538"/>
      <c r="BG418" s="538"/>
      <c r="BH418" s="538"/>
      <c r="BI418" s="538"/>
      <c r="BJ418" s="543" t="s">
        <v>2666</v>
      </c>
      <c r="BK418" s="543"/>
      <c r="BL418" s="543" t="s">
        <v>2689</v>
      </c>
      <c r="BM418" s="543" t="s">
        <v>2690</v>
      </c>
      <c r="BN418" s="543" t="s">
        <v>2688</v>
      </c>
      <c r="BO418" s="355">
        <v>0.7</v>
      </c>
      <c r="BP418" s="85" t="s">
        <v>3684</v>
      </c>
      <c r="BQ418" s="11" t="s">
        <v>3685</v>
      </c>
      <c r="BR418" s="5" t="str">
        <f t="shared" si="70"/>
        <v>En gestión</v>
      </c>
      <c r="BS418" s="5" t="str">
        <f t="shared" si="71"/>
        <v>En gestión</v>
      </c>
      <c r="BT418" s="943"/>
      <c r="BU418" s="940"/>
      <c r="BV418" s="941"/>
      <c r="BW418" s="942"/>
      <c r="BX418" s="942"/>
      <c r="BY418" s="326" t="s">
        <v>3688</v>
      </c>
      <c r="BZ418" s="581"/>
      <c r="CA418" s="628"/>
      <c r="CB418" s="937"/>
      <c r="CC418" s="937"/>
      <c r="CD418" s="937"/>
      <c r="CE418" s="937"/>
      <c r="CF418" s="937"/>
      <c r="CG418" s="671"/>
      <c r="CH418" s="543" t="s">
        <v>2689</v>
      </c>
      <c r="CI418" s="543" t="s">
        <v>2690</v>
      </c>
      <c r="CJ418" s="671"/>
    </row>
    <row r="419" spans="2:88" ht="171.95" customHeight="1" x14ac:dyDescent="0.25">
      <c r="B419" s="1227"/>
      <c r="C419" s="668"/>
      <c r="D419" s="313" t="s">
        <v>1045</v>
      </c>
      <c r="E419" s="313" t="s">
        <v>26</v>
      </c>
      <c r="F419" s="947"/>
      <c r="G419" s="313" t="s">
        <v>28</v>
      </c>
      <c r="H419" s="313" t="s">
        <v>28</v>
      </c>
      <c r="I419" s="313" t="s">
        <v>29</v>
      </c>
      <c r="J419" s="313" t="s">
        <v>1039</v>
      </c>
      <c r="K419" s="668"/>
      <c r="L419" s="81" t="s">
        <v>164</v>
      </c>
      <c r="M419" s="82" t="s">
        <v>1382</v>
      </c>
      <c r="N419" s="81" t="s">
        <v>3689</v>
      </c>
      <c r="O419" s="313">
        <v>0.1</v>
      </c>
      <c r="P419" s="315">
        <v>44291</v>
      </c>
      <c r="Q419" s="315">
        <v>44561</v>
      </c>
      <c r="R419" s="316">
        <v>0</v>
      </c>
      <c r="S419" s="316">
        <v>0.2</v>
      </c>
      <c r="T419" s="316">
        <v>0.5</v>
      </c>
      <c r="U419" s="316">
        <v>1</v>
      </c>
      <c r="V419" s="304">
        <v>0.01</v>
      </c>
      <c r="W419" s="85" t="s">
        <v>1380</v>
      </c>
      <c r="X419" s="317" t="s">
        <v>3683</v>
      </c>
      <c r="Y419" s="5" t="str">
        <f t="shared" si="66"/>
        <v>Sin iniciar</v>
      </c>
      <c r="Z419" s="5" t="str">
        <f t="shared" si="67"/>
        <v>En gestión</v>
      </c>
      <c r="AA419" s="671"/>
      <c r="AB419" s="596"/>
      <c r="AC419" s="597"/>
      <c r="AD419" s="946"/>
      <c r="AE419" s="946"/>
      <c r="AF419" s="89"/>
      <c r="AG419" s="319"/>
      <c r="AH419" s="89"/>
      <c r="AI419" s="319"/>
      <c r="AJ419" s="89"/>
      <c r="AK419" s="89"/>
      <c r="AL419" s="89"/>
      <c r="AM419" s="89"/>
      <c r="AN419" s="89"/>
      <c r="AO419" s="89"/>
      <c r="AP419" s="89" t="s">
        <v>2466</v>
      </c>
      <c r="AQ419" s="89"/>
      <c r="AR419" s="1171">
        <v>0.2</v>
      </c>
      <c r="AS419" s="85" t="s">
        <v>1430</v>
      </c>
      <c r="AT419" s="317" t="s">
        <v>3683</v>
      </c>
      <c r="AU419" s="56" t="str">
        <f t="shared" si="68"/>
        <v>En gestión</v>
      </c>
      <c r="AV419" s="56" t="str">
        <f t="shared" si="69"/>
        <v>En gestión</v>
      </c>
      <c r="AW419" s="671"/>
      <c r="AX419" s="599"/>
      <c r="AY419" s="600"/>
      <c r="AZ419" s="696"/>
      <c r="BA419" s="696"/>
      <c r="BB419" s="85"/>
      <c r="BC419" s="89"/>
      <c r="BD419" s="539"/>
      <c r="BE419" s="539"/>
      <c r="BF419" s="539"/>
      <c r="BG419" s="539"/>
      <c r="BH419" s="539"/>
      <c r="BI419" s="539"/>
      <c r="BJ419" s="544"/>
      <c r="BK419" s="544"/>
      <c r="BL419" s="544"/>
      <c r="BM419" s="544"/>
      <c r="BN419" s="544"/>
      <c r="BO419" s="355">
        <v>0.45</v>
      </c>
      <c r="BP419" s="85" t="s">
        <v>3690</v>
      </c>
      <c r="BQ419" s="11" t="s">
        <v>3683</v>
      </c>
      <c r="BR419" s="5" t="str">
        <f t="shared" si="70"/>
        <v>En gestión</v>
      </c>
      <c r="BS419" s="5" t="str">
        <f t="shared" si="71"/>
        <v>En gestión</v>
      </c>
      <c r="BT419" s="943"/>
      <c r="BU419" s="940"/>
      <c r="BV419" s="941"/>
      <c r="BW419" s="942"/>
      <c r="BX419" s="942"/>
      <c r="BY419" s="326" t="s">
        <v>3691</v>
      </c>
      <c r="BZ419" s="581"/>
      <c r="CA419" s="628"/>
      <c r="CB419" s="937"/>
      <c r="CC419" s="937"/>
      <c r="CD419" s="937"/>
      <c r="CE419" s="937"/>
      <c r="CF419" s="937"/>
      <c r="CG419" s="671"/>
      <c r="CH419" s="544"/>
      <c r="CI419" s="544"/>
      <c r="CJ419" s="671"/>
    </row>
    <row r="420" spans="2:88" ht="171.95" customHeight="1" x14ac:dyDescent="0.25">
      <c r="B420" s="1227"/>
      <c r="C420" s="662" t="s">
        <v>1383</v>
      </c>
      <c r="D420" s="300" t="s">
        <v>1045</v>
      </c>
      <c r="E420" s="300" t="s">
        <v>26</v>
      </c>
      <c r="F420" s="945" t="s">
        <v>1384</v>
      </c>
      <c r="G420" s="300" t="s">
        <v>28</v>
      </c>
      <c r="H420" s="300" t="s">
        <v>28</v>
      </c>
      <c r="I420" s="300" t="s">
        <v>29</v>
      </c>
      <c r="J420" s="300" t="s">
        <v>1039</v>
      </c>
      <c r="K420" s="662" t="s">
        <v>3692</v>
      </c>
      <c r="L420" s="71" t="s">
        <v>164</v>
      </c>
      <c r="M420" s="72" t="s">
        <v>1385</v>
      </c>
      <c r="N420" s="71" t="s">
        <v>1325</v>
      </c>
      <c r="O420" s="300">
        <v>0.5</v>
      </c>
      <c r="P420" s="302">
        <v>44378</v>
      </c>
      <c r="Q420" s="302">
        <v>44560</v>
      </c>
      <c r="R420" s="303">
        <v>0</v>
      </c>
      <c r="S420" s="303">
        <v>0</v>
      </c>
      <c r="T420" s="303">
        <v>0.3</v>
      </c>
      <c r="U420" s="303">
        <v>1</v>
      </c>
      <c r="V420" s="304">
        <v>0</v>
      </c>
      <c r="W420" s="76" t="s">
        <v>1346</v>
      </c>
      <c r="X420" s="305" t="s">
        <v>37</v>
      </c>
      <c r="Y420" s="19" t="str">
        <f t="shared" si="66"/>
        <v>Sin iniciar</v>
      </c>
      <c r="Z420" s="19" t="str">
        <f t="shared" si="67"/>
        <v>Sin iniciar</v>
      </c>
      <c r="AA420" s="609" t="s">
        <v>179</v>
      </c>
      <c r="AB420" s="596">
        <f>SUMPRODUCT(O420:O421,V420:V421)</f>
        <v>0</v>
      </c>
      <c r="AC420" s="597">
        <f>SUMPRODUCT(O420:O421,R420:R421)</f>
        <v>0</v>
      </c>
      <c r="AD420" s="926" t="str">
        <f>IF(AC420&lt;1%,"Sin iniciar",IF(AC420=100%,"Terminado","En gestión"))</f>
        <v>Sin iniciar</v>
      </c>
      <c r="AE420" s="926" t="str">
        <f>IF(AB420&lt;1%,"Sin iniciar",IF(AB420=100%,"Terminado","En gestión"))</f>
        <v>Sin iniciar</v>
      </c>
      <c r="AF420" s="306"/>
      <c r="AG420" s="312">
        <v>6401352</v>
      </c>
      <c r="AH420" s="306"/>
      <c r="AI420" s="306" t="s">
        <v>2629</v>
      </c>
      <c r="AJ420" s="307">
        <v>11074000</v>
      </c>
      <c r="AK420" s="306"/>
      <c r="AL420" s="306" t="s">
        <v>2629</v>
      </c>
      <c r="AM420" s="306"/>
      <c r="AN420" s="306"/>
      <c r="AO420" s="306"/>
      <c r="AP420" s="306" t="s">
        <v>2466</v>
      </c>
      <c r="AQ420" s="306"/>
      <c r="AR420" s="1171">
        <v>0</v>
      </c>
      <c r="AS420" s="76" t="s">
        <v>2437</v>
      </c>
      <c r="AT420" s="305" t="s">
        <v>37</v>
      </c>
      <c r="AU420" s="66" t="str">
        <f t="shared" si="68"/>
        <v>Sin iniciar</v>
      </c>
      <c r="AV420" s="66" t="str">
        <f t="shared" si="69"/>
        <v>Sin iniciar</v>
      </c>
      <c r="AW420" s="609" t="s">
        <v>1442</v>
      </c>
      <c r="AX420" s="599">
        <f>SUMPRODUCT(O420:O421,AR420:AR421)</f>
        <v>0.05</v>
      </c>
      <c r="AY420" s="600">
        <f>SUMPRODUCT(S420:S421,O420:O421)</f>
        <v>2.5000000000000001E-2</v>
      </c>
      <c r="AZ420" s="934" t="str">
        <f>IF(AY420&lt;1%,"Sin iniciar",IF(AY420=100%,"Terminado","En gestión"))</f>
        <v>En gestión</v>
      </c>
      <c r="BA420" s="934" t="str">
        <f>IF(AX420&lt;1%,"Sin iniciar",IF(AX420=100%,"Terminado","En gestión"))</f>
        <v>En gestión</v>
      </c>
      <c r="BB420" s="76"/>
      <c r="BC420" s="306"/>
      <c r="BD420" s="545">
        <v>6401352</v>
      </c>
      <c r="BE420" s="545">
        <v>0</v>
      </c>
      <c r="BF420" s="545">
        <v>0</v>
      </c>
      <c r="BG420" s="545">
        <v>11074000</v>
      </c>
      <c r="BH420" s="545">
        <v>0</v>
      </c>
      <c r="BI420" s="545">
        <v>0</v>
      </c>
      <c r="BJ420" s="545" t="s">
        <v>2680</v>
      </c>
      <c r="BK420" s="545"/>
      <c r="BL420" s="545" t="s">
        <v>2693</v>
      </c>
      <c r="BM420" s="545" t="s">
        <v>2691</v>
      </c>
      <c r="BN420" s="545" t="s">
        <v>2692</v>
      </c>
      <c r="BO420" s="356">
        <v>0.6</v>
      </c>
      <c r="BP420" s="324" t="s">
        <v>3693</v>
      </c>
      <c r="BQ420" s="375" t="s">
        <v>3694</v>
      </c>
      <c r="BR420" s="19" t="str">
        <f t="shared" si="70"/>
        <v>En gestión</v>
      </c>
      <c r="BS420" s="19" t="str">
        <f t="shared" si="71"/>
        <v>En gestión</v>
      </c>
      <c r="BT420" s="933" t="s">
        <v>3695</v>
      </c>
      <c r="BU420" s="940">
        <f>SUMPRODUCT(O420:O421,BO420:BO421)</f>
        <v>0.6</v>
      </c>
      <c r="BV420" s="941">
        <f>SUMPRODUCT(O420:O421,T420:T421)</f>
        <v>0.4</v>
      </c>
      <c r="BW420" s="932" t="str">
        <f>IF(BV420&lt;1%,"Sin iniciar",IF(BV420=100%,"Terminado","En gestión"))</f>
        <v>En gestión</v>
      </c>
      <c r="BX420" s="932" t="str">
        <f>IF(BU420&lt;1%,"Sin iniciar",IF(BU420=100%,"Terminado","En gestión"))</f>
        <v>En gestión</v>
      </c>
      <c r="BY420" s="972" t="s">
        <v>37</v>
      </c>
      <c r="BZ420" s="560" t="s">
        <v>3631</v>
      </c>
      <c r="CA420" s="927">
        <v>6401352</v>
      </c>
      <c r="CB420" s="744">
        <v>7605685</v>
      </c>
      <c r="CC420" s="744">
        <v>3802843</v>
      </c>
      <c r="CD420" s="744">
        <v>11074000</v>
      </c>
      <c r="CE420" s="578"/>
      <c r="CF420" s="744">
        <v>5537000</v>
      </c>
      <c r="CG420" s="609" t="s">
        <v>2680</v>
      </c>
      <c r="CH420" s="609" t="s">
        <v>2693</v>
      </c>
      <c r="CI420" s="609" t="s">
        <v>2691</v>
      </c>
      <c r="CJ420" s="609" t="s">
        <v>2692</v>
      </c>
    </row>
    <row r="421" spans="2:88" ht="171.95" customHeight="1" x14ac:dyDescent="0.25">
      <c r="B421" s="1227"/>
      <c r="C421" s="662"/>
      <c r="D421" s="300" t="s">
        <v>1045</v>
      </c>
      <c r="E421" s="300" t="s">
        <v>26</v>
      </c>
      <c r="F421" s="945"/>
      <c r="G421" s="300" t="s">
        <v>28</v>
      </c>
      <c r="H421" s="300" t="s">
        <v>28</v>
      </c>
      <c r="I421" s="300" t="s">
        <v>29</v>
      </c>
      <c r="J421" s="300" t="s">
        <v>191</v>
      </c>
      <c r="K421" s="662"/>
      <c r="L421" s="71" t="s">
        <v>164</v>
      </c>
      <c r="M421" s="72" t="s">
        <v>1386</v>
      </c>
      <c r="N421" s="71" t="s">
        <v>1334</v>
      </c>
      <c r="O421" s="300">
        <v>0.5</v>
      </c>
      <c r="P421" s="302">
        <v>44291</v>
      </c>
      <c r="Q421" s="302">
        <v>44560</v>
      </c>
      <c r="R421" s="303">
        <v>0</v>
      </c>
      <c r="S421" s="303">
        <v>0.05</v>
      </c>
      <c r="T421" s="303">
        <v>0.5</v>
      </c>
      <c r="U421" s="303">
        <v>1</v>
      </c>
      <c r="V421" s="304">
        <v>0</v>
      </c>
      <c r="W421" s="76" t="s">
        <v>1346</v>
      </c>
      <c r="X421" s="305" t="s">
        <v>37</v>
      </c>
      <c r="Y421" s="19" t="str">
        <f t="shared" si="66"/>
        <v>Sin iniciar</v>
      </c>
      <c r="Z421" s="19" t="str">
        <f t="shared" si="67"/>
        <v>Sin iniciar</v>
      </c>
      <c r="AA421" s="609"/>
      <c r="AB421" s="596"/>
      <c r="AC421" s="597"/>
      <c r="AD421" s="926"/>
      <c r="AE421" s="926"/>
      <c r="AF421" s="306"/>
      <c r="AG421" s="312"/>
      <c r="AH421" s="306"/>
      <c r="AI421" s="306"/>
      <c r="AJ421" s="307"/>
      <c r="AK421" s="306"/>
      <c r="AL421" s="306"/>
      <c r="AM421" s="306"/>
      <c r="AN421" s="306"/>
      <c r="AO421" s="306"/>
      <c r="AP421" s="306" t="s">
        <v>2466</v>
      </c>
      <c r="AQ421" s="306"/>
      <c r="AR421" s="1171">
        <v>0.1</v>
      </c>
      <c r="AS421" s="76" t="s">
        <v>1431</v>
      </c>
      <c r="AT421" s="305" t="s">
        <v>3696</v>
      </c>
      <c r="AU421" s="66" t="str">
        <f t="shared" si="68"/>
        <v>En gestión</v>
      </c>
      <c r="AV421" s="66" t="str">
        <f t="shared" si="69"/>
        <v>En gestión</v>
      </c>
      <c r="AW421" s="609"/>
      <c r="AX421" s="599"/>
      <c r="AY421" s="600"/>
      <c r="AZ421" s="934"/>
      <c r="BA421" s="934"/>
      <c r="BB421" s="76"/>
      <c r="BC421" s="306"/>
      <c r="BD421" s="546"/>
      <c r="BE421" s="546"/>
      <c r="BF421" s="546"/>
      <c r="BG421" s="546"/>
      <c r="BH421" s="546"/>
      <c r="BI421" s="546"/>
      <c r="BJ421" s="546"/>
      <c r="BK421" s="546"/>
      <c r="BL421" s="546"/>
      <c r="BM421" s="546"/>
      <c r="BN421" s="546"/>
      <c r="BO421" s="356">
        <v>0.6</v>
      </c>
      <c r="BP421" s="324" t="s">
        <v>3697</v>
      </c>
      <c r="BQ421" s="375" t="s">
        <v>3698</v>
      </c>
      <c r="BR421" s="19" t="str">
        <f t="shared" si="70"/>
        <v>En gestión</v>
      </c>
      <c r="BS421" s="19" t="str">
        <f t="shared" si="71"/>
        <v>En gestión</v>
      </c>
      <c r="BT421" s="933"/>
      <c r="BU421" s="940"/>
      <c r="BV421" s="941"/>
      <c r="BW421" s="932"/>
      <c r="BX421" s="932"/>
      <c r="BY421" s="972"/>
      <c r="BZ421" s="560"/>
      <c r="CA421" s="927"/>
      <c r="CB421" s="744"/>
      <c r="CC421" s="744"/>
      <c r="CD421" s="744"/>
      <c r="CE421" s="578"/>
      <c r="CF421" s="744"/>
      <c r="CG421" s="609"/>
      <c r="CH421" s="609"/>
      <c r="CI421" s="609"/>
      <c r="CJ421" s="609"/>
    </row>
    <row r="422" spans="2:88" ht="171.95" customHeight="1" x14ac:dyDescent="0.25">
      <c r="B422" s="1227"/>
      <c r="C422" s="82" t="s">
        <v>1387</v>
      </c>
      <c r="D422" s="313" t="s">
        <v>1045</v>
      </c>
      <c r="E422" s="313" t="s">
        <v>26</v>
      </c>
      <c r="F422" s="81" t="s">
        <v>1388</v>
      </c>
      <c r="G422" s="313" t="s">
        <v>28</v>
      </c>
      <c r="H422" s="313" t="s">
        <v>28</v>
      </c>
      <c r="I422" s="313" t="s">
        <v>29</v>
      </c>
      <c r="J422" s="313" t="s">
        <v>1389</v>
      </c>
      <c r="K422" s="82" t="s">
        <v>1390</v>
      </c>
      <c r="L422" s="81" t="s">
        <v>164</v>
      </c>
      <c r="M422" s="82" t="s">
        <v>1391</v>
      </c>
      <c r="N422" s="81" t="s">
        <v>1392</v>
      </c>
      <c r="O422" s="313">
        <v>1</v>
      </c>
      <c r="P422" s="315">
        <v>44409</v>
      </c>
      <c r="Q422" s="315">
        <v>44560</v>
      </c>
      <c r="R422" s="316">
        <v>0</v>
      </c>
      <c r="S422" s="316">
        <v>0</v>
      </c>
      <c r="T422" s="316">
        <v>0.2</v>
      </c>
      <c r="U422" s="316">
        <v>1</v>
      </c>
      <c r="V422" s="304">
        <v>0</v>
      </c>
      <c r="W422" s="89" t="s">
        <v>1346</v>
      </c>
      <c r="X422" s="317" t="s">
        <v>37</v>
      </c>
      <c r="Y422" s="5" t="str">
        <f t="shared" si="66"/>
        <v>Sin iniciar</v>
      </c>
      <c r="Z422" s="5" t="str">
        <f t="shared" si="67"/>
        <v>Sin iniciar</v>
      </c>
      <c r="AA422" s="85" t="s">
        <v>179</v>
      </c>
      <c r="AB422" s="320">
        <f>O422*V422</f>
        <v>0</v>
      </c>
      <c r="AC422" s="321">
        <f>SUMPRODUCT(O422,R422)</f>
        <v>0</v>
      </c>
      <c r="AD422" s="329" t="str">
        <f>IF(AC422&lt;1%,"Sin iniciar",IF(AC422=100%,"Terminado","En gestión"))</f>
        <v>Sin iniciar</v>
      </c>
      <c r="AE422" s="329" t="str">
        <f>IF(AB422&lt;1%,"Sin iniciar",IF(AB422=100%,"Terminado","En gestión"))</f>
        <v>Sin iniciar</v>
      </c>
      <c r="AF422" s="89"/>
      <c r="AG422" s="319">
        <v>5334460</v>
      </c>
      <c r="AH422" s="89"/>
      <c r="AI422" s="89" t="s">
        <v>2629</v>
      </c>
      <c r="AJ422" s="319">
        <v>37466000</v>
      </c>
      <c r="AK422" s="89"/>
      <c r="AL422" s="89" t="s">
        <v>2629</v>
      </c>
      <c r="AM422" s="89"/>
      <c r="AN422" s="89"/>
      <c r="AO422" s="89"/>
      <c r="AP422" s="89" t="s">
        <v>2466</v>
      </c>
      <c r="AQ422" s="89"/>
      <c r="AR422" s="1171">
        <v>0</v>
      </c>
      <c r="AS422" s="85" t="s">
        <v>2437</v>
      </c>
      <c r="AT422" s="317" t="s">
        <v>37</v>
      </c>
      <c r="AU422" s="56" t="str">
        <f t="shared" si="68"/>
        <v>Sin iniciar</v>
      </c>
      <c r="AV422" s="56" t="str">
        <f t="shared" si="69"/>
        <v>Sin iniciar</v>
      </c>
      <c r="AW422" s="85" t="s">
        <v>37</v>
      </c>
      <c r="AX422" s="29">
        <f>O422*AR422</f>
        <v>0</v>
      </c>
      <c r="AY422" s="32">
        <f>SUMPRODUCT(S422,O422)</f>
        <v>0</v>
      </c>
      <c r="AZ422" s="88" t="str">
        <f>IF(AY422&lt;1%,"Sin iniciar",IF(AY422=100%,"Terminado","En gestión"))</f>
        <v>Sin iniciar</v>
      </c>
      <c r="BA422" s="88" t="str">
        <f>IF(AX422&lt;1%,"Sin iniciar",IF(AX422=100%,"Terminado","En gestión"))</f>
        <v>Sin iniciar</v>
      </c>
      <c r="BB422" s="85"/>
      <c r="BC422" s="89"/>
      <c r="BD422" s="319">
        <v>5334460</v>
      </c>
      <c r="BE422" s="327">
        <v>0</v>
      </c>
      <c r="BF422" s="327">
        <v>0</v>
      </c>
      <c r="BG422" s="319">
        <v>37466000</v>
      </c>
      <c r="BH422" s="327">
        <v>0</v>
      </c>
      <c r="BI422" s="327">
        <v>0</v>
      </c>
      <c r="BJ422" s="85" t="s">
        <v>2680</v>
      </c>
      <c r="BK422" s="85"/>
      <c r="BL422" s="85" t="s">
        <v>2693</v>
      </c>
      <c r="BM422" s="85" t="s">
        <v>2691</v>
      </c>
      <c r="BN422" s="85" t="s">
        <v>2694</v>
      </c>
      <c r="BO422" s="356">
        <v>0</v>
      </c>
      <c r="BP422" s="326" t="s">
        <v>3699</v>
      </c>
      <c r="BQ422" s="376" t="s">
        <v>37</v>
      </c>
      <c r="BR422" s="5" t="str">
        <f t="shared" si="70"/>
        <v>En gestión</v>
      </c>
      <c r="BS422" s="5" t="str">
        <f t="shared" si="71"/>
        <v>Sin iniciar</v>
      </c>
      <c r="BT422" s="326" t="s">
        <v>37</v>
      </c>
      <c r="BU422" s="360">
        <f>O422*BO422</f>
        <v>0</v>
      </c>
      <c r="BV422" s="363">
        <f>SUMPRODUCT(O422,T422)</f>
        <v>0.2</v>
      </c>
      <c r="BW422" s="10" t="str">
        <f>IF(BV422&lt;1%,"Sin iniciar",IF(BV422=100%,"Terminado","En gestión"))</f>
        <v>En gestión</v>
      </c>
      <c r="BX422" s="10" t="str">
        <f>IF(BU422&lt;1%,"Sin iniciar",IF(BU422=100%,"Terminado","En gestión"))</f>
        <v>Sin iniciar</v>
      </c>
      <c r="BY422" s="326" t="s">
        <v>3699</v>
      </c>
      <c r="BZ422" s="11" t="s">
        <v>3631</v>
      </c>
      <c r="CA422" s="319">
        <v>5334460</v>
      </c>
      <c r="CB422" s="319">
        <v>6338071</v>
      </c>
      <c r="CC422" s="319">
        <v>2535228</v>
      </c>
      <c r="CD422" s="319">
        <v>37466000</v>
      </c>
      <c r="CE422" s="319">
        <v>28226000</v>
      </c>
      <c r="CF422" s="319">
        <v>11290400</v>
      </c>
      <c r="CG422" s="85" t="s">
        <v>2680</v>
      </c>
      <c r="CH422" s="85" t="s">
        <v>2693</v>
      </c>
      <c r="CI422" s="85" t="s">
        <v>2691</v>
      </c>
      <c r="CJ422" s="85" t="s">
        <v>2694</v>
      </c>
    </row>
    <row r="423" spans="2:88" ht="171.95" customHeight="1" x14ac:dyDescent="0.25">
      <c r="B423" s="1227"/>
      <c r="C423" s="662" t="s">
        <v>1393</v>
      </c>
      <c r="D423" s="300" t="s">
        <v>1045</v>
      </c>
      <c r="E423" s="300" t="s">
        <v>160</v>
      </c>
      <c r="F423" s="945" t="s">
        <v>1394</v>
      </c>
      <c r="G423" s="300" t="s">
        <v>28</v>
      </c>
      <c r="H423" s="300" t="s">
        <v>28</v>
      </c>
      <c r="I423" s="300" t="s">
        <v>29</v>
      </c>
      <c r="J423" s="300" t="s">
        <v>1039</v>
      </c>
      <c r="K423" s="662" t="s">
        <v>1395</v>
      </c>
      <c r="L423" s="71" t="s">
        <v>164</v>
      </c>
      <c r="M423" s="72" t="s">
        <v>1396</v>
      </c>
      <c r="N423" s="71" t="s">
        <v>1325</v>
      </c>
      <c r="O423" s="300">
        <v>0.5</v>
      </c>
      <c r="P423" s="302">
        <v>44198</v>
      </c>
      <c r="Q423" s="302">
        <v>44561</v>
      </c>
      <c r="R423" s="303">
        <v>0.2</v>
      </c>
      <c r="S423" s="303">
        <v>0.25</v>
      </c>
      <c r="T423" s="303">
        <v>0.35</v>
      </c>
      <c r="U423" s="303">
        <v>1</v>
      </c>
      <c r="V423" s="304">
        <v>0.2</v>
      </c>
      <c r="W423" s="76" t="s">
        <v>1397</v>
      </c>
      <c r="X423" s="305" t="s">
        <v>3700</v>
      </c>
      <c r="Y423" s="19" t="str">
        <f t="shared" si="66"/>
        <v>En gestión</v>
      </c>
      <c r="Z423" s="19" t="str">
        <f t="shared" si="67"/>
        <v>En gestión</v>
      </c>
      <c r="AA423" s="609" t="s">
        <v>1418</v>
      </c>
      <c r="AB423" s="596">
        <f>SUMPRODUCT(O423:O424,V423:V424)</f>
        <v>0.2</v>
      </c>
      <c r="AC423" s="597">
        <f>SUMPRODUCT(O423:O424,R423:R424)</f>
        <v>0.2</v>
      </c>
      <c r="AD423" s="926" t="str">
        <f>IF(AC423&lt;1%,"Sin iniciar",IF(AC423=100%,"Terminado","En gestión"))</f>
        <v>En gestión</v>
      </c>
      <c r="AE423" s="926" t="str">
        <f>IF(AB423&lt;1%,"Sin iniciar",IF(AB423=100%,"Terminado","En gestión"))</f>
        <v>En gestión</v>
      </c>
      <c r="AF423" s="306"/>
      <c r="AG423" s="307">
        <v>59055945</v>
      </c>
      <c r="AH423" s="306"/>
      <c r="AI423" s="307">
        <v>25309691</v>
      </c>
      <c r="AJ423" s="306" t="s">
        <v>2629</v>
      </c>
      <c r="AK423" s="306"/>
      <c r="AL423" s="306" t="s">
        <v>2629</v>
      </c>
      <c r="AM423" s="306"/>
      <c r="AN423" s="306"/>
      <c r="AO423" s="306"/>
      <c r="AP423" s="306" t="s">
        <v>2466</v>
      </c>
      <c r="AQ423" s="306"/>
      <c r="AR423" s="1171">
        <v>0.25</v>
      </c>
      <c r="AS423" s="76" t="s">
        <v>1432</v>
      </c>
      <c r="AT423" s="305" t="s">
        <v>3701</v>
      </c>
      <c r="AU423" s="66" t="str">
        <f t="shared" si="68"/>
        <v>En gestión</v>
      </c>
      <c r="AV423" s="66" t="str">
        <f t="shared" si="69"/>
        <v>En gestión</v>
      </c>
      <c r="AW423" s="609" t="s">
        <v>1443</v>
      </c>
      <c r="AX423" s="599">
        <f>SUMPRODUCT(O423:O424,AR423:AR424)</f>
        <v>0.625</v>
      </c>
      <c r="AY423" s="600">
        <f>SUMPRODUCT(S423:S424,O423:O424)</f>
        <v>0.625</v>
      </c>
      <c r="AZ423" s="934" t="str">
        <f>IF(AY423&lt;1%,"Sin iniciar",IF(AY423=100%,"Terminado","En gestión"))</f>
        <v>En gestión</v>
      </c>
      <c r="BA423" s="934" t="str">
        <f>IF(AX423&lt;1%,"Sin iniciar",IF(AX423=100%,"Terminado","En gestión"))</f>
        <v>En gestión</v>
      </c>
      <c r="BB423" s="76" t="s">
        <v>1444</v>
      </c>
      <c r="BC423" s="306"/>
      <c r="BD423" s="547">
        <v>59055945</v>
      </c>
      <c r="BE423" s="547">
        <v>0</v>
      </c>
      <c r="BF423" s="547">
        <v>50619381</v>
      </c>
      <c r="BG423" s="547">
        <v>0</v>
      </c>
      <c r="BH423" s="547">
        <v>0</v>
      </c>
      <c r="BI423" s="547">
        <v>0</v>
      </c>
      <c r="BJ423" s="545" t="s">
        <v>2666</v>
      </c>
      <c r="BK423" s="547"/>
      <c r="BL423" s="547"/>
      <c r="BM423" s="547"/>
      <c r="BN423" s="547"/>
      <c r="BO423" s="355">
        <v>0.35</v>
      </c>
      <c r="BP423" s="76" t="s">
        <v>3702</v>
      </c>
      <c r="BQ423" s="25" t="s">
        <v>3703</v>
      </c>
      <c r="BR423" s="19" t="str">
        <f t="shared" si="70"/>
        <v>En gestión</v>
      </c>
      <c r="BS423" s="19" t="str">
        <f t="shared" si="71"/>
        <v>En gestión</v>
      </c>
      <c r="BT423" s="933" t="s">
        <v>3704</v>
      </c>
      <c r="BU423" s="940">
        <f>SUMPRODUCT(O423:O424,BO423:BO424)</f>
        <v>0.67500000000000004</v>
      </c>
      <c r="BV423" s="941">
        <f>SUMPRODUCT(O423:O424,T423:T424)</f>
        <v>0.67500000000000004</v>
      </c>
      <c r="BW423" s="932" t="str">
        <f>IF(BV423&lt;1%,"Sin iniciar",IF(BV423=100%,"Terminado","En gestión"))</f>
        <v>En gestión</v>
      </c>
      <c r="BX423" s="932" t="str">
        <f>IF(BU423&lt;1%,"Sin iniciar",IF(BU423=100%,"Terminado","En gestión"))</f>
        <v>En gestión</v>
      </c>
      <c r="BY423" s="972" t="s">
        <v>37</v>
      </c>
      <c r="BZ423" s="560" t="s">
        <v>3631</v>
      </c>
      <c r="CA423" s="627">
        <v>59055945</v>
      </c>
      <c r="CB423" s="744">
        <v>94373993</v>
      </c>
      <c r="CC423" s="744">
        <v>74107982</v>
      </c>
      <c r="CD423" s="744">
        <v>0</v>
      </c>
      <c r="CE423" s="744">
        <v>7182000</v>
      </c>
      <c r="CF423" s="744">
        <v>7182000</v>
      </c>
      <c r="CG423" s="609" t="s">
        <v>2666</v>
      </c>
      <c r="CH423" s="609" t="s">
        <v>2695</v>
      </c>
      <c r="CI423" s="615" t="s">
        <v>2696</v>
      </c>
      <c r="CJ423" s="609" t="s">
        <v>3705</v>
      </c>
    </row>
    <row r="424" spans="2:88" ht="171.95" customHeight="1" x14ac:dyDescent="0.25">
      <c r="B424" s="1227"/>
      <c r="C424" s="662"/>
      <c r="D424" s="300" t="s">
        <v>1045</v>
      </c>
      <c r="E424" s="300" t="s">
        <v>160</v>
      </c>
      <c r="F424" s="945"/>
      <c r="G424" s="300" t="s">
        <v>28</v>
      </c>
      <c r="H424" s="300" t="s">
        <v>28</v>
      </c>
      <c r="I424" s="300" t="s">
        <v>29</v>
      </c>
      <c r="J424" s="300" t="s">
        <v>132</v>
      </c>
      <c r="K424" s="662"/>
      <c r="L424" s="71" t="s">
        <v>164</v>
      </c>
      <c r="M424" s="72" t="s">
        <v>1398</v>
      </c>
      <c r="N424" s="71" t="s">
        <v>1399</v>
      </c>
      <c r="O424" s="300">
        <v>0.5</v>
      </c>
      <c r="P424" s="302">
        <v>44198</v>
      </c>
      <c r="Q424" s="302">
        <v>44407</v>
      </c>
      <c r="R424" s="303">
        <v>0.2</v>
      </c>
      <c r="S424" s="303">
        <v>1</v>
      </c>
      <c r="T424" s="303">
        <v>1</v>
      </c>
      <c r="U424" s="303">
        <v>1</v>
      </c>
      <c r="V424" s="304">
        <v>0.2</v>
      </c>
      <c r="W424" s="76" t="s">
        <v>1400</v>
      </c>
      <c r="X424" s="305" t="s">
        <v>3700</v>
      </c>
      <c r="Y424" s="19" t="str">
        <f t="shared" si="66"/>
        <v>En gestión</v>
      </c>
      <c r="Z424" s="19" t="str">
        <f t="shared" si="67"/>
        <v>En gestión</v>
      </c>
      <c r="AA424" s="609"/>
      <c r="AB424" s="596"/>
      <c r="AC424" s="597"/>
      <c r="AD424" s="926"/>
      <c r="AE424" s="926"/>
      <c r="AF424" s="306"/>
      <c r="AG424" s="306"/>
      <c r="AH424" s="306"/>
      <c r="AI424" s="307"/>
      <c r="AJ424" s="306"/>
      <c r="AK424" s="306"/>
      <c r="AL424" s="306"/>
      <c r="AM424" s="306"/>
      <c r="AN424" s="306"/>
      <c r="AO424" s="306"/>
      <c r="AP424" s="306" t="s">
        <v>2466</v>
      </c>
      <c r="AQ424" s="306"/>
      <c r="AR424" s="1171">
        <v>1</v>
      </c>
      <c r="AS424" s="76" t="s">
        <v>1433</v>
      </c>
      <c r="AT424" s="305" t="s">
        <v>3706</v>
      </c>
      <c r="AU424" s="66" t="str">
        <f t="shared" si="68"/>
        <v>Terminado</v>
      </c>
      <c r="AV424" s="66" t="str">
        <f t="shared" si="69"/>
        <v>Terminado</v>
      </c>
      <c r="AW424" s="609"/>
      <c r="AX424" s="599"/>
      <c r="AY424" s="600"/>
      <c r="AZ424" s="934"/>
      <c r="BA424" s="934"/>
      <c r="BB424" s="76"/>
      <c r="BC424" s="306"/>
      <c r="BD424" s="549"/>
      <c r="BE424" s="549"/>
      <c r="BF424" s="549"/>
      <c r="BG424" s="549"/>
      <c r="BH424" s="549"/>
      <c r="BI424" s="549"/>
      <c r="BJ424" s="546"/>
      <c r="BK424" s="549"/>
      <c r="BL424" s="549"/>
      <c r="BM424" s="549"/>
      <c r="BN424" s="549"/>
      <c r="BO424" s="355">
        <v>1</v>
      </c>
      <c r="BP424" s="76" t="s">
        <v>3707</v>
      </c>
      <c r="BQ424" s="24" t="s">
        <v>3708</v>
      </c>
      <c r="BR424" s="19" t="str">
        <f t="shared" si="70"/>
        <v>Terminado</v>
      </c>
      <c r="BS424" s="19" t="str">
        <f t="shared" si="71"/>
        <v>Terminado</v>
      </c>
      <c r="BT424" s="933"/>
      <c r="BU424" s="940"/>
      <c r="BV424" s="941"/>
      <c r="BW424" s="932"/>
      <c r="BX424" s="932"/>
      <c r="BY424" s="972"/>
      <c r="BZ424" s="560"/>
      <c r="CA424" s="627"/>
      <c r="CB424" s="744"/>
      <c r="CC424" s="744"/>
      <c r="CD424" s="744"/>
      <c r="CE424" s="744"/>
      <c r="CF424" s="744"/>
      <c r="CG424" s="609"/>
      <c r="CH424" s="609"/>
      <c r="CI424" s="615"/>
      <c r="CJ424" s="615"/>
    </row>
    <row r="425" spans="2:88" ht="171.95" customHeight="1" x14ac:dyDescent="0.25">
      <c r="B425" s="1227"/>
      <c r="C425" s="668" t="s">
        <v>1401</v>
      </c>
      <c r="D425" s="313" t="s">
        <v>1045</v>
      </c>
      <c r="E425" s="313" t="s">
        <v>26</v>
      </c>
      <c r="F425" s="947" t="s">
        <v>1402</v>
      </c>
      <c r="G425" s="313" t="s">
        <v>28</v>
      </c>
      <c r="H425" s="313" t="s">
        <v>28</v>
      </c>
      <c r="I425" s="313" t="s">
        <v>29</v>
      </c>
      <c r="J425" s="313" t="s">
        <v>1039</v>
      </c>
      <c r="K425" s="668" t="s">
        <v>1403</v>
      </c>
      <c r="L425" s="81" t="s">
        <v>164</v>
      </c>
      <c r="M425" s="82" t="s">
        <v>1404</v>
      </c>
      <c r="N425" s="81" t="s">
        <v>1405</v>
      </c>
      <c r="O425" s="313">
        <v>0.25</v>
      </c>
      <c r="P425" s="315">
        <v>44291</v>
      </c>
      <c r="Q425" s="315">
        <v>44560</v>
      </c>
      <c r="R425" s="316">
        <v>0</v>
      </c>
      <c r="S425" s="316">
        <v>0.3</v>
      </c>
      <c r="T425" s="316">
        <v>0.6</v>
      </c>
      <c r="U425" s="316">
        <v>1</v>
      </c>
      <c r="V425" s="330">
        <v>0</v>
      </c>
      <c r="W425" s="85" t="s">
        <v>1346</v>
      </c>
      <c r="X425" s="331" t="s">
        <v>37</v>
      </c>
      <c r="Y425" s="5" t="str">
        <f t="shared" si="66"/>
        <v>Sin iniciar</v>
      </c>
      <c r="Z425" s="5" t="str">
        <f t="shared" si="67"/>
        <v>Sin iniciar</v>
      </c>
      <c r="AA425" s="619" t="s">
        <v>179</v>
      </c>
      <c r="AB425" s="924">
        <f>SUMPRODUCT(O425:O428,V425:V428)</f>
        <v>0</v>
      </c>
      <c r="AC425" s="925">
        <f>SUMPRODUCT(O425:O428,R425:R428)</f>
        <v>0</v>
      </c>
      <c r="AD425" s="946" t="str">
        <f>IF(AC425&lt;1%,"Sin iniciar",IF(AC425=100%,"Terminado","En gestión"))</f>
        <v>Sin iniciar</v>
      </c>
      <c r="AE425" s="946" t="str">
        <f>IF(AB425&lt;1%,"Sin iniciar",IF(AB425=100%,"Terminado","En gestión"))</f>
        <v>Sin iniciar</v>
      </c>
      <c r="AF425" s="89"/>
      <c r="AG425" s="319">
        <v>5559170</v>
      </c>
      <c r="AH425" s="89"/>
      <c r="AI425" s="89" t="s">
        <v>2629</v>
      </c>
      <c r="AJ425" s="89" t="s">
        <v>2629</v>
      </c>
      <c r="AK425" s="89"/>
      <c r="AL425" s="89" t="s">
        <v>2629</v>
      </c>
      <c r="AM425" s="89"/>
      <c r="AN425" s="89"/>
      <c r="AO425" s="89"/>
      <c r="AP425" s="89" t="s">
        <v>2466</v>
      </c>
      <c r="AQ425" s="89"/>
      <c r="AR425" s="1172">
        <v>0.05</v>
      </c>
      <c r="AS425" s="85" t="s">
        <v>1434</v>
      </c>
      <c r="AT425" s="331" t="s">
        <v>3709</v>
      </c>
      <c r="AU425" s="56" t="str">
        <f t="shared" si="68"/>
        <v>En gestión</v>
      </c>
      <c r="AV425" s="56" t="str">
        <f t="shared" si="69"/>
        <v>En gestión</v>
      </c>
      <c r="AW425" s="671" t="s">
        <v>1445</v>
      </c>
      <c r="AX425" s="935">
        <f>SUMPRODUCT(O425:O428,AR425:AR428)</f>
        <v>1.2500000000000001E-2</v>
      </c>
      <c r="AY425" s="936">
        <f>SUMPRODUCT(S425:S428,O425:O428)</f>
        <v>0.3</v>
      </c>
      <c r="AZ425" s="696" t="str">
        <f>IF(AY425&lt;1%,"Sin iniciar",IF(AY425=100%,"Terminado","En gestión"))</f>
        <v>En gestión</v>
      </c>
      <c r="BA425" s="696" t="str">
        <f>IF(AX425&lt;1%,"Sin iniciar",IF(AX425=100%,"Terminado","En gestión"))</f>
        <v>En gestión</v>
      </c>
      <c r="BB425" s="85" t="s">
        <v>1446</v>
      </c>
      <c r="BC425" s="89"/>
      <c r="BD425" s="537">
        <v>5559170</v>
      </c>
      <c r="BE425" s="537">
        <v>5559170</v>
      </c>
      <c r="BF425" s="537">
        <v>1853057</v>
      </c>
      <c r="BG425" s="537" t="s">
        <v>2629</v>
      </c>
      <c r="BH425" s="537">
        <v>18480000</v>
      </c>
      <c r="BI425" s="537">
        <v>10266667</v>
      </c>
      <c r="BJ425" s="537" t="s">
        <v>2666</v>
      </c>
      <c r="BK425" s="537"/>
      <c r="BL425" s="537" t="s">
        <v>2695</v>
      </c>
      <c r="BM425" s="537" t="s">
        <v>2696</v>
      </c>
      <c r="BN425" s="537" t="s">
        <v>2697</v>
      </c>
      <c r="BO425" s="355">
        <v>0.6</v>
      </c>
      <c r="BP425" s="85" t="s">
        <v>3710</v>
      </c>
      <c r="BQ425" s="11" t="s">
        <v>3711</v>
      </c>
      <c r="BR425" s="5" t="str">
        <f t="shared" si="70"/>
        <v>En gestión</v>
      </c>
      <c r="BS425" s="5" t="str">
        <f t="shared" si="71"/>
        <v>En gestión</v>
      </c>
      <c r="BT425" s="943" t="s">
        <v>3712</v>
      </c>
      <c r="BU425" s="930">
        <f>SUMPRODUCT(O425:O428,BO425:BO428)</f>
        <v>0.15</v>
      </c>
      <c r="BV425" s="931">
        <f>SUMPRODUCT(O425:O428,T425:T428)</f>
        <v>0.6</v>
      </c>
      <c r="BW425" s="942" t="str">
        <f>IF(BV425&lt;1%,"Sin iniciar",IF(BV425=100%,"Terminado","En gestión"))</f>
        <v>En gestión</v>
      </c>
      <c r="BX425" s="942" t="str">
        <f>IF(BU425&lt;1%,"Sin iniciar",IF(BU425=100%,"Terminado","En gestión"))</f>
        <v>En gestión</v>
      </c>
      <c r="BY425" s="326" t="s">
        <v>3713</v>
      </c>
      <c r="BZ425" s="581" t="s">
        <v>3631</v>
      </c>
      <c r="CA425" s="628">
        <v>5559170</v>
      </c>
      <c r="CB425" s="628">
        <v>2537228</v>
      </c>
      <c r="CC425" s="628">
        <v>2537228</v>
      </c>
      <c r="CD425" s="619" t="s">
        <v>2629</v>
      </c>
      <c r="CE425" s="628">
        <v>18480000</v>
      </c>
      <c r="CF425" s="628">
        <v>15120000</v>
      </c>
      <c r="CG425" s="671" t="s">
        <v>2666</v>
      </c>
      <c r="CH425" s="671" t="s">
        <v>2695</v>
      </c>
      <c r="CI425" s="671" t="s">
        <v>2696</v>
      </c>
      <c r="CJ425" s="671" t="s">
        <v>2697</v>
      </c>
    </row>
    <row r="426" spans="2:88" ht="171.95" customHeight="1" x14ac:dyDescent="0.25">
      <c r="B426" s="1227"/>
      <c r="C426" s="668"/>
      <c r="D426" s="313" t="s">
        <v>1045</v>
      </c>
      <c r="E426" s="313" t="s">
        <v>26</v>
      </c>
      <c r="F426" s="947"/>
      <c r="G426" s="313" t="s">
        <v>28</v>
      </c>
      <c r="H426" s="313" t="s">
        <v>28</v>
      </c>
      <c r="I426" s="313" t="s">
        <v>29</v>
      </c>
      <c r="J426" s="313" t="s">
        <v>185</v>
      </c>
      <c r="K426" s="668"/>
      <c r="L426" s="81" t="s">
        <v>164</v>
      </c>
      <c r="M426" s="82" t="s">
        <v>1406</v>
      </c>
      <c r="N426" s="81" t="s">
        <v>1331</v>
      </c>
      <c r="O426" s="313">
        <v>0.25</v>
      </c>
      <c r="P426" s="315">
        <v>44291</v>
      </c>
      <c r="Q426" s="315">
        <v>44560</v>
      </c>
      <c r="R426" s="316">
        <v>0</v>
      </c>
      <c r="S426" s="316">
        <v>0.3</v>
      </c>
      <c r="T426" s="316">
        <v>0.6</v>
      </c>
      <c r="U426" s="316">
        <v>1</v>
      </c>
      <c r="V426" s="330">
        <v>0</v>
      </c>
      <c r="W426" s="85" t="s">
        <v>1346</v>
      </c>
      <c r="X426" s="331" t="s">
        <v>37</v>
      </c>
      <c r="Y426" s="5" t="str">
        <f t="shared" si="66"/>
        <v>Sin iniciar</v>
      </c>
      <c r="Z426" s="5" t="str">
        <f t="shared" si="67"/>
        <v>Sin iniciar</v>
      </c>
      <c r="AA426" s="619"/>
      <c r="AB426" s="924"/>
      <c r="AC426" s="925"/>
      <c r="AD426" s="946"/>
      <c r="AE426" s="946"/>
      <c r="AF426" s="89"/>
      <c r="AG426" s="319"/>
      <c r="AH426" s="89"/>
      <c r="AI426" s="89"/>
      <c r="AJ426" s="89"/>
      <c r="AK426" s="89"/>
      <c r="AL426" s="89"/>
      <c r="AM426" s="89"/>
      <c r="AN426" s="89"/>
      <c r="AO426" s="89"/>
      <c r="AP426" s="89" t="s">
        <v>2466</v>
      </c>
      <c r="AQ426" s="89"/>
      <c r="AR426" s="1172">
        <v>0</v>
      </c>
      <c r="AS426" s="85" t="s">
        <v>2448</v>
      </c>
      <c r="AT426" s="331" t="s">
        <v>37</v>
      </c>
      <c r="AU426" s="56" t="str">
        <f t="shared" si="68"/>
        <v>En gestión</v>
      </c>
      <c r="AV426" s="56" t="str">
        <f t="shared" si="69"/>
        <v>Sin iniciar</v>
      </c>
      <c r="AW426" s="671"/>
      <c r="AX426" s="935"/>
      <c r="AY426" s="936"/>
      <c r="AZ426" s="696"/>
      <c r="BA426" s="696"/>
      <c r="BB426" s="85" t="s">
        <v>1447</v>
      </c>
      <c r="BC426" s="89"/>
      <c r="BD426" s="538"/>
      <c r="BE426" s="538"/>
      <c r="BF426" s="538"/>
      <c r="BG426" s="538"/>
      <c r="BH426" s="538"/>
      <c r="BI426" s="538"/>
      <c r="BJ426" s="538"/>
      <c r="BK426" s="538"/>
      <c r="BL426" s="538"/>
      <c r="BM426" s="538"/>
      <c r="BN426" s="538"/>
      <c r="BO426" s="355">
        <v>0</v>
      </c>
      <c r="BP426" s="85" t="s">
        <v>1447</v>
      </c>
      <c r="BQ426" s="11" t="s">
        <v>37</v>
      </c>
      <c r="BR426" s="5" t="str">
        <f t="shared" si="70"/>
        <v>En gestión</v>
      </c>
      <c r="BS426" s="5" t="str">
        <f t="shared" si="71"/>
        <v>Sin iniciar</v>
      </c>
      <c r="BT426" s="943"/>
      <c r="BU426" s="930"/>
      <c r="BV426" s="931"/>
      <c r="BW426" s="942"/>
      <c r="BX426" s="942"/>
      <c r="BY426" s="943" t="s">
        <v>3714</v>
      </c>
      <c r="BZ426" s="581"/>
      <c r="CA426" s="628"/>
      <c r="CB426" s="628"/>
      <c r="CC426" s="628"/>
      <c r="CD426" s="619"/>
      <c r="CE426" s="628"/>
      <c r="CF426" s="628"/>
      <c r="CG426" s="671"/>
      <c r="CH426" s="671"/>
      <c r="CI426" s="671"/>
      <c r="CJ426" s="671"/>
    </row>
    <row r="427" spans="2:88" ht="171.95" customHeight="1" x14ac:dyDescent="0.25">
      <c r="B427" s="1227"/>
      <c r="C427" s="668"/>
      <c r="D427" s="313" t="s">
        <v>1045</v>
      </c>
      <c r="E427" s="313" t="s">
        <v>26</v>
      </c>
      <c r="F427" s="947"/>
      <c r="G427" s="313" t="s">
        <v>28</v>
      </c>
      <c r="H427" s="313" t="s">
        <v>28</v>
      </c>
      <c r="I427" s="313" t="s">
        <v>29</v>
      </c>
      <c r="J427" s="313" t="s">
        <v>194</v>
      </c>
      <c r="K427" s="668"/>
      <c r="L427" s="81" t="s">
        <v>164</v>
      </c>
      <c r="M427" s="82" t="s">
        <v>1407</v>
      </c>
      <c r="N427" s="81" t="s">
        <v>3715</v>
      </c>
      <c r="O427" s="313">
        <v>0.25</v>
      </c>
      <c r="P427" s="315">
        <v>44291</v>
      </c>
      <c r="Q427" s="315">
        <v>44560</v>
      </c>
      <c r="R427" s="316">
        <v>0</v>
      </c>
      <c r="S427" s="316">
        <v>0.3</v>
      </c>
      <c r="T427" s="316">
        <v>0.6</v>
      </c>
      <c r="U427" s="316">
        <v>1</v>
      </c>
      <c r="V427" s="330">
        <v>0</v>
      </c>
      <c r="W427" s="85" t="s">
        <v>1346</v>
      </c>
      <c r="X427" s="331" t="s">
        <v>37</v>
      </c>
      <c r="Y427" s="5" t="str">
        <f t="shared" si="66"/>
        <v>Sin iniciar</v>
      </c>
      <c r="Z427" s="5" t="str">
        <f t="shared" si="67"/>
        <v>Sin iniciar</v>
      </c>
      <c r="AA427" s="619"/>
      <c r="AB427" s="924"/>
      <c r="AC427" s="925"/>
      <c r="AD427" s="946"/>
      <c r="AE427" s="946"/>
      <c r="AF427" s="89"/>
      <c r="AG427" s="319"/>
      <c r="AH427" s="89"/>
      <c r="AI427" s="89"/>
      <c r="AJ427" s="89"/>
      <c r="AK427" s="89"/>
      <c r="AL427" s="89"/>
      <c r="AM427" s="89"/>
      <c r="AN427" s="89"/>
      <c r="AO427" s="89"/>
      <c r="AP427" s="89" t="s">
        <v>2466</v>
      </c>
      <c r="AQ427" s="89"/>
      <c r="AR427" s="1172">
        <v>0</v>
      </c>
      <c r="AS427" s="85" t="s">
        <v>2448</v>
      </c>
      <c r="AT427" s="331" t="s">
        <v>37</v>
      </c>
      <c r="AU427" s="56" t="str">
        <f t="shared" si="68"/>
        <v>En gestión</v>
      </c>
      <c r="AV427" s="56" t="str">
        <f t="shared" si="69"/>
        <v>Sin iniciar</v>
      </c>
      <c r="AW427" s="671"/>
      <c r="AX427" s="935"/>
      <c r="AY427" s="936"/>
      <c r="AZ427" s="696"/>
      <c r="BA427" s="696"/>
      <c r="BB427" s="85" t="s">
        <v>1447</v>
      </c>
      <c r="BC427" s="89"/>
      <c r="BD427" s="538"/>
      <c r="BE427" s="538"/>
      <c r="BF427" s="538"/>
      <c r="BG427" s="538"/>
      <c r="BH427" s="538"/>
      <c r="BI427" s="538"/>
      <c r="BJ427" s="538"/>
      <c r="BK427" s="538"/>
      <c r="BL427" s="538"/>
      <c r="BM427" s="538"/>
      <c r="BN427" s="538"/>
      <c r="BO427" s="355">
        <v>0</v>
      </c>
      <c r="BP427" s="85" t="s">
        <v>1447</v>
      </c>
      <c r="BQ427" s="11" t="s">
        <v>37</v>
      </c>
      <c r="BR427" s="5" t="str">
        <f t="shared" si="70"/>
        <v>En gestión</v>
      </c>
      <c r="BS427" s="5" t="str">
        <f t="shared" si="71"/>
        <v>Sin iniciar</v>
      </c>
      <c r="BT427" s="943"/>
      <c r="BU427" s="930"/>
      <c r="BV427" s="931"/>
      <c r="BW427" s="942"/>
      <c r="BX427" s="942"/>
      <c r="BY427" s="943"/>
      <c r="BZ427" s="581"/>
      <c r="CA427" s="628"/>
      <c r="CB427" s="628"/>
      <c r="CC427" s="628"/>
      <c r="CD427" s="619"/>
      <c r="CE427" s="628"/>
      <c r="CF427" s="628"/>
      <c r="CG427" s="671"/>
      <c r="CH427" s="671"/>
      <c r="CI427" s="671"/>
      <c r="CJ427" s="671"/>
    </row>
    <row r="428" spans="2:88" ht="171.95" customHeight="1" x14ac:dyDescent="0.25">
      <c r="B428" s="1227"/>
      <c r="C428" s="668"/>
      <c r="D428" s="313" t="s">
        <v>1045</v>
      </c>
      <c r="E428" s="313" t="s">
        <v>26</v>
      </c>
      <c r="F428" s="947"/>
      <c r="G428" s="313" t="s">
        <v>28</v>
      </c>
      <c r="H428" s="313" t="s">
        <v>28</v>
      </c>
      <c r="I428" s="313" t="s">
        <v>29</v>
      </c>
      <c r="J428" s="313" t="s">
        <v>191</v>
      </c>
      <c r="K428" s="668"/>
      <c r="L428" s="81" t="s">
        <v>164</v>
      </c>
      <c r="M428" s="82" t="s">
        <v>1408</v>
      </c>
      <c r="N428" s="81" t="s">
        <v>1342</v>
      </c>
      <c r="O428" s="313">
        <v>0.25</v>
      </c>
      <c r="P428" s="315">
        <v>44291</v>
      </c>
      <c r="Q428" s="315">
        <v>44560</v>
      </c>
      <c r="R428" s="316">
        <v>0</v>
      </c>
      <c r="S428" s="316">
        <v>0.3</v>
      </c>
      <c r="T428" s="316">
        <v>0.6</v>
      </c>
      <c r="U428" s="316">
        <v>1</v>
      </c>
      <c r="V428" s="330">
        <v>0</v>
      </c>
      <c r="W428" s="89" t="s">
        <v>1346</v>
      </c>
      <c r="X428" s="331" t="s">
        <v>37</v>
      </c>
      <c r="Y428" s="5" t="str">
        <f t="shared" si="66"/>
        <v>Sin iniciar</v>
      </c>
      <c r="Z428" s="5" t="str">
        <f t="shared" si="67"/>
        <v>Sin iniciar</v>
      </c>
      <c r="AA428" s="619"/>
      <c r="AB428" s="924"/>
      <c r="AC428" s="925"/>
      <c r="AD428" s="946"/>
      <c r="AE428" s="946"/>
      <c r="AF428" s="89"/>
      <c r="AG428" s="319"/>
      <c r="AH428" s="89"/>
      <c r="AI428" s="89"/>
      <c r="AJ428" s="89"/>
      <c r="AK428" s="89"/>
      <c r="AL428" s="89"/>
      <c r="AM428" s="89"/>
      <c r="AN428" s="89"/>
      <c r="AO428" s="89"/>
      <c r="AP428" s="89" t="s">
        <v>2466</v>
      </c>
      <c r="AQ428" s="89"/>
      <c r="AR428" s="1172">
        <v>0</v>
      </c>
      <c r="AS428" s="85" t="s">
        <v>2448</v>
      </c>
      <c r="AT428" s="331" t="s">
        <v>37</v>
      </c>
      <c r="AU428" s="56" t="str">
        <f t="shared" si="68"/>
        <v>En gestión</v>
      </c>
      <c r="AV428" s="56" t="str">
        <f t="shared" si="69"/>
        <v>Sin iniciar</v>
      </c>
      <c r="AW428" s="671"/>
      <c r="AX428" s="935"/>
      <c r="AY428" s="936"/>
      <c r="AZ428" s="696"/>
      <c r="BA428" s="696"/>
      <c r="BB428" s="85" t="s">
        <v>1447</v>
      </c>
      <c r="BC428" s="89"/>
      <c r="BD428" s="539"/>
      <c r="BE428" s="539"/>
      <c r="BF428" s="539"/>
      <c r="BG428" s="539"/>
      <c r="BH428" s="539"/>
      <c r="BI428" s="539"/>
      <c r="BJ428" s="539"/>
      <c r="BK428" s="539"/>
      <c r="BL428" s="539"/>
      <c r="BM428" s="539"/>
      <c r="BN428" s="539"/>
      <c r="BO428" s="355">
        <v>0</v>
      </c>
      <c r="BP428" s="85" t="s">
        <v>1447</v>
      </c>
      <c r="BQ428" s="11" t="s">
        <v>37</v>
      </c>
      <c r="BR428" s="5" t="str">
        <f t="shared" si="70"/>
        <v>En gestión</v>
      </c>
      <c r="BS428" s="5" t="str">
        <f t="shared" si="71"/>
        <v>Sin iniciar</v>
      </c>
      <c r="BT428" s="943"/>
      <c r="BU428" s="930"/>
      <c r="BV428" s="931"/>
      <c r="BW428" s="942"/>
      <c r="BX428" s="942"/>
      <c r="BY428" s="943"/>
      <c r="BZ428" s="581"/>
      <c r="CA428" s="628"/>
      <c r="CB428" s="628"/>
      <c r="CC428" s="628"/>
      <c r="CD428" s="619"/>
      <c r="CE428" s="628"/>
      <c r="CF428" s="628"/>
      <c r="CG428" s="671"/>
      <c r="CH428" s="671"/>
      <c r="CI428" s="671"/>
      <c r="CJ428" s="671"/>
    </row>
    <row r="429" spans="2:88" ht="171.95" customHeight="1" x14ac:dyDescent="0.25">
      <c r="B429" s="1227" t="s">
        <v>5231</v>
      </c>
      <c r="C429" s="639" t="s">
        <v>1448</v>
      </c>
      <c r="D429" s="640" t="s">
        <v>233</v>
      </c>
      <c r="E429" s="640" t="s">
        <v>26</v>
      </c>
      <c r="F429" s="640" t="s">
        <v>1449</v>
      </c>
      <c r="G429" s="640" t="s">
        <v>28</v>
      </c>
      <c r="H429" s="640" t="s">
        <v>28</v>
      </c>
      <c r="I429" s="640" t="s">
        <v>269</v>
      </c>
      <c r="J429" s="640" t="s">
        <v>47</v>
      </c>
      <c r="K429" s="641" t="s">
        <v>1450</v>
      </c>
      <c r="L429" s="642" t="s">
        <v>164</v>
      </c>
      <c r="M429" s="42" t="s">
        <v>1451</v>
      </c>
      <c r="N429" s="43" t="s">
        <v>1452</v>
      </c>
      <c r="O429" s="147">
        <v>0.25</v>
      </c>
      <c r="P429" s="44">
        <v>44228</v>
      </c>
      <c r="Q429" s="44">
        <v>44287</v>
      </c>
      <c r="R429" s="170">
        <v>0</v>
      </c>
      <c r="S429" s="170">
        <v>0</v>
      </c>
      <c r="T429" s="170">
        <v>1</v>
      </c>
      <c r="U429" s="170">
        <v>1</v>
      </c>
      <c r="V429" s="90">
        <v>0.7</v>
      </c>
      <c r="W429" s="62" t="s">
        <v>1453</v>
      </c>
      <c r="X429" s="63" t="s">
        <v>3716</v>
      </c>
      <c r="Y429" s="19" t="str">
        <f t="shared" si="66"/>
        <v>Sin iniciar</v>
      </c>
      <c r="Z429" s="19" t="str">
        <f t="shared" si="67"/>
        <v>En gestión</v>
      </c>
      <c r="AA429" s="532" t="s">
        <v>1497</v>
      </c>
      <c r="AB429" s="596">
        <f>SUMPRODUCT(O429:O431,V429:V431)</f>
        <v>0.27500000000000002</v>
      </c>
      <c r="AC429" s="597">
        <f>SUMPRODUCT(O429:O431,R429:R431)</f>
        <v>0</v>
      </c>
      <c r="AD429" s="611" t="str">
        <f>IF(AC429&lt;1%,"Sin iniciar",IF(AC429=100%,"Terminado","En gestión"))</f>
        <v>Sin iniciar</v>
      </c>
      <c r="AE429" s="611" t="str">
        <f>IF(AB429&lt;1%,"Sin iniciar",IF(AB429=100%,"Terminado","En gestión"))</f>
        <v>En gestión</v>
      </c>
      <c r="AF429" s="66" t="s">
        <v>37</v>
      </c>
      <c r="AG429" s="565">
        <v>0</v>
      </c>
      <c r="AH429" s="565">
        <v>0</v>
      </c>
      <c r="AI429" s="565">
        <v>4200000</v>
      </c>
      <c r="AJ429" s="565">
        <v>0</v>
      </c>
      <c r="AK429" s="565">
        <v>0</v>
      </c>
      <c r="AL429" s="565">
        <v>0</v>
      </c>
      <c r="AM429" s="530" t="s">
        <v>2629</v>
      </c>
      <c r="AN429" s="607" t="s">
        <v>2629</v>
      </c>
      <c r="AO429" s="530" t="s">
        <v>2629</v>
      </c>
      <c r="AP429" s="530" t="s">
        <v>2629</v>
      </c>
      <c r="AQ429" s="530" t="s">
        <v>2629</v>
      </c>
      <c r="AR429" s="1163">
        <v>0.7</v>
      </c>
      <c r="AS429" s="62" t="s">
        <v>1502</v>
      </c>
      <c r="AT429" s="123" t="s">
        <v>1502</v>
      </c>
      <c r="AU429" s="66" t="str">
        <f t="shared" si="68"/>
        <v>Sin iniciar</v>
      </c>
      <c r="AV429" s="66" t="str">
        <f t="shared" si="69"/>
        <v>En gestión</v>
      </c>
      <c r="AW429" s="532" t="s">
        <v>1497</v>
      </c>
      <c r="AX429" s="599">
        <f>SUMPRODUCT(O429:O431,AR429:AR431)</f>
        <v>0.27500000000000002</v>
      </c>
      <c r="AY429" s="600">
        <f>SUMPRODUCT(S429:S431,O429:O431)</f>
        <v>0</v>
      </c>
      <c r="AZ429" s="530" t="str">
        <f>IF(AY429&lt;1%,"Sin iniciar",IF(AY429=100%,"Terminado","En gestión"))</f>
        <v>Sin iniciar</v>
      </c>
      <c r="BA429" s="530" t="str">
        <f>IF(AX429&lt;1%,"Sin iniciar",IF(AX429=100%,"Terminado","En gestión"))</f>
        <v>En gestión</v>
      </c>
      <c r="BB429" s="66"/>
      <c r="BC429" s="530"/>
      <c r="BD429" s="565">
        <v>135000000</v>
      </c>
      <c r="BE429" s="565">
        <v>135000000</v>
      </c>
      <c r="BF429" s="565">
        <f>33750000*2</f>
        <v>67500000</v>
      </c>
      <c r="BG429" s="565">
        <v>0</v>
      </c>
      <c r="BH429" s="565">
        <v>0</v>
      </c>
      <c r="BI429" s="565">
        <v>0</v>
      </c>
      <c r="BJ429" s="530" t="s">
        <v>2629</v>
      </c>
      <c r="BK429" s="530" t="s">
        <v>2629</v>
      </c>
      <c r="BL429" s="530" t="s">
        <v>2629</v>
      </c>
      <c r="BM429" s="530" t="s">
        <v>2629</v>
      </c>
      <c r="BN429" s="530"/>
      <c r="BO429" s="347">
        <v>1</v>
      </c>
      <c r="BP429" s="24" t="s">
        <v>3717</v>
      </c>
      <c r="BQ429" s="24" t="s">
        <v>3718</v>
      </c>
      <c r="BR429" s="19" t="str">
        <f t="shared" ref="BR429:BR443" si="72">IF(T429&lt;1%,"Sin iniciar",IF(T429=100%,"Terminado","En gestión"))</f>
        <v>Terminado</v>
      </c>
      <c r="BS429" s="19" t="str">
        <f t="shared" ref="BS429:BS443" si="73">IF(BO429&lt;1%,"Sin iniciar",IF(BO429=100%,"Terminado","En gestión"))</f>
        <v>Terminado</v>
      </c>
      <c r="BT429" s="532" t="s">
        <v>3719</v>
      </c>
      <c r="BU429" s="561">
        <f>SUMPRODUCT(O429:O431,BO429:BO431)</f>
        <v>0.5</v>
      </c>
      <c r="BV429" s="562">
        <f>SUMPRODUCT(O429:O431,T429:T431)</f>
        <v>0.32500000000000001</v>
      </c>
      <c r="BW429" s="611" t="str">
        <f>IF(BV429&lt;1%,"Sin iniciar",IF(BV429=100%,"Terminado","En gestión"))</f>
        <v>En gestión</v>
      </c>
      <c r="BX429" s="611" t="str">
        <f>IF(BU429&lt;1%,"Sin iniciar",IF(BU429=100%,"Terminado","En gestión"))</f>
        <v>En gestión</v>
      </c>
      <c r="BY429" s="578" t="s">
        <v>37</v>
      </c>
      <c r="BZ429" s="578"/>
      <c r="CA429" s="565">
        <v>135000000</v>
      </c>
      <c r="CB429" s="565">
        <v>135000000</v>
      </c>
      <c r="CC429" s="565">
        <v>101250000</v>
      </c>
      <c r="CD429" s="565"/>
      <c r="CE429" s="565"/>
      <c r="CF429" s="565"/>
      <c r="CG429" s="565"/>
      <c r="CH429" s="565"/>
      <c r="CI429" s="565"/>
      <c r="CJ429" s="565"/>
    </row>
    <row r="430" spans="2:88" ht="171.95" customHeight="1" x14ac:dyDescent="0.25">
      <c r="B430" s="1227"/>
      <c r="C430" s="639"/>
      <c r="D430" s="640"/>
      <c r="E430" s="640"/>
      <c r="F430" s="640"/>
      <c r="G430" s="640"/>
      <c r="H430" s="640"/>
      <c r="I430" s="640"/>
      <c r="J430" s="640"/>
      <c r="K430" s="641"/>
      <c r="L430" s="642"/>
      <c r="M430" s="42" t="s">
        <v>1454</v>
      </c>
      <c r="N430" s="43" t="s">
        <v>1455</v>
      </c>
      <c r="O430" s="147">
        <v>0.25</v>
      </c>
      <c r="P430" s="44">
        <v>44317</v>
      </c>
      <c r="Q430" s="44">
        <v>44440</v>
      </c>
      <c r="R430" s="170">
        <v>0</v>
      </c>
      <c r="S430" s="170">
        <v>0</v>
      </c>
      <c r="T430" s="170">
        <v>0.3</v>
      </c>
      <c r="U430" s="170">
        <v>1</v>
      </c>
      <c r="V430" s="90">
        <v>0.4</v>
      </c>
      <c r="W430" s="62" t="s">
        <v>1456</v>
      </c>
      <c r="X430" s="91" t="s">
        <v>3720</v>
      </c>
      <c r="Y430" s="19" t="str">
        <f t="shared" si="66"/>
        <v>Sin iniciar</v>
      </c>
      <c r="Z430" s="19" t="str">
        <f t="shared" si="67"/>
        <v>En gestión</v>
      </c>
      <c r="AA430" s="532"/>
      <c r="AB430" s="596"/>
      <c r="AC430" s="597"/>
      <c r="AD430" s="611"/>
      <c r="AE430" s="611"/>
      <c r="AF430" s="66" t="s">
        <v>37</v>
      </c>
      <c r="AG430" s="565"/>
      <c r="AH430" s="565"/>
      <c r="AI430" s="565"/>
      <c r="AJ430" s="565"/>
      <c r="AK430" s="565"/>
      <c r="AL430" s="565"/>
      <c r="AM430" s="530"/>
      <c r="AN430" s="607"/>
      <c r="AO430" s="530"/>
      <c r="AP430" s="530" t="s">
        <v>2466</v>
      </c>
      <c r="AQ430" s="530"/>
      <c r="AR430" s="1163">
        <v>0.4</v>
      </c>
      <c r="AS430" s="62" t="s">
        <v>1502</v>
      </c>
      <c r="AT430" s="123" t="s">
        <v>1502</v>
      </c>
      <c r="AU430" s="66" t="str">
        <f t="shared" si="68"/>
        <v>Sin iniciar</v>
      </c>
      <c r="AV430" s="66" t="str">
        <f t="shared" si="69"/>
        <v>En gestión</v>
      </c>
      <c r="AW430" s="532"/>
      <c r="AX430" s="599"/>
      <c r="AY430" s="600"/>
      <c r="AZ430" s="530"/>
      <c r="BA430" s="530"/>
      <c r="BB430" s="66"/>
      <c r="BC430" s="530"/>
      <c r="BD430" s="565"/>
      <c r="BE430" s="565"/>
      <c r="BF430" s="565"/>
      <c r="BG430" s="565"/>
      <c r="BH430" s="565"/>
      <c r="BI430" s="565"/>
      <c r="BJ430" s="530"/>
      <c r="BK430" s="530"/>
      <c r="BL430" s="530"/>
      <c r="BM430" s="530"/>
      <c r="BN430" s="530"/>
      <c r="BO430" s="347">
        <v>1</v>
      </c>
      <c r="BP430" s="24" t="s">
        <v>3721</v>
      </c>
      <c r="BQ430" s="24" t="s">
        <v>3722</v>
      </c>
      <c r="BR430" s="19" t="str">
        <f t="shared" si="72"/>
        <v>En gestión</v>
      </c>
      <c r="BS430" s="19" t="str">
        <f t="shared" si="73"/>
        <v>Terminado</v>
      </c>
      <c r="BT430" s="532"/>
      <c r="BU430" s="561"/>
      <c r="BV430" s="562"/>
      <c r="BW430" s="611"/>
      <c r="BX430" s="611"/>
      <c r="BY430" s="578"/>
      <c r="BZ430" s="578"/>
      <c r="CA430" s="565"/>
      <c r="CB430" s="565"/>
      <c r="CC430" s="565"/>
      <c r="CD430" s="565"/>
      <c r="CE430" s="565"/>
      <c r="CF430" s="565"/>
      <c r="CG430" s="565"/>
      <c r="CH430" s="565"/>
      <c r="CI430" s="565"/>
      <c r="CJ430" s="565"/>
    </row>
    <row r="431" spans="2:88" ht="171.95" customHeight="1" x14ac:dyDescent="0.25">
      <c r="B431" s="1227"/>
      <c r="C431" s="639"/>
      <c r="D431" s="640"/>
      <c r="E431" s="640"/>
      <c r="F431" s="640"/>
      <c r="G431" s="640"/>
      <c r="H431" s="640"/>
      <c r="I431" s="640"/>
      <c r="J431" s="640"/>
      <c r="K431" s="641"/>
      <c r="L431" s="642"/>
      <c r="M431" s="42" t="s">
        <v>1457</v>
      </c>
      <c r="N431" s="43" t="s">
        <v>1458</v>
      </c>
      <c r="O431" s="147">
        <v>0.5</v>
      </c>
      <c r="P431" s="44">
        <v>44441</v>
      </c>
      <c r="Q431" s="44">
        <v>44561</v>
      </c>
      <c r="R431" s="170">
        <v>0</v>
      </c>
      <c r="S431" s="170">
        <v>0</v>
      </c>
      <c r="T431" s="170">
        <v>0</v>
      </c>
      <c r="U431" s="170">
        <v>1</v>
      </c>
      <c r="V431" s="90">
        <v>0</v>
      </c>
      <c r="W431" s="66" t="s">
        <v>37</v>
      </c>
      <c r="X431" s="91" t="s">
        <v>37</v>
      </c>
      <c r="Y431" s="19" t="str">
        <f t="shared" si="66"/>
        <v>Sin iniciar</v>
      </c>
      <c r="Z431" s="19" t="str">
        <f t="shared" si="67"/>
        <v>Sin iniciar</v>
      </c>
      <c r="AA431" s="532"/>
      <c r="AB431" s="596"/>
      <c r="AC431" s="597"/>
      <c r="AD431" s="611"/>
      <c r="AE431" s="611"/>
      <c r="AF431" s="66" t="s">
        <v>37</v>
      </c>
      <c r="AG431" s="565"/>
      <c r="AH431" s="565"/>
      <c r="AI431" s="565"/>
      <c r="AJ431" s="565"/>
      <c r="AK431" s="565"/>
      <c r="AL431" s="565"/>
      <c r="AM431" s="530"/>
      <c r="AN431" s="607"/>
      <c r="AO431" s="530"/>
      <c r="AP431" s="530" t="s">
        <v>2466</v>
      </c>
      <c r="AQ431" s="530"/>
      <c r="AR431" s="1163">
        <v>0</v>
      </c>
      <c r="AS431" s="66" t="s">
        <v>2437</v>
      </c>
      <c r="AT431" s="66" t="s">
        <v>37</v>
      </c>
      <c r="AU431" s="66" t="str">
        <f t="shared" si="68"/>
        <v>Sin iniciar</v>
      </c>
      <c r="AV431" s="66" t="str">
        <f t="shared" si="69"/>
        <v>Sin iniciar</v>
      </c>
      <c r="AW431" s="532"/>
      <c r="AX431" s="599"/>
      <c r="AY431" s="600"/>
      <c r="AZ431" s="530"/>
      <c r="BA431" s="530"/>
      <c r="BB431" s="66"/>
      <c r="BC431" s="530"/>
      <c r="BD431" s="565"/>
      <c r="BE431" s="565"/>
      <c r="BF431" s="565"/>
      <c r="BG431" s="565"/>
      <c r="BH431" s="565"/>
      <c r="BI431" s="565"/>
      <c r="BJ431" s="530"/>
      <c r="BK431" s="530"/>
      <c r="BL431" s="530"/>
      <c r="BM431" s="530"/>
      <c r="BN431" s="530"/>
      <c r="BO431" s="347">
        <v>0</v>
      </c>
      <c r="BP431" s="25" t="s">
        <v>2437</v>
      </c>
      <c r="BQ431" s="24" t="s">
        <v>2437</v>
      </c>
      <c r="BR431" s="19" t="str">
        <f t="shared" si="72"/>
        <v>Sin iniciar</v>
      </c>
      <c r="BS431" s="19" t="str">
        <f t="shared" si="73"/>
        <v>Sin iniciar</v>
      </c>
      <c r="BT431" s="532"/>
      <c r="BU431" s="561"/>
      <c r="BV431" s="562"/>
      <c r="BW431" s="611"/>
      <c r="BX431" s="611"/>
      <c r="BY431" s="578"/>
      <c r="BZ431" s="578"/>
      <c r="CA431" s="565"/>
      <c r="CB431" s="565"/>
      <c r="CC431" s="565"/>
      <c r="CD431" s="565"/>
      <c r="CE431" s="565"/>
      <c r="CF431" s="565"/>
      <c r="CG431" s="565"/>
      <c r="CH431" s="565"/>
      <c r="CI431" s="565"/>
      <c r="CJ431" s="565"/>
    </row>
    <row r="432" spans="2:88" ht="171.95" customHeight="1" x14ac:dyDescent="0.25">
      <c r="B432" s="1227"/>
      <c r="C432" s="632" t="s">
        <v>1459</v>
      </c>
      <c r="D432" s="633" t="s">
        <v>159</v>
      </c>
      <c r="E432" s="633" t="s">
        <v>160</v>
      </c>
      <c r="F432" s="633" t="s">
        <v>1460</v>
      </c>
      <c r="G432" s="633" t="s">
        <v>28</v>
      </c>
      <c r="H432" s="633" t="s">
        <v>28</v>
      </c>
      <c r="I432" s="633" t="s">
        <v>269</v>
      </c>
      <c r="J432" s="633" t="s">
        <v>47</v>
      </c>
      <c r="K432" s="634" t="s">
        <v>1461</v>
      </c>
      <c r="L432" s="635" t="s">
        <v>164</v>
      </c>
      <c r="M432" s="34" t="s">
        <v>1462</v>
      </c>
      <c r="N432" s="35" t="s">
        <v>1463</v>
      </c>
      <c r="O432" s="145">
        <v>0.2</v>
      </c>
      <c r="P432" s="36">
        <v>44228</v>
      </c>
      <c r="Q432" s="36">
        <v>44287</v>
      </c>
      <c r="R432" s="171">
        <v>0</v>
      </c>
      <c r="S432" s="171">
        <v>1</v>
      </c>
      <c r="T432" s="171">
        <v>1</v>
      </c>
      <c r="U432" s="171">
        <v>1</v>
      </c>
      <c r="V432" s="90">
        <v>1</v>
      </c>
      <c r="W432" s="13" t="s">
        <v>1464</v>
      </c>
      <c r="X432" s="55" t="s">
        <v>3723</v>
      </c>
      <c r="Y432" s="5" t="str">
        <f t="shared" si="66"/>
        <v>Sin iniciar</v>
      </c>
      <c r="Z432" s="5" t="str">
        <f t="shared" si="67"/>
        <v>Terminado</v>
      </c>
      <c r="AA432" s="531" t="s">
        <v>1498</v>
      </c>
      <c r="AB432" s="596">
        <f>SUMPRODUCT(O432:O434,V432:V434)</f>
        <v>0.2</v>
      </c>
      <c r="AC432" s="597">
        <f>SUMPRODUCT(O432:O434,R432:R434)</f>
        <v>0</v>
      </c>
      <c r="AD432" s="610" t="str">
        <f>IF(AC432&lt;1%,"Sin iniciar",IF(AC432=100%,"Terminado","En gestión"))</f>
        <v>Sin iniciar</v>
      </c>
      <c r="AE432" s="610" t="str">
        <f>IF(AB432&lt;1%,"Sin iniciar",IF(AB432=100%,"Terminado","En gestión"))</f>
        <v>En gestión</v>
      </c>
      <c r="AF432" s="56" t="s">
        <v>37</v>
      </c>
      <c r="AG432" s="574">
        <v>0</v>
      </c>
      <c r="AH432" s="574">
        <v>0</v>
      </c>
      <c r="AI432" s="574">
        <v>7500000</v>
      </c>
      <c r="AJ432" s="536" t="s">
        <v>2629</v>
      </c>
      <c r="AK432" s="536" t="s">
        <v>2629</v>
      </c>
      <c r="AL432" s="536" t="s">
        <v>2629</v>
      </c>
      <c r="AM432" s="536" t="s">
        <v>2629</v>
      </c>
      <c r="AN432" s="536" t="s">
        <v>2629</v>
      </c>
      <c r="AO432" s="536" t="s">
        <v>2629</v>
      </c>
      <c r="AP432" s="536" t="s">
        <v>2629</v>
      </c>
      <c r="AQ432" s="536" t="s">
        <v>2629</v>
      </c>
      <c r="AR432" s="1163">
        <v>1</v>
      </c>
      <c r="AS432" s="13" t="s">
        <v>2434</v>
      </c>
      <c r="AT432" s="13" t="s">
        <v>3724</v>
      </c>
      <c r="AU432" s="56" t="str">
        <f t="shared" si="68"/>
        <v>Terminado</v>
      </c>
      <c r="AV432" s="56" t="str">
        <f t="shared" si="69"/>
        <v>Terminado</v>
      </c>
      <c r="AW432" s="531" t="s">
        <v>1505</v>
      </c>
      <c r="AX432" s="599">
        <f>SUMPRODUCT(O432:O434,AR432:AR434)</f>
        <v>0.33200000000000002</v>
      </c>
      <c r="AY432" s="600">
        <f>SUMPRODUCT(S432:S434,O432:O434)</f>
        <v>0.33200000000000002</v>
      </c>
      <c r="AZ432" s="536" t="str">
        <f>IF(AY432&lt;1%,"Sin iniciar",IF(AY432=100%,"Terminado","En gestión"))</f>
        <v>En gestión</v>
      </c>
      <c r="BA432" s="536" t="str">
        <f>IF(AX432&lt;1%,"Sin iniciar",IF(AX432=100%,"Terminado","En gestión"))</f>
        <v>En gestión</v>
      </c>
      <c r="BB432" s="56"/>
      <c r="BC432" s="536"/>
      <c r="BD432" s="574">
        <v>60000000</v>
      </c>
      <c r="BE432" s="574">
        <v>60000000</v>
      </c>
      <c r="BF432" s="574">
        <v>30000000</v>
      </c>
      <c r="BG432" s="574">
        <v>0</v>
      </c>
      <c r="BH432" s="574">
        <v>0</v>
      </c>
      <c r="BI432" s="574">
        <v>0</v>
      </c>
      <c r="BJ432" s="536" t="s">
        <v>2629</v>
      </c>
      <c r="BK432" s="536" t="s">
        <v>2629</v>
      </c>
      <c r="BL432" s="536" t="s">
        <v>2629</v>
      </c>
      <c r="BM432" s="536" t="s">
        <v>2629</v>
      </c>
      <c r="BN432" s="536"/>
      <c r="BO432" s="347">
        <v>1</v>
      </c>
      <c r="BP432" s="12" t="s">
        <v>2434</v>
      </c>
      <c r="BQ432" s="12" t="s">
        <v>2434</v>
      </c>
      <c r="BR432" s="5" t="str">
        <f t="shared" si="72"/>
        <v>Terminado</v>
      </c>
      <c r="BS432" s="5" t="str">
        <f t="shared" si="73"/>
        <v>Terminado</v>
      </c>
      <c r="BT432" s="581" t="s">
        <v>1505</v>
      </c>
      <c r="BU432" s="561">
        <f>SUMPRODUCT(O432:O434,BO432:BO434)</f>
        <v>0.52400000000000002</v>
      </c>
      <c r="BV432" s="562">
        <f>SUMPRODUCT(O432:O434,T432:T434)</f>
        <v>0.52400000000000002</v>
      </c>
      <c r="BW432" s="610" t="str">
        <f>IF(BV432&lt;1%,"Sin iniciar",IF(BV432=100%,"Terminado","En gestión"))</f>
        <v>En gestión</v>
      </c>
      <c r="BX432" s="610" t="str">
        <f>IF(BU432&lt;1%,"Sin iniciar",IF(BU432=100%,"Terminado","En gestión"))</f>
        <v>En gestión</v>
      </c>
      <c r="BY432" s="573" t="s">
        <v>37</v>
      </c>
      <c r="BZ432" s="573"/>
      <c r="CA432" s="622">
        <v>60000000</v>
      </c>
      <c r="CB432" s="622">
        <v>60000000</v>
      </c>
      <c r="CC432" s="574">
        <v>45000000</v>
      </c>
      <c r="CD432" s="573"/>
      <c r="CE432" s="573"/>
      <c r="CF432" s="573"/>
      <c r="CG432" s="573"/>
      <c r="CH432" s="573"/>
      <c r="CI432" s="573"/>
      <c r="CJ432" s="573"/>
    </row>
    <row r="433" spans="2:88" ht="171.95" customHeight="1" x14ac:dyDescent="0.25">
      <c r="B433" s="1227"/>
      <c r="C433" s="632"/>
      <c r="D433" s="633"/>
      <c r="E433" s="633"/>
      <c r="F433" s="633"/>
      <c r="G433" s="633"/>
      <c r="H433" s="633"/>
      <c r="I433" s="633"/>
      <c r="J433" s="633"/>
      <c r="K433" s="634"/>
      <c r="L433" s="635"/>
      <c r="M433" s="34" t="s">
        <v>1465</v>
      </c>
      <c r="N433" s="35" t="s">
        <v>1466</v>
      </c>
      <c r="O433" s="145">
        <v>0.4</v>
      </c>
      <c r="P433" s="36">
        <v>44317</v>
      </c>
      <c r="Q433" s="36">
        <v>44348</v>
      </c>
      <c r="R433" s="171">
        <v>0</v>
      </c>
      <c r="S433" s="171">
        <v>0.33</v>
      </c>
      <c r="T433" s="171">
        <v>0.66</v>
      </c>
      <c r="U433" s="171">
        <v>1</v>
      </c>
      <c r="V433" s="90">
        <v>0</v>
      </c>
      <c r="W433" s="56" t="s">
        <v>37</v>
      </c>
      <c r="X433" s="94" t="s">
        <v>37</v>
      </c>
      <c r="Y433" s="5" t="str">
        <f t="shared" si="66"/>
        <v>Sin iniciar</v>
      </c>
      <c r="Z433" s="5" t="str">
        <f t="shared" si="67"/>
        <v>Sin iniciar</v>
      </c>
      <c r="AA433" s="531"/>
      <c r="AB433" s="596"/>
      <c r="AC433" s="597"/>
      <c r="AD433" s="610"/>
      <c r="AE433" s="610"/>
      <c r="AF433" s="56" t="s">
        <v>37</v>
      </c>
      <c r="AG433" s="574"/>
      <c r="AH433" s="574"/>
      <c r="AI433" s="574"/>
      <c r="AJ433" s="536"/>
      <c r="AK433" s="536"/>
      <c r="AL433" s="536"/>
      <c r="AM433" s="536"/>
      <c r="AN433" s="536" t="s">
        <v>2466</v>
      </c>
      <c r="AO433" s="536"/>
      <c r="AP433" s="536" t="s">
        <v>2466</v>
      </c>
      <c r="AQ433" s="536" t="s">
        <v>2466</v>
      </c>
      <c r="AR433" s="1163">
        <v>0.33</v>
      </c>
      <c r="AS433" s="13" t="s">
        <v>1503</v>
      </c>
      <c r="AT433" s="13" t="s">
        <v>3725</v>
      </c>
      <c r="AU433" s="56" t="str">
        <f t="shared" si="68"/>
        <v>En gestión</v>
      </c>
      <c r="AV433" s="56" t="str">
        <f t="shared" si="69"/>
        <v>En gestión</v>
      </c>
      <c r="AW433" s="531"/>
      <c r="AX433" s="599"/>
      <c r="AY433" s="600"/>
      <c r="AZ433" s="536"/>
      <c r="BA433" s="536"/>
      <c r="BB433" s="56"/>
      <c r="BC433" s="536"/>
      <c r="BD433" s="574"/>
      <c r="BE433" s="574"/>
      <c r="BF433" s="574"/>
      <c r="BG433" s="574"/>
      <c r="BH433" s="574"/>
      <c r="BI433" s="574"/>
      <c r="BJ433" s="536"/>
      <c r="BK433" s="536"/>
      <c r="BL433" s="536"/>
      <c r="BM433" s="536"/>
      <c r="BN433" s="536"/>
      <c r="BO433" s="347">
        <v>0.66</v>
      </c>
      <c r="BP433" s="13" t="s">
        <v>3726</v>
      </c>
      <c r="BQ433" s="13" t="s">
        <v>5217</v>
      </c>
      <c r="BR433" s="5" t="str">
        <f t="shared" si="72"/>
        <v>En gestión</v>
      </c>
      <c r="BS433" s="5" t="str">
        <f t="shared" si="73"/>
        <v>En gestión</v>
      </c>
      <c r="BT433" s="581"/>
      <c r="BU433" s="561"/>
      <c r="BV433" s="562"/>
      <c r="BW433" s="610"/>
      <c r="BX433" s="610"/>
      <c r="BY433" s="573"/>
      <c r="BZ433" s="573"/>
      <c r="CA433" s="622"/>
      <c r="CB433" s="622"/>
      <c r="CC433" s="574"/>
      <c r="CD433" s="573"/>
      <c r="CE433" s="573"/>
      <c r="CF433" s="573"/>
      <c r="CG433" s="573"/>
      <c r="CH433" s="573"/>
      <c r="CI433" s="573"/>
      <c r="CJ433" s="573"/>
    </row>
    <row r="434" spans="2:88" ht="171.95" customHeight="1" x14ac:dyDescent="0.25">
      <c r="B434" s="1227"/>
      <c r="C434" s="632"/>
      <c r="D434" s="633"/>
      <c r="E434" s="633"/>
      <c r="F434" s="633"/>
      <c r="G434" s="633"/>
      <c r="H434" s="633"/>
      <c r="I434" s="633"/>
      <c r="J434" s="633"/>
      <c r="K434" s="634"/>
      <c r="L434" s="635"/>
      <c r="M434" s="34" t="s">
        <v>1467</v>
      </c>
      <c r="N434" s="35" t="s">
        <v>1468</v>
      </c>
      <c r="O434" s="145">
        <v>0.2</v>
      </c>
      <c r="P434" s="36">
        <v>44349</v>
      </c>
      <c r="Q434" s="36">
        <v>44561</v>
      </c>
      <c r="R434" s="171">
        <v>0</v>
      </c>
      <c r="S434" s="171">
        <v>0</v>
      </c>
      <c r="T434" s="171">
        <v>0.3</v>
      </c>
      <c r="U434" s="171">
        <v>1</v>
      </c>
      <c r="V434" s="90">
        <v>0</v>
      </c>
      <c r="W434" s="56" t="s">
        <v>37</v>
      </c>
      <c r="X434" s="94" t="s">
        <v>37</v>
      </c>
      <c r="Y434" s="5" t="str">
        <f t="shared" si="66"/>
        <v>Sin iniciar</v>
      </c>
      <c r="Z434" s="5" t="str">
        <f t="shared" si="67"/>
        <v>Sin iniciar</v>
      </c>
      <c r="AA434" s="531"/>
      <c r="AB434" s="596"/>
      <c r="AC434" s="597"/>
      <c r="AD434" s="610"/>
      <c r="AE434" s="610"/>
      <c r="AF434" s="56" t="s">
        <v>37</v>
      </c>
      <c r="AG434" s="574"/>
      <c r="AH434" s="574"/>
      <c r="AI434" s="574"/>
      <c r="AJ434" s="536"/>
      <c r="AK434" s="536"/>
      <c r="AL434" s="536"/>
      <c r="AM434" s="536"/>
      <c r="AN434" s="536" t="s">
        <v>2466</v>
      </c>
      <c r="AO434" s="536"/>
      <c r="AP434" s="536" t="s">
        <v>2466</v>
      </c>
      <c r="AQ434" s="536" t="s">
        <v>2466</v>
      </c>
      <c r="AR434" s="1163">
        <v>0</v>
      </c>
      <c r="AS434" s="56" t="s">
        <v>2437</v>
      </c>
      <c r="AT434" s="13" t="s">
        <v>37</v>
      </c>
      <c r="AU434" s="56" t="str">
        <f t="shared" si="68"/>
        <v>Sin iniciar</v>
      </c>
      <c r="AV434" s="56" t="str">
        <f t="shared" si="69"/>
        <v>Sin iniciar</v>
      </c>
      <c r="AW434" s="531"/>
      <c r="AX434" s="599"/>
      <c r="AY434" s="600"/>
      <c r="AZ434" s="536"/>
      <c r="BA434" s="536"/>
      <c r="BB434" s="56"/>
      <c r="BC434" s="536"/>
      <c r="BD434" s="574"/>
      <c r="BE434" s="574"/>
      <c r="BF434" s="574"/>
      <c r="BG434" s="574"/>
      <c r="BH434" s="574"/>
      <c r="BI434" s="574"/>
      <c r="BJ434" s="536"/>
      <c r="BK434" s="536"/>
      <c r="BL434" s="536"/>
      <c r="BM434" s="536"/>
      <c r="BN434" s="536"/>
      <c r="BO434" s="347">
        <v>0.3</v>
      </c>
      <c r="BP434" s="13" t="s">
        <v>3726</v>
      </c>
      <c r="BQ434" s="13" t="s">
        <v>5217</v>
      </c>
      <c r="BR434" s="5" t="str">
        <f t="shared" si="72"/>
        <v>En gestión</v>
      </c>
      <c r="BS434" s="5" t="str">
        <f t="shared" si="73"/>
        <v>En gestión</v>
      </c>
      <c r="BT434" s="581"/>
      <c r="BU434" s="561"/>
      <c r="BV434" s="562"/>
      <c r="BW434" s="610"/>
      <c r="BX434" s="610"/>
      <c r="BY434" s="573"/>
      <c r="BZ434" s="573"/>
      <c r="CA434" s="622"/>
      <c r="CB434" s="622"/>
      <c r="CC434" s="574"/>
      <c r="CD434" s="573"/>
      <c r="CE434" s="573"/>
      <c r="CF434" s="573"/>
      <c r="CG434" s="573"/>
      <c r="CH434" s="573"/>
      <c r="CI434" s="573"/>
      <c r="CJ434" s="573"/>
    </row>
    <row r="435" spans="2:88" ht="171.95" customHeight="1" x14ac:dyDescent="0.25">
      <c r="B435" s="1227"/>
      <c r="C435" s="639" t="s">
        <v>1469</v>
      </c>
      <c r="D435" s="640" t="s">
        <v>267</v>
      </c>
      <c r="E435" s="640" t="s">
        <v>26</v>
      </c>
      <c r="F435" s="640" t="s">
        <v>1470</v>
      </c>
      <c r="G435" s="640" t="s">
        <v>28</v>
      </c>
      <c r="H435" s="640" t="s">
        <v>28</v>
      </c>
      <c r="I435" s="640" t="s">
        <v>269</v>
      </c>
      <c r="J435" s="640" t="s">
        <v>47</v>
      </c>
      <c r="K435" s="641" t="s">
        <v>1471</v>
      </c>
      <c r="L435" s="642" t="s">
        <v>164</v>
      </c>
      <c r="M435" s="42" t="s">
        <v>1472</v>
      </c>
      <c r="N435" s="43" t="s">
        <v>1473</v>
      </c>
      <c r="O435" s="147">
        <v>0.16600000000000001</v>
      </c>
      <c r="P435" s="44">
        <v>44228</v>
      </c>
      <c r="Q435" s="44">
        <v>44561</v>
      </c>
      <c r="R435" s="170">
        <v>0</v>
      </c>
      <c r="S435" s="170">
        <v>0</v>
      </c>
      <c r="T435" s="170">
        <v>0</v>
      </c>
      <c r="U435" s="170">
        <v>1</v>
      </c>
      <c r="V435" s="90">
        <v>0</v>
      </c>
      <c r="W435" s="62" t="s">
        <v>1474</v>
      </c>
      <c r="X435" s="91" t="s">
        <v>37</v>
      </c>
      <c r="Y435" s="19" t="str">
        <f t="shared" si="66"/>
        <v>Sin iniciar</v>
      </c>
      <c r="Z435" s="19" t="str">
        <f t="shared" si="67"/>
        <v>Sin iniciar</v>
      </c>
      <c r="AA435" s="532" t="s">
        <v>1499</v>
      </c>
      <c r="AB435" s="596">
        <f>SUMPRODUCT(O435:O440,V435:V440)</f>
        <v>8.3000000000000001E-3</v>
      </c>
      <c r="AC435" s="597">
        <f>SUMPRODUCT(O435:O440,R435:R440)</f>
        <v>0</v>
      </c>
      <c r="AD435" s="611" t="str">
        <f>IF(AC435&lt;1%,"Sin iniciar",IF(AC435=100%,"Terminado","En gestión"))</f>
        <v>Sin iniciar</v>
      </c>
      <c r="AE435" s="611" t="str">
        <f>IF(AB435&lt;1%,"Sin iniciar",IF(AB435=100%,"Terminado","En gestión"))</f>
        <v>Sin iniciar</v>
      </c>
      <c r="AF435" s="66" t="s">
        <v>37</v>
      </c>
      <c r="AG435" s="565">
        <v>0</v>
      </c>
      <c r="AH435" s="565">
        <v>0</v>
      </c>
      <c r="AI435" s="565">
        <v>3200000</v>
      </c>
      <c r="AJ435" s="530" t="s">
        <v>2629</v>
      </c>
      <c r="AK435" s="530" t="s">
        <v>2629</v>
      </c>
      <c r="AL435" s="530" t="s">
        <v>2629</v>
      </c>
      <c r="AM435" s="530" t="s">
        <v>2629</v>
      </c>
      <c r="AN435" s="607" t="s">
        <v>2629</v>
      </c>
      <c r="AO435" s="530" t="s">
        <v>2629</v>
      </c>
      <c r="AP435" s="530" t="s">
        <v>2629</v>
      </c>
      <c r="AQ435" s="530" t="s">
        <v>2629</v>
      </c>
      <c r="AR435" s="1163">
        <v>0</v>
      </c>
      <c r="AS435" s="66" t="s">
        <v>2437</v>
      </c>
      <c r="AT435" s="66" t="s">
        <v>37</v>
      </c>
      <c r="AU435" s="66" t="str">
        <f t="shared" si="68"/>
        <v>Sin iniciar</v>
      </c>
      <c r="AV435" s="66" t="str">
        <f t="shared" si="69"/>
        <v>Sin iniciar</v>
      </c>
      <c r="AW435" s="532" t="s">
        <v>1506</v>
      </c>
      <c r="AX435" s="599">
        <f>SUMPRODUCT(O435:O440,AR435:AR440)</f>
        <v>0</v>
      </c>
      <c r="AY435" s="600">
        <f>SUMPRODUCT(S435:S440,O435:O440)</f>
        <v>0</v>
      </c>
      <c r="AZ435" s="530" t="str">
        <f>IF(AY435&lt;1%,"Sin iniciar",IF(AY435=100%,"Terminado","En gestión"))</f>
        <v>Sin iniciar</v>
      </c>
      <c r="BA435" s="530" t="str">
        <f>IF(AX435&lt;1%,"Sin iniciar",IF(AX435=100%,"Terminado","En gestión"))</f>
        <v>Sin iniciar</v>
      </c>
      <c r="BB435" s="66"/>
      <c r="BC435" s="530"/>
      <c r="BD435" s="565">
        <v>60000000</v>
      </c>
      <c r="BE435" s="565">
        <v>60000000</v>
      </c>
      <c r="BF435" s="565">
        <v>30000000</v>
      </c>
      <c r="BG435" s="565">
        <v>0</v>
      </c>
      <c r="BH435" s="565">
        <v>0</v>
      </c>
      <c r="BI435" s="565">
        <v>0</v>
      </c>
      <c r="BJ435" s="530" t="s">
        <v>2629</v>
      </c>
      <c r="BK435" s="530" t="s">
        <v>2629</v>
      </c>
      <c r="BL435" s="530" t="s">
        <v>2629</v>
      </c>
      <c r="BM435" s="530" t="s">
        <v>2629</v>
      </c>
      <c r="BN435" s="530"/>
      <c r="BO435" s="347">
        <v>0</v>
      </c>
      <c r="BP435" s="24" t="s">
        <v>2437</v>
      </c>
      <c r="BQ435" s="24" t="s">
        <v>2437</v>
      </c>
      <c r="BR435" s="19" t="str">
        <f t="shared" si="72"/>
        <v>Sin iniciar</v>
      </c>
      <c r="BS435" s="19" t="str">
        <f t="shared" si="73"/>
        <v>Sin iniciar</v>
      </c>
      <c r="BT435" s="560" t="s">
        <v>3727</v>
      </c>
      <c r="BU435" s="561">
        <f>SUMPRODUCT(O435:O440,BO435:BO440)</f>
        <v>0.12118000000000001</v>
      </c>
      <c r="BV435" s="562">
        <f>SUMPRODUCT(O435:O440,T435:T440)</f>
        <v>0</v>
      </c>
      <c r="BW435" s="611" t="str">
        <f>IF(BV435&lt;1%,"Sin iniciar",IF(BV435=100%,"Terminado","En gestión"))</f>
        <v>Sin iniciar</v>
      </c>
      <c r="BX435" s="611" t="str">
        <f>IF(BU435&lt;1%,"Sin iniciar",IF(BU435=100%,"Terminado","En gestión"))</f>
        <v>En gestión</v>
      </c>
      <c r="BY435" s="578" t="s">
        <v>37</v>
      </c>
      <c r="BZ435" s="578"/>
      <c r="CA435" s="565">
        <v>60000000</v>
      </c>
      <c r="CB435" s="565">
        <v>60000000</v>
      </c>
      <c r="CC435" s="565">
        <v>45000000</v>
      </c>
      <c r="CD435" s="565"/>
      <c r="CE435" s="565"/>
      <c r="CF435" s="565"/>
      <c r="CG435" s="565"/>
      <c r="CH435" s="565"/>
      <c r="CI435" s="565"/>
      <c r="CJ435" s="565"/>
    </row>
    <row r="436" spans="2:88" ht="171.95" customHeight="1" x14ac:dyDescent="0.25">
      <c r="B436" s="1227"/>
      <c r="C436" s="639"/>
      <c r="D436" s="640"/>
      <c r="E436" s="640"/>
      <c r="F436" s="640"/>
      <c r="G436" s="640"/>
      <c r="H436" s="640"/>
      <c r="I436" s="640"/>
      <c r="J436" s="640"/>
      <c r="K436" s="641"/>
      <c r="L436" s="642"/>
      <c r="M436" s="42" t="s">
        <v>1475</v>
      </c>
      <c r="N436" s="43" t="s">
        <v>1476</v>
      </c>
      <c r="O436" s="147">
        <v>0.16600000000000001</v>
      </c>
      <c r="P436" s="44">
        <v>44228</v>
      </c>
      <c r="Q436" s="44">
        <v>44561</v>
      </c>
      <c r="R436" s="170">
        <v>0</v>
      </c>
      <c r="S436" s="170">
        <v>0</v>
      </c>
      <c r="T436" s="170">
        <v>0</v>
      </c>
      <c r="U436" s="170">
        <v>1</v>
      </c>
      <c r="V436" s="90">
        <v>0</v>
      </c>
      <c r="W436" s="66" t="s">
        <v>37</v>
      </c>
      <c r="X436" s="91" t="s">
        <v>37</v>
      </c>
      <c r="Y436" s="19" t="str">
        <f t="shared" si="66"/>
        <v>Sin iniciar</v>
      </c>
      <c r="Z436" s="19" t="str">
        <f t="shared" si="67"/>
        <v>Sin iniciar</v>
      </c>
      <c r="AA436" s="532"/>
      <c r="AB436" s="596"/>
      <c r="AC436" s="597"/>
      <c r="AD436" s="611"/>
      <c r="AE436" s="611"/>
      <c r="AF436" s="66" t="s">
        <v>37</v>
      </c>
      <c r="AG436" s="565"/>
      <c r="AH436" s="565"/>
      <c r="AI436" s="565"/>
      <c r="AJ436" s="530"/>
      <c r="AK436" s="530"/>
      <c r="AL436" s="530"/>
      <c r="AM436" s="530"/>
      <c r="AN436" s="607"/>
      <c r="AO436" s="530"/>
      <c r="AP436" s="530" t="s">
        <v>2466</v>
      </c>
      <c r="AQ436" s="530" t="s">
        <v>2466</v>
      </c>
      <c r="AR436" s="1163">
        <v>0</v>
      </c>
      <c r="AS436" s="66" t="s">
        <v>2437</v>
      </c>
      <c r="AT436" s="66" t="s">
        <v>37</v>
      </c>
      <c r="AU436" s="66" t="str">
        <f t="shared" si="68"/>
        <v>Sin iniciar</v>
      </c>
      <c r="AV436" s="66" t="str">
        <f t="shared" si="69"/>
        <v>Sin iniciar</v>
      </c>
      <c r="AW436" s="532"/>
      <c r="AX436" s="599"/>
      <c r="AY436" s="600"/>
      <c r="AZ436" s="530"/>
      <c r="BA436" s="530"/>
      <c r="BB436" s="66"/>
      <c r="BC436" s="530"/>
      <c r="BD436" s="565"/>
      <c r="BE436" s="565"/>
      <c r="BF436" s="565"/>
      <c r="BG436" s="565"/>
      <c r="BH436" s="565"/>
      <c r="BI436" s="565"/>
      <c r="BJ436" s="530"/>
      <c r="BK436" s="530"/>
      <c r="BL436" s="530"/>
      <c r="BM436" s="530"/>
      <c r="BN436" s="530"/>
      <c r="BO436" s="347">
        <v>0.33</v>
      </c>
      <c r="BP436" s="24" t="s">
        <v>3728</v>
      </c>
      <c r="BQ436" s="24" t="s">
        <v>3729</v>
      </c>
      <c r="BR436" s="19" t="str">
        <f t="shared" si="72"/>
        <v>Sin iniciar</v>
      </c>
      <c r="BS436" s="19" t="str">
        <f t="shared" si="73"/>
        <v>En gestión</v>
      </c>
      <c r="BT436" s="560"/>
      <c r="BU436" s="561"/>
      <c r="BV436" s="562"/>
      <c r="BW436" s="611"/>
      <c r="BX436" s="611"/>
      <c r="BY436" s="578"/>
      <c r="BZ436" s="578"/>
      <c r="CA436" s="565"/>
      <c r="CB436" s="565"/>
      <c r="CC436" s="565"/>
      <c r="CD436" s="565"/>
      <c r="CE436" s="565"/>
      <c r="CF436" s="565"/>
      <c r="CG436" s="565"/>
      <c r="CH436" s="565"/>
      <c r="CI436" s="565"/>
      <c r="CJ436" s="565"/>
    </row>
    <row r="437" spans="2:88" ht="171.95" customHeight="1" x14ac:dyDescent="0.25">
      <c r="B437" s="1227"/>
      <c r="C437" s="639"/>
      <c r="D437" s="640"/>
      <c r="E437" s="640"/>
      <c r="F437" s="640"/>
      <c r="G437" s="640"/>
      <c r="H437" s="640"/>
      <c r="I437" s="640"/>
      <c r="J437" s="640"/>
      <c r="K437" s="641"/>
      <c r="L437" s="642"/>
      <c r="M437" s="42" t="s">
        <v>1477</v>
      </c>
      <c r="N437" s="43" t="s">
        <v>1478</v>
      </c>
      <c r="O437" s="147">
        <v>0.16600000000000001</v>
      </c>
      <c r="P437" s="44">
        <v>44228</v>
      </c>
      <c r="Q437" s="44">
        <v>44561</v>
      </c>
      <c r="R437" s="170">
        <v>0</v>
      </c>
      <c r="S437" s="170">
        <v>0</v>
      </c>
      <c r="T437" s="170">
        <v>0</v>
      </c>
      <c r="U437" s="170">
        <v>1</v>
      </c>
      <c r="V437" s="90">
        <v>0</v>
      </c>
      <c r="W437" s="66" t="s">
        <v>37</v>
      </c>
      <c r="X437" s="91" t="s">
        <v>37</v>
      </c>
      <c r="Y437" s="19" t="str">
        <f t="shared" si="66"/>
        <v>Sin iniciar</v>
      </c>
      <c r="Z437" s="19" t="str">
        <f t="shared" si="67"/>
        <v>Sin iniciar</v>
      </c>
      <c r="AA437" s="532"/>
      <c r="AB437" s="596"/>
      <c r="AC437" s="597"/>
      <c r="AD437" s="611"/>
      <c r="AE437" s="611"/>
      <c r="AF437" s="66" t="s">
        <v>37</v>
      </c>
      <c r="AG437" s="565"/>
      <c r="AH437" s="565"/>
      <c r="AI437" s="565"/>
      <c r="AJ437" s="530"/>
      <c r="AK437" s="530"/>
      <c r="AL437" s="530"/>
      <c r="AM437" s="530"/>
      <c r="AN437" s="607"/>
      <c r="AO437" s="530"/>
      <c r="AP437" s="530" t="s">
        <v>2466</v>
      </c>
      <c r="AQ437" s="530" t="s">
        <v>2466</v>
      </c>
      <c r="AR437" s="1163">
        <v>0</v>
      </c>
      <c r="AS437" s="66" t="s">
        <v>2437</v>
      </c>
      <c r="AT437" s="66" t="s">
        <v>37</v>
      </c>
      <c r="AU437" s="66" t="str">
        <f t="shared" si="68"/>
        <v>Sin iniciar</v>
      </c>
      <c r="AV437" s="66" t="str">
        <f t="shared" si="69"/>
        <v>Sin iniciar</v>
      </c>
      <c r="AW437" s="532"/>
      <c r="AX437" s="599"/>
      <c r="AY437" s="600"/>
      <c r="AZ437" s="530"/>
      <c r="BA437" s="530"/>
      <c r="BB437" s="66"/>
      <c r="BC437" s="530"/>
      <c r="BD437" s="565"/>
      <c r="BE437" s="565"/>
      <c r="BF437" s="565"/>
      <c r="BG437" s="565"/>
      <c r="BH437" s="565"/>
      <c r="BI437" s="565"/>
      <c r="BJ437" s="530"/>
      <c r="BK437" s="530"/>
      <c r="BL437" s="530"/>
      <c r="BM437" s="530"/>
      <c r="BN437" s="530"/>
      <c r="BO437" s="347">
        <v>0</v>
      </c>
      <c r="BP437" s="24" t="s">
        <v>2437</v>
      </c>
      <c r="BQ437" s="24" t="s">
        <v>2437</v>
      </c>
      <c r="BR437" s="19" t="str">
        <f t="shared" si="72"/>
        <v>Sin iniciar</v>
      </c>
      <c r="BS437" s="19" t="str">
        <f t="shared" si="73"/>
        <v>Sin iniciar</v>
      </c>
      <c r="BT437" s="560"/>
      <c r="BU437" s="561"/>
      <c r="BV437" s="562"/>
      <c r="BW437" s="611"/>
      <c r="BX437" s="611"/>
      <c r="BY437" s="578"/>
      <c r="BZ437" s="578"/>
      <c r="CA437" s="565"/>
      <c r="CB437" s="565"/>
      <c r="CC437" s="565"/>
      <c r="CD437" s="565"/>
      <c r="CE437" s="565"/>
      <c r="CF437" s="565"/>
      <c r="CG437" s="565"/>
      <c r="CH437" s="565"/>
      <c r="CI437" s="565"/>
      <c r="CJ437" s="565"/>
    </row>
    <row r="438" spans="2:88" ht="171.95" customHeight="1" x14ac:dyDescent="0.25">
      <c r="B438" s="1227"/>
      <c r="C438" s="639"/>
      <c r="D438" s="640"/>
      <c r="E438" s="640"/>
      <c r="F438" s="640"/>
      <c r="G438" s="640"/>
      <c r="H438" s="640"/>
      <c r="I438" s="640"/>
      <c r="J438" s="640"/>
      <c r="K438" s="641"/>
      <c r="L438" s="642"/>
      <c r="M438" s="42" t="s">
        <v>1479</v>
      </c>
      <c r="N438" s="43" t="s">
        <v>1480</v>
      </c>
      <c r="O438" s="147">
        <v>0.16600000000000001</v>
      </c>
      <c r="P438" s="44">
        <v>44228</v>
      </c>
      <c r="Q438" s="44">
        <v>44561</v>
      </c>
      <c r="R438" s="170">
        <v>0</v>
      </c>
      <c r="S438" s="170">
        <v>0</v>
      </c>
      <c r="T438" s="170">
        <v>0</v>
      </c>
      <c r="U438" s="170">
        <v>1</v>
      </c>
      <c r="V438" s="90">
        <v>0</v>
      </c>
      <c r="W438" s="66" t="s">
        <v>37</v>
      </c>
      <c r="X438" s="91" t="s">
        <v>37</v>
      </c>
      <c r="Y438" s="19" t="str">
        <f t="shared" si="66"/>
        <v>Sin iniciar</v>
      </c>
      <c r="Z438" s="19" t="str">
        <f t="shared" si="67"/>
        <v>Sin iniciar</v>
      </c>
      <c r="AA438" s="532"/>
      <c r="AB438" s="596"/>
      <c r="AC438" s="597"/>
      <c r="AD438" s="611"/>
      <c r="AE438" s="611"/>
      <c r="AF438" s="66" t="s">
        <v>37</v>
      </c>
      <c r="AG438" s="565"/>
      <c r="AH438" s="565"/>
      <c r="AI438" s="565"/>
      <c r="AJ438" s="530"/>
      <c r="AK438" s="530"/>
      <c r="AL438" s="530"/>
      <c r="AM438" s="530"/>
      <c r="AN438" s="607"/>
      <c r="AO438" s="530"/>
      <c r="AP438" s="530" t="s">
        <v>2466</v>
      </c>
      <c r="AQ438" s="530" t="s">
        <v>2466</v>
      </c>
      <c r="AR438" s="1163">
        <v>0</v>
      </c>
      <c r="AS438" s="66" t="s">
        <v>2437</v>
      </c>
      <c r="AT438" s="66" t="s">
        <v>37</v>
      </c>
      <c r="AU438" s="66" t="str">
        <f t="shared" si="68"/>
        <v>Sin iniciar</v>
      </c>
      <c r="AV438" s="66" t="str">
        <f t="shared" si="69"/>
        <v>Sin iniciar</v>
      </c>
      <c r="AW438" s="532"/>
      <c r="AX438" s="599"/>
      <c r="AY438" s="600"/>
      <c r="AZ438" s="530"/>
      <c r="BA438" s="530"/>
      <c r="BB438" s="66"/>
      <c r="BC438" s="530"/>
      <c r="BD438" s="565"/>
      <c r="BE438" s="565"/>
      <c r="BF438" s="565"/>
      <c r="BG438" s="565"/>
      <c r="BH438" s="565"/>
      <c r="BI438" s="565"/>
      <c r="BJ438" s="530"/>
      <c r="BK438" s="530"/>
      <c r="BL438" s="530"/>
      <c r="BM438" s="530"/>
      <c r="BN438" s="530"/>
      <c r="BO438" s="347">
        <v>0</v>
      </c>
      <c r="BP438" s="24" t="s">
        <v>2437</v>
      </c>
      <c r="BQ438" s="24" t="s">
        <v>2437</v>
      </c>
      <c r="BR438" s="19" t="str">
        <f t="shared" si="72"/>
        <v>Sin iniciar</v>
      </c>
      <c r="BS438" s="19" t="str">
        <f t="shared" si="73"/>
        <v>Sin iniciar</v>
      </c>
      <c r="BT438" s="560"/>
      <c r="BU438" s="561"/>
      <c r="BV438" s="562"/>
      <c r="BW438" s="611"/>
      <c r="BX438" s="611"/>
      <c r="BY438" s="578"/>
      <c r="BZ438" s="578"/>
      <c r="CA438" s="565"/>
      <c r="CB438" s="565"/>
      <c r="CC438" s="565"/>
      <c r="CD438" s="565"/>
      <c r="CE438" s="565"/>
      <c r="CF438" s="565"/>
      <c r="CG438" s="565"/>
      <c r="CH438" s="565"/>
      <c r="CI438" s="565"/>
      <c r="CJ438" s="565"/>
    </row>
    <row r="439" spans="2:88" ht="171.95" customHeight="1" x14ac:dyDescent="0.25">
      <c r="B439" s="1227"/>
      <c r="C439" s="639"/>
      <c r="D439" s="640"/>
      <c r="E439" s="640"/>
      <c r="F439" s="640"/>
      <c r="G439" s="640"/>
      <c r="H439" s="640"/>
      <c r="I439" s="640"/>
      <c r="J439" s="640"/>
      <c r="K439" s="641"/>
      <c r="L439" s="642"/>
      <c r="M439" s="42" t="s">
        <v>1481</v>
      </c>
      <c r="N439" s="43" t="s">
        <v>1482</v>
      </c>
      <c r="O439" s="147">
        <v>0.16600000000000001</v>
      </c>
      <c r="P439" s="44">
        <v>44228</v>
      </c>
      <c r="Q439" s="44">
        <v>44561</v>
      </c>
      <c r="R439" s="170">
        <v>0</v>
      </c>
      <c r="S439" s="170">
        <v>0</v>
      </c>
      <c r="T439" s="170">
        <v>0</v>
      </c>
      <c r="U439" s="170">
        <v>1</v>
      </c>
      <c r="V439" s="90">
        <v>0.05</v>
      </c>
      <c r="W439" s="62" t="s">
        <v>1483</v>
      </c>
      <c r="X439" s="63" t="s">
        <v>3730</v>
      </c>
      <c r="Y439" s="19" t="str">
        <f t="shared" si="66"/>
        <v>Sin iniciar</v>
      </c>
      <c r="Z439" s="19" t="str">
        <f t="shared" si="67"/>
        <v>En gestión</v>
      </c>
      <c r="AA439" s="532"/>
      <c r="AB439" s="596"/>
      <c r="AC439" s="597"/>
      <c r="AD439" s="611"/>
      <c r="AE439" s="611"/>
      <c r="AF439" s="66" t="s">
        <v>37</v>
      </c>
      <c r="AG439" s="565"/>
      <c r="AH439" s="565"/>
      <c r="AI439" s="565"/>
      <c r="AJ439" s="530"/>
      <c r="AK439" s="530"/>
      <c r="AL439" s="530"/>
      <c r="AM439" s="530"/>
      <c r="AN439" s="607"/>
      <c r="AO439" s="530"/>
      <c r="AP439" s="530" t="s">
        <v>2466</v>
      </c>
      <c r="AQ439" s="530" t="s">
        <v>2466</v>
      </c>
      <c r="AR439" s="1163">
        <v>0</v>
      </c>
      <c r="AS439" s="66" t="s">
        <v>2437</v>
      </c>
      <c r="AT439" s="62"/>
      <c r="AU439" s="66" t="str">
        <f t="shared" si="68"/>
        <v>Sin iniciar</v>
      </c>
      <c r="AV439" s="66" t="str">
        <f t="shared" si="69"/>
        <v>Sin iniciar</v>
      </c>
      <c r="AW439" s="532"/>
      <c r="AX439" s="599"/>
      <c r="AY439" s="600"/>
      <c r="AZ439" s="530"/>
      <c r="BA439" s="530"/>
      <c r="BB439" s="66"/>
      <c r="BC439" s="530"/>
      <c r="BD439" s="565"/>
      <c r="BE439" s="565"/>
      <c r="BF439" s="565"/>
      <c r="BG439" s="565"/>
      <c r="BH439" s="565"/>
      <c r="BI439" s="565"/>
      <c r="BJ439" s="530"/>
      <c r="BK439" s="530"/>
      <c r="BL439" s="530"/>
      <c r="BM439" s="530"/>
      <c r="BN439" s="530"/>
      <c r="BO439" s="347">
        <v>0</v>
      </c>
      <c r="BP439" s="24" t="s">
        <v>2437</v>
      </c>
      <c r="BQ439" s="24" t="s">
        <v>2437</v>
      </c>
      <c r="BR439" s="19" t="str">
        <f t="shared" si="72"/>
        <v>Sin iniciar</v>
      </c>
      <c r="BS439" s="19" t="str">
        <f t="shared" si="73"/>
        <v>Sin iniciar</v>
      </c>
      <c r="BT439" s="560"/>
      <c r="BU439" s="561"/>
      <c r="BV439" s="562"/>
      <c r="BW439" s="611"/>
      <c r="BX439" s="611"/>
      <c r="BY439" s="578"/>
      <c r="BZ439" s="578"/>
      <c r="CA439" s="565"/>
      <c r="CB439" s="565"/>
      <c r="CC439" s="565"/>
      <c r="CD439" s="565"/>
      <c r="CE439" s="565"/>
      <c r="CF439" s="565"/>
      <c r="CG439" s="565"/>
      <c r="CH439" s="565"/>
      <c r="CI439" s="565"/>
      <c r="CJ439" s="565"/>
    </row>
    <row r="440" spans="2:88" ht="171.95" customHeight="1" x14ac:dyDescent="0.25">
      <c r="B440" s="1227"/>
      <c r="C440" s="639"/>
      <c r="D440" s="640"/>
      <c r="E440" s="640"/>
      <c r="F440" s="640"/>
      <c r="G440" s="640"/>
      <c r="H440" s="640"/>
      <c r="I440" s="640"/>
      <c r="J440" s="640"/>
      <c r="K440" s="641"/>
      <c r="L440" s="642"/>
      <c r="M440" s="42" t="s">
        <v>1484</v>
      </c>
      <c r="N440" s="43" t="s">
        <v>1485</v>
      </c>
      <c r="O440" s="147">
        <v>0.16600000000000001</v>
      </c>
      <c r="P440" s="44">
        <v>44228</v>
      </c>
      <c r="Q440" s="44">
        <v>44561</v>
      </c>
      <c r="R440" s="170">
        <v>0</v>
      </c>
      <c r="S440" s="170">
        <v>0</v>
      </c>
      <c r="T440" s="170">
        <v>0</v>
      </c>
      <c r="U440" s="170">
        <v>1</v>
      </c>
      <c r="V440" s="90">
        <v>0</v>
      </c>
      <c r="W440" s="66" t="s">
        <v>37</v>
      </c>
      <c r="X440" s="91" t="s">
        <v>37</v>
      </c>
      <c r="Y440" s="19" t="str">
        <f t="shared" si="66"/>
        <v>Sin iniciar</v>
      </c>
      <c r="Z440" s="19" t="str">
        <f t="shared" si="67"/>
        <v>Sin iniciar</v>
      </c>
      <c r="AA440" s="532"/>
      <c r="AB440" s="596"/>
      <c r="AC440" s="597"/>
      <c r="AD440" s="611"/>
      <c r="AE440" s="611"/>
      <c r="AF440" s="66" t="s">
        <v>37</v>
      </c>
      <c r="AG440" s="565"/>
      <c r="AH440" s="565"/>
      <c r="AI440" s="565"/>
      <c r="AJ440" s="530"/>
      <c r="AK440" s="530"/>
      <c r="AL440" s="530"/>
      <c r="AM440" s="530"/>
      <c r="AN440" s="607"/>
      <c r="AO440" s="530"/>
      <c r="AP440" s="530" t="s">
        <v>2466</v>
      </c>
      <c r="AQ440" s="530" t="s">
        <v>2466</v>
      </c>
      <c r="AR440" s="1163">
        <v>0</v>
      </c>
      <c r="AS440" s="66" t="s">
        <v>2437</v>
      </c>
      <c r="AT440" s="66" t="s">
        <v>37</v>
      </c>
      <c r="AU440" s="66" t="str">
        <f t="shared" si="68"/>
        <v>Sin iniciar</v>
      </c>
      <c r="AV440" s="66" t="str">
        <f t="shared" si="69"/>
        <v>Sin iniciar</v>
      </c>
      <c r="AW440" s="532"/>
      <c r="AX440" s="599"/>
      <c r="AY440" s="600"/>
      <c r="AZ440" s="530"/>
      <c r="BA440" s="530"/>
      <c r="BB440" s="66"/>
      <c r="BC440" s="530"/>
      <c r="BD440" s="565"/>
      <c r="BE440" s="565"/>
      <c r="BF440" s="565"/>
      <c r="BG440" s="565"/>
      <c r="BH440" s="565"/>
      <c r="BI440" s="565"/>
      <c r="BJ440" s="530"/>
      <c r="BK440" s="530"/>
      <c r="BL440" s="530"/>
      <c r="BM440" s="530"/>
      <c r="BN440" s="530"/>
      <c r="BO440" s="347">
        <v>0.4</v>
      </c>
      <c r="BP440" s="24" t="s">
        <v>3731</v>
      </c>
      <c r="BQ440" s="24" t="s">
        <v>3732</v>
      </c>
      <c r="BR440" s="19" t="str">
        <f t="shared" si="72"/>
        <v>Sin iniciar</v>
      </c>
      <c r="BS440" s="19" t="str">
        <f t="shared" si="73"/>
        <v>En gestión</v>
      </c>
      <c r="BT440" s="560"/>
      <c r="BU440" s="561"/>
      <c r="BV440" s="562"/>
      <c r="BW440" s="611"/>
      <c r="BX440" s="611"/>
      <c r="BY440" s="578"/>
      <c r="BZ440" s="578"/>
      <c r="CA440" s="565"/>
      <c r="CB440" s="565"/>
      <c r="CC440" s="565"/>
      <c r="CD440" s="565"/>
      <c r="CE440" s="565"/>
      <c r="CF440" s="565"/>
      <c r="CG440" s="565"/>
      <c r="CH440" s="565"/>
      <c r="CI440" s="565"/>
      <c r="CJ440" s="565"/>
    </row>
    <row r="441" spans="2:88" ht="171.95" customHeight="1" x14ac:dyDescent="0.25">
      <c r="B441" s="1227"/>
      <c r="C441" s="632" t="s">
        <v>1486</v>
      </c>
      <c r="D441" s="633" t="s">
        <v>45</v>
      </c>
      <c r="E441" s="633" t="s">
        <v>26</v>
      </c>
      <c r="F441" s="633" t="s">
        <v>1487</v>
      </c>
      <c r="G441" s="633" t="s">
        <v>28</v>
      </c>
      <c r="H441" s="633" t="s">
        <v>28</v>
      </c>
      <c r="I441" s="633" t="s">
        <v>269</v>
      </c>
      <c r="J441" s="633" t="s">
        <v>47</v>
      </c>
      <c r="K441" s="634" t="s">
        <v>1488</v>
      </c>
      <c r="L441" s="635" t="s">
        <v>164</v>
      </c>
      <c r="M441" s="34" t="s">
        <v>1489</v>
      </c>
      <c r="N441" s="35" t="s">
        <v>1490</v>
      </c>
      <c r="O441" s="145">
        <v>0.3</v>
      </c>
      <c r="P441" s="36">
        <v>44228</v>
      </c>
      <c r="Q441" s="36">
        <v>44286</v>
      </c>
      <c r="R441" s="171">
        <v>1</v>
      </c>
      <c r="S441" s="171">
        <v>1</v>
      </c>
      <c r="T441" s="171">
        <v>1</v>
      </c>
      <c r="U441" s="171">
        <v>1</v>
      </c>
      <c r="V441" s="90">
        <v>0.8</v>
      </c>
      <c r="W441" s="13" t="s">
        <v>1491</v>
      </c>
      <c r="X441" s="55" t="s">
        <v>3733</v>
      </c>
      <c r="Y441" s="5" t="str">
        <f t="shared" si="66"/>
        <v>Terminado</v>
      </c>
      <c r="Z441" s="5" t="str">
        <f t="shared" si="67"/>
        <v>En gestión</v>
      </c>
      <c r="AA441" s="531" t="s">
        <v>1500</v>
      </c>
      <c r="AB441" s="596">
        <f>SUMPRODUCT(O441:O443,V441:V443)</f>
        <v>0.28999999999999998</v>
      </c>
      <c r="AC441" s="597">
        <f>SUMPRODUCT(O441:O443,R441:R443)</f>
        <v>0.3</v>
      </c>
      <c r="AD441" s="610" t="str">
        <f>IF(AC441&lt;1%,"Sin iniciar",IF(AC441=100%,"Terminado","En gestión"))</f>
        <v>En gestión</v>
      </c>
      <c r="AE441" s="610" t="str">
        <f>IF(AB441&lt;1%,"Sin iniciar",IF(AB441=100%,"Terminado","En gestión"))</f>
        <v>En gestión</v>
      </c>
      <c r="AF441" s="13" t="s">
        <v>1501</v>
      </c>
      <c r="AG441" s="574">
        <v>0</v>
      </c>
      <c r="AH441" s="574">
        <v>0</v>
      </c>
      <c r="AI441" s="574">
        <v>16000000</v>
      </c>
      <c r="AJ441" s="574">
        <v>0</v>
      </c>
      <c r="AK441" s="574">
        <v>0</v>
      </c>
      <c r="AL441" s="574">
        <v>0</v>
      </c>
      <c r="AM441" s="536" t="s">
        <v>2629</v>
      </c>
      <c r="AN441" s="536" t="s">
        <v>2629</v>
      </c>
      <c r="AO441" s="536" t="s">
        <v>2629</v>
      </c>
      <c r="AP441" s="536" t="s">
        <v>2629</v>
      </c>
      <c r="AQ441" s="536" t="s">
        <v>2629</v>
      </c>
      <c r="AR441" s="1163">
        <v>0.8</v>
      </c>
      <c r="AS441" s="13" t="s">
        <v>1501</v>
      </c>
      <c r="AT441" s="13"/>
      <c r="AU441" s="56" t="str">
        <f t="shared" si="68"/>
        <v>Terminado</v>
      </c>
      <c r="AV441" s="56" t="str">
        <f t="shared" si="69"/>
        <v>En gestión</v>
      </c>
      <c r="AW441" s="531" t="s">
        <v>1507</v>
      </c>
      <c r="AX441" s="599">
        <f>SUMPRODUCT(O441:O443,AR441:AR443)</f>
        <v>0.44</v>
      </c>
      <c r="AY441" s="600">
        <f>SUMPRODUCT(S441:S443,O441:O443)</f>
        <v>0.5</v>
      </c>
      <c r="AZ441" s="536" t="str">
        <f>IF(AY441&lt;1%,"Sin iniciar",IF(AY441=100%,"Terminado","En gestión"))</f>
        <v>En gestión</v>
      </c>
      <c r="BA441" s="536" t="str">
        <f>IF(AX441&lt;1%,"Sin iniciar",IF(AX441=100%,"Terminado","En gestión"))</f>
        <v>En gestión</v>
      </c>
      <c r="BB441" s="531"/>
      <c r="BC441" s="531"/>
      <c r="BD441" s="574">
        <v>75000000</v>
      </c>
      <c r="BE441" s="574">
        <v>75000000</v>
      </c>
      <c r="BF441" s="574">
        <f>+(BE441/4)*2</f>
        <v>37500000</v>
      </c>
      <c r="BG441" s="574">
        <v>0</v>
      </c>
      <c r="BH441" s="574">
        <v>0</v>
      </c>
      <c r="BI441" s="574">
        <v>0</v>
      </c>
      <c r="BJ441" s="536" t="s">
        <v>2629</v>
      </c>
      <c r="BK441" s="536" t="s">
        <v>2629</v>
      </c>
      <c r="BL441" s="536" t="s">
        <v>2629</v>
      </c>
      <c r="BM441" s="536" t="s">
        <v>2629</v>
      </c>
      <c r="BN441" s="536"/>
      <c r="BO441" s="347">
        <v>1</v>
      </c>
      <c r="BP441" s="11" t="s">
        <v>3734</v>
      </c>
      <c r="BQ441" s="11" t="s">
        <v>3735</v>
      </c>
      <c r="BR441" s="5" t="str">
        <f t="shared" si="72"/>
        <v>Terminado</v>
      </c>
      <c r="BS441" s="5" t="str">
        <f t="shared" si="73"/>
        <v>Terminado</v>
      </c>
      <c r="BT441" s="581" t="s">
        <v>3736</v>
      </c>
      <c r="BU441" s="561">
        <f>SUMPRODUCT(O441:O443,BO441:BO443)</f>
        <v>1</v>
      </c>
      <c r="BV441" s="562">
        <f>SUMPRODUCT(O441:O443,T441:T443)</f>
        <v>1</v>
      </c>
      <c r="BW441" s="610" t="str">
        <f>IF(BV441&lt;1%,"Sin iniciar",IF(BV441=100%,"Terminado","En gestión"))</f>
        <v>Terminado</v>
      </c>
      <c r="BX441" s="610" t="str">
        <f>IF(BU441&lt;1%,"Sin iniciar",IF(BU441=100%,"Terminado","En gestión"))</f>
        <v>Terminado</v>
      </c>
      <c r="BY441" s="573" t="s">
        <v>37</v>
      </c>
      <c r="BZ441" s="573"/>
      <c r="CA441" s="574">
        <v>75000000</v>
      </c>
      <c r="CB441" s="574">
        <v>75000000</v>
      </c>
      <c r="CC441" s="574">
        <v>56250000</v>
      </c>
      <c r="CD441" s="574"/>
      <c r="CE441" s="574"/>
      <c r="CF441" s="574"/>
      <c r="CG441" s="574"/>
      <c r="CH441" s="574"/>
      <c r="CI441" s="574"/>
      <c r="CJ441" s="574"/>
    </row>
    <row r="442" spans="2:88" ht="171.95" customHeight="1" x14ac:dyDescent="0.25">
      <c r="B442" s="1227"/>
      <c r="C442" s="632"/>
      <c r="D442" s="633"/>
      <c r="E442" s="633"/>
      <c r="F442" s="633"/>
      <c r="G442" s="633"/>
      <c r="H442" s="633"/>
      <c r="I442" s="633"/>
      <c r="J442" s="633"/>
      <c r="K442" s="634"/>
      <c r="L442" s="635"/>
      <c r="M442" s="34" t="s">
        <v>1492</v>
      </c>
      <c r="N442" s="35" t="s">
        <v>1493</v>
      </c>
      <c r="O442" s="145">
        <v>0.2</v>
      </c>
      <c r="P442" s="36">
        <v>44287</v>
      </c>
      <c r="Q442" s="36">
        <v>44316</v>
      </c>
      <c r="R442" s="171">
        <v>0</v>
      </c>
      <c r="S442" s="171">
        <v>1</v>
      </c>
      <c r="T442" s="171">
        <v>1</v>
      </c>
      <c r="U442" s="171">
        <v>1</v>
      </c>
      <c r="V442" s="90">
        <v>0.25</v>
      </c>
      <c r="W442" s="13" t="s">
        <v>1494</v>
      </c>
      <c r="X442" s="55" t="s">
        <v>3737</v>
      </c>
      <c r="Y442" s="5" t="str">
        <f t="shared" si="66"/>
        <v>Sin iniciar</v>
      </c>
      <c r="Z442" s="5" t="str">
        <f t="shared" si="67"/>
        <v>En gestión</v>
      </c>
      <c r="AA442" s="531"/>
      <c r="AB442" s="596"/>
      <c r="AC442" s="597"/>
      <c r="AD442" s="610"/>
      <c r="AE442" s="610"/>
      <c r="AF442" s="56" t="s">
        <v>37</v>
      </c>
      <c r="AG442" s="574"/>
      <c r="AH442" s="574"/>
      <c r="AI442" s="574"/>
      <c r="AJ442" s="574"/>
      <c r="AK442" s="574"/>
      <c r="AL442" s="574"/>
      <c r="AM442" s="536"/>
      <c r="AN442" s="536" t="s">
        <v>2466</v>
      </c>
      <c r="AO442" s="536"/>
      <c r="AP442" s="536" t="s">
        <v>2466</v>
      </c>
      <c r="AQ442" s="536" t="s">
        <v>2466</v>
      </c>
      <c r="AR442" s="1163">
        <v>1</v>
      </c>
      <c r="AS442" s="13" t="s">
        <v>1504</v>
      </c>
      <c r="AT442" s="13" t="s">
        <v>3738</v>
      </c>
      <c r="AU442" s="56" t="str">
        <f t="shared" si="68"/>
        <v>Terminado</v>
      </c>
      <c r="AV442" s="56" t="str">
        <f t="shared" si="69"/>
        <v>Terminado</v>
      </c>
      <c r="AW442" s="531"/>
      <c r="AX442" s="599"/>
      <c r="AY442" s="600"/>
      <c r="AZ442" s="536"/>
      <c r="BA442" s="536"/>
      <c r="BB442" s="531"/>
      <c r="BC442" s="531"/>
      <c r="BD442" s="574"/>
      <c r="BE442" s="574"/>
      <c r="BF442" s="574"/>
      <c r="BG442" s="574"/>
      <c r="BH442" s="574"/>
      <c r="BI442" s="574"/>
      <c r="BJ442" s="536"/>
      <c r="BK442" s="536"/>
      <c r="BL442" s="536"/>
      <c r="BM442" s="536"/>
      <c r="BN442" s="536"/>
      <c r="BO442" s="347">
        <v>1</v>
      </c>
      <c r="BP442" s="11" t="s">
        <v>3739</v>
      </c>
      <c r="BQ442" s="11" t="s">
        <v>3739</v>
      </c>
      <c r="BR442" s="5" t="str">
        <f t="shared" si="72"/>
        <v>Terminado</v>
      </c>
      <c r="BS442" s="5" t="str">
        <f t="shared" si="73"/>
        <v>Terminado</v>
      </c>
      <c r="BT442" s="581"/>
      <c r="BU442" s="561"/>
      <c r="BV442" s="562"/>
      <c r="BW442" s="610"/>
      <c r="BX442" s="610"/>
      <c r="BY442" s="573"/>
      <c r="BZ442" s="573"/>
      <c r="CA442" s="574"/>
      <c r="CB442" s="574"/>
      <c r="CC442" s="574"/>
      <c r="CD442" s="574"/>
      <c r="CE442" s="574"/>
      <c r="CF442" s="574"/>
      <c r="CG442" s="574"/>
      <c r="CH442" s="574"/>
      <c r="CI442" s="574"/>
      <c r="CJ442" s="574"/>
    </row>
    <row r="443" spans="2:88" ht="171.95" customHeight="1" x14ac:dyDescent="0.25">
      <c r="B443" s="1227"/>
      <c r="C443" s="632"/>
      <c r="D443" s="633"/>
      <c r="E443" s="633"/>
      <c r="F443" s="633"/>
      <c r="G443" s="633"/>
      <c r="H443" s="633"/>
      <c r="I443" s="633"/>
      <c r="J443" s="633"/>
      <c r="K443" s="634"/>
      <c r="L443" s="635"/>
      <c r="M443" s="34" t="s">
        <v>1495</v>
      </c>
      <c r="N443" s="35" t="s">
        <v>1496</v>
      </c>
      <c r="O443" s="145">
        <v>0.5</v>
      </c>
      <c r="P443" s="36">
        <v>44317</v>
      </c>
      <c r="Q443" s="36">
        <v>44408</v>
      </c>
      <c r="R443" s="171">
        <v>0</v>
      </c>
      <c r="S443" s="171">
        <v>0</v>
      </c>
      <c r="T443" s="171">
        <v>1</v>
      </c>
      <c r="U443" s="171">
        <v>1</v>
      </c>
      <c r="V443" s="90">
        <v>0</v>
      </c>
      <c r="W443" s="56" t="s">
        <v>37</v>
      </c>
      <c r="X443" s="94" t="s">
        <v>37</v>
      </c>
      <c r="Y443" s="5" t="str">
        <f t="shared" si="66"/>
        <v>Sin iniciar</v>
      </c>
      <c r="Z443" s="5" t="str">
        <f t="shared" si="67"/>
        <v>Sin iniciar</v>
      </c>
      <c r="AA443" s="531"/>
      <c r="AB443" s="596"/>
      <c r="AC443" s="597"/>
      <c r="AD443" s="610"/>
      <c r="AE443" s="610"/>
      <c r="AF443" s="56" t="s">
        <v>37</v>
      </c>
      <c r="AG443" s="574"/>
      <c r="AH443" s="574"/>
      <c r="AI443" s="574"/>
      <c r="AJ443" s="574"/>
      <c r="AK443" s="574"/>
      <c r="AL443" s="574"/>
      <c r="AM443" s="536"/>
      <c r="AN443" s="536" t="s">
        <v>2466</v>
      </c>
      <c r="AO443" s="536"/>
      <c r="AP443" s="536" t="s">
        <v>2466</v>
      </c>
      <c r="AQ443" s="536" t="s">
        <v>2466</v>
      </c>
      <c r="AR443" s="1163">
        <v>0</v>
      </c>
      <c r="AS443" s="56" t="s">
        <v>2437</v>
      </c>
      <c r="AT443" s="56"/>
      <c r="AU443" s="56" t="str">
        <f t="shared" si="68"/>
        <v>Sin iniciar</v>
      </c>
      <c r="AV443" s="56" t="str">
        <f t="shared" si="69"/>
        <v>Sin iniciar</v>
      </c>
      <c r="AW443" s="531"/>
      <c r="AX443" s="599"/>
      <c r="AY443" s="600"/>
      <c r="AZ443" s="536"/>
      <c r="BA443" s="536"/>
      <c r="BB443" s="531"/>
      <c r="BC443" s="531"/>
      <c r="BD443" s="574"/>
      <c r="BE443" s="574"/>
      <c r="BF443" s="574"/>
      <c r="BG443" s="574"/>
      <c r="BH443" s="574"/>
      <c r="BI443" s="574"/>
      <c r="BJ443" s="536"/>
      <c r="BK443" s="536"/>
      <c r="BL443" s="536"/>
      <c r="BM443" s="536"/>
      <c r="BN443" s="536"/>
      <c r="BO443" s="347">
        <v>1</v>
      </c>
      <c r="BP443" s="11" t="s">
        <v>3740</v>
      </c>
      <c r="BQ443" s="11" t="s">
        <v>3741</v>
      </c>
      <c r="BR443" s="5" t="str">
        <f t="shared" si="72"/>
        <v>Terminado</v>
      </c>
      <c r="BS443" s="5" t="str">
        <f t="shared" si="73"/>
        <v>Terminado</v>
      </c>
      <c r="BT443" s="581"/>
      <c r="BU443" s="561"/>
      <c r="BV443" s="562"/>
      <c r="BW443" s="610"/>
      <c r="BX443" s="610"/>
      <c r="BY443" s="573"/>
      <c r="BZ443" s="573"/>
      <c r="CA443" s="574"/>
      <c r="CB443" s="574"/>
      <c r="CC443" s="574"/>
      <c r="CD443" s="574"/>
      <c r="CE443" s="574"/>
      <c r="CF443" s="574"/>
      <c r="CG443" s="574"/>
      <c r="CH443" s="574"/>
      <c r="CI443" s="574"/>
      <c r="CJ443" s="574"/>
    </row>
    <row r="444" spans="2:88" ht="171.95" customHeight="1" x14ac:dyDescent="0.25">
      <c r="B444" s="1227" t="s">
        <v>5232</v>
      </c>
      <c r="C444" s="639" t="s">
        <v>1508</v>
      </c>
      <c r="D444" s="640" t="s">
        <v>233</v>
      </c>
      <c r="E444" s="640" t="s">
        <v>26</v>
      </c>
      <c r="F444" s="640" t="s">
        <v>1509</v>
      </c>
      <c r="G444" s="640" t="s">
        <v>473</v>
      </c>
      <c r="H444" s="640" t="s">
        <v>28</v>
      </c>
      <c r="I444" s="640" t="s">
        <v>269</v>
      </c>
      <c r="J444" s="640" t="s">
        <v>185</v>
      </c>
      <c r="K444" s="641" t="s">
        <v>1510</v>
      </c>
      <c r="L444" s="642" t="s">
        <v>164</v>
      </c>
      <c r="M444" s="42" t="s">
        <v>1511</v>
      </c>
      <c r="N444" s="43" t="s">
        <v>1512</v>
      </c>
      <c r="O444" s="147">
        <v>0.1</v>
      </c>
      <c r="P444" s="44">
        <v>44228</v>
      </c>
      <c r="Q444" s="44">
        <v>44253</v>
      </c>
      <c r="R444" s="170">
        <v>1</v>
      </c>
      <c r="S444" s="170">
        <v>1</v>
      </c>
      <c r="T444" s="170">
        <v>1</v>
      </c>
      <c r="U444" s="170">
        <v>1</v>
      </c>
      <c r="V444" s="90">
        <v>1</v>
      </c>
      <c r="W444" s="62" t="s">
        <v>1513</v>
      </c>
      <c r="X444" s="63" t="s">
        <v>3742</v>
      </c>
      <c r="Y444" s="19" t="str">
        <f t="shared" si="66"/>
        <v>Terminado</v>
      </c>
      <c r="Z444" s="19" t="str">
        <f t="shared" si="67"/>
        <v>Terminado</v>
      </c>
      <c r="AA444" s="532" t="s">
        <v>1535</v>
      </c>
      <c r="AB444" s="596">
        <f>SUMPRODUCT(O444:O448,V444:V448)</f>
        <v>0.30000000000000004</v>
      </c>
      <c r="AC444" s="597">
        <f>SUMPRODUCT(O444:O448,R444:R448)</f>
        <v>0.30000000000000004</v>
      </c>
      <c r="AD444" s="611" t="str">
        <f>IF(AC444&lt;1%,"Sin iniciar",IF(AC444=100%,"Terminado","En gestión"))</f>
        <v>En gestión</v>
      </c>
      <c r="AE444" s="611" t="str">
        <f>IF(AB444&lt;1%,"Sin iniciar",IF(AB444=100%,"Terminado","En gestión"))</f>
        <v>En gestión</v>
      </c>
      <c r="AF444" s="66"/>
      <c r="AG444" s="579">
        <f>(2369272+3081918)*0.2*10</f>
        <v>10902380</v>
      </c>
      <c r="AH444" s="590">
        <f>+AG444</f>
        <v>10902380</v>
      </c>
      <c r="AI444" s="579">
        <f>+AH444*3/10</f>
        <v>3270714</v>
      </c>
      <c r="AJ444" s="579">
        <f>15000000+15000000</f>
        <v>30000000</v>
      </c>
      <c r="AK444" s="579">
        <v>30000000</v>
      </c>
      <c r="AL444" s="579">
        <f>+(15000000/6*2)+(15000000/6*1)</f>
        <v>7500000</v>
      </c>
      <c r="AM444" s="532" t="s">
        <v>2630</v>
      </c>
      <c r="AN444" s="607" t="s">
        <v>3743</v>
      </c>
      <c r="AO444" s="532" t="s">
        <v>2471</v>
      </c>
      <c r="AP444" s="530" t="s">
        <v>2631</v>
      </c>
      <c r="AQ444" s="66"/>
      <c r="AR444" s="1163">
        <v>1</v>
      </c>
      <c r="AS444" s="62" t="s">
        <v>2434</v>
      </c>
      <c r="AT444" s="63" t="s">
        <v>37</v>
      </c>
      <c r="AU444" s="66" t="str">
        <f t="shared" si="68"/>
        <v>Terminado</v>
      </c>
      <c r="AV444" s="66" t="str">
        <f t="shared" si="69"/>
        <v>Terminado</v>
      </c>
      <c r="AW444" s="532" t="s">
        <v>1539</v>
      </c>
      <c r="AX444" s="599">
        <f>SUMPRODUCT(O444:O448,AR444:AR448)</f>
        <v>0.67500000000000004</v>
      </c>
      <c r="AY444" s="600">
        <f>SUMPRODUCT(S444:S448,O444:O448)</f>
        <v>0.67500000000000004</v>
      </c>
      <c r="AZ444" s="530" t="str">
        <f>IF(AY444&lt;1%,"Sin iniciar",IF(AY444=100%,"Terminado","En gestión"))</f>
        <v>En gestión</v>
      </c>
      <c r="BA444" s="530" t="str">
        <f>IF(AX444&lt;1%,"Sin iniciar",IF(AX444=100%,"Terminado","En gestión"))</f>
        <v>En gestión</v>
      </c>
      <c r="BB444" s="66"/>
      <c r="BC444" s="66" t="s">
        <v>1540</v>
      </c>
      <c r="BD444" s="579">
        <v>10902380</v>
      </c>
      <c r="BE444" s="590">
        <v>10902380</v>
      </c>
      <c r="BF444" s="579">
        <v>6541428</v>
      </c>
      <c r="BG444" s="579">
        <v>30000000</v>
      </c>
      <c r="BH444" s="579">
        <v>30000000</v>
      </c>
      <c r="BI444" s="579">
        <v>22500000</v>
      </c>
      <c r="BJ444" s="532" t="s">
        <v>2630</v>
      </c>
      <c r="BK444" s="607" t="s">
        <v>3743</v>
      </c>
      <c r="BL444" s="532" t="s">
        <v>2471</v>
      </c>
      <c r="BM444" s="530" t="s">
        <v>2631</v>
      </c>
      <c r="BN444" s="530" t="s">
        <v>2529</v>
      </c>
      <c r="BO444" s="347">
        <v>1</v>
      </c>
      <c r="BP444" s="25" t="s">
        <v>2434</v>
      </c>
      <c r="BQ444" s="25" t="s">
        <v>2434</v>
      </c>
      <c r="BR444" s="19" t="str">
        <f t="shared" ref="BR444:BR452" si="74">IF(T444&lt;1%,"Sin iniciar",IF(T444=100%,"Terminado","En gestión"))</f>
        <v>Terminado</v>
      </c>
      <c r="BS444" s="19" t="str">
        <f t="shared" ref="BS444:BS452" si="75">IF(BO444&lt;1%,"Sin iniciar",IF(BO444=100%,"Terminado","En gestión"))</f>
        <v>Terminado</v>
      </c>
      <c r="BT444" s="532" t="s">
        <v>3744</v>
      </c>
      <c r="BU444" s="561">
        <f>SUMPRODUCT(O444:O448,BO444:BO448)</f>
        <v>0.9</v>
      </c>
      <c r="BV444" s="562">
        <f>SUMPRODUCT(O444:O448,T444:T448)</f>
        <v>0.9</v>
      </c>
      <c r="BW444" s="611" t="str">
        <f>IF(BV444&lt;1%,"Sin iniciar",IF(BV444=100%,"Terminado","En gestión"))</f>
        <v>En gestión</v>
      </c>
      <c r="BX444" s="611" t="str">
        <f>IF(BU444&lt;1%,"Sin iniciar",IF(BU444=100%,"Terminado","En gestión"))</f>
        <v>En gestión</v>
      </c>
      <c r="BY444" s="578" t="s">
        <v>37</v>
      </c>
      <c r="BZ444" s="530" t="s">
        <v>1540</v>
      </c>
      <c r="CA444" s="579">
        <v>10902380</v>
      </c>
      <c r="CB444" s="590">
        <v>10902380</v>
      </c>
      <c r="CC444" s="579">
        <v>6541428</v>
      </c>
      <c r="CD444" s="579">
        <v>30000000</v>
      </c>
      <c r="CE444" s="579">
        <v>30000000</v>
      </c>
      <c r="CF444" s="579">
        <v>22500000</v>
      </c>
      <c r="CG444" s="532" t="s">
        <v>2630</v>
      </c>
      <c r="CH444" s="532" t="s">
        <v>2471</v>
      </c>
      <c r="CI444" s="530" t="s">
        <v>2631</v>
      </c>
      <c r="CJ444" s="530" t="s">
        <v>2529</v>
      </c>
    </row>
    <row r="445" spans="2:88" ht="171.95" customHeight="1" x14ac:dyDescent="0.25">
      <c r="B445" s="1227"/>
      <c r="C445" s="639"/>
      <c r="D445" s="640"/>
      <c r="E445" s="640"/>
      <c r="F445" s="640"/>
      <c r="G445" s="640"/>
      <c r="H445" s="640"/>
      <c r="I445" s="640"/>
      <c r="J445" s="640"/>
      <c r="K445" s="641"/>
      <c r="L445" s="642"/>
      <c r="M445" s="42" t="s">
        <v>1514</v>
      </c>
      <c r="N445" s="43" t="s">
        <v>1515</v>
      </c>
      <c r="O445" s="147">
        <v>0.2</v>
      </c>
      <c r="P445" s="44">
        <v>44256</v>
      </c>
      <c r="Q445" s="44">
        <v>44286</v>
      </c>
      <c r="R445" s="170">
        <v>1</v>
      </c>
      <c r="S445" s="170">
        <v>1</v>
      </c>
      <c r="T445" s="170">
        <v>1</v>
      </c>
      <c r="U445" s="170">
        <v>1</v>
      </c>
      <c r="V445" s="90">
        <v>1</v>
      </c>
      <c r="W445" s="62" t="s">
        <v>1516</v>
      </c>
      <c r="X445" s="63" t="s">
        <v>3745</v>
      </c>
      <c r="Y445" s="19" t="str">
        <f t="shared" si="66"/>
        <v>Terminado</v>
      </c>
      <c r="Z445" s="19" t="str">
        <f t="shared" si="67"/>
        <v>Terminado</v>
      </c>
      <c r="AA445" s="532"/>
      <c r="AB445" s="596"/>
      <c r="AC445" s="597"/>
      <c r="AD445" s="611"/>
      <c r="AE445" s="611"/>
      <c r="AF445" s="66"/>
      <c r="AG445" s="579"/>
      <c r="AH445" s="530"/>
      <c r="AI445" s="579"/>
      <c r="AJ445" s="579"/>
      <c r="AK445" s="579"/>
      <c r="AL445" s="579"/>
      <c r="AM445" s="532"/>
      <c r="AN445" s="607"/>
      <c r="AO445" s="532"/>
      <c r="AP445" s="530" t="s">
        <v>2466</v>
      </c>
      <c r="AQ445" s="66"/>
      <c r="AR445" s="1163">
        <v>1</v>
      </c>
      <c r="AS445" s="62" t="s">
        <v>2434</v>
      </c>
      <c r="AT445" s="63" t="s">
        <v>37</v>
      </c>
      <c r="AU445" s="66" t="str">
        <f t="shared" si="68"/>
        <v>Terminado</v>
      </c>
      <c r="AV445" s="66" t="str">
        <f t="shared" si="69"/>
        <v>Terminado</v>
      </c>
      <c r="AW445" s="532"/>
      <c r="AX445" s="599"/>
      <c r="AY445" s="600"/>
      <c r="AZ445" s="530"/>
      <c r="BA445" s="530"/>
      <c r="BB445" s="66"/>
      <c r="BC445" s="66" t="s">
        <v>1540</v>
      </c>
      <c r="BD445" s="579"/>
      <c r="BE445" s="530"/>
      <c r="BF445" s="579"/>
      <c r="BG445" s="579"/>
      <c r="BH445" s="579"/>
      <c r="BI445" s="579"/>
      <c r="BJ445" s="532"/>
      <c r="BK445" s="607"/>
      <c r="BL445" s="532"/>
      <c r="BM445" s="530" t="s">
        <v>2466</v>
      </c>
      <c r="BN445" s="530"/>
      <c r="BO445" s="347">
        <v>1</v>
      </c>
      <c r="BP445" s="25" t="s">
        <v>2434</v>
      </c>
      <c r="BQ445" s="25" t="s">
        <v>2434</v>
      </c>
      <c r="BR445" s="19" t="str">
        <f t="shared" si="74"/>
        <v>Terminado</v>
      </c>
      <c r="BS445" s="19" t="str">
        <f t="shared" si="75"/>
        <v>Terminado</v>
      </c>
      <c r="BT445" s="532"/>
      <c r="BU445" s="561"/>
      <c r="BV445" s="562"/>
      <c r="BW445" s="611"/>
      <c r="BX445" s="611"/>
      <c r="BY445" s="578"/>
      <c r="BZ445" s="530"/>
      <c r="CA445" s="579"/>
      <c r="CB445" s="530"/>
      <c r="CC445" s="579"/>
      <c r="CD445" s="579"/>
      <c r="CE445" s="579"/>
      <c r="CF445" s="579"/>
      <c r="CG445" s="532"/>
      <c r="CH445" s="532"/>
      <c r="CI445" s="530" t="s">
        <v>2466</v>
      </c>
      <c r="CJ445" s="530"/>
    </row>
    <row r="446" spans="2:88" ht="171.95" customHeight="1" x14ac:dyDescent="0.25">
      <c r="B446" s="1227"/>
      <c r="C446" s="639"/>
      <c r="D446" s="640"/>
      <c r="E446" s="640"/>
      <c r="F446" s="640"/>
      <c r="G446" s="640"/>
      <c r="H446" s="640"/>
      <c r="I446" s="640"/>
      <c r="J446" s="640"/>
      <c r="K446" s="641"/>
      <c r="L446" s="642"/>
      <c r="M446" s="42" t="s">
        <v>1517</v>
      </c>
      <c r="N446" s="43" t="s">
        <v>1518</v>
      </c>
      <c r="O446" s="147">
        <v>0.5</v>
      </c>
      <c r="P446" s="44">
        <v>44287</v>
      </c>
      <c r="Q446" s="44">
        <v>44408</v>
      </c>
      <c r="R446" s="170">
        <v>0</v>
      </c>
      <c r="S446" s="170">
        <v>0.75</v>
      </c>
      <c r="T446" s="170">
        <v>1</v>
      </c>
      <c r="U446" s="170">
        <v>1</v>
      </c>
      <c r="V446" s="90">
        <v>0</v>
      </c>
      <c r="W446" s="66" t="s">
        <v>37</v>
      </c>
      <c r="X446" s="91" t="s">
        <v>37</v>
      </c>
      <c r="Y446" s="19" t="str">
        <f t="shared" si="66"/>
        <v>Sin iniciar</v>
      </c>
      <c r="Z446" s="19" t="str">
        <f t="shared" si="67"/>
        <v>Sin iniciar</v>
      </c>
      <c r="AA446" s="532"/>
      <c r="AB446" s="596"/>
      <c r="AC446" s="597"/>
      <c r="AD446" s="611"/>
      <c r="AE446" s="611"/>
      <c r="AF446" s="66"/>
      <c r="AG446" s="579"/>
      <c r="AH446" s="530"/>
      <c r="AI446" s="579"/>
      <c r="AJ446" s="579"/>
      <c r="AK446" s="579"/>
      <c r="AL446" s="579"/>
      <c r="AM446" s="532"/>
      <c r="AN446" s="607"/>
      <c r="AO446" s="532"/>
      <c r="AP446" s="530" t="s">
        <v>2466</v>
      </c>
      <c r="AQ446" s="66"/>
      <c r="AR446" s="1163">
        <v>0.75</v>
      </c>
      <c r="AS446" s="62" t="s">
        <v>1537</v>
      </c>
      <c r="AT446" s="91" t="s">
        <v>3746</v>
      </c>
      <c r="AU446" s="66" t="str">
        <f t="shared" si="68"/>
        <v>En gestión</v>
      </c>
      <c r="AV446" s="66" t="str">
        <f t="shared" si="69"/>
        <v>En gestión</v>
      </c>
      <c r="AW446" s="532"/>
      <c r="AX446" s="599"/>
      <c r="AY446" s="600"/>
      <c r="AZ446" s="530"/>
      <c r="BA446" s="530"/>
      <c r="BB446" s="66"/>
      <c r="BC446" s="66" t="s">
        <v>1540</v>
      </c>
      <c r="BD446" s="579"/>
      <c r="BE446" s="530"/>
      <c r="BF446" s="579"/>
      <c r="BG446" s="579"/>
      <c r="BH446" s="579"/>
      <c r="BI446" s="579"/>
      <c r="BJ446" s="532"/>
      <c r="BK446" s="607"/>
      <c r="BL446" s="532"/>
      <c r="BM446" s="530" t="s">
        <v>2466</v>
      </c>
      <c r="BN446" s="530"/>
      <c r="BO446" s="347">
        <v>1</v>
      </c>
      <c r="BP446" s="24" t="s">
        <v>3747</v>
      </c>
      <c r="BQ446" s="24" t="s">
        <v>3748</v>
      </c>
      <c r="BR446" s="19" t="str">
        <f t="shared" si="74"/>
        <v>Terminado</v>
      </c>
      <c r="BS446" s="19" t="str">
        <f t="shared" si="75"/>
        <v>Terminado</v>
      </c>
      <c r="BT446" s="532"/>
      <c r="BU446" s="561"/>
      <c r="BV446" s="562"/>
      <c r="BW446" s="611"/>
      <c r="BX446" s="611"/>
      <c r="BY446" s="578"/>
      <c r="BZ446" s="530"/>
      <c r="CA446" s="579"/>
      <c r="CB446" s="530"/>
      <c r="CC446" s="579"/>
      <c r="CD446" s="579"/>
      <c r="CE446" s="579"/>
      <c r="CF446" s="579"/>
      <c r="CG446" s="532"/>
      <c r="CH446" s="532"/>
      <c r="CI446" s="530" t="s">
        <v>2466</v>
      </c>
      <c r="CJ446" s="530"/>
    </row>
    <row r="447" spans="2:88" ht="171.95" customHeight="1" x14ac:dyDescent="0.25">
      <c r="B447" s="1227"/>
      <c r="C447" s="639"/>
      <c r="D447" s="640"/>
      <c r="E447" s="640"/>
      <c r="F447" s="640"/>
      <c r="G447" s="640"/>
      <c r="H447" s="640"/>
      <c r="I447" s="640"/>
      <c r="J447" s="640"/>
      <c r="K447" s="641"/>
      <c r="L447" s="642"/>
      <c r="M447" s="42" t="s">
        <v>1519</v>
      </c>
      <c r="N447" s="43" t="s">
        <v>1520</v>
      </c>
      <c r="O447" s="147">
        <v>0.1</v>
      </c>
      <c r="P447" s="44">
        <v>44409</v>
      </c>
      <c r="Q447" s="44">
        <v>44469</v>
      </c>
      <c r="R447" s="170">
        <v>0</v>
      </c>
      <c r="S447" s="170">
        <v>0</v>
      </c>
      <c r="T447" s="170">
        <v>1</v>
      </c>
      <c r="U447" s="170">
        <v>1</v>
      </c>
      <c r="V447" s="90">
        <v>0</v>
      </c>
      <c r="W447" s="66" t="s">
        <v>37</v>
      </c>
      <c r="X447" s="91" t="s">
        <v>37</v>
      </c>
      <c r="Y447" s="19" t="str">
        <f t="shared" si="66"/>
        <v>Sin iniciar</v>
      </c>
      <c r="Z447" s="19" t="str">
        <f t="shared" si="67"/>
        <v>Sin iniciar</v>
      </c>
      <c r="AA447" s="532"/>
      <c r="AB447" s="596"/>
      <c r="AC447" s="597"/>
      <c r="AD447" s="611"/>
      <c r="AE447" s="611"/>
      <c r="AF447" s="66"/>
      <c r="AG447" s="579"/>
      <c r="AH447" s="530"/>
      <c r="AI447" s="579"/>
      <c r="AJ447" s="579"/>
      <c r="AK447" s="579"/>
      <c r="AL447" s="579"/>
      <c r="AM447" s="532"/>
      <c r="AN447" s="607"/>
      <c r="AO447" s="532"/>
      <c r="AP447" s="530" t="s">
        <v>2466</v>
      </c>
      <c r="AQ447" s="66"/>
      <c r="AR447" s="1163">
        <v>0</v>
      </c>
      <c r="AS447" s="62" t="s">
        <v>2437</v>
      </c>
      <c r="AT447" s="63" t="s">
        <v>37</v>
      </c>
      <c r="AU447" s="66" t="str">
        <f t="shared" si="68"/>
        <v>Sin iniciar</v>
      </c>
      <c r="AV447" s="66" t="str">
        <f t="shared" si="69"/>
        <v>Sin iniciar</v>
      </c>
      <c r="AW447" s="532"/>
      <c r="AX447" s="599"/>
      <c r="AY447" s="600"/>
      <c r="AZ447" s="530"/>
      <c r="BA447" s="530"/>
      <c r="BB447" s="66"/>
      <c r="BC447" s="66" t="s">
        <v>1540</v>
      </c>
      <c r="BD447" s="579"/>
      <c r="BE447" s="530"/>
      <c r="BF447" s="579"/>
      <c r="BG447" s="579"/>
      <c r="BH447" s="579"/>
      <c r="BI447" s="579"/>
      <c r="BJ447" s="532"/>
      <c r="BK447" s="607"/>
      <c r="BL447" s="532"/>
      <c r="BM447" s="530" t="s">
        <v>2466</v>
      </c>
      <c r="BN447" s="530"/>
      <c r="BO447" s="347">
        <v>1</v>
      </c>
      <c r="BP447" s="24" t="s">
        <v>3749</v>
      </c>
      <c r="BQ447" s="24" t="s">
        <v>3750</v>
      </c>
      <c r="BR447" s="19" t="str">
        <f t="shared" si="74"/>
        <v>Terminado</v>
      </c>
      <c r="BS447" s="19" t="str">
        <f t="shared" si="75"/>
        <v>Terminado</v>
      </c>
      <c r="BT447" s="532"/>
      <c r="BU447" s="561"/>
      <c r="BV447" s="562"/>
      <c r="BW447" s="611"/>
      <c r="BX447" s="611"/>
      <c r="BY447" s="578"/>
      <c r="BZ447" s="530"/>
      <c r="CA447" s="579"/>
      <c r="CB447" s="530"/>
      <c r="CC447" s="579"/>
      <c r="CD447" s="579"/>
      <c r="CE447" s="579"/>
      <c r="CF447" s="579"/>
      <c r="CG447" s="532"/>
      <c r="CH447" s="532"/>
      <c r="CI447" s="530" t="s">
        <v>2466</v>
      </c>
      <c r="CJ447" s="530"/>
    </row>
    <row r="448" spans="2:88" ht="171.95" customHeight="1" x14ac:dyDescent="0.25">
      <c r="B448" s="1227"/>
      <c r="C448" s="639"/>
      <c r="D448" s="640"/>
      <c r="E448" s="640"/>
      <c r="F448" s="640"/>
      <c r="G448" s="640"/>
      <c r="H448" s="640"/>
      <c r="I448" s="640"/>
      <c r="J448" s="640"/>
      <c r="K448" s="641"/>
      <c r="L448" s="642"/>
      <c r="M448" s="42" t="s">
        <v>1521</v>
      </c>
      <c r="N448" s="43" t="s">
        <v>1522</v>
      </c>
      <c r="O448" s="147">
        <v>0.1</v>
      </c>
      <c r="P448" s="44">
        <v>44470</v>
      </c>
      <c r="Q448" s="44">
        <v>44500</v>
      </c>
      <c r="R448" s="170">
        <v>0</v>
      </c>
      <c r="S448" s="170">
        <v>0</v>
      </c>
      <c r="T448" s="170">
        <v>0</v>
      </c>
      <c r="U448" s="170">
        <v>1</v>
      </c>
      <c r="V448" s="90">
        <v>0</v>
      </c>
      <c r="W448" s="66" t="s">
        <v>37</v>
      </c>
      <c r="X448" s="91" t="s">
        <v>37</v>
      </c>
      <c r="Y448" s="19" t="str">
        <f t="shared" si="66"/>
        <v>Sin iniciar</v>
      </c>
      <c r="Z448" s="19" t="str">
        <f t="shared" si="67"/>
        <v>Sin iniciar</v>
      </c>
      <c r="AA448" s="532"/>
      <c r="AB448" s="596"/>
      <c r="AC448" s="597"/>
      <c r="AD448" s="611"/>
      <c r="AE448" s="611"/>
      <c r="AF448" s="66"/>
      <c r="AG448" s="579"/>
      <c r="AH448" s="530"/>
      <c r="AI448" s="579"/>
      <c r="AJ448" s="579"/>
      <c r="AK448" s="579"/>
      <c r="AL448" s="579"/>
      <c r="AM448" s="532"/>
      <c r="AN448" s="607"/>
      <c r="AO448" s="532"/>
      <c r="AP448" s="530" t="s">
        <v>2466</v>
      </c>
      <c r="AQ448" s="66"/>
      <c r="AR448" s="1163">
        <v>0</v>
      </c>
      <c r="AS448" s="62" t="s">
        <v>2437</v>
      </c>
      <c r="AT448" s="63" t="s">
        <v>37</v>
      </c>
      <c r="AU448" s="66" t="str">
        <f t="shared" si="68"/>
        <v>Sin iniciar</v>
      </c>
      <c r="AV448" s="66" t="str">
        <f t="shared" si="69"/>
        <v>Sin iniciar</v>
      </c>
      <c r="AW448" s="532"/>
      <c r="AX448" s="599"/>
      <c r="AY448" s="600"/>
      <c r="AZ448" s="530"/>
      <c r="BA448" s="530"/>
      <c r="BB448" s="66"/>
      <c r="BC448" s="66" t="s">
        <v>1540</v>
      </c>
      <c r="BD448" s="579"/>
      <c r="BE448" s="530"/>
      <c r="BF448" s="579"/>
      <c r="BG448" s="579"/>
      <c r="BH448" s="579"/>
      <c r="BI448" s="579"/>
      <c r="BJ448" s="532"/>
      <c r="BK448" s="607"/>
      <c r="BL448" s="532"/>
      <c r="BM448" s="530" t="s">
        <v>2466</v>
      </c>
      <c r="BN448" s="530"/>
      <c r="BO448" s="347">
        <v>0</v>
      </c>
      <c r="BP448" s="25" t="s">
        <v>3751</v>
      </c>
      <c r="BQ448" s="25" t="s">
        <v>3752</v>
      </c>
      <c r="BR448" s="19" t="str">
        <f t="shared" si="74"/>
        <v>Sin iniciar</v>
      </c>
      <c r="BS448" s="19" t="str">
        <f t="shared" si="75"/>
        <v>Sin iniciar</v>
      </c>
      <c r="BT448" s="532"/>
      <c r="BU448" s="561"/>
      <c r="BV448" s="562"/>
      <c r="BW448" s="611"/>
      <c r="BX448" s="611"/>
      <c r="BY448" s="578"/>
      <c r="BZ448" s="530"/>
      <c r="CA448" s="579"/>
      <c r="CB448" s="530"/>
      <c r="CC448" s="579"/>
      <c r="CD448" s="579"/>
      <c r="CE448" s="579"/>
      <c r="CF448" s="579"/>
      <c r="CG448" s="532"/>
      <c r="CH448" s="532"/>
      <c r="CI448" s="530" t="s">
        <v>2466</v>
      </c>
      <c r="CJ448" s="530"/>
    </row>
    <row r="449" spans="2:88" ht="171.95" customHeight="1" x14ac:dyDescent="0.25">
      <c r="B449" s="1227"/>
      <c r="C449" s="632" t="s">
        <v>1523</v>
      </c>
      <c r="D449" s="633" t="s">
        <v>233</v>
      </c>
      <c r="E449" s="633" t="s">
        <v>26</v>
      </c>
      <c r="F449" s="633" t="s">
        <v>1524</v>
      </c>
      <c r="G449" s="633" t="s">
        <v>473</v>
      </c>
      <c r="H449" s="633" t="s">
        <v>28</v>
      </c>
      <c r="I449" s="633" t="s">
        <v>269</v>
      </c>
      <c r="J449" s="633" t="s">
        <v>185</v>
      </c>
      <c r="K449" s="634" t="s">
        <v>1525</v>
      </c>
      <c r="L449" s="635" t="s">
        <v>164</v>
      </c>
      <c r="M449" s="34" t="s">
        <v>1526</v>
      </c>
      <c r="N449" s="35" t="s">
        <v>1527</v>
      </c>
      <c r="O449" s="145">
        <v>0.2</v>
      </c>
      <c r="P449" s="36">
        <v>44228</v>
      </c>
      <c r="Q449" s="36">
        <v>44253</v>
      </c>
      <c r="R449" s="171">
        <v>1</v>
      </c>
      <c r="S449" s="171">
        <v>1</v>
      </c>
      <c r="T449" s="171">
        <v>1</v>
      </c>
      <c r="U449" s="171">
        <v>1</v>
      </c>
      <c r="V449" s="90">
        <v>1</v>
      </c>
      <c r="W449" s="13" t="s">
        <v>1528</v>
      </c>
      <c r="X449" s="55" t="s">
        <v>3753</v>
      </c>
      <c r="Y449" s="5" t="str">
        <f t="shared" si="66"/>
        <v>Terminado</v>
      </c>
      <c r="Z449" s="5" t="str">
        <f t="shared" si="67"/>
        <v>Terminado</v>
      </c>
      <c r="AA449" s="531" t="s">
        <v>1536</v>
      </c>
      <c r="AB449" s="596">
        <f>SUMPRODUCT(O449:O452,V449:V452)</f>
        <v>0.5</v>
      </c>
      <c r="AC449" s="597">
        <f>SUMPRODUCT(O449:O452,R449:R452)</f>
        <v>0.5</v>
      </c>
      <c r="AD449" s="610" t="str">
        <f>IF(AC449&lt;1%,"Sin iniciar",IF(AC449=100%,"Terminado","En gestión"))</f>
        <v>En gestión</v>
      </c>
      <c r="AE449" s="610" t="str">
        <f>IF(AB449&lt;1%,"Sin iniciar",IF(AB449=100%,"Terminado","En gestión"))</f>
        <v>En gestión</v>
      </c>
      <c r="AF449" s="56"/>
      <c r="AG449" s="583">
        <f>(2369272+3081918)*0.2*10</f>
        <v>10902380</v>
      </c>
      <c r="AH449" s="660">
        <f>+AG449</f>
        <v>10902380</v>
      </c>
      <c r="AI449" s="583">
        <f>+AH449*3/10</f>
        <v>3270714</v>
      </c>
      <c r="AJ449" s="583">
        <f>15000000+15000000</f>
        <v>30000000</v>
      </c>
      <c r="AK449" s="583">
        <v>30000000</v>
      </c>
      <c r="AL449" s="583">
        <f>+(15000000/6*2)+(15000000/6*1)</f>
        <v>7500000</v>
      </c>
      <c r="AM449" s="531" t="s">
        <v>2630</v>
      </c>
      <c r="AN449" s="605" t="s">
        <v>3743</v>
      </c>
      <c r="AO449" s="531" t="s">
        <v>2471</v>
      </c>
      <c r="AP449" s="536" t="s">
        <v>2631</v>
      </c>
      <c r="AQ449" s="56"/>
      <c r="AR449" s="1163">
        <v>1</v>
      </c>
      <c r="AS449" s="13" t="s">
        <v>2434</v>
      </c>
      <c r="AT449" s="55" t="s">
        <v>37</v>
      </c>
      <c r="AU449" s="56" t="str">
        <f t="shared" si="68"/>
        <v>Terminado</v>
      </c>
      <c r="AV449" s="56" t="str">
        <f t="shared" si="69"/>
        <v>Terminado</v>
      </c>
      <c r="AW449" s="531" t="s">
        <v>1541</v>
      </c>
      <c r="AX449" s="599">
        <f>SUMPRODUCT(O449:O452,AR449:AR452)</f>
        <v>0.55000000000000004</v>
      </c>
      <c r="AY449" s="600">
        <f>SUMPRODUCT(S449:S452,O449:O452)</f>
        <v>0.55000000000000004</v>
      </c>
      <c r="AZ449" s="536" t="str">
        <f>IF(AY449&lt;1%,"Sin iniciar",IF(AY449=100%,"Terminado","En gestión"))</f>
        <v>En gestión</v>
      </c>
      <c r="BA449" s="536" t="str">
        <f>IF(AX449&lt;1%,"Sin iniciar",IF(AX449=100%,"Terminado","En gestión"))</f>
        <v>En gestión</v>
      </c>
      <c r="BB449" s="56"/>
      <c r="BC449" s="56" t="s">
        <v>1542</v>
      </c>
      <c r="BD449" s="583">
        <v>10902380</v>
      </c>
      <c r="BE449" s="660">
        <v>10902380</v>
      </c>
      <c r="BF449" s="583">
        <v>6541428</v>
      </c>
      <c r="BG449" s="583">
        <v>30000000</v>
      </c>
      <c r="BH449" s="583">
        <v>30000000</v>
      </c>
      <c r="BI449" s="583">
        <v>22500000</v>
      </c>
      <c r="BJ449" s="531" t="s">
        <v>2630</v>
      </c>
      <c r="BK449" s="605" t="s">
        <v>3743</v>
      </c>
      <c r="BL449" s="531" t="s">
        <v>2471</v>
      </c>
      <c r="BM449" s="536" t="s">
        <v>2631</v>
      </c>
      <c r="BN449" s="536" t="s">
        <v>2529</v>
      </c>
      <c r="BO449" s="347">
        <v>1</v>
      </c>
      <c r="BP449" s="12" t="s">
        <v>3754</v>
      </c>
      <c r="BQ449" s="12" t="s">
        <v>3752</v>
      </c>
      <c r="BR449" s="5" t="str">
        <f t="shared" si="74"/>
        <v>Terminado</v>
      </c>
      <c r="BS449" s="5" t="str">
        <f t="shared" si="75"/>
        <v>Terminado</v>
      </c>
      <c r="BT449" s="531" t="s">
        <v>3755</v>
      </c>
      <c r="BU449" s="561">
        <f>SUMPRODUCT(O449:O452,BO449:BO452)</f>
        <v>0.58000000000000007</v>
      </c>
      <c r="BV449" s="562">
        <f>SUMPRODUCT(O449:O452,T449:T452)</f>
        <v>0.58000000000000007</v>
      </c>
      <c r="BW449" s="610" t="str">
        <f>IF(BV449&lt;1%,"Sin iniciar",IF(BV449=100%,"Terminado","En gestión"))</f>
        <v>En gestión</v>
      </c>
      <c r="BX449" s="610" t="str">
        <f>IF(BU449&lt;1%,"Sin iniciar",IF(BU449=100%,"Terminado","En gestión"))</f>
        <v>En gestión</v>
      </c>
      <c r="BY449" s="573" t="s">
        <v>37</v>
      </c>
      <c r="BZ449" s="536" t="s">
        <v>1542</v>
      </c>
      <c r="CA449" s="583">
        <v>10902380</v>
      </c>
      <c r="CB449" s="660">
        <v>10902380</v>
      </c>
      <c r="CC449" s="583">
        <v>6541428</v>
      </c>
      <c r="CD449" s="583">
        <v>30000000</v>
      </c>
      <c r="CE449" s="583">
        <v>30000000</v>
      </c>
      <c r="CF449" s="583">
        <v>22500000</v>
      </c>
      <c r="CG449" s="531" t="s">
        <v>2630</v>
      </c>
      <c r="CH449" s="531" t="s">
        <v>2471</v>
      </c>
      <c r="CI449" s="536" t="s">
        <v>2631</v>
      </c>
      <c r="CJ449" s="536" t="s">
        <v>2529</v>
      </c>
    </row>
    <row r="450" spans="2:88" ht="171.95" customHeight="1" x14ac:dyDescent="0.25">
      <c r="B450" s="1227"/>
      <c r="C450" s="632"/>
      <c r="D450" s="633"/>
      <c r="E450" s="633"/>
      <c r="F450" s="633"/>
      <c r="G450" s="633"/>
      <c r="H450" s="633"/>
      <c r="I450" s="633"/>
      <c r="J450" s="633"/>
      <c r="K450" s="634"/>
      <c r="L450" s="635"/>
      <c r="M450" s="34" t="s">
        <v>1529</v>
      </c>
      <c r="N450" s="35" t="s">
        <v>1530</v>
      </c>
      <c r="O450" s="145">
        <v>0.2</v>
      </c>
      <c r="P450" s="36">
        <v>44228</v>
      </c>
      <c r="Q450" s="36">
        <v>44286</v>
      </c>
      <c r="R450" s="171">
        <v>1</v>
      </c>
      <c r="S450" s="171">
        <v>1</v>
      </c>
      <c r="T450" s="171">
        <v>1</v>
      </c>
      <c r="U450" s="171">
        <v>1</v>
      </c>
      <c r="V450" s="90">
        <v>1</v>
      </c>
      <c r="W450" s="13" t="s">
        <v>1531</v>
      </c>
      <c r="X450" s="55" t="s">
        <v>3756</v>
      </c>
      <c r="Y450" s="5" t="str">
        <f t="shared" si="66"/>
        <v>Terminado</v>
      </c>
      <c r="Z450" s="5" t="str">
        <f t="shared" si="67"/>
        <v>Terminado</v>
      </c>
      <c r="AA450" s="531"/>
      <c r="AB450" s="596"/>
      <c r="AC450" s="597"/>
      <c r="AD450" s="610"/>
      <c r="AE450" s="610"/>
      <c r="AF450" s="56"/>
      <c r="AG450" s="583"/>
      <c r="AH450" s="536"/>
      <c r="AI450" s="583"/>
      <c r="AJ450" s="583"/>
      <c r="AK450" s="583"/>
      <c r="AL450" s="583"/>
      <c r="AM450" s="531"/>
      <c r="AN450" s="605"/>
      <c r="AO450" s="531"/>
      <c r="AP450" s="536" t="s">
        <v>2466</v>
      </c>
      <c r="AQ450" s="56"/>
      <c r="AR450" s="1163">
        <v>1</v>
      </c>
      <c r="AS450" s="13" t="s">
        <v>2434</v>
      </c>
      <c r="AT450" s="55" t="s">
        <v>37</v>
      </c>
      <c r="AU450" s="56" t="str">
        <f t="shared" si="68"/>
        <v>Terminado</v>
      </c>
      <c r="AV450" s="56" t="str">
        <f t="shared" si="69"/>
        <v>Terminado</v>
      </c>
      <c r="AW450" s="531"/>
      <c r="AX450" s="599"/>
      <c r="AY450" s="600"/>
      <c r="AZ450" s="536"/>
      <c r="BA450" s="536"/>
      <c r="BB450" s="56"/>
      <c r="BC450" s="56" t="s">
        <v>1542</v>
      </c>
      <c r="BD450" s="583"/>
      <c r="BE450" s="536"/>
      <c r="BF450" s="583"/>
      <c r="BG450" s="583"/>
      <c r="BH450" s="583"/>
      <c r="BI450" s="583"/>
      <c r="BJ450" s="531"/>
      <c r="BK450" s="605"/>
      <c r="BL450" s="531"/>
      <c r="BM450" s="536" t="s">
        <v>2466</v>
      </c>
      <c r="BN450" s="536"/>
      <c r="BO450" s="347">
        <v>1</v>
      </c>
      <c r="BP450" s="12" t="s">
        <v>3754</v>
      </c>
      <c r="BQ450" s="12" t="s">
        <v>3752</v>
      </c>
      <c r="BR450" s="5" t="str">
        <f t="shared" si="74"/>
        <v>Terminado</v>
      </c>
      <c r="BS450" s="5" t="str">
        <f t="shared" si="75"/>
        <v>Terminado</v>
      </c>
      <c r="BT450" s="531"/>
      <c r="BU450" s="561"/>
      <c r="BV450" s="562"/>
      <c r="BW450" s="610"/>
      <c r="BX450" s="610"/>
      <c r="BY450" s="573"/>
      <c r="BZ450" s="536"/>
      <c r="CA450" s="583"/>
      <c r="CB450" s="536"/>
      <c r="CC450" s="583"/>
      <c r="CD450" s="583"/>
      <c r="CE450" s="583"/>
      <c r="CF450" s="583"/>
      <c r="CG450" s="531"/>
      <c r="CH450" s="531"/>
      <c r="CI450" s="536" t="s">
        <v>2466</v>
      </c>
      <c r="CJ450" s="536"/>
    </row>
    <row r="451" spans="2:88" ht="171.95" customHeight="1" x14ac:dyDescent="0.25">
      <c r="B451" s="1227"/>
      <c r="C451" s="632"/>
      <c r="D451" s="633"/>
      <c r="E451" s="633"/>
      <c r="F451" s="633"/>
      <c r="G451" s="633"/>
      <c r="H451" s="633"/>
      <c r="I451" s="633"/>
      <c r="J451" s="633"/>
      <c r="K451" s="634"/>
      <c r="L451" s="635"/>
      <c r="M451" s="34" t="s">
        <v>1532</v>
      </c>
      <c r="N451" s="35" t="s">
        <v>3757</v>
      </c>
      <c r="O451" s="145">
        <v>0.2</v>
      </c>
      <c r="P451" s="36">
        <v>44256</v>
      </c>
      <c r="Q451" s="36">
        <v>44530</v>
      </c>
      <c r="R451" s="171">
        <v>0.5</v>
      </c>
      <c r="S451" s="171">
        <v>0.75</v>
      </c>
      <c r="T451" s="171">
        <v>0.9</v>
      </c>
      <c r="U451" s="171">
        <v>1</v>
      </c>
      <c r="V451" s="90">
        <v>0.5</v>
      </c>
      <c r="W451" s="13" t="s">
        <v>1533</v>
      </c>
      <c r="X451" s="55" t="s">
        <v>3758</v>
      </c>
      <c r="Y451" s="5" t="str">
        <f t="shared" si="66"/>
        <v>En gestión</v>
      </c>
      <c r="Z451" s="5" t="str">
        <f t="shared" si="67"/>
        <v>En gestión</v>
      </c>
      <c r="AA451" s="531"/>
      <c r="AB451" s="596"/>
      <c r="AC451" s="597"/>
      <c r="AD451" s="610"/>
      <c r="AE451" s="610"/>
      <c r="AF451" s="56"/>
      <c r="AG451" s="583"/>
      <c r="AH451" s="536"/>
      <c r="AI451" s="583"/>
      <c r="AJ451" s="583"/>
      <c r="AK451" s="583"/>
      <c r="AL451" s="583"/>
      <c r="AM451" s="531"/>
      <c r="AN451" s="605"/>
      <c r="AO451" s="531"/>
      <c r="AP451" s="536" t="s">
        <v>2466</v>
      </c>
      <c r="AQ451" s="56"/>
      <c r="AR451" s="1163">
        <v>0.75</v>
      </c>
      <c r="AS451" s="13" t="s">
        <v>1538</v>
      </c>
      <c r="AT451" s="55" t="s">
        <v>3759</v>
      </c>
      <c r="AU451" s="56" t="str">
        <f t="shared" si="68"/>
        <v>En gestión</v>
      </c>
      <c r="AV451" s="56" t="str">
        <f t="shared" si="69"/>
        <v>En gestión</v>
      </c>
      <c r="AW451" s="531"/>
      <c r="AX451" s="599"/>
      <c r="AY451" s="600"/>
      <c r="AZ451" s="536"/>
      <c r="BA451" s="536"/>
      <c r="BB451" s="56"/>
      <c r="BC451" s="56" t="s">
        <v>1542</v>
      </c>
      <c r="BD451" s="583"/>
      <c r="BE451" s="536"/>
      <c r="BF451" s="583"/>
      <c r="BG451" s="583"/>
      <c r="BH451" s="583"/>
      <c r="BI451" s="583"/>
      <c r="BJ451" s="531"/>
      <c r="BK451" s="605"/>
      <c r="BL451" s="531"/>
      <c r="BM451" s="536" t="s">
        <v>2466</v>
      </c>
      <c r="BN451" s="536"/>
      <c r="BO451" s="347">
        <v>0.9</v>
      </c>
      <c r="BP451" s="11" t="s">
        <v>3760</v>
      </c>
      <c r="BQ451" s="11" t="s">
        <v>3761</v>
      </c>
      <c r="BR451" s="5" t="str">
        <f t="shared" si="74"/>
        <v>En gestión</v>
      </c>
      <c r="BS451" s="5" t="str">
        <f t="shared" si="75"/>
        <v>En gestión</v>
      </c>
      <c r="BT451" s="531"/>
      <c r="BU451" s="561"/>
      <c r="BV451" s="562"/>
      <c r="BW451" s="610"/>
      <c r="BX451" s="610"/>
      <c r="BY451" s="573"/>
      <c r="BZ451" s="536"/>
      <c r="CA451" s="583"/>
      <c r="CB451" s="536"/>
      <c r="CC451" s="583"/>
      <c r="CD451" s="583"/>
      <c r="CE451" s="583"/>
      <c r="CF451" s="583"/>
      <c r="CG451" s="531"/>
      <c r="CH451" s="531"/>
      <c r="CI451" s="536" t="s">
        <v>2466</v>
      </c>
      <c r="CJ451" s="536"/>
    </row>
    <row r="452" spans="2:88" ht="171.95" customHeight="1" x14ac:dyDescent="0.25">
      <c r="B452" s="1227"/>
      <c r="C452" s="632"/>
      <c r="D452" s="633"/>
      <c r="E452" s="633"/>
      <c r="F452" s="633"/>
      <c r="G452" s="633"/>
      <c r="H452" s="633"/>
      <c r="I452" s="633"/>
      <c r="J452" s="633"/>
      <c r="K452" s="634"/>
      <c r="L452" s="635"/>
      <c r="M452" s="34" t="s">
        <v>1534</v>
      </c>
      <c r="N452" s="35" t="s">
        <v>3762</v>
      </c>
      <c r="O452" s="145">
        <v>0.4</v>
      </c>
      <c r="P452" s="36">
        <v>44531</v>
      </c>
      <c r="Q452" s="36">
        <v>44561</v>
      </c>
      <c r="R452" s="171">
        <v>0</v>
      </c>
      <c r="S452" s="171">
        <v>0</v>
      </c>
      <c r="T452" s="171">
        <v>0</v>
      </c>
      <c r="U452" s="171">
        <v>1</v>
      </c>
      <c r="V452" s="90">
        <v>0</v>
      </c>
      <c r="W452" s="56" t="s">
        <v>37</v>
      </c>
      <c r="X452" s="94" t="s">
        <v>37</v>
      </c>
      <c r="Y452" s="5" t="str">
        <f t="shared" si="66"/>
        <v>Sin iniciar</v>
      </c>
      <c r="Z452" s="5" t="str">
        <f t="shared" si="67"/>
        <v>Sin iniciar</v>
      </c>
      <c r="AA452" s="531"/>
      <c r="AB452" s="596"/>
      <c r="AC452" s="597"/>
      <c r="AD452" s="610"/>
      <c r="AE452" s="610"/>
      <c r="AF452" s="56"/>
      <c r="AG452" s="583"/>
      <c r="AH452" s="536"/>
      <c r="AI452" s="583"/>
      <c r="AJ452" s="583"/>
      <c r="AK452" s="583"/>
      <c r="AL452" s="583"/>
      <c r="AM452" s="531"/>
      <c r="AN452" s="605"/>
      <c r="AO452" s="531"/>
      <c r="AP452" s="536" t="s">
        <v>2466</v>
      </c>
      <c r="AQ452" s="56"/>
      <c r="AR452" s="1163">
        <v>0</v>
      </c>
      <c r="AS452" s="13" t="s">
        <v>2437</v>
      </c>
      <c r="AT452" s="55" t="s">
        <v>37</v>
      </c>
      <c r="AU452" s="56" t="str">
        <f t="shared" si="68"/>
        <v>Sin iniciar</v>
      </c>
      <c r="AV452" s="56" t="str">
        <f t="shared" si="69"/>
        <v>Sin iniciar</v>
      </c>
      <c r="AW452" s="531"/>
      <c r="AX452" s="599"/>
      <c r="AY452" s="600"/>
      <c r="AZ452" s="536"/>
      <c r="BA452" s="536"/>
      <c r="BB452" s="56"/>
      <c r="BC452" s="56" t="s">
        <v>1542</v>
      </c>
      <c r="BD452" s="583"/>
      <c r="BE452" s="536"/>
      <c r="BF452" s="583"/>
      <c r="BG452" s="583"/>
      <c r="BH452" s="583"/>
      <c r="BI452" s="583"/>
      <c r="BJ452" s="531"/>
      <c r="BK452" s="605"/>
      <c r="BL452" s="531"/>
      <c r="BM452" s="536" t="s">
        <v>2466</v>
      </c>
      <c r="BN452" s="536"/>
      <c r="BO452" s="347">
        <v>0</v>
      </c>
      <c r="BP452" s="12" t="s">
        <v>3751</v>
      </c>
      <c r="BQ452" s="12" t="s">
        <v>3752</v>
      </c>
      <c r="BR452" s="5" t="str">
        <f t="shared" si="74"/>
        <v>Sin iniciar</v>
      </c>
      <c r="BS452" s="5" t="str">
        <f t="shared" si="75"/>
        <v>Sin iniciar</v>
      </c>
      <c r="BT452" s="531"/>
      <c r="BU452" s="561"/>
      <c r="BV452" s="562"/>
      <c r="BW452" s="610"/>
      <c r="BX452" s="610"/>
      <c r="BY452" s="573"/>
      <c r="BZ452" s="536"/>
      <c r="CA452" s="583"/>
      <c r="CB452" s="536"/>
      <c r="CC452" s="583"/>
      <c r="CD452" s="583"/>
      <c r="CE452" s="583"/>
      <c r="CF452" s="583"/>
      <c r="CG452" s="531"/>
      <c r="CH452" s="531"/>
      <c r="CI452" s="536" t="s">
        <v>2466</v>
      </c>
      <c r="CJ452" s="536"/>
    </row>
    <row r="453" spans="2:88" ht="171.95" customHeight="1" x14ac:dyDescent="0.25">
      <c r="B453" s="1227" t="s">
        <v>5233</v>
      </c>
      <c r="C453" s="662" t="s">
        <v>1543</v>
      </c>
      <c r="D453" s="332" t="s">
        <v>1045</v>
      </c>
      <c r="E453" s="70" t="s">
        <v>160</v>
      </c>
      <c r="F453" s="663" t="s">
        <v>1544</v>
      </c>
      <c r="G453" s="70" t="s">
        <v>28</v>
      </c>
      <c r="H453" s="70" t="s">
        <v>28</v>
      </c>
      <c r="I453" s="70" t="s">
        <v>59</v>
      </c>
      <c r="J453" s="70" t="s">
        <v>47</v>
      </c>
      <c r="K453" s="953" t="s">
        <v>1545</v>
      </c>
      <c r="L453" s="333" t="s">
        <v>187</v>
      </c>
      <c r="M453" s="334" t="s">
        <v>1546</v>
      </c>
      <c r="N453" s="335" t="s">
        <v>1547</v>
      </c>
      <c r="O453" s="332">
        <v>0.5</v>
      </c>
      <c r="P453" s="336">
        <v>44228</v>
      </c>
      <c r="Q453" s="336">
        <v>44545</v>
      </c>
      <c r="R453" s="337">
        <v>0.25</v>
      </c>
      <c r="S453" s="337">
        <v>0.5</v>
      </c>
      <c r="T453" s="337">
        <v>0.75</v>
      </c>
      <c r="U453" s="337">
        <v>1</v>
      </c>
      <c r="V453" s="338">
        <v>0.16700000000000001</v>
      </c>
      <c r="W453" s="76" t="s">
        <v>1548</v>
      </c>
      <c r="X453" s="77" t="s">
        <v>3763</v>
      </c>
      <c r="Y453" s="5" t="str">
        <f t="shared" ref="Y453:Y454" si="76">IF(R453&lt;1%,"Sin iniciar",IF(R453=100%,"Terminado","En gestión"))</f>
        <v>En gestión</v>
      </c>
      <c r="Z453" s="5" t="str">
        <f t="shared" ref="Z453:Z454" si="77">IF(V453&lt;1%,"Sin iniciar",IF(V453=100%,"Terminado","En gestión"))</f>
        <v>En gestión</v>
      </c>
      <c r="AA453" s="609" t="s">
        <v>1550</v>
      </c>
      <c r="AB453" s="665">
        <v>0.08</v>
      </c>
      <c r="AC453" s="666">
        <v>0.13</v>
      </c>
      <c r="AD453" s="946" t="s">
        <v>2811</v>
      </c>
      <c r="AE453" s="946" t="s">
        <v>2811</v>
      </c>
      <c r="AF453" s="76" t="s">
        <v>1551</v>
      </c>
      <c r="AG453" s="951" t="s">
        <v>2817</v>
      </c>
      <c r="AH453" s="952" t="s">
        <v>3764</v>
      </c>
      <c r="AI453" s="952" t="s">
        <v>3764</v>
      </c>
      <c r="AJ453" s="679">
        <v>45000000000</v>
      </c>
      <c r="AK453" s="679">
        <v>45000000000</v>
      </c>
      <c r="AL453" s="948">
        <v>15768740647</v>
      </c>
      <c r="AM453" s="949" t="s">
        <v>2632</v>
      </c>
      <c r="AN453" s="950">
        <v>2018011000556</v>
      </c>
      <c r="AO453" s="309" t="s">
        <v>2633</v>
      </c>
      <c r="AP453" s="76" t="s">
        <v>2634</v>
      </c>
      <c r="AQ453" s="339">
        <v>44500000000</v>
      </c>
      <c r="AR453" s="1173">
        <v>0.66700000000000004</v>
      </c>
      <c r="AS453" s="79" t="s">
        <v>1552</v>
      </c>
      <c r="AT453" s="340" t="s">
        <v>3765</v>
      </c>
      <c r="AU453" s="56" t="str">
        <f t="shared" ref="AU453:AU454" si="78">IF(S453&lt;1%,"Sin iniciar",IF(S453=100%,"Terminado","En gestión"))</f>
        <v>En gestión</v>
      </c>
      <c r="AV453" s="56" t="str">
        <f t="shared" ref="AV453:AV454" si="79">IF(AR453&lt;1%,"Sin iniciar",IF(AR453=100%,"Terminado","En gestión"))</f>
        <v>En gestión</v>
      </c>
      <c r="AW453" s="688" t="s">
        <v>1554</v>
      </c>
      <c r="AX453" s="684">
        <v>0.5</v>
      </c>
      <c r="AY453" s="685">
        <v>0.25</v>
      </c>
      <c r="AZ453" s="934" t="s">
        <v>2811</v>
      </c>
      <c r="BA453" s="934" t="s">
        <v>2811</v>
      </c>
      <c r="BB453" s="79"/>
      <c r="BC453" s="79" t="s">
        <v>1555</v>
      </c>
      <c r="BD453" s="958" t="s">
        <v>2869</v>
      </c>
      <c r="BE453" s="959" t="s">
        <v>3766</v>
      </c>
      <c r="BF453" s="959" t="s">
        <v>3766</v>
      </c>
      <c r="BG453" s="661">
        <v>45000000000</v>
      </c>
      <c r="BH453" s="661">
        <v>45000000000</v>
      </c>
      <c r="BI453" s="955">
        <v>19882849284</v>
      </c>
      <c r="BJ453" s="956" t="s">
        <v>2632</v>
      </c>
      <c r="BK453" s="957">
        <v>2018011000556</v>
      </c>
      <c r="BL453" s="341" t="s">
        <v>2633</v>
      </c>
      <c r="BM453" s="79" t="s">
        <v>2634</v>
      </c>
      <c r="BN453" s="661"/>
      <c r="BO453" s="349">
        <v>1</v>
      </c>
      <c r="BP453" s="76" t="s">
        <v>3767</v>
      </c>
      <c r="BQ453" s="24" t="s">
        <v>3768</v>
      </c>
      <c r="BR453" s="5" t="str">
        <f t="shared" ref="BR453:BR454" si="80">IF(T453&lt;1%,"Sin iniciar",IF(T453=100%,"Terminado","En gestión"))</f>
        <v>En gestión</v>
      </c>
      <c r="BS453" s="5" t="str">
        <f t="shared" ref="BS453:BS454" si="81">IF(BO453&lt;1%,"Sin iniciar",IF(BO453=100%,"Terminado","En gestión"))</f>
        <v>Terminado</v>
      </c>
      <c r="BT453" s="609" t="s">
        <v>3769</v>
      </c>
      <c r="BU453" s="681">
        <v>0.96</v>
      </c>
      <c r="BV453" s="682">
        <v>0.75</v>
      </c>
      <c r="BW453" s="932" t="s">
        <v>2811</v>
      </c>
      <c r="BX453" s="932" t="s">
        <v>2811</v>
      </c>
      <c r="BY453" s="615" t="s">
        <v>37</v>
      </c>
      <c r="BZ453" s="609" t="s">
        <v>3770</v>
      </c>
      <c r="CA453" s="615"/>
      <c r="CB453" s="616"/>
      <c r="CC453" s="616"/>
      <c r="CD453" s="616">
        <v>45000000000</v>
      </c>
      <c r="CE453" s="616">
        <v>45000000000</v>
      </c>
      <c r="CF453" s="616">
        <v>31096802136</v>
      </c>
      <c r="CG453" s="609" t="s">
        <v>2632</v>
      </c>
      <c r="CH453" s="342" t="s">
        <v>2633</v>
      </c>
      <c r="CI453" s="306" t="s">
        <v>2634</v>
      </c>
      <c r="CJ453" s="76" t="s">
        <v>3771</v>
      </c>
    </row>
    <row r="454" spans="2:88" ht="171.95" customHeight="1" x14ac:dyDescent="0.25">
      <c r="B454" s="1227"/>
      <c r="C454" s="662"/>
      <c r="D454" s="332" t="s">
        <v>1045</v>
      </c>
      <c r="E454" s="70" t="s">
        <v>160</v>
      </c>
      <c r="F454" s="663"/>
      <c r="G454" s="70" t="s">
        <v>28</v>
      </c>
      <c r="H454" s="70" t="s">
        <v>28</v>
      </c>
      <c r="I454" s="70" t="s">
        <v>59</v>
      </c>
      <c r="J454" s="70" t="s">
        <v>1042</v>
      </c>
      <c r="K454" s="953"/>
      <c r="L454" s="333" t="s">
        <v>187</v>
      </c>
      <c r="M454" s="334" t="s">
        <v>1549</v>
      </c>
      <c r="N454" s="335" t="s">
        <v>3772</v>
      </c>
      <c r="O454" s="332">
        <v>0.5</v>
      </c>
      <c r="P454" s="336">
        <v>44392</v>
      </c>
      <c r="Q454" s="336">
        <v>44545</v>
      </c>
      <c r="R454" s="337">
        <v>0</v>
      </c>
      <c r="S454" s="337">
        <v>0</v>
      </c>
      <c r="T454" s="337">
        <v>0.75</v>
      </c>
      <c r="U454" s="337">
        <v>1</v>
      </c>
      <c r="V454" s="75">
        <v>0</v>
      </c>
      <c r="W454" s="306" t="s">
        <v>37</v>
      </c>
      <c r="X454" s="343" t="s">
        <v>37</v>
      </c>
      <c r="Y454" s="5" t="str">
        <f t="shared" si="76"/>
        <v>Sin iniciar</v>
      </c>
      <c r="Z454" s="5" t="str">
        <f t="shared" si="77"/>
        <v>Sin iniciar</v>
      </c>
      <c r="AA454" s="609"/>
      <c r="AB454" s="665"/>
      <c r="AC454" s="666"/>
      <c r="AD454" s="946"/>
      <c r="AE454" s="946"/>
      <c r="AF454" s="306"/>
      <c r="AG454" s="951"/>
      <c r="AH454" s="952"/>
      <c r="AI454" s="952"/>
      <c r="AJ454" s="679"/>
      <c r="AK454" s="679"/>
      <c r="AL454" s="948"/>
      <c r="AM454" s="949"/>
      <c r="AN454" s="950"/>
      <c r="AO454" s="309" t="s">
        <v>2478</v>
      </c>
      <c r="AP454" s="76" t="s">
        <v>2635</v>
      </c>
      <c r="AQ454" s="339">
        <v>500000000</v>
      </c>
      <c r="AR454" s="1173">
        <v>0.33300000000000002</v>
      </c>
      <c r="AS454" s="79" t="s">
        <v>1553</v>
      </c>
      <c r="AT454" s="340" t="s">
        <v>3773</v>
      </c>
      <c r="AU454" s="56" t="str">
        <f t="shared" si="78"/>
        <v>Sin iniciar</v>
      </c>
      <c r="AV454" s="56" t="str">
        <f t="shared" si="79"/>
        <v>En gestión</v>
      </c>
      <c r="AW454" s="688"/>
      <c r="AX454" s="684"/>
      <c r="AY454" s="685"/>
      <c r="AZ454" s="934"/>
      <c r="BA454" s="934"/>
      <c r="BB454" s="323"/>
      <c r="BC454" s="323" t="s">
        <v>1555</v>
      </c>
      <c r="BD454" s="958"/>
      <c r="BE454" s="959"/>
      <c r="BF454" s="959"/>
      <c r="BG454" s="661"/>
      <c r="BH454" s="661"/>
      <c r="BI454" s="955"/>
      <c r="BJ454" s="956"/>
      <c r="BK454" s="957"/>
      <c r="BL454" s="341" t="s">
        <v>2478</v>
      </c>
      <c r="BM454" s="79" t="s">
        <v>2635</v>
      </c>
      <c r="BN454" s="661"/>
      <c r="BO454" s="349">
        <v>0.91700000000000004</v>
      </c>
      <c r="BP454" s="76" t="s">
        <v>3774</v>
      </c>
      <c r="BQ454" s="24" t="s">
        <v>3775</v>
      </c>
      <c r="BR454" s="5" t="str">
        <f t="shared" si="80"/>
        <v>En gestión</v>
      </c>
      <c r="BS454" s="5" t="str">
        <f t="shared" si="81"/>
        <v>En gestión</v>
      </c>
      <c r="BT454" s="609"/>
      <c r="BU454" s="954"/>
      <c r="BV454" s="682"/>
      <c r="BW454" s="932"/>
      <c r="BX454" s="932"/>
      <c r="BY454" s="615"/>
      <c r="BZ454" s="609"/>
      <c r="CA454" s="615"/>
      <c r="CB454" s="616"/>
      <c r="CC454" s="616"/>
      <c r="CD454" s="616"/>
      <c r="CE454" s="616"/>
      <c r="CF454" s="616"/>
      <c r="CG454" s="609"/>
      <c r="CH454" s="344" t="s">
        <v>2478</v>
      </c>
      <c r="CI454" s="306" t="s">
        <v>2635</v>
      </c>
      <c r="CJ454" s="76" t="s">
        <v>3776</v>
      </c>
    </row>
  </sheetData>
  <mergeCells count="7093">
    <mergeCell ref="BY435:BY440"/>
    <mergeCell ref="BY432:BY434"/>
    <mergeCell ref="BY429:BY431"/>
    <mergeCell ref="BY423:BY424"/>
    <mergeCell ref="A1:K1"/>
    <mergeCell ref="BY392:BY394"/>
    <mergeCell ref="BY395:BY397"/>
    <mergeCell ref="BY398:BY400"/>
    <mergeCell ref="BY401:BY405"/>
    <mergeCell ref="B453:B454"/>
    <mergeCell ref="CI418:CI419"/>
    <mergeCell ref="B47:B55"/>
    <mergeCell ref="B56:B91"/>
    <mergeCell ref="B92:B95"/>
    <mergeCell ref="B96:B113"/>
    <mergeCell ref="B114:B122"/>
    <mergeCell ref="B123:B152"/>
    <mergeCell ref="B153:B157"/>
    <mergeCell ref="B158:B223"/>
    <mergeCell ref="B224:B241"/>
    <mergeCell ref="B242:B304"/>
    <mergeCell ref="B305:B324"/>
    <mergeCell ref="B325:B372"/>
    <mergeCell ref="B373:B400"/>
    <mergeCell ref="B401:B428"/>
    <mergeCell ref="B429:B443"/>
    <mergeCell ref="B444:B452"/>
    <mergeCell ref="BY406:BY407"/>
    <mergeCell ref="BY409:BY411"/>
    <mergeCell ref="BY413:BY414"/>
    <mergeCell ref="BY281:BY284"/>
    <mergeCell ref="BY285:BY286"/>
    <mergeCell ref="BY287:BY290"/>
    <mergeCell ref="BY453:BY454"/>
    <mergeCell ref="BY449:BY452"/>
    <mergeCell ref="BY444:BY448"/>
    <mergeCell ref="BY441:BY443"/>
    <mergeCell ref="BY342:BY346"/>
    <mergeCell ref="BY347:BY348"/>
    <mergeCell ref="BY349:BY356"/>
    <mergeCell ref="BY359:BY363"/>
    <mergeCell ref="V2:AQ2"/>
    <mergeCell ref="AR2:BN2"/>
    <mergeCell ref="BO2:CJ2"/>
    <mergeCell ref="B5:B46"/>
    <mergeCell ref="F149:F152"/>
    <mergeCell ref="F146:F148"/>
    <mergeCell ref="F257:F263"/>
    <mergeCell ref="F329:F334"/>
    <mergeCell ref="F359:F363"/>
    <mergeCell ref="CH412:CH414"/>
    <mergeCell ref="CI412:CI414"/>
    <mergeCell ref="CH415:CH416"/>
    <mergeCell ref="CI415:CI416"/>
    <mergeCell ref="CG410:CG411"/>
    <mergeCell ref="CH410:CH411"/>
    <mergeCell ref="CI410:CI411"/>
    <mergeCell ref="CJ410:CJ411"/>
    <mergeCell ref="BY364:BY368"/>
    <mergeCell ref="BY369:BY370"/>
    <mergeCell ref="BY371:BY372"/>
    <mergeCell ref="BY373:BY374"/>
    <mergeCell ref="BY375:BY377"/>
    <mergeCell ref="BY378:BY380"/>
    <mergeCell ref="BY381:BY382"/>
    <mergeCell ref="BY383:BY385"/>
    <mergeCell ref="BY386:BY388"/>
    <mergeCell ref="BY389:BY391"/>
    <mergeCell ref="BY230:BY231"/>
    <mergeCell ref="BY232:BY233"/>
    <mergeCell ref="BY234:BY235"/>
    <mergeCell ref="BY236:BY237"/>
    <mergeCell ref="BY238:BY239"/>
    <mergeCell ref="BY240:BY241"/>
    <mergeCell ref="BY242:BY243"/>
    <mergeCell ref="BY251:BY252"/>
    <mergeCell ref="BY253:BY256"/>
    <mergeCell ref="BY258:BY260"/>
    <mergeCell ref="BY262:BY263"/>
    <mergeCell ref="BY264:BY266"/>
    <mergeCell ref="BY267:BY271"/>
    <mergeCell ref="BY272:BY275"/>
    <mergeCell ref="BY276:BY277"/>
    <mergeCell ref="BY278:BY280"/>
    <mergeCell ref="BY420:BY421"/>
    <mergeCell ref="BY325:BY326"/>
    <mergeCell ref="BY327:BY328"/>
    <mergeCell ref="BY323:BY324"/>
    <mergeCell ref="BY320:BY322"/>
    <mergeCell ref="BY291:BY292"/>
    <mergeCell ref="BY293:BY294"/>
    <mergeCell ref="BY295:BY297"/>
    <mergeCell ref="BY300:BY302"/>
    <mergeCell ref="BY303:BY304"/>
    <mergeCell ref="BY305:BY306"/>
    <mergeCell ref="BY307:BY308"/>
    <mergeCell ref="BY310:BY313"/>
    <mergeCell ref="BY314:BY316"/>
    <mergeCell ref="BY317:BY319"/>
    <mergeCell ref="BY331:BY334"/>
    <mergeCell ref="BY162:BY165"/>
    <mergeCell ref="BY166:BY169"/>
    <mergeCell ref="BY170:BY171"/>
    <mergeCell ref="BY172:BY174"/>
    <mergeCell ref="BY175:BY177"/>
    <mergeCell ref="BY178:BY181"/>
    <mergeCell ref="BY185:BY188"/>
    <mergeCell ref="BY189:BY190"/>
    <mergeCell ref="BY191:BY193"/>
    <mergeCell ref="BY194:BY195"/>
    <mergeCell ref="BY196:BY197"/>
    <mergeCell ref="BY201:BY203"/>
    <mergeCell ref="BY204:BY206"/>
    <mergeCell ref="BY207:BY208"/>
    <mergeCell ref="BY212:BY213"/>
    <mergeCell ref="BY215:BY217"/>
    <mergeCell ref="BY224:BY226"/>
    <mergeCell ref="CE153:CE155"/>
    <mergeCell ref="CF153:CF155"/>
    <mergeCell ref="CG153:CG155"/>
    <mergeCell ref="CH153:CH155"/>
    <mergeCell ref="CI153:CI155"/>
    <mergeCell ref="CJ153:CJ155"/>
    <mergeCell ref="CA158:CA161"/>
    <mergeCell ref="CB158:CB161"/>
    <mergeCell ref="CC158:CC161"/>
    <mergeCell ref="CD158:CD161"/>
    <mergeCell ref="CE158:CE161"/>
    <mergeCell ref="CF158:CF161"/>
    <mergeCell ref="CG158:CG161"/>
    <mergeCell ref="CH158:CH161"/>
    <mergeCell ref="CI158:CI161"/>
    <mergeCell ref="CJ158:CJ161"/>
    <mergeCell ref="CH162:CH165"/>
    <mergeCell ref="CI162:CI165"/>
    <mergeCell ref="CJ162:CJ165"/>
    <mergeCell ref="CA162:CA165"/>
    <mergeCell ref="CB162:CB165"/>
    <mergeCell ref="CC162:CC165"/>
    <mergeCell ref="CD162:CD165"/>
    <mergeCell ref="CE162:CE165"/>
    <mergeCell ref="CF162:CF165"/>
    <mergeCell ref="CG162:CG165"/>
    <mergeCell ref="BY126:BY127"/>
    <mergeCell ref="BY128:BY130"/>
    <mergeCell ref="BY131:BY135"/>
    <mergeCell ref="BY136:BY138"/>
    <mergeCell ref="BY139:BY142"/>
    <mergeCell ref="BY143:BY145"/>
    <mergeCell ref="BY146:BY148"/>
    <mergeCell ref="BY149:BY152"/>
    <mergeCell ref="BY153:BY155"/>
    <mergeCell ref="BY156:BY157"/>
    <mergeCell ref="BY158:BY161"/>
    <mergeCell ref="CA156:CA157"/>
    <mergeCell ref="CB156:CB157"/>
    <mergeCell ref="CC156:CC157"/>
    <mergeCell ref="CD156:CD157"/>
    <mergeCell ref="CA153:CA155"/>
    <mergeCell ref="CB153:CB155"/>
    <mergeCell ref="CC153:CC155"/>
    <mergeCell ref="CD153:CD155"/>
    <mergeCell ref="BY56:BY57"/>
    <mergeCell ref="BY60:BY61"/>
    <mergeCell ref="BY62:BY67"/>
    <mergeCell ref="BY68:BY70"/>
    <mergeCell ref="BY71:BY76"/>
    <mergeCell ref="BY77:BY79"/>
    <mergeCell ref="BY80:BY82"/>
    <mergeCell ref="BY83:BY85"/>
    <mergeCell ref="BY86:BY88"/>
    <mergeCell ref="BY89:BY91"/>
    <mergeCell ref="BY96:BY101"/>
    <mergeCell ref="BY102:BY103"/>
    <mergeCell ref="BY104:BY107"/>
    <mergeCell ref="BY108:BY110"/>
    <mergeCell ref="BY111:BY113"/>
    <mergeCell ref="BY123:BY125"/>
    <mergeCell ref="CI47:CI49"/>
    <mergeCell ref="CH123:CH125"/>
    <mergeCell ref="CI123:CI125"/>
    <mergeCell ref="CG121:CG122"/>
    <mergeCell ref="CH121:CH122"/>
    <mergeCell ref="CI121:CI122"/>
    <mergeCell ref="CG119:CG120"/>
    <mergeCell ref="CH119:CH120"/>
    <mergeCell ref="CI119:CI120"/>
    <mergeCell ref="CG116:CG118"/>
    <mergeCell ref="CH116:CH118"/>
    <mergeCell ref="CI116:CI118"/>
    <mergeCell ref="CG114:CG115"/>
    <mergeCell ref="CH114:CH115"/>
    <mergeCell ref="CI114:CI115"/>
    <mergeCell ref="CE92:CE93"/>
    <mergeCell ref="CJ47:CJ49"/>
    <mergeCell ref="CA50:CA52"/>
    <mergeCell ref="CB50:CB52"/>
    <mergeCell ref="CC50:CC52"/>
    <mergeCell ref="CD50:CD52"/>
    <mergeCell ref="CE50:CE52"/>
    <mergeCell ref="CF50:CF52"/>
    <mergeCell ref="CG50:CG52"/>
    <mergeCell ref="CH50:CH52"/>
    <mergeCell ref="CI50:CI52"/>
    <mergeCell ref="CJ50:CJ52"/>
    <mergeCell ref="BY53:BY55"/>
    <mergeCell ref="CA53:CA55"/>
    <mergeCell ref="CB53:CB55"/>
    <mergeCell ref="CC53:CC55"/>
    <mergeCell ref="CD53:CD55"/>
    <mergeCell ref="CE53:CE55"/>
    <mergeCell ref="CF53:CF55"/>
    <mergeCell ref="CG53:CG55"/>
    <mergeCell ref="CH53:CH55"/>
    <mergeCell ref="CI53:CI55"/>
    <mergeCell ref="CJ53:CJ55"/>
    <mergeCell ref="BY39:BY40"/>
    <mergeCell ref="BY41:BY42"/>
    <mergeCell ref="BY45:BY46"/>
    <mergeCell ref="CB45:CB46"/>
    <mergeCell ref="CC45:CC46"/>
    <mergeCell ref="CD45:CD46"/>
    <mergeCell ref="CE45:CE46"/>
    <mergeCell ref="BY47:BY49"/>
    <mergeCell ref="BY50:BY52"/>
    <mergeCell ref="CA47:CA49"/>
    <mergeCell ref="CB47:CB49"/>
    <mergeCell ref="CC47:CC49"/>
    <mergeCell ref="CD47:CD49"/>
    <mergeCell ref="CE47:CE49"/>
    <mergeCell ref="CF47:CF49"/>
    <mergeCell ref="CG47:CG49"/>
    <mergeCell ref="CH47:CH49"/>
    <mergeCell ref="BY16:BY21"/>
    <mergeCell ref="BY5:BY6"/>
    <mergeCell ref="BY7:BY8"/>
    <mergeCell ref="BY9:BY10"/>
    <mergeCell ref="BY11:BY12"/>
    <mergeCell ref="BY13:BY14"/>
    <mergeCell ref="BY22:BY38"/>
    <mergeCell ref="CA22:CA38"/>
    <mergeCell ref="CB22:CB38"/>
    <mergeCell ref="CC22:CC38"/>
    <mergeCell ref="CD22:CD29"/>
    <mergeCell ref="CE22:CE29"/>
    <mergeCell ref="CF22:CF29"/>
    <mergeCell ref="CG22:CG29"/>
    <mergeCell ref="CH22:CH29"/>
    <mergeCell ref="CI22:CI29"/>
    <mergeCell ref="CJ22:CJ29"/>
    <mergeCell ref="CD30:CD38"/>
    <mergeCell ref="CE30:CE38"/>
    <mergeCell ref="CF30:CF38"/>
    <mergeCell ref="CG30:CG38"/>
    <mergeCell ref="CH30:CH38"/>
    <mergeCell ref="CI30:CI38"/>
    <mergeCell ref="CJ30:CJ38"/>
    <mergeCell ref="CE9:CE10"/>
    <mergeCell ref="CF9:CF10"/>
    <mergeCell ref="CG9:CG10"/>
    <mergeCell ref="CH9:CH10"/>
    <mergeCell ref="CI9:CI10"/>
    <mergeCell ref="CJ9:CJ10"/>
    <mergeCell ref="BT323:BT324"/>
    <mergeCell ref="BU323:BU324"/>
    <mergeCell ref="BV323:BV324"/>
    <mergeCell ref="BW323:BW324"/>
    <mergeCell ref="BX323:BX324"/>
    <mergeCell ref="BZ323:BZ324"/>
    <mergeCell ref="CA323:CA324"/>
    <mergeCell ref="CB323:CB324"/>
    <mergeCell ref="CC323:CC324"/>
    <mergeCell ref="CD323:CD324"/>
    <mergeCell ref="CE323:CE324"/>
    <mergeCell ref="CF323:CF324"/>
    <mergeCell ref="CG323:CG324"/>
    <mergeCell ref="CH323:CH324"/>
    <mergeCell ref="CI323:CI324"/>
    <mergeCell ref="CJ323:CJ324"/>
    <mergeCell ref="AP323:AP324"/>
    <mergeCell ref="AQ323:AQ324"/>
    <mergeCell ref="AW323:AW324"/>
    <mergeCell ref="AX323:AX324"/>
    <mergeCell ref="AY323:AY324"/>
    <mergeCell ref="AZ323:AZ324"/>
    <mergeCell ref="BA323:BA324"/>
    <mergeCell ref="BD323:BD324"/>
    <mergeCell ref="BE323:BE324"/>
    <mergeCell ref="BF323:BF324"/>
    <mergeCell ref="BG323:BG324"/>
    <mergeCell ref="BH323:BH324"/>
    <mergeCell ref="BI323:BI324"/>
    <mergeCell ref="BJ323:BJ324"/>
    <mergeCell ref="BL323:BL324"/>
    <mergeCell ref="BM323:BM324"/>
    <mergeCell ref="BN323:BN324"/>
    <mergeCell ref="C323:C324"/>
    <mergeCell ref="F323:F324"/>
    <mergeCell ref="K323:K324"/>
    <mergeCell ref="AA323:AA324"/>
    <mergeCell ref="AB323:AB324"/>
    <mergeCell ref="AC323:AC324"/>
    <mergeCell ref="AD323:AD324"/>
    <mergeCell ref="AE323:AE324"/>
    <mergeCell ref="AG323:AG324"/>
    <mergeCell ref="AH323:AH324"/>
    <mergeCell ref="AI323:AI324"/>
    <mergeCell ref="AJ323:AJ324"/>
    <mergeCell ref="AK323:AK324"/>
    <mergeCell ref="AL323:AL324"/>
    <mergeCell ref="AM323:AM324"/>
    <mergeCell ref="AN323:AN324"/>
    <mergeCell ref="AO323:AO324"/>
    <mergeCell ref="BK323:BK324"/>
    <mergeCell ref="BN320:BN322"/>
    <mergeCell ref="BT320:BT322"/>
    <mergeCell ref="BU320:BU322"/>
    <mergeCell ref="BV320:BV322"/>
    <mergeCell ref="BW320:BW322"/>
    <mergeCell ref="BX320:BX322"/>
    <mergeCell ref="BZ320:BZ322"/>
    <mergeCell ref="CA320:CA322"/>
    <mergeCell ref="CB320:CB322"/>
    <mergeCell ref="CC320:CC322"/>
    <mergeCell ref="CD320:CD322"/>
    <mergeCell ref="CE320:CE322"/>
    <mergeCell ref="CF320:CF322"/>
    <mergeCell ref="CG320:CG322"/>
    <mergeCell ref="CH320:CH322"/>
    <mergeCell ref="CI320:CI322"/>
    <mergeCell ref="CJ320:CJ322"/>
    <mergeCell ref="AO320:AO322"/>
    <mergeCell ref="AP320:AP322"/>
    <mergeCell ref="AQ320:AQ322"/>
    <mergeCell ref="AW320:AW322"/>
    <mergeCell ref="AX320:AX322"/>
    <mergeCell ref="AY320:AY322"/>
    <mergeCell ref="AZ320:AZ322"/>
    <mergeCell ref="BA320:BA322"/>
    <mergeCell ref="BD320:BD322"/>
    <mergeCell ref="BE320:BE322"/>
    <mergeCell ref="BF320:BF322"/>
    <mergeCell ref="BG320:BG322"/>
    <mergeCell ref="BH320:BH322"/>
    <mergeCell ref="BI320:BI322"/>
    <mergeCell ref="BJ320:BJ322"/>
    <mergeCell ref="BL320:BL322"/>
    <mergeCell ref="BM320:BM322"/>
    <mergeCell ref="BK320:BK322"/>
    <mergeCell ref="BT317:BT319"/>
    <mergeCell ref="BU317:BU319"/>
    <mergeCell ref="BV317:BV319"/>
    <mergeCell ref="BW317:BW319"/>
    <mergeCell ref="BX317:BX319"/>
    <mergeCell ref="BZ317:BZ319"/>
    <mergeCell ref="CA317:CA319"/>
    <mergeCell ref="CB317:CB319"/>
    <mergeCell ref="CC317:CC319"/>
    <mergeCell ref="CD317:CD319"/>
    <mergeCell ref="CE317:CE319"/>
    <mergeCell ref="CF317:CF319"/>
    <mergeCell ref="CG317:CG319"/>
    <mergeCell ref="CH317:CH319"/>
    <mergeCell ref="CI317:CI319"/>
    <mergeCell ref="CJ317:CJ319"/>
    <mergeCell ref="C320:C322"/>
    <mergeCell ref="F320:F322"/>
    <mergeCell ref="K320:K322"/>
    <mergeCell ref="AA320:AA322"/>
    <mergeCell ref="AB320:AB322"/>
    <mergeCell ref="AC320:AC322"/>
    <mergeCell ref="AD320:AD322"/>
    <mergeCell ref="AE320:AE322"/>
    <mergeCell ref="AG320:AG322"/>
    <mergeCell ref="AH320:AH322"/>
    <mergeCell ref="AI320:AI322"/>
    <mergeCell ref="AJ320:AJ322"/>
    <mergeCell ref="AK320:AK322"/>
    <mergeCell ref="AL320:AL322"/>
    <mergeCell ref="AM320:AM322"/>
    <mergeCell ref="AN320:AN322"/>
    <mergeCell ref="AP317:AP319"/>
    <mergeCell ref="AQ317:AQ319"/>
    <mergeCell ref="AW317:AW319"/>
    <mergeCell ref="AX317:AX319"/>
    <mergeCell ref="AY317:AY319"/>
    <mergeCell ref="AZ317:AZ319"/>
    <mergeCell ref="BA317:BA319"/>
    <mergeCell ref="BD317:BD319"/>
    <mergeCell ref="BE317:BE319"/>
    <mergeCell ref="BF317:BF319"/>
    <mergeCell ref="BG317:BG319"/>
    <mergeCell ref="BH317:BH319"/>
    <mergeCell ref="BI317:BI319"/>
    <mergeCell ref="BJ317:BJ319"/>
    <mergeCell ref="BL317:BL319"/>
    <mergeCell ref="BM317:BM319"/>
    <mergeCell ref="BN317:BN319"/>
    <mergeCell ref="C317:C319"/>
    <mergeCell ref="F317:F319"/>
    <mergeCell ref="K317:K319"/>
    <mergeCell ref="AA317:AA319"/>
    <mergeCell ref="AB317:AB319"/>
    <mergeCell ref="AC317:AC319"/>
    <mergeCell ref="AD317:AD319"/>
    <mergeCell ref="AE317:AE319"/>
    <mergeCell ref="AG317:AG319"/>
    <mergeCell ref="AH317:AH319"/>
    <mergeCell ref="AI317:AI319"/>
    <mergeCell ref="AJ317:AJ319"/>
    <mergeCell ref="AK317:AK319"/>
    <mergeCell ref="AL317:AL319"/>
    <mergeCell ref="AM317:AM319"/>
    <mergeCell ref="AN317:AN319"/>
    <mergeCell ref="AO317:AO319"/>
    <mergeCell ref="BN314:BN316"/>
    <mergeCell ref="BT314:BT316"/>
    <mergeCell ref="BU314:BU316"/>
    <mergeCell ref="BV314:BV316"/>
    <mergeCell ref="BW314:BW316"/>
    <mergeCell ref="BX314:BX316"/>
    <mergeCell ref="BZ314:BZ316"/>
    <mergeCell ref="CA314:CA316"/>
    <mergeCell ref="CB314:CB316"/>
    <mergeCell ref="CC314:CC316"/>
    <mergeCell ref="CD314:CD316"/>
    <mergeCell ref="CE314:CE316"/>
    <mergeCell ref="CF314:CF316"/>
    <mergeCell ref="CG314:CG316"/>
    <mergeCell ref="CH314:CH316"/>
    <mergeCell ref="CI314:CI316"/>
    <mergeCell ref="CJ314:CJ316"/>
    <mergeCell ref="AO314:AO316"/>
    <mergeCell ref="AP314:AP316"/>
    <mergeCell ref="AQ314:AQ316"/>
    <mergeCell ref="AW314:AW316"/>
    <mergeCell ref="AX314:AX316"/>
    <mergeCell ref="AY314:AY316"/>
    <mergeCell ref="AZ314:AZ316"/>
    <mergeCell ref="BA314:BA316"/>
    <mergeCell ref="BD314:BD316"/>
    <mergeCell ref="BE314:BE316"/>
    <mergeCell ref="BF314:BF316"/>
    <mergeCell ref="BG314:BG316"/>
    <mergeCell ref="BH314:BH316"/>
    <mergeCell ref="BI314:BI316"/>
    <mergeCell ref="BJ314:BJ316"/>
    <mergeCell ref="BL314:BL316"/>
    <mergeCell ref="BM314:BM316"/>
    <mergeCell ref="BT310:BT313"/>
    <mergeCell ref="BU310:BU313"/>
    <mergeCell ref="BV310:BV313"/>
    <mergeCell ref="BW310:BW313"/>
    <mergeCell ref="BX310:BX313"/>
    <mergeCell ref="BZ310:BZ313"/>
    <mergeCell ref="CA310:CA313"/>
    <mergeCell ref="CB310:CB313"/>
    <mergeCell ref="CC310:CC313"/>
    <mergeCell ref="CD310:CD313"/>
    <mergeCell ref="CE310:CE313"/>
    <mergeCell ref="CF310:CF313"/>
    <mergeCell ref="CG310:CG313"/>
    <mergeCell ref="CH310:CH313"/>
    <mergeCell ref="CI310:CI313"/>
    <mergeCell ref="CJ310:CJ313"/>
    <mergeCell ref="C314:C316"/>
    <mergeCell ref="F314:F316"/>
    <mergeCell ref="K314:K316"/>
    <mergeCell ref="AA314:AA316"/>
    <mergeCell ref="AB314:AB316"/>
    <mergeCell ref="AC314:AC316"/>
    <mergeCell ref="AD314:AD316"/>
    <mergeCell ref="AE314:AE316"/>
    <mergeCell ref="AG314:AG316"/>
    <mergeCell ref="AH314:AH316"/>
    <mergeCell ref="AI314:AI316"/>
    <mergeCell ref="AJ314:AJ316"/>
    <mergeCell ref="AK314:AK316"/>
    <mergeCell ref="AL314:AL316"/>
    <mergeCell ref="AM314:AM316"/>
    <mergeCell ref="AN314:AN316"/>
    <mergeCell ref="AP310:AP313"/>
    <mergeCell ref="AQ310:AQ313"/>
    <mergeCell ref="AW310:AW313"/>
    <mergeCell ref="AX310:AX313"/>
    <mergeCell ref="AY310:AY313"/>
    <mergeCell ref="AZ310:AZ313"/>
    <mergeCell ref="BA310:BA313"/>
    <mergeCell ref="BD310:BD313"/>
    <mergeCell ref="BE310:BE313"/>
    <mergeCell ref="BF310:BF313"/>
    <mergeCell ref="BG310:BG313"/>
    <mergeCell ref="BH310:BH313"/>
    <mergeCell ref="BI310:BI313"/>
    <mergeCell ref="BJ310:BJ313"/>
    <mergeCell ref="BL310:BL313"/>
    <mergeCell ref="BM310:BM313"/>
    <mergeCell ref="BN310:BN313"/>
    <mergeCell ref="C310:C313"/>
    <mergeCell ref="F310:F313"/>
    <mergeCell ref="K310:K313"/>
    <mergeCell ref="AA310:AA313"/>
    <mergeCell ref="AB310:AB313"/>
    <mergeCell ref="AC310:AC313"/>
    <mergeCell ref="AD310:AD313"/>
    <mergeCell ref="AE310:AE313"/>
    <mergeCell ref="AG310:AG313"/>
    <mergeCell ref="AH310:AH313"/>
    <mergeCell ref="AI310:AI313"/>
    <mergeCell ref="AJ310:AJ313"/>
    <mergeCell ref="AK310:AK313"/>
    <mergeCell ref="AL310:AL313"/>
    <mergeCell ref="AM310:AM313"/>
    <mergeCell ref="AN310:AN313"/>
    <mergeCell ref="AO310:AO313"/>
    <mergeCell ref="BN307:BN308"/>
    <mergeCell ref="BT307:BT308"/>
    <mergeCell ref="BU307:BU308"/>
    <mergeCell ref="BV307:BV308"/>
    <mergeCell ref="BW307:BW308"/>
    <mergeCell ref="BX307:BX308"/>
    <mergeCell ref="BZ307:BZ308"/>
    <mergeCell ref="CA307:CA308"/>
    <mergeCell ref="CB307:CB308"/>
    <mergeCell ref="CC307:CC308"/>
    <mergeCell ref="CD307:CD308"/>
    <mergeCell ref="CE307:CE308"/>
    <mergeCell ref="CF307:CF308"/>
    <mergeCell ref="CG307:CG308"/>
    <mergeCell ref="CH307:CH308"/>
    <mergeCell ref="CI307:CI308"/>
    <mergeCell ref="CJ307:CJ308"/>
    <mergeCell ref="AO307:AO308"/>
    <mergeCell ref="AP307:AP308"/>
    <mergeCell ref="AQ307:AQ308"/>
    <mergeCell ref="AW307:AW308"/>
    <mergeCell ref="AX307:AX308"/>
    <mergeCell ref="AY307:AY308"/>
    <mergeCell ref="AZ307:AZ308"/>
    <mergeCell ref="BA307:BA308"/>
    <mergeCell ref="BD307:BD308"/>
    <mergeCell ref="BE307:BE308"/>
    <mergeCell ref="BF307:BF308"/>
    <mergeCell ref="BG307:BG308"/>
    <mergeCell ref="BH307:BH308"/>
    <mergeCell ref="BI307:BI308"/>
    <mergeCell ref="BJ307:BJ308"/>
    <mergeCell ref="BL307:BL308"/>
    <mergeCell ref="BM307:BM308"/>
    <mergeCell ref="BT305:BT306"/>
    <mergeCell ref="BU305:BU306"/>
    <mergeCell ref="BV305:BV306"/>
    <mergeCell ref="BW305:BW306"/>
    <mergeCell ref="BX305:BX306"/>
    <mergeCell ref="BZ305:BZ306"/>
    <mergeCell ref="CA305:CA306"/>
    <mergeCell ref="CB305:CB306"/>
    <mergeCell ref="CC305:CC306"/>
    <mergeCell ref="CD305:CD306"/>
    <mergeCell ref="CE305:CE306"/>
    <mergeCell ref="CF305:CF306"/>
    <mergeCell ref="CG305:CG306"/>
    <mergeCell ref="CH305:CH306"/>
    <mergeCell ref="CI305:CI306"/>
    <mergeCell ref="CJ305:CJ306"/>
    <mergeCell ref="C307:C308"/>
    <mergeCell ref="F307:F308"/>
    <mergeCell ref="K307:K308"/>
    <mergeCell ref="AA307:AA308"/>
    <mergeCell ref="AB307:AB308"/>
    <mergeCell ref="AC307:AC308"/>
    <mergeCell ref="AD307:AD308"/>
    <mergeCell ref="AE307:AE308"/>
    <mergeCell ref="AG307:AG308"/>
    <mergeCell ref="AH307:AH308"/>
    <mergeCell ref="AI307:AI308"/>
    <mergeCell ref="AJ307:AJ308"/>
    <mergeCell ref="AK307:AK308"/>
    <mergeCell ref="AL307:AL308"/>
    <mergeCell ref="AM307:AM308"/>
    <mergeCell ref="AN307:AN308"/>
    <mergeCell ref="AP305:AP306"/>
    <mergeCell ref="AQ305:AQ306"/>
    <mergeCell ref="AW305:AW306"/>
    <mergeCell ref="AX305:AX306"/>
    <mergeCell ref="AY305:AY306"/>
    <mergeCell ref="AZ305:AZ306"/>
    <mergeCell ref="BA305:BA306"/>
    <mergeCell ref="BD305:BD306"/>
    <mergeCell ref="BE305:BE306"/>
    <mergeCell ref="BF305:BF306"/>
    <mergeCell ref="BG305:BG306"/>
    <mergeCell ref="BH305:BH306"/>
    <mergeCell ref="BI305:BI306"/>
    <mergeCell ref="BJ305:BJ306"/>
    <mergeCell ref="BL305:BL306"/>
    <mergeCell ref="BM305:BM306"/>
    <mergeCell ref="BN305:BN306"/>
    <mergeCell ref="C305:C306"/>
    <mergeCell ref="F305:F306"/>
    <mergeCell ref="K305:K306"/>
    <mergeCell ref="AA305:AA306"/>
    <mergeCell ref="AB305:AB306"/>
    <mergeCell ref="AC305:AC306"/>
    <mergeCell ref="AD305:AD306"/>
    <mergeCell ref="AE305:AE306"/>
    <mergeCell ref="AG305:AG306"/>
    <mergeCell ref="AH305:AH306"/>
    <mergeCell ref="AI305:AI306"/>
    <mergeCell ref="AJ305:AJ306"/>
    <mergeCell ref="AK305:AK306"/>
    <mergeCell ref="AL305:AL306"/>
    <mergeCell ref="AM305:AM306"/>
    <mergeCell ref="AN305:AN306"/>
    <mergeCell ref="AO305:AO306"/>
    <mergeCell ref="BY426:BY428"/>
    <mergeCell ref="BD406:BD407"/>
    <mergeCell ref="BE406:BE407"/>
    <mergeCell ref="BF406:BF407"/>
    <mergeCell ref="BG406:BG407"/>
    <mergeCell ref="BL406:BL407"/>
    <mergeCell ref="BZ406:BZ407"/>
    <mergeCell ref="BZ401:BZ405"/>
    <mergeCell ref="CI172:CI174"/>
    <mergeCell ref="CJ172:CJ174"/>
    <mergeCell ref="CI170:CI171"/>
    <mergeCell ref="CJ170:CJ171"/>
    <mergeCell ref="CA166:CA169"/>
    <mergeCell ref="CI166:CI169"/>
    <mergeCell ref="CJ166:CJ169"/>
    <mergeCell ref="CI178:CI181"/>
    <mergeCell ref="CJ178:CJ181"/>
    <mergeCell ref="CA175:CA177"/>
    <mergeCell ref="CB175:CB177"/>
    <mergeCell ref="CC175:CC177"/>
    <mergeCell ref="CI175:CI177"/>
    <mergeCell ref="CJ175:CJ177"/>
    <mergeCell ref="CI185:CI188"/>
    <mergeCell ref="CJ185:CJ188"/>
    <mergeCell ref="CA182:CA184"/>
    <mergeCell ref="CB182:CB184"/>
    <mergeCell ref="CC182:CC184"/>
    <mergeCell ref="CI182:CI184"/>
    <mergeCell ref="CJ182:CJ184"/>
    <mergeCell ref="CI191:CI193"/>
    <mergeCell ref="CJ191:CJ193"/>
    <mergeCell ref="CA189:CA190"/>
    <mergeCell ref="CI207:CI209"/>
    <mergeCell ref="CH215:CH217"/>
    <mergeCell ref="CH212:CH214"/>
    <mergeCell ref="CB212:CB214"/>
    <mergeCell ref="CB189:CB190"/>
    <mergeCell ref="CI189:CI190"/>
    <mergeCell ref="CJ189:CJ190"/>
    <mergeCell ref="CA196:CA197"/>
    <mergeCell ref="CI196:CI197"/>
    <mergeCell ref="CJ196:CJ197"/>
    <mergeCell ref="CA194:CA195"/>
    <mergeCell ref="CB194:CB195"/>
    <mergeCell ref="CI194:CI195"/>
    <mergeCell ref="CJ194:CJ195"/>
    <mergeCell ref="CI201:CI203"/>
    <mergeCell ref="CJ201:CJ203"/>
    <mergeCell ref="CA198:CA200"/>
    <mergeCell ref="CB198:CB200"/>
    <mergeCell ref="CC198:CC200"/>
    <mergeCell ref="CI198:CI200"/>
    <mergeCell ref="CJ198:CJ200"/>
    <mergeCell ref="CF201:CF203"/>
    <mergeCell ref="CG201:CG203"/>
    <mergeCell ref="CH201:CH203"/>
    <mergeCell ref="CD198:CD200"/>
    <mergeCell ref="CE198:CE200"/>
    <mergeCell ref="CF198:CF200"/>
    <mergeCell ref="CG198:CG200"/>
    <mergeCell ref="CH198:CH200"/>
    <mergeCell ref="CH196:CH197"/>
    <mergeCell ref="CB196:CB197"/>
    <mergeCell ref="CC196:CC197"/>
    <mergeCell ref="CH204:CH206"/>
    <mergeCell ref="CB204:CB206"/>
    <mergeCell ref="CC204:CC206"/>
    <mergeCell ref="CD204:CD206"/>
    <mergeCell ref="CE204:CE206"/>
    <mergeCell ref="CF204:CF206"/>
    <mergeCell ref="CG204:CG206"/>
    <mergeCell ref="CG221:CG223"/>
    <mergeCell ref="CH221:CH223"/>
    <mergeCell ref="CA221:CA223"/>
    <mergeCell ref="CB221:CB223"/>
    <mergeCell ref="CC221:CC223"/>
    <mergeCell ref="CD221:CD223"/>
    <mergeCell ref="CE221:CE223"/>
    <mergeCell ref="CF207:CF209"/>
    <mergeCell ref="CG207:CG209"/>
    <mergeCell ref="CA207:CA209"/>
    <mergeCell ref="CB207:CB209"/>
    <mergeCell ref="CC207:CC209"/>
    <mergeCell ref="CJ204:CJ206"/>
    <mergeCell ref="CJ215:CJ217"/>
    <mergeCell ref="CI218:CI220"/>
    <mergeCell ref="CJ218:CJ220"/>
    <mergeCell ref="CI221:CI223"/>
    <mergeCell ref="CJ221:CJ223"/>
    <mergeCell ref="CI210:CI211"/>
    <mergeCell ref="CJ210:CJ211"/>
    <mergeCell ref="AW198:AW200"/>
    <mergeCell ref="BA198:BA200"/>
    <mergeCell ref="AW201:AW203"/>
    <mergeCell ref="AY201:AY203"/>
    <mergeCell ref="CH227:CH229"/>
    <mergeCell ref="CA212:CA214"/>
    <mergeCell ref="CI212:CI214"/>
    <mergeCell ref="CJ212:CJ214"/>
    <mergeCell ref="CA215:CA217"/>
    <mergeCell ref="CB215:CB217"/>
    <mergeCell ref="CC215:CC217"/>
    <mergeCell ref="CI215:CI217"/>
    <mergeCell ref="BT204:BT206"/>
    <mergeCell ref="AZ227:AZ229"/>
    <mergeCell ref="BA227:BA229"/>
    <mergeCell ref="BC227:BC229"/>
    <mergeCell ref="BD227:BD229"/>
    <mergeCell ref="CD215:CD217"/>
    <mergeCell ref="CE215:CE217"/>
    <mergeCell ref="CF215:CF217"/>
    <mergeCell ref="CG215:CG217"/>
    <mergeCell ref="CI224:CI226"/>
    <mergeCell ref="CH224:CH226"/>
    <mergeCell ref="CH207:CH209"/>
    <mergeCell ref="BW175:BW177"/>
    <mergeCell ref="BX175:BX177"/>
    <mergeCell ref="BW178:BW181"/>
    <mergeCell ref="BX178:BX181"/>
    <mergeCell ref="CI227:CI229"/>
    <mergeCell ref="CJ227:CJ229"/>
    <mergeCell ref="BU182:BU184"/>
    <mergeCell ref="CC212:CC214"/>
    <mergeCell ref="CD212:CD214"/>
    <mergeCell ref="CE212:CE214"/>
    <mergeCell ref="CF212:CF214"/>
    <mergeCell ref="CG212:CG214"/>
    <mergeCell ref="CF210:CF211"/>
    <mergeCell ref="CG210:CG211"/>
    <mergeCell ref="CH210:CH211"/>
    <mergeCell ref="CD207:CD209"/>
    <mergeCell ref="CE207:CE209"/>
    <mergeCell ref="BU204:BU206"/>
    <mergeCell ref="BV204:BV206"/>
    <mergeCell ref="BW204:BW206"/>
    <mergeCell ref="BX204:BX206"/>
    <mergeCell ref="CF221:CF223"/>
    <mergeCell ref="BU221:BU223"/>
    <mergeCell ref="BV221:BV223"/>
    <mergeCell ref="BW221:BW223"/>
    <mergeCell ref="BX221:BX223"/>
    <mergeCell ref="CF218:CF220"/>
    <mergeCell ref="CG218:CG220"/>
    <mergeCell ref="CH218:CH220"/>
    <mergeCell ref="CJ207:CJ209"/>
    <mergeCell ref="CA204:CA206"/>
    <mergeCell ref="CI204:CI206"/>
    <mergeCell ref="BU47:BU49"/>
    <mergeCell ref="BV47:BV49"/>
    <mergeCell ref="BX47:BX49"/>
    <mergeCell ref="BT50:BT52"/>
    <mergeCell ref="BT53:BT55"/>
    <mergeCell ref="AW215:AW217"/>
    <mergeCell ref="BA215:BA217"/>
    <mergeCell ref="AW218:AW220"/>
    <mergeCell ref="AY218:AY220"/>
    <mergeCell ref="BA218:BA220"/>
    <mergeCell ref="AY191:AY193"/>
    <mergeCell ref="AZ191:AZ193"/>
    <mergeCell ref="BA191:BA193"/>
    <mergeCell ref="AW194:AW195"/>
    <mergeCell ref="BA194:BA195"/>
    <mergeCell ref="AW196:AW197"/>
    <mergeCell ref="BA196:BA197"/>
    <mergeCell ref="AY185:AY188"/>
    <mergeCell ref="AZ185:AZ188"/>
    <mergeCell ref="BA185:BA188"/>
    <mergeCell ref="AW185:AW188"/>
    <mergeCell ref="AW189:AW190"/>
    <mergeCell ref="BA189:BA190"/>
    <mergeCell ref="AY178:AY181"/>
    <mergeCell ref="AY210:AY211"/>
    <mergeCell ref="BA210:BA211"/>
    <mergeCell ref="AW212:AW214"/>
    <mergeCell ref="BT153:BT155"/>
    <mergeCell ref="BW153:BW155"/>
    <mergeCell ref="BX153:BX155"/>
    <mergeCell ref="BT156:BT157"/>
    <mergeCell ref="BU156:BU157"/>
    <mergeCell ref="BV156:BV157"/>
    <mergeCell ref="BX156:BX157"/>
    <mergeCell ref="AW182:AW184"/>
    <mergeCell ref="BA182:BA184"/>
    <mergeCell ref="AW166:AW169"/>
    <mergeCell ref="BA166:BA169"/>
    <mergeCell ref="AW170:AW171"/>
    <mergeCell ref="BA170:BA171"/>
    <mergeCell ref="AW172:AW174"/>
    <mergeCell ref="BA172:BA174"/>
    <mergeCell ref="BT182:BT184"/>
    <mergeCell ref="BU175:BU177"/>
    <mergeCell ref="BT175:BT177"/>
    <mergeCell ref="BV170:BV171"/>
    <mergeCell ref="BU170:BU171"/>
    <mergeCell ref="BT170:BT171"/>
    <mergeCell ref="BU162:BU165"/>
    <mergeCell ref="BT162:BT165"/>
    <mergeCell ref="BT166:BT169"/>
    <mergeCell ref="BK178:BK181"/>
    <mergeCell ref="BL178:BL181"/>
    <mergeCell ref="BB178:BB181"/>
    <mergeCell ref="BC178:BC181"/>
    <mergeCell ref="BD178:BD181"/>
    <mergeCell ref="BE178:BE181"/>
    <mergeCell ref="BF178:BF181"/>
    <mergeCell ref="BG178:BG181"/>
    <mergeCell ref="BF172:BF174"/>
    <mergeCell ref="BG172:BG174"/>
    <mergeCell ref="BH172:BH174"/>
    <mergeCell ref="AX172:AX174"/>
    <mergeCell ref="AY172:AY174"/>
    <mergeCell ref="BV153:BV155"/>
    <mergeCell ref="BU153:BU155"/>
    <mergeCell ref="AA406:AA407"/>
    <mergeCell ref="AA401:AA405"/>
    <mergeCell ref="AW401:AW405"/>
    <mergeCell ref="AW406:AW407"/>
    <mergeCell ref="AW409:AW411"/>
    <mergeCell ref="AW412:AW416"/>
    <mergeCell ref="AA412:AA416"/>
    <mergeCell ref="AZ406:AZ407"/>
    <mergeCell ref="BA406:BA407"/>
    <mergeCell ref="AX406:AX407"/>
    <mergeCell ref="AY406:AY407"/>
    <mergeCell ref="AC406:AC407"/>
    <mergeCell ref="AD406:AD407"/>
    <mergeCell ref="AE406:AE407"/>
    <mergeCell ref="AW398:AW400"/>
    <mergeCell ref="AX398:AX400"/>
    <mergeCell ref="AY398:AY400"/>
    <mergeCell ref="AZ398:AZ400"/>
    <mergeCell ref="BA398:BA400"/>
    <mergeCell ref="AE409:AE411"/>
    <mergeCell ref="AJ395:AJ397"/>
    <mergeCell ref="AK395:AK397"/>
    <mergeCell ref="AW221:AW223"/>
    <mergeCell ref="AY221:AY223"/>
    <mergeCell ref="AZ221:AZ223"/>
    <mergeCell ref="BD398:BD400"/>
    <mergeCell ref="AL398:AL400"/>
    <mergeCell ref="AM398:AM400"/>
    <mergeCell ref="AN398:AN400"/>
    <mergeCell ref="AO398:AO400"/>
    <mergeCell ref="AA425:AA428"/>
    <mergeCell ref="AA409:AA411"/>
    <mergeCell ref="CE453:CE454"/>
    <mergeCell ref="CF453:CF454"/>
    <mergeCell ref="CG453:CG454"/>
    <mergeCell ref="AW417:AW419"/>
    <mergeCell ref="AW420:AW421"/>
    <mergeCell ref="AW423:AW424"/>
    <mergeCell ref="AW425:AW428"/>
    <mergeCell ref="BT453:BT454"/>
    <mergeCell ref="BU453:BU454"/>
    <mergeCell ref="BV453:BV454"/>
    <mergeCell ref="BW453:BW454"/>
    <mergeCell ref="BX453:BX454"/>
    <mergeCell ref="CD453:CD454"/>
    <mergeCell ref="BG453:BG454"/>
    <mergeCell ref="BH453:BH454"/>
    <mergeCell ref="BI453:BI454"/>
    <mergeCell ref="BJ453:BJ454"/>
    <mergeCell ref="BK453:BK454"/>
    <mergeCell ref="BN453:BN454"/>
    <mergeCell ref="AY453:AY454"/>
    <mergeCell ref="AZ453:AZ454"/>
    <mergeCell ref="BA453:BA454"/>
    <mergeCell ref="BD453:BD454"/>
    <mergeCell ref="BE453:BE454"/>
    <mergeCell ref="BF453:BF454"/>
    <mergeCell ref="AL449:AL452"/>
    <mergeCell ref="AM449:AM452"/>
    <mergeCell ref="AN449:AN452"/>
    <mergeCell ref="CF449:CF452"/>
    <mergeCell ref="AK453:AK454"/>
    <mergeCell ref="AL453:AL454"/>
    <mergeCell ref="AM453:AM454"/>
    <mergeCell ref="AN453:AN454"/>
    <mergeCell ref="AW453:AW454"/>
    <mergeCell ref="AX453:AX454"/>
    <mergeCell ref="AD453:AD454"/>
    <mergeCell ref="AE453:AE454"/>
    <mergeCell ref="AG453:AG454"/>
    <mergeCell ref="AH453:AH454"/>
    <mergeCell ref="AI453:AI454"/>
    <mergeCell ref="AJ453:AJ454"/>
    <mergeCell ref="C453:C454"/>
    <mergeCell ref="F453:F454"/>
    <mergeCell ref="K453:K454"/>
    <mergeCell ref="AA453:AA454"/>
    <mergeCell ref="AB453:AB454"/>
    <mergeCell ref="AC453:AC454"/>
    <mergeCell ref="CG449:CG452"/>
    <mergeCell ref="CH449:CH452"/>
    <mergeCell ref="CI449:CI452"/>
    <mergeCell ref="CJ449:CJ452"/>
    <mergeCell ref="BW449:BW452"/>
    <mergeCell ref="BX449:BX452"/>
    <mergeCell ref="CA449:CA452"/>
    <mergeCell ref="CB449:CB452"/>
    <mergeCell ref="CC449:CC452"/>
    <mergeCell ref="CD449:CD452"/>
    <mergeCell ref="BL449:BL452"/>
    <mergeCell ref="BM449:BM452"/>
    <mergeCell ref="BN449:BN452"/>
    <mergeCell ref="BT449:BT452"/>
    <mergeCell ref="BU449:BU452"/>
    <mergeCell ref="BV449:BV452"/>
    <mergeCell ref="AO449:AO452"/>
    <mergeCell ref="AP449:AP452"/>
    <mergeCell ref="AW449:AW452"/>
    <mergeCell ref="CE449:CE452"/>
    <mergeCell ref="BF449:BF452"/>
    <mergeCell ref="BG449:BG452"/>
    <mergeCell ref="BH449:BH452"/>
    <mergeCell ref="BI449:BI452"/>
    <mergeCell ref="BJ449:BJ452"/>
    <mergeCell ref="BK449:BK452"/>
    <mergeCell ref="AX449:AX452"/>
    <mergeCell ref="AY449:AY452"/>
    <mergeCell ref="AZ449:AZ452"/>
    <mergeCell ref="BA449:BA452"/>
    <mergeCell ref="BD449:BD452"/>
    <mergeCell ref="BE449:BE452"/>
    <mergeCell ref="AE449:AE452"/>
    <mergeCell ref="AG449:AG452"/>
    <mergeCell ref="AH449:AH452"/>
    <mergeCell ref="AI449:AI452"/>
    <mergeCell ref="AJ449:AJ452"/>
    <mergeCell ref="AK449:AK452"/>
    <mergeCell ref="K449:K452"/>
    <mergeCell ref="L449:L452"/>
    <mergeCell ref="AA449:AA452"/>
    <mergeCell ref="AB449:AB452"/>
    <mergeCell ref="AC449:AC452"/>
    <mergeCell ref="AD449:AD452"/>
    <mergeCell ref="CI444:CI448"/>
    <mergeCell ref="CJ444:CJ448"/>
    <mergeCell ref="AP444:AP448"/>
    <mergeCell ref="AW444:AW448"/>
    <mergeCell ref="AX444:AX448"/>
    <mergeCell ref="AY444:AY448"/>
    <mergeCell ref="AZ444:AZ448"/>
    <mergeCell ref="BA444:BA448"/>
    <mergeCell ref="AJ444:AJ448"/>
    <mergeCell ref="AK444:AK448"/>
    <mergeCell ref="AL444:AL448"/>
    <mergeCell ref="AM444:AM448"/>
    <mergeCell ref="AN444:AN448"/>
    <mergeCell ref="AO444:AO448"/>
    <mergeCell ref="AC444:AC448"/>
    <mergeCell ref="AD444:AD448"/>
    <mergeCell ref="AE444:AE448"/>
    <mergeCell ref="AG444:AG448"/>
    <mergeCell ref="AH444:AH448"/>
    <mergeCell ref="AI444:AI448"/>
    <mergeCell ref="C449:C452"/>
    <mergeCell ref="D449:D452"/>
    <mergeCell ref="E449:E452"/>
    <mergeCell ref="F449:F452"/>
    <mergeCell ref="G449:G452"/>
    <mergeCell ref="H449:H452"/>
    <mergeCell ref="I449:I452"/>
    <mergeCell ref="J449:J452"/>
    <mergeCell ref="CC444:CC448"/>
    <mergeCell ref="CD444:CD448"/>
    <mergeCell ref="CE444:CE448"/>
    <mergeCell ref="CF444:CF448"/>
    <mergeCell ref="CG444:CG448"/>
    <mergeCell ref="CH444:CH448"/>
    <mergeCell ref="BU444:BU448"/>
    <mergeCell ref="BV444:BV448"/>
    <mergeCell ref="BW444:BW448"/>
    <mergeCell ref="BX444:BX448"/>
    <mergeCell ref="CA444:CA448"/>
    <mergeCell ref="CB444:CB448"/>
    <mergeCell ref="BJ444:BJ448"/>
    <mergeCell ref="BK444:BK448"/>
    <mergeCell ref="BL444:BL448"/>
    <mergeCell ref="BM444:BM448"/>
    <mergeCell ref="BN444:BN448"/>
    <mergeCell ref="BT444:BT448"/>
    <mergeCell ref="BD444:BD448"/>
    <mergeCell ref="BE444:BE448"/>
    <mergeCell ref="BF444:BF448"/>
    <mergeCell ref="BG444:BG448"/>
    <mergeCell ref="BH444:BH448"/>
    <mergeCell ref="BI444:BI448"/>
    <mergeCell ref="I444:I448"/>
    <mergeCell ref="J444:J448"/>
    <mergeCell ref="K444:K448"/>
    <mergeCell ref="L444:L448"/>
    <mergeCell ref="AA444:AA448"/>
    <mergeCell ref="AB444:AB448"/>
    <mergeCell ref="C444:C448"/>
    <mergeCell ref="D444:D448"/>
    <mergeCell ref="E444:E448"/>
    <mergeCell ref="F444:F448"/>
    <mergeCell ref="G444:G448"/>
    <mergeCell ref="H444:H448"/>
    <mergeCell ref="BT441:BT443"/>
    <mergeCell ref="BU441:BU443"/>
    <mergeCell ref="AK441:AK443"/>
    <mergeCell ref="AL441:AL443"/>
    <mergeCell ref="AM441:AM443"/>
    <mergeCell ref="AN441:AN443"/>
    <mergeCell ref="AO441:AO443"/>
    <mergeCell ref="AP441:AP443"/>
    <mergeCell ref="AD441:AD443"/>
    <mergeCell ref="AE441:AE443"/>
    <mergeCell ref="AG441:AG443"/>
    <mergeCell ref="AH441:AH443"/>
    <mergeCell ref="AI441:AI443"/>
    <mergeCell ref="AJ441:AJ443"/>
    <mergeCell ref="J441:J443"/>
    <mergeCell ref="K441:K443"/>
    <mergeCell ref="L441:L443"/>
    <mergeCell ref="BV441:BV443"/>
    <mergeCell ref="BW441:BW443"/>
    <mergeCell ref="BX441:BX443"/>
    <mergeCell ref="BH441:BH443"/>
    <mergeCell ref="BI441:BI443"/>
    <mergeCell ref="BJ441:BJ443"/>
    <mergeCell ref="BK441:BK443"/>
    <mergeCell ref="BL441:BL443"/>
    <mergeCell ref="BM441:BM443"/>
    <mergeCell ref="BB441:BB443"/>
    <mergeCell ref="BC441:BC443"/>
    <mergeCell ref="BD441:BD443"/>
    <mergeCell ref="BE441:BE443"/>
    <mergeCell ref="BF441:BF443"/>
    <mergeCell ref="BG441:BG443"/>
    <mergeCell ref="AQ441:AQ443"/>
    <mergeCell ref="AW441:AW443"/>
    <mergeCell ref="AX441:AX443"/>
    <mergeCell ref="AY441:AY443"/>
    <mergeCell ref="AZ441:AZ443"/>
    <mergeCell ref="BA441:BA443"/>
    <mergeCell ref="BU435:BU440"/>
    <mergeCell ref="BV435:BV440"/>
    <mergeCell ref="BW435:BW440"/>
    <mergeCell ref="BX435:BX440"/>
    <mergeCell ref="BI435:BI440"/>
    <mergeCell ref="BJ435:BJ440"/>
    <mergeCell ref="BK435:BK440"/>
    <mergeCell ref="BL435:BL440"/>
    <mergeCell ref="BM435:BM440"/>
    <mergeCell ref="BC435:BC440"/>
    <mergeCell ref="BD435:BD440"/>
    <mergeCell ref="BE435:BE440"/>
    <mergeCell ref="BF435:BF440"/>
    <mergeCell ref="BG435:BG440"/>
    <mergeCell ref="BH435:BH440"/>
    <mergeCell ref="AQ435:AQ440"/>
    <mergeCell ref="AW435:AW440"/>
    <mergeCell ref="AX435:AX440"/>
    <mergeCell ref="AY435:AY440"/>
    <mergeCell ref="AZ435:AZ440"/>
    <mergeCell ref="BA435:BA440"/>
    <mergeCell ref="J435:J440"/>
    <mergeCell ref="K435:K440"/>
    <mergeCell ref="L435:L440"/>
    <mergeCell ref="AA435:AA440"/>
    <mergeCell ref="AB435:AB440"/>
    <mergeCell ref="AC435:AC440"/>
    <mergeCell ref="AA441:AA443"/>
    <mergeCell ref="AB441:AB443"/>
    <mergeCell ref="AC441:AC443"/>
    <mergeCell ref="C441:C443"/>
    <mergeCell ref="D441:D443"/>
    <mergeCell ref="E441:E443"/>
    <mergeCell ref="F441:F443"/>
    <mergeCell ref="G441:G443"/>
    <mergeCell ref="H441:H443"/>
    <mergeCell ref="I441:I443"/>
    <mergeCell ref="BT435:BT440"/>
    <mergeCell ref="BW432:BW434"/>
    <mergeCell ref="BX432:BX434"/>
    <mergeCell ref="BI432:BI434"/>
    <mergeCell ref="BJ432:BJ434"/>
    <mergeCell ref="BK432:BK434"/>
    <mergeCell ref="BL432:BL434"/>
    <mergeCell ref="BM432:BM434"/>
    <mergeCell ref="BC432:BC434"/>
    <mergeCell ref="BD432:BD434"/>
    <mergeCell ref="BE432:BE434"/>
    <mergeCell ref="BF432:BF434"/>
    <mergeCell ref="BG432:BG434"/>
    <mergeCell ref="BH432:BH434"/>
    <mergeCell ref="AQ432:AQ434"/>
    <mergeCell ref="AW432:AW434"/>
    <mergeCell ref="AX432:AX434"/>
    <mergeCell ref="AY432:AY434"/>
    <mergeCell ref="AZ432:AZ434"/>
    <mergeCell ref="BA432:BA434"/>
    <mergeCell ref="C432:C434"/>
    <mergeCell ref="D432:D434"/>
    <mergeCell ref="E432:E434"/>
    <mergeCell ref="F432:F434"/>
    <mergeCell ref="G432:G434"/>
    <mergeCell ref="H432:H434"/>
    <mergeCell ref="I432:I434"/>
    <mergeCell ref="C435:C440"/>
    <mergeCell ref="D435:D440"/>
    <mergeCell ref="E435:E440"/>
    <mergeCell ref="F435:F440"/>
    <mergeCell ref="G435:G440"/>
    <mergeCell ref="H435:H440"/>
    <mergeCell ref="I435:I440"/>
    <mergeCell ref="BT432:BT434"/>
    <mergeCell ref="BU432:BU434"/>
    <mergeCell ref="BV432:BV434"/>
    <mergeCell ref="AK432:AK434"/>
    <mergeCell ref="AL432:AL434"/>
    <mergeCell ref="AM432:AM434"/>
    <mergeCell ref="AK435:AK440"/>
    <mergeCell ref="AL435:AL440"/>
    <mergeCell ref="AM435:AM440"/>
    <mergeCell ref="AN435:AN440"/>
    <mergeCell ref="AO435:AO440"/>
    <mergeCell ref="AP435:AP440"/>
    <mergeCell ref="AD435:AD440"/>
    <mergeCell ref="AE435:AE440"/>
    <mergeCell ref="AG435:AG440"/>
    <mergeCell ref="AH435:AH440"/>
    <mergeCell ref="AI435:AI440"/>
    <mergeCell ref="AJ435:AJ440"/>
    <mergeCell ref="AN432:AN434"/>
    <mergeCell ref="AO432:AO434"/>
    <mergeCell ref="AP432:AP434"/>
    <mergeCell ref="AD432:AD434"/>
    <mergeCell ref="AE432:AE434"/>
    <mergeCell ref="AG432:AG434"/>
    <mergeCell ref="AH432:AH434"/>
    <mergeCell ref="AI432:AI434"/>
    <mergeCell ref="AJ432:AJ434"/>
    <mergeCell ref="J432:J434"/>
    <mergeCell ref="K432:K434"/>
    <mergeCell ref="L432:L434"/>
    <mergeCell ref="AA432:AA434"/>
    <mergeCell ref="AB432:AB434"/>
    <mergeCell ref="AC432:AC434"/>
    <mergeCell ref="AD429:AD431"/>
    <mergeCell ref="AE429:AE431"/>
    <mergeCell ref="AG429:AG431"/>
    <mergeCell ref="AH429:AH431"/>
    <mergeCell ref="AI429:AI431"/>
    <mergeCell ref="AJ429:AJ431"/>
    <mergeCell ref="J429:J431"/>
    <mergeCell ref="K429:K431"/>
    <mergeCell ref="L429:L431"/>
    <mergeCell ref="AA429:AA431"/>
    <mergeCell ref="AB429:AB431"/>
    <mergeCell ref="AC429:AC431"/>
    <mergeCell ref="BT429:BT431"/>
    <mergeCell ref="BU429:BU431"/>
    <mergeCell ref="BV429:BV431"/>
    <mergeCell ref="BW429:BW431"/>
    <mergeCell ref="BX429:BX431"/>
    <mergeCell ref="BI429:BI431"/>
    <mergeCell ref="BJ429:BJ431"/>
    <mergeCell ref="BK429:BK431"/>
    <mergeCell ref="BL429:BL431"/>
    <mergeCell ref="BM429:BM431"/>
    <mergeCell ref="BC429:BC431"/>
    <mergeCell ref="BD429:BD431"/>
    <mergeCell ref="BE429:BE431"/>
    <mergeCell ref="BF429:BF431"/>
    <mergeCell ref="BG429:BG431"/>
    <mergeCell ref="BH429:BH431"/>
    <mergeCell ref="AQ429:AQ431"/>
    <mergeCell ref="AW429:AW431"/>
    <mergeCell ref="AX429:AX431"/>
    <mergeCell ref="AY429:AY431"/>
    <mergeCell ref="AZ429:AZ431"/>
    <mergeCell ref="BA429:BA431"/>
    <mergeCell ref="CG425:CG428"/>
    <mergeCell ref="CH425:CH428"/>
    <mergeCell ref="CI425:CI428"/>
    <mergeCell ref="BZ425:BZ428"/>
    <mergeCell ref="CJ425:CJ428"/>
    <mergeCell ref="C429:C431"/>
    <mergeCell ref="D429:D431"/>
    <mergeCell ref="E429:E431"/>
    <mergeCell ref="F429:F431"/>
    <mergeCell ref="G429:G431"/>
    <mergeCell ref="H429:H431"/>
    <mergeCell ref="I429:I431"/>
    <mergeCell ref="BV425:BV428"/>
    <mergeCell ref="BW425:BW428"/>
    <mergeCell ref="BX425:BX428"/>
    <mergeCell ref="BU425:BU428"/>
    <mergeCell ref="BT425:BT428"/>
    <mergeCell ref="AX425:AX428"/>
    <mergeCell ref="AY425:AY428"/>
    <mergeCell ref="AZ425:AZ428"/>
    <mergeCell ref="BA425:BA428"/>
    <mergeCell ref="AE425:AE428"/>
    <mergeCell ref="CA429:CA431"/>
    <mergeCell ref="CB429:CB431"/>
    <mergeCell ref="CC429:CC431"/>
    <mergeCell ref="BZ429:BZ431"/>
    <mergeCell ref="AK429:AK431"/>
    <mergeCell ref="AL429:AL431"/>
    <mergeCell ref="AM429:AM431"/>
    <mergeCell ref="AN429:AN431"/>
    <mergeCell ref="AO429:AO431"/>
    <mergeCell ref="AP429:AP431"/>
    <mergeCell ref="CB423:CB424"/>
    <mergeCell ref="CC423:CC424"/>
    <mergeCell ref="CD423:CD424"/>
    <mergeCell ref="CE423:CE424"/>
    <mergeCell ref="CF423:CF424"/>
    <mergeCell ref="CG423:CG424"/>
    <mergeCell ref="CH423:CH424"/>
    <mergeCell ref="CI423:CI424"/>
    <mergeCell ref="BZ423:BZ424"/>
    <mergeCell ref="CJ423:CJ424"/>
    <mergeCell ref="C425:C428"/>
    <mergeCell ref="F425:F428"/>
    <mergeCell ref="K425:K428"/>
    <mergeCell ref="AB425:AB428"/>
    <mergeCell ref="AC425:AC428"/>
    <mergeCell ref="AD425:AD428"/>
    <mergeCell ref="BV423:BV424"/>
    <mergeCell ref="BW423:BW424"/>
    <mergeCell ref="BX423:BX424"/>
    <mergeCell ref="BU423:BU424"/>
    <mergeCell ref="BT423:BT424"/>
    <mergeCell ref="AX423:AX424"/>
    <mergeCell ref="AY423:AY424"/>
    <mergeCell ref="AZ423:AZ424"/>
    <mergeCell ref="BA423:BA424"/>
    <mergeCell ref="AE423:AE424"/>
    <mergeCell ref="CA425:CA428"/>
    <mergeCell ref="CB425:CB428"/>
    <mergeCell ref="CC425:CC428"/>
    <mergeCell ref="CD425:CD428"/>
    <mergeCell ref="CE425:CE428"/>
    <mergeCell ref="CF425:CF428"/>
    <mergeCell ref="C423:C424"/>
    <mergeCell ref="F423:F424"/>
    <mergeCell ref="K423:K424"/>
    <mergeCell ref="AB423:AB424"/>
    <mergeCell ref="AC423:AC424"/>
    <mergeCell ref="AD423:AD424"/>
    <mergeCell ref="BV420:BV421"/>
    <mergeCell ref="BW420:BW421"/>
    <mergeCell ref="BX420:BX421"/>
    <mergeCell ref="BU420:BU421"/>
    <mergeCell ref="BT420:BT421"/>
    <mergeCell ref="AX420:AX421"/>
    <mergeCell ref="AY420:AY421"/>
    <mergeCell ref="AZ420:AZ421"/>
    <mergeCell ref="BA420:BA421"/>
    <mergeCell ref="AE420:AE421"/>
    <mergeCell ref="CA423:CA424"/>
    <mergeCell ref="AA420:AA421"/>
    <mergeCell ref="AA423:AA424"/>
    <mergeCell ref="BD423:BD424"/>
    <mergeCell ref="BE423:BE424"/>
    <mergeCell ref="BF423:BF424"/>
    <mergeCell ref="BG423:BG424"/>
    <mergeCell ref="BH423:BH424"/>
    <mergeCell ref="BI423:BI424"/>
    <mergeCell ref="BJ423:BJ424"/>
    <mergeCell ref="BK423:BK424"/>
    <mergeCell ref="BL423:BL424"/>
    <mergeCell ref="BM423:BM424"/>
    <mergeCell ref="BN423:BN424"/>
    <mergeCell ref="CG417:CG419"/>
    <mergeCell ref="CJ417:CJ419"/>
    <mergeCell ref="CA417:CA419"/>
    <mergeCell ref="C420:C421"/>
    <mergeCell ref="F420:F421"/>
    <mergeCell ref="K420:K421"/>
    <mergeCell ref="AB420:AB421"/>
    <mergeCell ref="AC420:AC421"/>
    <mergeCell ref="AD420:AD421"/>
    <mergeCell ref="BT417:BT419"/>
    <mergeCell ref="BU417:BU419"/>
    <mergeCell ref="BV417:BV419"/>
    <mergeCell ref="BW417:BW419"/>
    <mergeCell ref="BX417:BX419"/>
    <mergeCell ref="AX417:AX419"/>
    <mergeCell ref="AY417:AY419"/>
    <mergeCell ref="AZ417:AZ419"/>
    <mergeCell ref="BA417:BA419"/>
    <mergeCell ref="AE417:AE419"/>
    <mergeCell ref="CA420:CA421"/>
    <mergeCell ref="CB420:CB421"/>
    <mergeCell ref="CC420:CC421"/>
    <mergeCell ref="CD420:CD421"/>
    <mergeCell ref="CE420:CE421"/>
    <mergeCell ref="CF420:CF421"/>
    <mergeCell ref="CG420:CG421"/>
    <mergeCell ref="CH420:CH421"/>
    <mergeCell ref="CI420:CI421"/>
    <mergeCell ref="BZ420:BZ421"/>
    <mergeCell ref="CJ420:CJ421"/>
    <mergeCell ref="AA417:AA419"/>
    <mergeCell ref="CH418:CH419"/>
    <mergeCell ref="CD409:CD411"/>
    <mergeCell ref="CE409:CE411"/>
    <mergeCell ref="CF409:CF411"/>
    <mergeCell ref="CA412:CA416"/>
    <mergeCell ref="C417:C419"/>
    <mergeCell ref="F417:F419"/>
    <mergeCell ref="K417:K419"/>
    <mergeCell ref="AB417:AB419"/>
    <mergeCell ref="AC417:AC419"/>
    <mergeCell ref="AD417:AD419"/>
    <mergeCell ref="BV412:BV416"/>
    <mergeCell ref="BW412:BW416"/>
    <mergeCell ref="BX412:BX416"/>
    <mergeCell ref="BU412:BU416"/>
    <mergeCell ref="BT412:BT416"/>
    <mergeCell ref="AX412:AX416"/>
    <mergeCell ref="AY412:AY416"/>
    <mergeCell ref="AZ412:AZ416"/>
    <mergeCell ref="BA412:BA416"/>
    <mergeCell ref="AD412:AD416"/>
    <mergeCell ref="AE412:AE416"/>
    <mergeCell ref="CB417:CB419"/>
    <mergeCell ref="CC417:CC419"/>
    <mergeCell ref="CD417:CD419"/>
    <mergeCell ref="CE417:CE419"/>
    <mergeCell ref="CF417:CF419"/>
    <mergeCell ref="BD409:BD411"/>
    <mergeCell ref="BE409:BE411"/>
    <mergeCell ref="BF409:BF411"/>
    <mergeCell ref="BG409:BG411"/>
    <mergeCell ref="BH409:BH411"/>
    <mergeCell ref="BI409:BI411"/>
    <mergeCell ref="CE406:CE407"/>
    <mergeCell ref="BU406:BU407"/>
    <mergeCell ref="BV406:BV407"/>
    <mergeCell ref="BW406:BW407"/>
    <mergeCell ref="BX406:BX407"/>
    <mergeCell ref="BT406:BT407"/>
    <mergeCell ref="BH406:BH407"/>
    <mergeCell ref="BI406:BI407"/>
    <mergeCell ref="BJ406:BJ407"/>
    <mergeCell ref="BK406:BK407"/>
    <mergeCell ref="BM406:BM407"/>
    <mergeCell ref="BN406:BN407"/>
    <mergeCell ref="C412:C416"/>
    <mergeCell ref="F412:F416"/>
    <mergeCell ref="K412:K416"/>
    <mergeCell ref="AB412:AB416"/>
    <mergeCell ref="AC412:AC416"/>
    <mergeCell ref="BT409:BT411"/>
    <mergeCell ref="BV409:BV411"/>
    <mergeCell ref="BW409:BW411"/>
    <mergeCell ref="BX409:BX411"/>
    <mergeCell ref="BU409:BU411"/>
    <mergeCell ref="AX409:AX411"/>
    <mergeCell ref="AY409:AY411"/>
    <mergeCell ref="AZ409:AZ411"/>
    <mergeCell ref="BA409:BA411"/>
    <mergeCell ref="C409:C411"/>
    <mergeCell ref="F409:F411"/>
    <mergeCell ref="K409:K411"/>
    <mergeCell ref="AB409:AB411"/>
    <mergeCell ref="AC409:AC411"/>
    <mergeCell ref="AD409:AD411"/>
    <mergeCell ref="CG401:CG405"/>
    <mergeCell ref="CH401:CH405"/>
    <mergeCell ref="CI401:CI405"/>
    <mergeCell ref="CJ401:CJ405"/>
    <mergeCell ref="C406:C407"/>
    <mergeCell ref="F406:F407"/>
    <mergeCell ref="K406:K407"/>
    <mergeCell ref="AB406:AB407"/>
    <mergeCell ref="CA401:CA405"/>
    <mergeCell ref="CB401:CB405"/>
    <mergeCell ref="CC401:CC405"/>
    <mergeCell ref="CD401:CD405"/>
    <mergeCell ref="CE401:CE405"/>
    <mergeCell ref="CF401:CF405"/>
    <mergeCell ref="BU401:BU405"/>
    <mergeCell ref="BV401:BV405"/>
    <mergeCell ref="BW401:BW405"/>
    <mergeCell ref="BX401:BX405"/>
    <mergeCell ref="BT401:BT405"/>
    <mergeCell ref="AZ401:AZ405"/>
    <mergeCell ref="BA401:BA405"/>
    <mergeCell ref="AX401:AX405"/>
    <mergeCell ref="AY401:AY405"/>
    <mergeCell ref="CF406:CF407"/>
    <mergeCell ref="CG406:CG407"/>
    <mergeCell ref="CH406:CH407"/>
    <mergeCell ref="CI406:CI407"/>
    <mergeCell ref="CJ406:CJ407"/>
    <mergeCell ref="CA406:CA407"/>
    <mergeCell ref="CB406:CB407"/>
    <mergeCell ref="CC406:CC407"/>
    <mergeCell ref="CD406:CD407"/>
    <mergeCell ref="CJ398:CJ400"/>
    <mergeCell ref="C401:C405"/>
    <mergeCell ref="F401:F405"/>
    <mergeCell ref="K401:K405"/>
    <mergeCell ref="AB401:AB405"/>
    <mergeCell ref="AC401:AC405"/>
    <mergeCell ref="AD401:AD405"/>
    <mergeCell ref="AE401:AE405"/>
    <mergeCell ref="CD398:CD400"/>
    <mergeCell ref="CE398:CE400"/>
    <mergeCell ref="CF398:CF400"/>
    <mergeCell ref="CG398:CG400"/>
    <mergeCell ref="CH398:CH400"/>
    <mergeCell ref="CI398:CI400"/>
    <mergeCell ref="BW398:BW400"/>
    <mergeCell ref="BX398:BX400"/>
    <mergeCell ref="BZ398:BZ400"/>
    <mergeCell ref="CA398:CA400"/>
    <mergeCell ref="CB398:CB400"/>
    <mergeCell ref="CC398:CC400"/>
    <mergeCell ref="BL398:BL400"/>
    <mergeCell ref="BM398:BM400"/>
    <mergeCell ref="BN398:BN400"/>
    <mergeCell ref="BT398:BT400"/>
    <mergeCell ref="BU398:BU400"/>
    <mergeCell ref="BV398:BV400"/>
    <mergeCell ref="BE398:BE400"/>
    <mergeCell ref="BF398:BF400"/>
    <mergeCell ref="BG398:BG400"/>
    <mergeCell ref="BH398:BH400"/>
    <mergeCell ref="BI398:BI400"/>
    <mergeCell ref="BJ398:BJ400"/>
    <mergeCell ref="AP398:AP400"/>
    <mergeCell ref="AQ398:AQ400"/>
    <mergeCell ref="AE398:AE400"/>
    <mergeCell ref="AG398:AG400"/>
    <mergeCell ref="AH398:AH400"/>
    <mergeCell ref="AI398:AI400"/>
    <mergeCell ref="AJ398:AJ400"/>
    <mergeCell ref="AK398:AK400"/>
    <mergeCell ref="CH395:CH397"/>
    <mergeCell ref="CI395:CI397"/>
    <mergeCell ref="CJ395:CJ397"/>
    <mergeCell ref="C398:C400"/>
    <mergeCell ref="F398:F400"/>
    <mergeCell ref="K398:K400"/>
    <mergeCell ref="AA398:AA400"/>
    <mergeCell ref="AB398:AB400"/>
    <mergeCell ref="AC398:AC400"/>
    <mergeCell ref="AD398:AD400"/>
    <mergeCell ref="CB395:CB397"/>
    <mergeCell ref="CC395:CC397"/>
    <mergeCell ref="CD395:CD397"/>
    <mergeCell ref="CE395:CE397"/>
    <mergeCell ref="CF395:CF397"/>
    <mergeCell ref="CG395:CG397"/>
    <mergeCell ref="BU395:BU397"/>
    <mergeCell ref="BV395:BV397"/>
    <mergeCell ref="BW395:BW397"/>
    <mergeCell ref="BX395:BX397"/>
    <mergeCell ref="BZ395:BZ397"/>
    <mergeCell ref="CA395:CA397"/>
    <mergeCell ref="BI395:BI397"/>
    <mergeCell ref="BJ395:BJ397"/>
    <mergeCell ref="BT395:BT397"/>
    <mergeCell ref="BA395:BA397"/>
    <mergeCell ref="BD395:BD397"/>
    <mergeCell ref="BE395:BE397"/>
    <mergeCell ref="BF395:BF397"/>
    <mergeCell ref="BG395:BG397"/>
    <mergeCell ref="BH395:BH397"/>
    <mergeCell ref="AP395:AP397"/>
    <mergeCell ref="AQ395:AQ397"/>
    <mergeCell ref="AW395:AW397"/>
    <mergeCell ref="AX395:AX397"/>
    <mergeCell ref="AY395:AY397"/>
    <mergeCell ref="AZ395:AZ397"/>
    <mergeCell ref="AL395:AL397"/>
    <mergeCell ref="AM395:AM397"/>
    <mergeCell ref="AN395:AN397"/>
    <mergeCell ref="AO395:AO397"/>
    <mergeCell ref="AC395:AC397"/>
    <mergeCell ref="AD395:AD397"/>
    <mergeCell ref="AE395:AE397"/>
    <mergeCell ref="AG395:AG397"/>
    <mergeCell ref="AH395:AH397"/>
    <mergeCell ref="AI395:AI397"/>
    <mergeCell ref="CF392:CF394"/>
    <mergeCell ref="CG392:CG394"/>
    <mergeCell ref="CH392:CH394"/>
    <mergeCell ref="CI392:CI394"/>
    <mergeCell ref="CJ392:CJ394"/>
    <mergeCell ref="C395:C397"/>
    <mergeCell ref="F395:F397"/>
    <mergeCell ref="K395:K397"/>
    <mergeCell ref="AA395:AA397"/>
    <mergeCell ref="AB395:AB397"/>
    <mergeCell ref="BZ392:BZ394"/>
    <mergeCell ref="CA392:CA394"/>
    <mergeCell ref="CB392:CB394"/>
    <mergeCell ref="CC392:CC394"/>
    <mergeCell ref="CD392:CD394"/>
    <mergeCell ref="CE392:CE394"/>
    <mergeCell ref="BN392:BN394"/>
    <mergeCell ref="BT392:BT394"/>
    <mergeCell ref="BU392:BU394"/>
    <mergeCell ref="BV392:BV394"/>
    <mergeCell ref="BW392:BW394"/>
    <mergeCell ref="BX392:BX394"/>
    <mergeCell ref="BG392:BG394"/>
    <mergeCell ref="BH392:BH394"/>
    <mergeCell ref="BI392:BI394"/>
    <mergeCell ref="BJ392:BJ394"/>
    <mergeCell ref="AY392:AY394"/>
    <mergeCell ref="AZ392:AZ394"/>
    <mergeCell ref="BA392:BA394"/>
    <mergeCell ref="BD392:BD394"/>
    <mergeCell ref="BE392:BE394"/>
    <mergeCell ref="BF392:BF394"/>
    <mergeCell ref="AN392:AN394"/>
    <mergeCell ref="AO392:AO394"/>
    <mergeCell ref="AP392:AP394"/>
    <mergeCell ref="AQ392:AQ394"/>
    <mergeCell ref="AW392:AW394"/>
    <mergeCell ref="AX392:AX394"/>
    <mergeCell ref="AH392:AH394"/>
    <mergeCell ref="AI392:AI394"/>
    <mergeCell ref="AJ392:AJ394"/>
    <mergeCell ref="AK392:AK394"/>
    <mergeCell ref="AL392:AL394"/>
    <mergeCell ref="AM392:AM394"/>
    <mergeCell ref="CJ389:CJ391"/>
    <mergeCell ref="C392:C394"/>
    <mergeCell ref="F392:F394"/>
    <mergeCell ref="K392:K394"/>
    <mergeCell ref="AA392:AA394"/>
    <mergeCell ref="AB392:AB394"/>
    <mergeCell ref="AC392:AC394"/>
    <mergeCell ref="AD392:AD394"/>
    <mergeCell ref="AE392:AE394"/>
    <mergeCell ref="AG392:AG394"/>
    <mergeCell ref="CD389:CD391"/>
    <mergeCell ref="CE389:CE391"/>
    <mergeCell ref="CF389:CF391"/>
    <mergeCell ref="CG389:CG391"/>
    <mergeCell ref="CH389:CH391"/>
    <mergeCell ref="CI389:CI391"/>
    <mergeCell ref="BW389:BW391"/>
    <mergeCell ref="BX389:BX391"/>
    <mergeCell ref="BZ389:BZ391"/>
    <mergeCell ref="CA389:CA391"/>
    <mergeCell ref="CB389:CB391"/>
    <mergeCell ref="CC389:CC391"/>
    <mergeCell ref="BL389:BL391"/>
    <mergeCell ref="BM389:BM391"/>
    <mergeCell ref="BN389:BN391"/>
    <mergeCell ref="BT389:BT391"/>
    <mergeCell ref="BU389:BU391"/>
    <mergeCell ref="BV389:BV391"/>
    <mergeCell ref="BE389:BE391"/>
    <mergeCell ref="BF389:BF391"/>
    <mergeCell ref="BG389:BG391"/>
    <mergeCell ref="BH389:BH391"/>
    <mergeCell ref="AW389:AW391"/>
    <mergeCell ref="AX389:AX391"/>
    <mergeCell ref="AY389:AY391"/>
    <mergeCell ref="AZ389:AZ391"/>
    <mergeCell ref="BA389:BA391"/>
    <mergeCell ref="BD389:BD391"/>
    <mergeCell ref="AL389:AL391"/>
    <mergeCell ref="AM389:AM391"/>
    <mergeCell ref="AN389:AN391"/>
    <mergeCell ref="AO389:AO391"/>
    <mergeCell ref="AP389:AP391"/>
    <mergeCell ref="AQ389:AQ391"/>
    <mergeCell ref="AE389:AE391"/>
    <mergeCell ref="AG389:AG391"/>
    <mergeCell ref="AH389:AH391"/>
    <mergeCell ref="AI389:AI391"/>
    <mergeCell ref="AJ389:AJ391"/>
    <mergeCell ref="AK389:AK391"/>
    <mergeCell ref="CJ386:CJ388"/>
    <mergeCell ref="C389:C391"/>
    <mergeCell ref="F389:F391"/>
    <mergeCell ref="K389:K391"/>
    <mergeCell ref="AA389:AA391"/>
    <mergeCell ref="AB389:AB391"/>
    <mergeCell ref="AC389:AC391"/>
    <mergeCell ref="AD389:AD391"/>
    <mergeCell ref="CB386:CB388"/>
    <mergeCell ref="CC386:CC388"/>
    <mergeCell ref="CD386:CD388"/>
    <mergeCell ref="CE386:CE388"/>
    <mergeCell ref="CF386:CF388"/>
    <mergeCell ref="CG386:CG388"/>
    <mergeCell ref="BU386:BU388"/>
    <mergeCell ref="BV386:BV388"/>
    <mergeCell ref="BW386:BW388"/>
    <mergeCell ref="BX386:BX388"/>
    <mergeCell ref="BZ386:BZ388"/>
    <mergeCell ref="CA386:CA388"/>
    <mergeCell ref="BI386:BI388"/>
    <mergeCell ref="BJ386:BJ388"/>
    <mergeCell ref="BL386:BL388"/>
    <mergeCell ref="BM386:BM388"/>
    <mergeCell ref="BN386:BN388"/>
    <mergeCell ref="BT386:BT388"/>
    <mergeCell ref="BA386:BA388"/>
    <mergeCell ref="BD386:BD388"/>
    <mergeCell ref="BE386:BE388"/>
    <mergeCell ref="BF386:BF388"/>
    <mergeCell ref="BI389:BI391"/>
    <mergeCell ref="BJ389:BJ391"/>
    <mergeCell ref="AX386:AX388"/>
    <mergeCell ref="AY386:AY388"/>
    <mergeCell ref="AZ386:AZ388"/>
    <mergeCell ref="AJ386:AJ388"/>
    <mergeCell ref="AK386:AK388"/>
    <mergeCell ref="AL386:AL388"/>
    <mergeCell ref="AM386:AM388"/>
    <mergeCell ref="AN386:AN388"/>
    <mergeCell ref="AO386:AO388"/>
    <mergeCell ref="AC386:AC388"/>
    <mergeCell ref="AD386:AD388"/>
    <mergeCell ref="AE386:AE388"/>
    <mergeCell ref="AG386:AG388"/>
    <mergeCell ref="AH386:AH388"/>
    <mergeCell ref="AI386:AI388"/>
    <mergeCell ref="CH386:CH388"/>
    <mergeCell ref="CI386:CI388"/>
    <mergeCell ref="C386:C388"/>
    <mergeCell ref="F386:F388"/>
    <mergeCell ref="K386:K388"/>
    <mergeCell ref="AA386:AA388"/>
    <mergeCell ref="AB386:AB388"/>
    <mergeCell ref="BZ383:BZ385"/>
    <mergeCell ref="CA383:CA385"/>
    <mergeCell ref="CB383:CB385"/>
    <mergeCell ref="CC383:CC385"/>
    <mergeCell ref="CD383:CD385"/>
    <mergeCell ref="CE383:CE385"/>
    <mergeCell ref="BN383:BN385"/>
    <mergeCell ref="BT383:BT385"/>
    <mergeCell ref="BU383:BU385"/>
    <mergeCell ref="BV383:BV385"/>
    <mergeCell ref="BW383:BW385"/>
    <mergeCell ref="BX383:BX385"/>
    <mergeCell ref="BG383:BG385"/>
    <mergeCell ref="BH383:BH385"/>
    <mergeCell ref="BI383:BI385"/>
    <mergeCell ref="BJ383:BJ385"/>
    <mergeCell ref="BL383:BL385"/>
    <mergeCell ref="BM383:BM385"/>
    <mergeCell ref="AY383:AY385"/>
    <mergeCell ref="AZ383:AZ385"/>
    <mergeCell ref="BA383:BA385"/>
    <mergeCell ref="BD383:BD385"/>
    <mergeCell ref="BG386:BG388"/>
    <mergeCell ref="BH386:BH388"/>
    <mergeCell ref="AP386:AP388"/>
    <mergeCell ref="AQ386:AQ388"/>
    <mergeCell ref="AW386:AW388"/>
    <mergeCell ref="AH383:AH385"/>
    <mergeCell ref="AI383:AI385"/>
    <mergeCell ref="AJ383:AJ385"/>
    <mergeCell ref="AK383:AK385"/>
    <mergeCell ref="AL383:AL385"/>
    <mergeCell ref="AM383:AM385"/>
    <mergeCell ref="CJ381:CJ382"/>
    <mergeCell ref="C383:C385"/>
    <mergeCell ref="F383:F385"/>
    <mergeCell ref="K383:K385"/>
    <mergeCell ref="AA383:AA385"/>
    <mergeCell ref="AB383:AB385"/>
    <mergeCell ref="AC383:AC385"/>
    <mergeCell ref="AD383:AD385"/>
    <mergeCell ref="AE383:AE385"/>
    <mergeCell ref="AG383:AG385"/>
    <mergeCell ref="CD381:CD382"/>
    <mergeCell ref="CE381:CE382"/>
    <mergeCell ref="CF381:CF382"/>
    <mergeCell ref="CG381:CG382"/>
    <mergeCell ref="CH381:CH382"/>
    <mergeCell ref="CI381:CI382"/>
    <mergeCell ref="BW381:BW382"/>
    <mergeCell ref="BX381:BX382"/>
    <mergeCell ref="CF383:CF385"/>
    <mergeCell ref="CG383:CG385"/>
    <mergeCell ref="CH383:CH385"/>
    <mergeCell ref="CI383:CI385"/>
    <mergeCell ref="CJ383:CJ385"/>
    <mergeCell ref="BU381:BU382"/>
    <mergeCell ref="BV381:BV382"/>
    <mergeCell ref="BE381:BE382"/>
    <mergeCell ref="BF381:BF382"/>
    <mergeCell ref="BG381:BG382"/>
    <mergeCell ref="BH381:BH382"/>
    <mergeCell ref="BI381:BI382"/>
    <mergeCell ref="BJ381:BJ382"/>
    <mergeCell ref="AW381:AW382"/>
    <mergeCell ref="AX381:AX382"/>
    <mergeCell ref="AY381:AY382"/>
    <mergeCell ref="AZ381:AZ382"/>
    <mergeCell ref="BA381:BA382"/>
    <mergeCell ref="BD381:BD382"/>
    <mergeCell ref="BE383:BE385"/>
    <mergeCell ref="BF383:BF385"/>
    <mergeCell ref="AN383:AN385"/>
    <mergeCell ref="AO383:AO385"/>
    <mergeCell ref="AP383:AP385"/>
    <mergeCell ref="AQ383:AQ385"/>
    <mergeCell ref="AW383:AW385"/>
    <mergeCell ref="AX383:AX385"/>
    <mergeCell ref="AE381:AE382"/>
    <mergeCell ref="AG381:AG382"/>
    <mergeCell ref="AH381:AH382"/>
    <mergeCell ref="AI381:AI382"/>
    <mergeCell ref="AJ381:AJ382"/>
    <mergeCell ref="AK381:AK382"/>
    <mergeCell ref="CH378:CH380"/>
    <mergeCell ref="CI378:CI380"/>
    <mergeCell ref="CJ378:CJ380"/>
    <mergeCell ref="C381:C382"/>
    <mergeCell ref="F381:F382"/>
    <mergeCell ref="K381:K382"/>
    <mergeCell ref="AA381:AA382"/>
    <mergeCell ref="AB381:AB382"/>
    <mergeCell ref="AC381:AC382"/>
    <mergeCell ref="AD381:AD382"/>
    <mergeCell ref="CB378:CB380"/>
    <mergeCell ref="CC378:CC380"/>
    <mergeCell ref="CD378:CD380"/>
    <mergeCell ref="CE378:CE380"/>
    <mergeCell ref="CF378:CF380"/>
    <mergeCell ref="CG378:CG380"/>
    <mergeCell ref="BU378:BU380"/>
    <mergeCell ref="BV378:BV380"/>
    <mergeCell ref="BW378:BW380"/>
    <mergeCell ref="BX378:BX380"/>
    <mergeCell ref="BZ381:BZ382"/>
    <mergeCell ref="CA381:CA382"/>
    <mergeCell ref="CB381:CB382"/>
    <mergeCell ref="CC381:CC382"/>
    <mergeCell ref="BL381:BL382"/>
    <mergeCell ref="BM381:BM382"/>
    <mergeCell ref="BT378:BT380"/>
    <mergeCell ref="BA378:BA380"/>
    <mergeCell ref="BD378:BD380"/>
    <mergeCell ref="BE378:BE380"/>
    <mergeCell ref="BF378:BF380"/>
    <mergeCell ref="BG378:BG380"/>
    <mergeCell ref="BH378:BH380"/>
    <mergeCell ref="AP378:AP380"/>
    <mergeCell ref="AQ378:AQ380"/>
    <mergeCell ref="AW378:AW380"/>
    <mergeCell ref="AX378:AX380"/>
    <mergeCell ref="AY378:AY380"/>
    <mergeCell ref="AZ378:AZ380"/>
    <mergeCell ref="AL381:AL382"/>
    <mergeCell ref="AM381:AM382"/>
    <mergeCell ref="AN381:AN382"/>
    <mergeCell ref="AO381:AO382"/>
    <mergeCell ref="AP381:AP382"/>
    <mergeCell ref="AQ381:AQ382"/>
    <mergeCell ref="BN381:BN382"/>
    <mergeCell ref="BT381:BT382"/>
    <mergeCell ref="AJ378:AJ380"/>
    <mergeCell ref="AK378:AK380"/>
    <mergeCell ref="AL378:AL380"/>
    <mergeCell ref="AM378:AM380"/>
    <mergeCell ref="AN378:AN380"/>
    <mergeCell ref="AO378:AO380"/>
    <mergeCell ref="AC378:AC380"/>
    <mergeCell ref="AD378:AD380"/>
    <mergeCell ref="AE378:AE380"/>
    <mergeCell ref="AG378:AG380"/>
    <mergeCell ref="AH378:AH380"/>
    <mergeCell ref="AI378:AI380"/>
    <mergeCell ref="CF375:CF377"/>
    <mergeCell ref="CG375:CG377"/>
    <mergeCell ref="CH375:CH377"/>
    <mergeCell ref="CI375:CI377"/>
    <mergeCell ref="CJ375:CJ377"/>
    <mergeCell ref="AQ375:AQ377"/>
    <mergeCell ref="AW375:AW377"/>
    <mergeCell ref="AX375:AX377"/>
    <mergeCell ref="AH375:AH377"/>
    <mergeCell ref="AI375:AI377"/>
    <mergeCell ref="AJ375:AJ377"/>
    <mergeCell ref="AK375:AK377"/>
    <mergeCell ref="AL375:AL377"/>
    <mergeCell ref="AM375:AM377"/>
    <mergeCell ref="BZ378:BZ380"/>
    <mergeCell ref="CA378:CA380"/>
    <mergeCell ref="BI378:BI380"/>
    <mergeCell ref="BJ378:BJ380"/>
    <mergeCell ref="BL378:BL380"/>
    <mergeCell ref="BM378:BM380"/>
    <mergeCell ref="C378:C380"/>
    <mergeCell ref="F378:F380"/>
    <mergeCell ref="K378:K380"/>
    <mergeCell ref="AA378:AA380"/>
    <mergeCell ref="AB378:AB380"/>
    <mergeCell ref="BZ375:BZ377"/>
    <mergeCell ref="CA375:CA377"/>
    <mergeCell ref="CB375:CB377"/>
    <mergeCell ref="CC375:CC377"/>
    <mergeCell ref="CD375:CD377"/>
    <mergeCell ref="CE375:CE377"/>
    <mergeCell ref="BN375:BN377"/>
    <mergeCell ref="BT375:BT377"/>
    <mergeCell ref="BU375:BU377"/>
    <mergeCell ref="BV375:BV377"/>
    <mergeCell ref="BW375:BW377"/>
    <mergeCell ref="BX375:BX377"/>
    <mergeCell ref="BG375:BG377"/>
    <mergeCell ref="BH375:BH377"/>
    <mergeCell ref="BI375:BI377"/>
    <mergeCell ref="BJ375:BJ377"/>
    <mergeCell ref="BL375:BL377"/>
    <mergeCell ref="BM375:BM377"/>
    <mergeCell ref="AY375:AY377"/>
    <mergeCell ref="AZ375:AZ377"/>
    <mergeCell ref="BA375:BA377"/>
    <mergeCell ref="BD375:BD377"/>
    <mergeCell ref="BE375:BE377"/>
    <mergeCell ref="BF375:BF377"/>
    <mergeCell ref="AN375:AN377"/>
    <mergeCell ref="AO375:AO377"/>
    <mergeCell ref="AP375:AP377"/>
    <mergeCell ref="CJ373:CJ374"/>
    <mergeCell ref="C375:C377"/>
    <mergeCell ref="F375:F377"/>
    <mergeCell ref="K375:K377"/>
    <mergeCell ref="AA375:AA377"/>
    <mergeCell ref="AB375:AB377"/>
    <mergeCell ref="AC375:AC377"/>
    <mergeCell ref="AD375:AD377"/>
    <mergeCell ref="AE375:AE377"/>
    <mergeCell ref="AG375:AG377"/>
    <mergeCell ref="CD373:CD374"/>
    <mergeCell ref="CE373:CE374"/>
    <mergeCell ref="CF373:CF374"/>
    <mergeCell ref="CG373:CG374"/>
    <mergeCell ref="CH373:CH374"/>
    <mergeCell ref="CI373:CI374"/>
    <mergeCell ref="BW373:BW374"/>
    <mergeCell ref="BX373:BX374"/>
    <mergeCell ref="CA373:CA374"/>
    <mergeCell ref="CB373:CB374"/>
    <mergeCell ref="CC373:CC374"/>
    <mergeCell ref="BL373:BL374"/>
    <mergeCell ref="BM373:BM374"/>
    <mergeCell ref="BN373:BN374"/>
    <mergeCell ref="BT373:BT374"/>
    <mergeCell ref="BU373:BU374"/>
    <mergeCell ref="BV373:BV374"/>
    <mergeCell ref="BE373:BE374"/>
    <mergeCell ref="BF373:BF374"/>
    <mergeCell ref="BG373:BG374"/>
    <mergeCell ref="BH373:BH374"/>
    <mergeCell ref="BI373:BI374"/>
    <mergeCell ref="AW373:AW374"/>
    <mergeCell ref="AX373:AX374"/>
    <mergeCell ref="AY373:AY374"/>
    <mergeCell ref="AZ373:AZ374"/>
    <mergeCell ref="BA373:BA374"/>
    <mergeCell ref="BD373:BD374"/>
    <mergeCell ref="AL373:AL374"/>
    <mergeCell ref="AM373:AM374"/>
    <mergeCell ref="AN373:AN374"/>
    <mergeCell ref="AO373:AO374"/>
    <mergeCell ref="AP373:AP374"/>
    <mergeCell ref="AQ373:AQ374"/>
    <mergeCell ref="AE373:AE374"/>
    <mergeCell ref="AG373:AG374"/>
    <mergeCell ref="AH373:AH374"/>
    <mergeCell ref="AI373:AI374"/>
    <mergeCell ref="AJ373:AJ374"/>
    <mergeCell ref="AK373:AK374"/>
    <mergeCell ref="C373:C374"/>
    <mergeCell ref="F373:F374"/>
    <mergeCell ref="K373:K374"/>
    <mergeCell ref="AA373:AA374"/>
    <mergeCell ref="AB373:AB374"/>
    <mergeCell ref="AC373:AC374"/>
    <mergeCell ref="AD373:AD374"/>
    <mergeCell ref="CE371:CE372"/>
    <mergeCell ref="CF371:CF372"/>
    <mergeCell ref="CG371:CG372"/>
    <mergeCell ref="BW371:BW372"/>
    <mergeCell ref="BX371:BX372"/>
    <mergeCell ref="CA371:CA372"/>
    <mergeCell ref="CB371:CB372"/>
    <mergeCell ref="CC371:CC372"/>
    <mergeCell ref="CD371:CD372"/>
    <mergeCell ref="BN371:BN372"/>
    <mergeCell ref="BP371:BP372"/>
    <mergeCell ref="BQ371:BQ372"/>
    <mergeCell ref="BT371:BT372"/>
    <mergeCell ref="BU371:BU372"/>
    <mergeCell ref="BV371:BV372"/>
    <mergeCell ref="BH371:BH372"/>
    <mergeCell ref="BI371:BI372"/>
    <mergeCell ref="BJ371:BJ372"/>
    <mergeCell ref="BK371:BK372"/>
    <mergeCell ref="BL371:BL372"/>
    <mergeCell ref="BM371:BM372"/>
    <mergeCell ref="BA371:BA372"/>
    <mergeCell ref="BC371:BC372"/>
    <mergeCell ref="BD371:BD372"/>
    <mergeCell ref="BE371:BE372"/>
    <mergeCell ref="BF371:BF372"/>
    <mergeCell ref="BG371:BG372"/>
    <mergeCell ref="AE371:AE372"/>
    <mergeCell ref="AS371:AS372"/>
    <mergeCell ref="AW371:AW372"/>
    <mergeCell ref="AX371:AX372"/>
    <mergeCell ref="AY371:AY372"/>
    <mergeCell ref="AZ371:AZ372"/>
    <mergeCell ref="CG369:CG370"/>
    <mergeCell ref="CH369:CH370"/>
    <mergeCell ref="CI369:CI370"/>
    <mergeCell ref="CJ369:CJ370"/>
    <mergeCell ref="C371:C372"/>
    <mergeCell ref="K371:K372"/>
    <mergeCell ref="AA371:AA372"/>
    <mergeCell ref="AB371:AB372"/>
    <mergeCell ref="AC371:AC372"/>
    <mergeCell ref="AD371:AD372"/>
    <mergeCell ref="CA369:CA370"/>
    <mergeCell ref="CB369:CB370"/>
    <mergeCell ref="CC369:CC370"/>
    <mergeCell ref="CD369:CD370"/>
    <mergeCell ref="CE369:CE370"/>
    <mergeCell ref="CF369:CF370"/>
    <mergeCell ref="BM369:BM370"/>
    <mergeCell ref="BN369:BN370"/>
    <mergeCell ref="BU369:BU370"/>
    <mergeCell ref="BV369:BV370"/>
    <mergeCell ref="BW369:BW370"/>
    <mergeCell ref="BX369:BX370"/>
    <mergeCell ref="BG369:BG370"/>
    <mergeCell ref="BH369:BH370"/>
    <mergeCell ref="BI369:BI370"/>
    <mergeCell ref="BJ369:BJ370"/>
    <mergeCell ref="BK369:BK370"/>
    <mergeCell ref="BL369:BL370"/>
    <mergeCell ref="AZ369:AZ370"/>
    <mergeCell ref="BA369:BA370"/>
    <mergeCell ref="BC369:BC370"/>
    <mergeCell ref="BD369:BD370"/>
    <mergeCell ref="BE369:BE370"/>
    <mergeCell ref="BF369:BF370"/>
    <mergeCell ref="AM369:AM370"/>
    <mergeCell ref="AO369:AO370"/>
    <mergeCell ref="AP369:AP370"/>
    <mergeCell ref="AW369:AW370"/>
    <mergeCell ref="AX369:AX370"/>
    <mergeCell ref="AY369:AY370"/>
    <mergeCell ref="AG369:AG370"/>
    <mergeCell ref="AH369:AH370"/>
    <mergeCell ref="AI369:AI370"/>
    <mergeCell ref="AJ369:AJ370"/>
    <mergeCell ref="AK369:AK370"/>
    <mergeCell ref="AL369:AL370"/>
    <mergeCell ref="CH364:CH368"/>
    <mergeCell ref="CI364:CI368"/>
    <mergeCell ref="CJ364:CJ368"/>
    <mergeCell ref="C369:C370"/>
    <mergeCell ref="K369:K370"/>
    <mergeCell ref="AA369:AA370"/>
    <mergeCell ref="AB369:AB370"/>
    <mergeCell ref="AC369:AC370"/>
    <mergeCell ref="AD369:AD370"/>
    <mergeCell ref="AE369:AE370"/>
    <mergeCell ref="CB364:CB368"/>
    <mergeCell ref="CC364:CC368"/>
    <mergeCell ref="CD364:CD368"/>
    <mergeCell ref="CE364:CE368"/>
    <mergeCell ref="CF364:CF368"/>
    <mergeCell ref="CG364:CG368"/>
    <mergeCell ref="BN364:BN368"/>
    <mergeCell ref="BU364:BU368"/>
    <mergeCell ref="BV364:BV368"/>
    <mergeCell ref="BW364:BW368"/>
    <mergeCell ref="BX364:BX368"/>
    <mergeCell ref="CA364:CA368"/>
    <mergeCell ref="BH364:BH368"/>
    <mergeCell ref="BI364:BI368"/>
    <mergeCell ref="BJ364:BJ368"/>
    <mergeCell ref="BK364:BK368"/>
    <mergeCell ref="BL364:BL368"/>
    <mergeCell ref="BM364:BM368"/>
    <mergeCell ref="BA364:BA368"/>
    <mergeCell ref="BC364:BC368"/>
    <mergeCell ref="BD364:BD368"/>
    <mergeCell ref="BE364:BE368"/>
    <mergeCell ref="BF364:BF368"/>
    <mergeCell ref="BG364:BG368"/>
    <mergeCell ref="AO364:AO368"/>
    <mergeCell ref="AP364:AP368"/>
    <mergeCell ref="AW364:AW368"/>
    <mergeCell ref="AX364:AX368"/>
    <mergeCell ref="AY364:AY368"/>
    <mergeCell ref="AZ364:AZ368"/>
    <mergeCell ref="AH364:AH368"/>
    <mergeCell ref="AI364:AI368"/>
    <mergeCell ref="AJ364:AJ368"/>
    <mergeCell ref="AK364:AK368"/>
    <mergeCell ref="AL364:AL368"/>
    <mergeCell ref="AM364:AM368"/>
    <mergeCell ref="CI359:CI363"/>
    <mergeCell ref="CJ359:CJ363"/>
    <mergeCell ref="C364:C368"/>
    <mergeCell ref="K364:K368"/>
    <mergeCell ref="AA364:AA368"/>
    <mergeCell ref="AB364:AB368"/>
    <mergeCell ref="AC364:AC368"/>
    <mergeCell ref="AD364:AD368"/>
    <mergeCell ref="AE364:AE368"/>
    <mergeCell ref="AG364:AG368"/>
    <mergeCell ref="CC359:CC363"/>
    <mergeCell ref="CD359:CD363"/>
    <mergeCell ref="CE359:CE363"/>
    <mergeCell ref="CF359:CF363"/>
    <mergeCell ref="CG359:CG363"/>
    <mergeCell ref="CH359:CH363"/>
    <mergeCell ref="BU359:BU363"/>
    <mergeCell ref="BV359:BV363"/>
    <mergeCell ref="BW359:BW363"/>
    <mergeCell ref="BX359:BX363"/>
    <mergeCell ref="CA359:CA363"/>
    <mergeCell ref="CB359:CB363"/>
    <mergeCell ref="BI359:BI363"/>
    <mergeCell ref="BJ359:BJ363"/>
    <mergeCell ref="BK359:BK363"/>
    <mergeCell ref="BL359:BL363"/>
    <mergeCell ref="BM359:BM363"/>
    <mergeCell ref="BN359:BN363"/>
    <mergeCell ref="BC359:BC363"/>
    <mergeCell ref="BD359:BD363"/>
    <mergeCell ref="BE359:BE363"/>
    <mergeCell ref="BF359:BF363"/>
    <mergeCell ref="BG359:BG363"/>
    <mergeCell ref="BH359:BH363"/>
    <mergeCell ref="AP359:AP363"/>
    <mergeCell ref="AW359:AW363"/>
    <mergeCell ref="AX359:AX363"/>
    <mergeCell ref="AY359:AY363"/>
    <mergeCell ref="AZ359:AZ363"/>
    <mergeCell ref="BA359:BA363"/>
    <mergeCell ref="AI359:AI363"/>
    <mergeCell ref="AJ359:AJ363"/>
    <mergeCell ref="AK359:AK363"/>
    <mergeCell ref="AL359:AL363"/>
    <mergeCell ref="AM359:AM363"/>
    <mergeCell ref="AO359:AO363"/>
    <mergeCell ref="C359:C363"/>
    <mergeCell ref="K359:K363"/>
    <mergeCell ref="AA359:AA363"/>
    <mergeCell ref="AB359:AB363"/>
    <mergeCell ref="AC359:AC363"/>
    <mergeCell ref="AD359:AD363"/>
    <mergeCell ref="AE359:AE363"/>
    <mergeCell ref="AG359:AG363"/>
    <mergeCell ref="AH359:AH363"/>
    <mergeCell ref="CE349:CE356"/>
    <mergeCell ref="CF349:CF356"/>
    <mergeCell ref="AX349:AX356"/>
    <mergeCell ref="AY349:AY356"/>
    <mergeCell ref="AZ349:AZ356"/>
    <mergeCell ref="BA349:BA356"/>
    <mergeCell ref="BC349:BC356"/>
    <mergeCell ref="BD349:BD356"/>
    <mergeCell ref="AK349:AK356"/>
    <mergeCell ref="AL349:AL356"/>
    <mergeCell ref="AM349:AM356"/>
    <mergeCell ref="AO349:AO356"/>
    <mergeCell ref="AP349:AP356"/>
    <mergeCell ref="AW349:AW356"/>
    <mergeCell ref="AD349:AD356"/>
    <mergeCell ref="AE349:AE356"/>
    <mergeCell ref="AG349:AG356"/>
    <mergeCell ref="CG349:CG356"/>
    <mergeCell ref="CH349:CH356"/>
    <mergeCell ref="CI349:CI356"/>
    <mergeCell ref="CJ349:CJ356"/>
    <mergeCell ref="BW349:BW356"/>
    <mergeCell ref="BX349:BX356"/>
    <mergeCell ref="CA349:CA356"/>
    <mergeCell ref="CB349:CB356"/>
    <mergeCell ref="CC349:CC356"/>
    <mergeCell ref="CD349:CD356"/>
    <mergeCell ref="BK349:BK356"/>
    <mergeCell ref="BL349:BL356"/>
    <mergeCell ref="BM349:BM356"/>
    <mergeCell ref="BN349:BN356"/>
    <mergeCell ref="BU349:BU356"/>
    <mergeCell ref="BV349:BV356"/>
    <mergeCell ref="BE349:BE356"/>
    <mergeCell ref="BF349:BF356"/>
    <mergeCell ref="BG349:BG356"/>
    <mergeCell ref="BH349:BH356"/>
    <mergeCell ref="BI349:BI356"/>
    <mergeCell ref="BJ349:BJ356"/>
    <mergeCell ref="AH349:AH356"/>
    <mergeCell ref="AI349:AI356"/>
    <mergeCell ref="AJ349:AJ356"/>
    <mergeCell ref="C349:C356"/>
    <mergeCell ref="F349:F356"/>
    <mergeCell ref="K349:K356"/>
    <mergeCell ref="AA349:AA356"/>
    <mergeCell ref="AB349:AB356"/>
    <mergeCell ref="AC349:AC356"/>
    <mergeCell ref="CE347:CE348"/>
    <mergeCell ref="CF347:CF348"/>
    <mergeCell ref="CG347:CG348"/>
    <mergeCell ref="CH347:CH348"/>
    <mergeCell ref="CI347:CI348"/>
    <mergeCell ref="AX347:AX348"/>
    <mergeCell ref="AY347:AY348"/>
    <mergeCell ref="AZ347:AZ348"/>
    <mergeCell ref="BA347:BA348"/>
    <mergeCell ref="BC347:BC348"/>
    <mergeCell ref="BD347:BD348"/>
    <mergeCell ref="AK347:AK348"/>
    <mergeCell ref="AL347:AL348"/>
    <mergeCell ref="AM347:AM348"/>
    <mergeCell ref="AO347:AO348"/>
    <mergeCell ref="AP347:AP348"/>
    <mergeCell ref="AW347:AW348"/>
    <mergeCell ref="AD347:AD348"/>
    <mergeCell ref="AE347:AE348"/>
    <mergeCell ref="AG347:AG348"/>
    <mergeCell ref="AH347:AH348"/>
    <mergeCell ref="AI347:AI348"/>
    <mergeCell ref="AJ347:AJ348"/>
    <mergeCell ref="CJ347:CJ348"/>
    <mergeCell ref="BW347:BW348"/>
    <mergeCell ref="BX347:BX348"/>
    <mergeCell ref="CA347:CA348"/>
    <mergeCell ref="CB347:CB348"/>
    <mergeCell ref="CC347:CC348"/>
    <mergeCell ref="CD347:CD348"/>
    <mergeCell ref="BK347:BK348"/>
    <mergeCell ref="BL347:BL348"/>
    <mergeCell ref="BM347:BM348"/>
    <mergeCell ref="BN347:BN348"/>
    <mergeCell ref="BU347:BU348"/>
    <mergeCell ref="BV347:BV348"/>
    <mergeCell ref="BE347:BE348"/>
    <mergeCell ref="BF347:BF348"/>
    <mergeCell ref="BG347:BG348"/>
    <mergeCell ref="BH347:BH348"/>
    <mergeCell ref="BI347:BI348"/>
    <mergeCell ref="BJ347:BJ348"/>
    <mergeCell ref="C347:C348"/>
    <mergeCell ref="F347:F348"/>
    <mergeCell ref="K347:K348"/>
    <mergeCell ref="AA347:AA348"/>
    <mergeCell ref="AB347:AB348"/>
    <mergeCell ref="AC347:AC348"/>
    <mergeCell ref="CE342:CE346"/>
    <mergeCell ref="CF342:CF346"/>
    <mergeCell ref="CG342:CG346"/>
    <mergeCell ref="CH342:CH346"/>
    <mergeCell ref="CI342:CI346"/>
    <mergeCell ref="CJ342:CJ346"/>
    <mergeCell ref="BW342:BW346"/>
    <mergeCell ref="BX342:BX346"/>
    <mergeCell ref="CA342:CA346"/>
    <mergeCell ref="CB342:CB346"/>
    <mergeCell ref="CC342:CC346"/>
    <mergeCell ref="CD342:CD346"/>
    <mergeCell ref="BK342:BK346"/>
    <mergeCell ref="BL342:BL346"/>
    <mergeCell ref="BM342:BM346"/>
    <mergeCell ref="BN342:BN346"/>
    <mergeCell ref="BU342:BU346"/>
    <mergeCell ref="BV342:BV346"/>
    <mergeCell ref="BQ343:BQ344"/>
    <mergeCell ref="BT343:BT344"/>
    <mergeCell ref="BE342:BE346"/>
    <mergeCell ref="BF342:BF346"/>
    <mergeCell ref="BG342:BG346"/>
    <mergeCell ref="BH342:BH346"/>
    <mergeCell ref="BI342:BI346"/>
    <mergeCell ref="BJ342:BJ346"/>
    <mergeCell ref="AX342:AX346"/>
    <mergeCell ref="AY342:AY346"/>
    <mergeCell ref="AZ342:AZ346"/>
    <mergeCell ref="BA342:BA346"/>
    <mergeCell ref="BC342:BC346"/>
    <mergeCell ref="BD342:BD346"/>
    <mergeCell ref="AK342:AK346"/>
    <mergeCell ref="AL342:AL346"/>
    <mergeCell ref="AM342:AM346"/>
    <mergeCell ref="AO342:AO346"/>
    <mergeCell ref="AP342:AP346"/>
    <mergeCell ref="AW342:AW346"/>
    <mergeCell ref="AD342:AD346"/>
    <mergeCell ref="AE342:AE346"/>
    <mergeCell ref="AG342:AG346"/>
    <mergeCell ref="AH342:AH346"/>
    <mergeCell ref="AI342:AI346"/>
    <mergeCell ref="AJ342:AJ346"/>
    <mergeCell ref="C342:C346"/>
    <mergeCell ref="F342:F346"/>
    <mergeCell ref="K342:K346"/>
    <mergeCell ref="AA342:AA346"/>
    <mergeCell ref="AB342:AB346"/>
    <mergeCell ref="AC342:AC346"/>
    <mergeCell ref="CE335:CE341"/>
    <mergeCell ref="CF335:CF341"/>
    <mergeCell ref="CG335:CG341"/>
    <mergeCell ref="CH335:CH341"/>
    <mergeCell ref="CI335:CI341"/>
    <mergeCell ref="CJ335:CJ341"/>
    <mergeCell ref="BW335:BW341"/>
    <mergeCell ref="BX335:BX341"/>
    <mergeCell ref="CA335:CA341"/>
    <mergeCell ref="CB335:CB341"/>
    <mergeCell ref="CC335:CC341"/>
    <mergeCell ref="CD335:CD341"/>
    <mergeCell ref="BK335:BK341"/>
    <mergeCell ref="BL335:BL341"/>
    <mergeCell ref="BM335:BM341"/>
    <mergeCell ref="BN335:BN341"/>
    <mergeCell ref="BU335:BU341"/>
    <mergeCell ref="BV335:BV341"/>
    <mergeCell ref="BE335:BE341"/>
    <mergeCell ref="BF335:BF341"/>
    <mergeCell ref="BG335:BG341"/>
    <mergeCell ref="BH335:BH341"/>
    <mergeCell ref="BI335:BI341"/>
    <mergeCell ref="BJ335:BJ341"/>
    <mergeCell ref="AX335:AX341"/>
    <mergeCell ref="AY335:AY341"/>
    <mergeCell ref="AK335:AK341"/>
    <mergeCell ref="AL335:AL341"/>
    <mergeCell ref="AM335:AM341"/>
    <mergeCell ref="AO335:AO341"/>
    <mergeCell ref="AP335:AP341"/>
    <mergeCell ref="AW335:AW341"/>
    <mergeCell ref="AD335:AD341"/>
    <mergeCell ref="AE335:AE341"/>
    <mergeCell ref="AG335:AG341"/>
    <mergeCell ref="AH335:AH341"/>
    <mergeCell ref="AI335:AI341"/>
    <mergeCell ref="AJ335:AJ341"/>
    <mergeCell ref="C335:C341"/>
    <mergeCell ref="F335:F341"/>
    <mergeCell ref="K335:K341"/>
    <mergeCell ref="AA335:AA341"/>
    <mergeCell ref="AB335:AB341"/>
    <mergeCell ref="AC335:AC341"/>
    <mergeCell ref="CH329:CH334"/>
    <mergeCell ref="CI329:CI334"/>
    <mergeCell ref="CJ329:CJ334"/>
    <mergeCell ref="BW329:BW334"/>
    <mergeCell ref="BX329:BX334"/>
    <mergeCell ref="CA329:CA334"/>
    <mergeCell ref="CB329:CB334"/>
    <mergeCell ref="CC329:CC334"/>
    <mergeCell ref="CD329:CD334"/>
    <mergeCell ref="BL329:BL334"/>
    <mergeCell ref="BM329:BM334"/>
    <mergeCell ref="BN329:BN334"/>
    <mergeCell ref="BT329:BT334"/>
    <mergeCell ref="BU329:BU334"/>
    <mergeCell ref="BV329:BV334"/>
    <mergeCell ref="AZ335:AZ341"/>
    <mergeCell ref="BA335:BA341"/>
    <mergeCell ref="BC335:BC341"/>
    <mergeCell ref="BD335:BD341"/>
    <mergeCell ref="BY335:BY341"/>
    <mergeCell ref="BJ329:BJ334"/>
    <mergeCell ref="BK329:BK334"/>
    <mergeCell ref="AY329:AY334"/>
    <mergeCell ref="AZ329:AZ334"/>
    <mergeCell ref="BA329:BA334"/>
    <mergeCell ref="BC329:BC334"/>
    <mergeCell ref="BD329:BD334"/>
    <mergeCell ref="BE329:BE334"/>
    <mergeCell ref="AL329:AL334"/>
    <mergeCell ref="AM329:AM334"/>
    <mergeCell ref="AO329:AO334"/>
    <mergeCell ref="AP329:AP334"/>
    <mergeCell ref="AW329:AW334"/>
    <mergeCell ref="AX329:AX334"/>
    <mergeCell ref="CE329:CE334"/>
    <mergeCell ref="CF329:CF334"/>
    <mergeCell ref="CG329:CG334"/>
    <mergeCell ref="AE329:AE334"/>
    <mergeCell ref="AG329:AG334"/>
    <mergeCell ref="AH329:AH334"/>
    <mergeCell ref="AI329:AI334"/>
    <mergeCell ref="AJ329:AJ334"/>
    <mergeCell ref="AK329:AK334"/>
    <mergeCell ref="C329:C334"/>
    <mergeCell ref="K329:K334"/>
    <mergeCell ref="AA329:AA334"/>
    <mergeCell ref="AB329:AB334"/>
    <mergeCell ref="AC329:AC334"/>
    <mergeCell ref="AD329:AD334"/>
    <mergeCell ref="CE327:CE328"/>
    <mergeCell ref="CF327:CF328"/>
    <mergeCell ref="CG327:CG328"/>
    <mergeCell ref="CH327:CH328"/>
    <mergeCell ref="CI327:CI328"/>
    <mergeCell ref="AX327:AX328"/>
    <mergeCell ref="AY327:AY328"/>
    <mergeCell ref="AZ327:AZ328"/>
    <mergeCell ref="BA327:BA328"/>
    <mergeCell ref="BC327:BC328"/>
    <mergeCell ref="BD327:BD328"/>
    <mergeCell ref="AK327:AK328"/>
    <mergeCell ref="AL327:AL328"/>
    <mergeCell ref="AM327:AM328"/>
    <mergeCell ref="AO327:AO328"/>
    <mergeCell ref="AP327:AP328"/>
    <mergeCell ref="AW327:AW328"/>
    <mergeCell ref="AD327:AD328"/>
    <mergeCell ref="AE327:AE328"/>
    <mergeCell ref="AG327:AG328"/>
    <mergeCell ref="CJ327:CJ328"/>
    <mergeCell ref="BW327:BW328"/>
    <mergeCell ref="BX327:BX328"/>
    <mergeCell ref="CA327:CA328"/>
    <mergeCell ref="CB327:CB328"/>
    <mergeCell ref="CC327:CC328"/>
    <mergeCell ref="CD327:CD328"/>
    <mergeCell ref="BK327:BK328"/>
    <mergeCell ref="BL327:BL328"/>
    <mergeCell ref="BM327:BM328"/>
    <mergeCell ref="BN327:BN328"/>
    <mergeCell ref="BU327:BU328"/>
    <mergeCell ref="BV327:BV328"/>
    <mergeCell ref="BE327:BE328"/>
    <mergeCell ref="BF327:BF328"/>
    <mergeCell ref="BG327:BG328"/>
    <mergeCell ref="BH327:BH328"/>
    <mergeCell ref="BI327:BI328"/>
    <mergeCell ref="BJ327:BJ328"/>
    <mergeCell ref="AH327:AH328"/>
    <mergeCell ref="AI327:AI328"/>
    <mergeCell ref="AJ327:AJ328"/>
    <mergeCell ref="C327:C328"/>
    <mergeCell ref="F327:F328"/>
    <mergeCell ref="K327:K328"/>
    <mergeCell ref="AA327:AA328"/>
    <mergeCell ref="AB327:AB328"/>
    <mergeCell ref="AC327:AC328"/>
    <mergeCell ref="CE325:CE326"/>
    <mergeCell ref="CF325:CF326"/>
    <mergeCell ref="CG325:CG326"/>
    <mergeCell ref="CH325:CH326"/>
    <mergeCell ref="CI325:CI326"/>
    <mergeCell ref="CJ325:CJ326"/>
    <mergeCell ref="BW325:BW326"/>
    <mergeCell ref="BX325:BX326"/>
    <mergeCell ref="CA325:CA326"/>
    <mergeCell ref="CB325:CB326"/>
    <mergeCell ref="CC325:CC326"/>
    <mergeCell ref="CD325:CD326"/>
    <mergeCell ref="BK325:BK326"/>
    <mergeCell ref="BL325:BL326"/>
    <mergeCell ref="BM325:BM326"/>
    <mergeCell ref="BN325:BN326"/>
    <mergeCell ref="BU325:BU326"/>
    <mergeCell ref="BV325:BV326"/>
    <mergeCell ref="BE325:BE326"/>
    <mergeCell ref="BF325:BF326"/>
    <mergeCell ref="BG325:BG326"/>
    <mergeCell ref="BH325:BH326"/>
    <mergeCell ref="BI325:BI326"/>
    <mergeCell ref="AX325:AX326"/>
    <mergeCell ref="AY325:AY326"/>
    <mergeCell ref="AZ325:AZ326"/>
    <mergeCell ref="BA325:BA326"/>
    <mergeCell ref="BC325:BC326"/>
    <mergeCell ref="BD325:BD326"/>
    <mergeCell ref="AK325:AK326"/>
    <mergeCell ref="AL325:AL326"/>
    <mergeCell ref="AM325:AM326"/>
    <mergeCell ref="AO325:AO326"/>
    <mergeCell ref="AP325:AP326"/>
    <mergeCell ref="AW325:AW326"/>
    <mergeCell ref="AD325:AD326"/>
    <mergeCell ref="AE325:AE326"/>
    <mergeCell ref="AG325:AG326"/>
    <mergeCell ref="AH325:AH326"/>
    <mergeCell ref="AI325:AI326"/>
    <mergeCell ref="AJ325:AJ326"/>
    <mergeCell ref="F325:F326"/>
    <mergeCell ref="K325:K326"/>
    <mergeCell ref="AA325:AA326"/>
    <mergeCell ref="AB325:AB326"/>
    <mergeCell ref="AC325:AC326"/>
    <mergeCell ref="CG240:CG241"/>
    <mergeCell ref="CH240:CH241"/>
    <mergeCell ref="CI240:CI241"/>
    <mergeCell ref="CJ240:CJ241"/>
    <mergeCell ref="CA240:CA241"/>
    <mergeCell ref="CB240:CB241"/>
    <mergeCell ref="CC240:CC241"/>
    <mergeCell ref="CD240:CD241"/>
    <mergeCell ref="CE240:CE241"/>
    <mergeCell ref="CF240:CF241"/>
    <mergeCell ref="BT240:BT241"/>
    <mergeCell ref="BU240:BU241"/>
    <mergeCell ref="BV240:BV241"/>
    <mergeCell ref="BW240:BW241"/>
    <mergeCell ref="BX240:BX241"/>
    <mergeCell ref="BZ240:BZ241"/>
    <mergeCell ref="BI240:BI241"/>
    <mergeCell ref="BJ240:BJ241"/>
    <mergeCell ref="BK240:BK241"/>
    <mergeCell ref="BL240:BL241"/>
    <mergeCell ref="BM240:BM241"/>
    <mergeCell ref="BN240:BN241"/>
    <mergeCell ref="BC240:BC241"/>
    <mergeCell ref="BD240:BD241"/>
    <mergeCell ref="BE240:BE241"/>
    <mergeCell ref="BF240:BF241"/>
    <mergeCell ref="BJ325:BJ326"/>
    <mergeCell ref="BG240:BG241"/>
    <mergeCell ref="BH240:BH241"/>
    <mergeCell ref="AQ240:AQ241"/>
    <mergeCell ref="AW240:AW241"/>
    <mergeCell ref="AX240:AX241"/>
    <mergeCell ref="AY240:AY241"/>
    <mergeCell ref="AZ240:AZ241"/>
    <mergeCell ref="BA240:BA241"/>
    <mergeCell ref="AK240:AK241"/>
    <mergeCell ref="AL240:AL241"/>
    <mergeCell ref="AM240:AM241"/>
    <mergeCell ref="AN240:AN241"/>
    <mergeCell ref="AO240:AO241"/>
    <mergeCell ref="AP240:AP241"/>
    <mergeCell ref="AD240:AD241"/>
    <mergeCell ref="AE240:AE241"/>
    <mergeCell ref="AG240:AG241"/>
    <mergeCell ref="AH240:AH241"/>
    <mergeCell ref="AI240:AI241"/>
    <mergeCell ref="AJ240:AJ241"/>
    <mergeCell ref="C240:C241"/>
    <mergeCell ref="F240:F241"/>
    <mergeCell ref="K240:K241"/>
    <mergeCell ref="AA240:AA241"/>
    <mergeCell ref="AB240:AB241"/>
    <mergeCell ref="AC240:AC241"/>
    <mergeCell ref="CF238:CF239"/>
    <mergeCell ref="CG238:CG239"/>
    <mergeCell ref="CH238:CH239"/>
    <mergeCell ref="CI238:CI239"/>
    <mergeCell ref="CJ238:CJ239"/>
    <mergeCell ref="BZ238:BZ239"/>
    <mergeCell ref="CA238:CA239"/>
    <mergeCell ref="CB238:CB239"/>
    <mergeCell ref="CC238:CC239"/>
    <mergeCell ref="CD238:CD239"/>
    <mergeCell ref="CE238:CE239"/>
    <mergeCell ref="BN238:BN239"/>
    <mergeCell ref="BT238:BT239"/>
    <mergeCell ref="BU238:BU239"/>
    <mergeCell ref="BV238:BV239"/>
    <mergeCell ref="BW238:BW239"/>
    <mergeCell ref="BX238:BX239"/>
    <mergeCell ref="BH238:BH239"/>
    <mergeCell ref="BI238:BI239"/>
    <mergeCell ref="BJ238:BJ239"/>
    <mergeCell ref="BK238:BK239"/>
    <mergeCell ref="BL238:BL239"/>
    <mergeCell ref="BM238:BM239"/>
    <mergeCell ref="BA238:BA239"/>
    <mergeCell ref="BC238:BC239"/>
    <mergeCell ref="BD238:BD239"/>
    <mergeCell ref="BE238:BE239"/>
    <mergeCell ref="BF238:BF239"/>
    <mergeCell ref="BG238:BG239"/>
    <mergeCell ref="AP238:AP239"/>
    <mergeCell ref="AQ238:AQ239"/>
    <mergeCell ref="AW238:AW239"/>
    <mergeCell ref="AX238:AX239"/>
    <mergeCell ref="AY238:AY239"/>
    <mergeCell ref="AZ238:AZ239"/>
    <mergeCell ref="AJ238:AJ239"/>
    <mergeCell ref="AK238:AK239"/>
    <mergeCell ref="AL238:AL239"/>
    <mergeCell ref="AM238:AM239"/>
    <mergeCell ref="AN238:AN239"/>
    <mergeCell ref="AO238:AO239"/>
    <mergeCell ref="AC238:AC239"/>
    <mergeCell ref="AD238:AD239"/>
    <mergeCell ref="AE238:AE239"/>
    <mergeCell ref="AG238:AG239"/>
    <mergeCell ref="AH238:AH239"/>
    <mergeCell ref="AI238:AI239"/>
    <mergeCell ref="CG236:CG237"/>
    <mergeCell ref="CH236:CH237"/>
    <mergeCell ref="CI236:CI237"/>
    <mergeCell ref="CJ236:CJ237"/>
    <mergeCell ref="C238:C239"/>
    <mergeCell ref="F238:F239"/>
    <mergeCell ref="K238:K239"/>
    <mergeCell ref="AA238:AA239"/>
    <mergeCell ref="AB238:AB239"/>
    <mergeCell ref="CA236:CA237"/>
    <mergeCell ref="CB236:CB237"/>
    <mergeCell ref="CC236:CC237"/>
    <mergeCell ref="CD236:CD237"/>
    <mergeCell ref="CE236:CE237"/>
    <mergeCell ref="CF236:CF237"/>
    <mergeCell ref="BT236:BT237"/>
    <mergeCell ref="BU236:BU237"/>
    <mergeCell ref="BV236:BV237"/>
    <mergeCell ref="BW236:BW237"/>
    <mergeCell ref="BX236:BX237"/>
    <mergeCell ref="BZ236:BZ237"/>
    <mergeCell ref="BI236:BI237"/>
    <mergeCell ref="BJ236:BJ237"/>
    <mergeCell ref="BK236:BK237"/>
    <mergeCell ref="BL236:BL237"/>
    <mergeCell ref="BM236:BM237"/>
    <mergeCell ref="BN236:BN237"/>
    <mergeCell ref="BC236:BC237"/>
    <mergeCell ref="BD236:BD237"/>
    <mergeCell ref="BE236:BE237"/>
    <mergeCell ref="BF236:BF237"/>
    <mergeCell ref="BG236:BG237"/>
    <mergeCell ref="BH236:BH237"/>
    <mergeCell ref="AQ236:AQ237"/>
    <mergeCell ref="AW236:AW237"/>
    <mergeCell ref="AX236:AX237"/>
    <mergeCell ref="AY236:AY237"/>
    <mergeCell ref="AZ236:AZ237"/>
    <mergeCell ref="BA236:BA237"/>
    <mergeCell ref="AK236:AK237"/>
    <mergeCell ref="AL236:AL237"/>
    <mergeCell ref="AM236:AM237"/>
    <mergeCell ref="AN236:AN237"/>
    <mergeCell ref="AO236:AO237"/>
    <mergeCell ref="AP236:AP237"/>
    <mergeCell ref="AD236:AD237"/>
    <mergeCell ref="AE236:AE237"/>
    <mergeCell ref="AG236:AG237"/>
    <mergeCell ref="AH236:AH237"/>
    <mergeCell ref="AI236:AI237"/>
    <mergeCell ref="AJ236:AJ237"/>
    <mergeCell ref="C236:C237"/>
    <mergeCell ref="F236:F237"/>
    <mergeCell ref="K236:K237"/>
    <mergeCell ref="AA236:AA237"/>
    <mergeCell ref="AB236:AB237"/>
    <mergeCell ref="AC236:AC237"/>
    <mergeCell ref="CF234:CF235"/>
    <mergeCell ref="CG234:CG235"/>
    <mergeCell ref="CH234:CH235"/>
    <mergeCell ref="CI234:CI235"/>
    <mergeCell ref="CJ234:CJ235"/>
    <mergeCell ref="BZ234:BZ235"/>
    <mergeCell ref="CA234:CA235"/>
    <mergeCell ref="CB234:CB235"/>
    <mergeCell ref="CC234:CC235"/>
    <mergeCell ref="CD234:CD235"/>
    <mergeCell ref="CE234:CE235"/>
    <mergeCell ref="BN234:BN235"/>
    <mergeCell ref="BT234:BT235"/>
    <mergeCell ref="BU234:BU235"/>
    <mergeCell ref="BV234:BV235"/>
    <mergeCell ref="BW234:BW235"/>
    <mergeCell ref="BX234:BX235"/>
    <mergeCell ref="BH234:BH235"/>
    <mergeCell ref="BI234:BI235"/>
    <mergeCell ref="BJ234:BJ235"/>
    <mergeCell ref="BK234:BK235"/>
    <mergeCell ref="BL234:BL235"/>
    <mergeCell ref="BM234:BM235"/>
    <mergeCell ref="BA234:BA235"/>
    <mergeCell ref="BC234:BC235"/>
    <mergeCell ref="BD234:BD235"/>
    <mergeCell ref="BE234:BE235"/>
    <mergeCell ref="BF234:BF235"/>
    <mergeCell ref="BG234:BG235"/>
    <mergeCell ref="AP234:AP235"/>
    <mergeCell ref="AQ234:AQ235"/>
    <mergeCell ref="AW234:AW235"/>
    <mergeCell ref="AX234:AX235"/>
    <mergeCell ref="AY234:AY235"/>
    <mergeCell ref="AZ234:AZ235"/>
    <mergeCell ref="AJ234:AJ235"/>
    <mergeCell ref="AK234:AK235"/>
    <mergeCell ref="AL234:AL235"/>
    <mergeCell ref="AM234:AM235"/>
    <mergeCell ref="AN234:AN235"/>
    <mergeCell ref="AO234:AO235"/>
    <mergeCell ref="AC234:AC235"/>
    <mergeCell ref="AD234:AD235"/>
    <mergeCell ref="AE234:AE235"/>
    <mergeCell ref="AG234:AG235"/>
    <mergeCell ref="AH234:AH235"/>
    <mergeCell ref="AI234:AI235"/>
    <mergeCell ref="CG232:CG233"/>
    <mergeCell ref="CH232:CH233"/>
    <mergeCell ref="CI232:CI233"/>
    <mergeCell ref="CJ232:CJ233"/>
    <mergeCell ref="C234:C235"/>
    <mergeCell ref="F234:F235"/>
    <mergeCell ref="K234:K235"/>
    <mergeCell ref="AA234:AA235"/>
    <mergeCell ref="AB234:AB235"/>
    <mergeCell ref="CA232:CA233"/>
    <mergeCell ref="CB232:CB233"/>
    <mergeCell ref="CC232:CC233"/>
    <mergeCell ref="CD232:CD233"/>
    <mergeCell ref="CE232:CE233"/>
    <mergeCell ref="CF232:CF233"/>
    <mergeCell ref="BT232:BT233"/>
    <mergeCell ref="BU232:BU233"/>
    <mergeCell ref="BV232:BV233"/>
    <mergeCell ref="BW232:BW233"/>
    <mergeCell ref="BX232:BX233"/>
    <mergeCell ref="BZ232:BZ233"/>
    <mergeCell ref="BI232:BI233"/>
    <mergeCell ref="BJ232:BJ233"/>
    <mergeCell ref="BK232:BK233"/>
    <mergeCell ref="BL232:BL233"/>
    <mergeCell ref="BM232:BM233"/>
    <mergeCell ref="BN232:BN233"/>
    <mergeCell ref="BC232:BC233"/>
    <mergeCell ref="BD232:BD233"/>
    <mergeCell ref="BE232:BE233"/>
    <mergeCell ref="BF232:BF233"/>
    <mergeCell ref="BG232:BG233"/>
    <mergeCell ref="BH232:BH233"/>
    <mergeCell ref="AQ232:AQ233"/>
    <mergeCell ref="AW232:AW233"/>
    <mergeCell ref="AX232:AX233"/>
    <mergeCell ref="AY232:AY233"/>
    <mergeCell ref="AZ232:AZ233"/>
    <mergeCell ref="BA232:BA233"/>
    <mergeCell ref="AK232:AK233"/>
    <mergeCell ref="AL232:AL233"/>
    <mergeCell ref="AM232:AM233"/>
    <mergeCell ref="AN232:AN233"/>
    <mergeCell ref="AO232:AO233"/>
    <mergeCell ref="AP232:AP233"/>
    <mergeCell ref="AD232:AD233"/>
    <mergeCell ref="AE232:AE233"/>
    <mergeCell ref="AG232:AG233"/>
    <mergeCell ref="AH232:AH233"/>
    <mergeCell ref="AI232:AI233"/>
    <mergeCell ref="AJ232:AJ233"/>
    <mergeCell ref="CH230:CH231"/>
    <mergeCell ref="CI230:CI231"/>
    <mergeCell ref="CJ230:CJ231"/>
    <mergeCell ref="C232:C233"/>
    <mergeCell ref="F232:F233"/>
    <mergeCell ref="K232:K233"/>
    <mergeCell ref="AA232:AA233"/>
    <mergeCell ref="AB232:AB233"/>
    <mergeCell ref="AC232:AC233"/>
    <mergeCell ref="CB230:CB231"/>
    <mergeCell ref="CC230:CC231"/>
    <mergeCell ref="CD230:CD231"/>
    <mergeCell ref="CE230:CE231"/>
    <mergeCell ref="CF230:CF231"/>
    <mergeCell ref="CG230:CG231"/>
    <mergeCell ref="BU230:BU231"/>
    <mergeCell ref="BV230:BV231"/>
    <mergeCell ref="BW230:BW231"/>
    <mergeCell ref="BX230:BX231"/>
    <mergeCell ref="BZ230:BZ231"/>
    <mergeCell ref="CA230:CA231"/>
    <mergeCell ref="BJ230:BJ231"/>
    <mergeCell ref="BK230:BK231"/>
    <mergeCell ref="BL230:BL231"/>
    <mergeCell ref="BM230:BM231"/>
    <mergeCell ref="BN230:BN231"/>
    <mergeCell ref="BT230:BT231"/>
    <mergeCell ref="BD230:BD231"/>
    <mergeCell ref="BE230:BE231"/>
    <mergeCell ref="BF230:BF231"/>
    <mergeCell ref="BG230:BG231"/>
    <mergeCell ref="BH230:BH231"/>
    <mergeCell ref="BI230:BI231"/>
    <mergeCell ref="AW230:AW231"/>
    <mergeCell ref="AX230:AX231"/>
    <mergeCell ref="AY230:AY231"/>
    <mergeCell ref="AZ230:AZ231"/>
    <mergeCell ref="BA230:BA231"/>
    <mergeCell ref="BC230:BC231"/>
    <mergeCell ref="AL230:AL231"/>
    <mergeCell ref="AM230:AM231"/>
    <mergeCell ref="AN230:AN231"/>
    <mergeCell ref="AO230:AO231"/>
    <mergeCell ref="AP230:AP231"/>
    <mergeCell ref="AQ230:AQ231"/>
    <mergeCell ref="AE230:AE231"/>
    <mergeCell ref="AG230:AG231"/>
    <mergeCell ref="AH230:AH231"/>
    <mergeCell ref="AI230:AI231"/>
    <mergeCell ref="AJ230:AJ231"/>
    <mergeCell ref="AK230:AK231"/>
    <mergeCell ref="C230:C231"/>
    <mergeCell ref="F230:F231"/>
    <mergeCell ref="K230:K231"/>
    <mergeCell ref="AA230:AA231"/>
    <mergeCell ref="AB230:AB231"/>
    <mergeCell ref="AC230:AC231"/>
    <mergeCell ref="AD230:AD231"/>
    <mergeCell ref="CC227:CC229"/>
    <mergeCell ref="CD227:CD229"/>
    <mergeCell ref="CE227:CE229"/>
    <mergeCell ref="CF227:CF229"/>
    <mergeCell ref="CG227:CG229"/>
    <mergeCell ref="BV227:BV229"/>
    <mergeCell ref="BW227:BW229"/>
    <mergeCell ref="BX227:BX229"/>
    <mergeCell ref="BZ227:BZ229"/>
    <mergeCell ref="CA227:CA229"/>
    <mergeCell ref="CB227:CB229"/>
    <mergeCell ref="BK227:BK229"/>
    <mergeCell ref="BL227:BL229"/>
    <mergeCell ref="BM227:BM229"/>
    <mergeCell ref="BN227:BN229"/>
    <mergeCell ref="BT227:BT229"/>
    <mergeCell ref="BU227:BU229"/>
    <mergeCell ref="BE227:BE229"/>
    <mergeCell ref="BF227:BF229"/>
    <mergeCell ref="BG227:BG229"/>
    <mergeCell ref="BH227:BH229"/>
    <mergeCell ref="BI227:BI229"/>
    <mergeCell ref="BJ227:BJ229"/>
    <mergeCell ref="AX227:AX229"/>
    <mergeCell ref="AY227:AY229"/>
    <mergeCell ref="AM227:AM229"/>
    <mergeCell ref="AN227:AN229"/>
    <mergeCell ref="AO227:AO229"/>
    <mergeCell ref="AP227:AP229"/>
    <mergeCell ref="AQ227:AQ229"/>
    <mergeCell ref="AW227:AW229"/>
    <mergeCell ref="AG227:AG229"/>
    <mergeCell ref="AH227:AH229"/>
    <mergeCell ref="AI227:AI229"/>
    <mergeCell ref="AJ227:AJ229"/>
    <mergeCell ref="AK227:AK229"/>
    <mergeCell ref="AL227:AL229"/>
    <mergeCell ref="CJ224:CJ226"/>
    <mergeCell ref="BA224:BA226"/>
    <mergeCell ref="BC224:BC226"/>
    <mergeCell ref="BD224:BD226"/>
    <mergeCell ref="BE224:BE226"/>
    <mergeCell ref="AN224:AN226"/>
    <mergeCell ref="AO224:AO226"/>
    <mergeCell ref="AP224:AP226"/>
    <mergeCell ref="AQ224:AQ226"/>
    <mergeCell ref="AW224:AW226"/>
    <mergeCell ref="AX224:AX226"/>
    <mergeCell ref="AH224:AH226"/>
    <mergeCell ref="AI224:AI226"/>
    <mergeCell ref="AJ224:AJ226"/>
    <mergeCell ref="AK224:AK226"/>
    <mergeCell ref="AL224:AL226"/>
    <mergeCell ref="AM224:AM226"/>
    <mergeCell ref="BY227:BY229"/>
    <mergeCell ref="C227:C229"/>
    <mergeCell ref="F227:F229"/>
    <mergeCell ref="K227:K229"/>
    <mergeCell ref="AA227:AA229"/>
    <mergeCell ref="AB227:AB229"/>
    <mergeCell ref="AC227:AC229"/>
    <mergeCell ref="AD227:AD229"/>
    <mergeCell ref="AE227:AE229"/>
    <mergeCell ref="CD224:CD226"/>
    <mergeCell ref="CE224:CE226"/>
    <mergeCell ref="CF224:CF226"/>
    <mergeCell ref="CG224:CG226"/>
    <mergeCell ref="BW224:BW226"/>
    <mergeCell ref="BX224:BX226"/>
    <mergeCell ref="BZ224:BZ226"/>
    <mergeCell ref="CA224:CA226"/>
    <mergeCell ref="CB224:CB226"/>
    <mergeCell ref="CC224:CC226"/>
    <mergeCell ref="BL224:BL226"/>
    <mergeCell ref="BM224:BM226"/>
    <mergeCell ref="BN224:BN226"/>
    <mergeCell ref="BT224:BT226"/>
    <mergeCell ref="BU224:BU226"/>
    <mergeCell ref="BV224:BV226"/>
    <mergeCell ref="BF224:BF226"/>
    <mergeCell ref="BG224:BG226"/>
    <mergeCell ref="BH224:BH226"/>
    <mergeCell ref="BI224:BI226"/>
    <mergeCell ref="BJ224:BJ226"/>
    <mergeCell ref="BK224:BK226"/>
    <mergeCell ref="AY224:AY226"/>
    <mergeCell ref="AZ224:AZ226"/>
    <mergeCell ref="C224:C226"/>
    <mergeCell ref="F224:F226"/>
    <mergeCell ref="K224:K226"/>
    <mergeCell ref="AA224:AA226"/>
    <mergeCell ref="AB224:AB226"/>
    <mergeCell ref="AC224:AC226"/>
    <mergeCell ref="AD224:AD226"/>
    <mergeCell ref="AE224:AE226"/>
    <mergeCell ref="AG224:AG226"/>
    <mergeCell ref="BU215:BU217"/>
    <mergeCell ref="BT215:BT217"/>
    <mergeCell ref="BU207:BU209"/>
    <mergeCell ref="BT207:BT209"/>
    <mergeCell ref="BU198:BU200"/>
    <mergeCell ref="BT198:BT200"/>
    <mergeCell ref="BT189:BT190"/>
    <mergeCell ref="BT194:BT195"/>
    <mergeCell ref="BH221:BH223"/>
    <mergeCell ref="BI221:BI223"/>
    <mergeCell ref="BJ221:BJ223"/>
    <mergeCell ref="BK221:BK223"/>
    <mergeCell ref="BL221:BL223"/>
    <mergeCell ref="BB221:BB223"/>
    <mergeCell ref="BC221:BC223"/>
    <mergeCell ref="BD221:BD223"/>
    <mergeCell ref="BE221:BE223"/>
    <mergeCell ref="BF221:BF223"/>
    <mergeCell ref="BG221:BG223"/>
    <mergeCell ref="AE221:AE223"/>
    <mergeCell ref="AX221:AX223"/>
    <mergeCell ref="C221:C223"/>
    <mergeCell ref="BT221:BT223"/>
    <mergeCell ref="F221:F223"/>
    <mergeCell ref="K221:K223"/>
    <mergeCell ref="AB221:AB223"/>
    <mergeCell ref="AC221:AC223"/>
    <mergeCell ref="AD221:AD223"/>
    <mergeCell ref="CA218:CA220"/>
    <mergeCell ref="CB218:CB220"/>
    <mergeCell ref="CC218:CC220"/>
    <mergeCell ref="CD218:CD220"/>
    <mergeCell ref="CE218:CE220"/>
    <mergeCell ref="BT218:BT220"/>
    <mergeCell ref="BU218:BU220"/>
    <mergeCell ref="BV218:BV220"/>
    <mergeCell ref="BW218:BW220"/>
    <mergeCell ref="BX218:BX220"/>
    <mergeCell ref="BG218:BG220"/>
    <mergeCell ref="BH218:BH220"/>
    <mergeCell ref="BI218:BI220"/>
    <mergeCell ref="BJ218:BJ220"/>
    <mergeCell ref="BK218:BK220"/>
    <mergeCell ref="BL218:BL220"/>
    <mergeCell ref="AZ218:AZ220"/>
    <mergeCell ref="BB218:BB220"/>
    <mergeCell ref="BC218:BC220"/>
    <mergeCell ref="BD218:BD220"/>
    <mergeCell ref="BE218:BE220"/>
    <mergeCell ref="BF218:BF220"/>
    <mergeCell ref="AD218:AD220"/>
    <mergeCell ref="AE218:AE220"/>
    <mergeCell ref="AX218:AX220"/>
    <mergeCell ref="BA221:BA223"/>
    <mergeCell ref="C218:C220"/>
    <mergeCell ref="F218:F220"/>
    <mergeCell ref="K218:K220"/>
    <mergeCell ref="AB218:AB220"/>
    <mergeCell ref="AC218:AC220"/>
    <mergeCell ref="BV215:BV217"/>
    <mergeCell ref="BW215:BW217"/>
    <mergeCell ref="BX215:BX217"/>
    <mergeCell ref="BK215:BK217"/>
    <mergeCell ref="BL215:BL217"/>
    <mergeCell ref="BE215:BE217"/>
    <mergeCell ref="BF215:BF217"/>
    <mergeCell ref="BG215:BG217"/>
    <mergeCell ref="BH215:BH217"/>
    <mergeCell ref="BI215:BI217"/>
    <mergeCell ref="BJ215:BJ217"/>
    <mergeCell ref="AY215:AY217"/>
    <mergeCell ref="AZ215:AZ217"/>
    <mergeCell ref="BB215:BB217"/>
    <mergeCell ref="BC215:BC217"/>
    <mergeCell ref="BD215:BD217"/>
    <mergeCell ref="C215:C217"/>
    <mergeCell ref="F215:F217"/>
    <mergeCell ref="K215:K217"/>
    <mergeCell ref="AB215:AB217"/>
    <mergeCell ref="AC215:AC217"/>
    <mergeCell ref="AD215:AD217"/>
    <mergeCell ref="AE215:AE217"/>
    <mergeCell ref="AX215:AX217"/>
    <mergeCell ref="BT212:BT214"/>
    <mergeCell ref="BU212:BU214"/>
    <mergeCell ref="BV212:BV214"/>
    <mergeCell ref="BW212:BW214"/>
    <mergeCell ref="BX212:BX214"/>
    <mergeCell ref="BI212:BI214"/>
    <mergeCell ref="BJ212:BJ214"/>
    <mergeCell ref="BK212:BK214"/>
    <mergeCell ref="BL212:BL214"/>
    <mergeCell ref="BC212:BC214"/>
    <mergeCell ref="BD212:BD214"/>
    <mergeCell ref="BE212:BE214"/>
    <mergeCell ref="BF212:BF214"/>
    <mergeCell ref="BG212:BG214"/>
    <mergeCell ref="BH212:BH214"/>
    <mergeCell ref="AX212:AX214"/>
    <mergeCell ref="AY212:AY214"/>
    <mergeCell ref="AZ212:AZ214"/>
    <mergeCell ref="BB212:BB214"/>
    <mergeCell ref="BA212:BA214"/>
    <mergeCell ref="C212:C214"/>
    <mergeCell ref="F212:F214"/>
    <mergeCell ref="K212:K214"/>
    <mergeCell ref="AB212:AB214"/>
    <mergeCell ref="AC212:AC214"/>
    <mergeCell ref="AD212:AD214"/>
    <mergeCell ref="AE212:AE214"/>
    <mergeCell ref="CA210:CA211"/>
    <mergeCell ref="CB210:CB211"/>
    <mergeCell ref="CC210:CC211"/>
    <mergeCell ref="CD210:CD211"/>
    <mergeCell ref="CE210:CE211"/>
    <mergeCell ref="BT210:BT211"/>
    <mergeCell ref="BU210:BU211"/>
    <mergeCell ref="BV210:BV211"/>
    <mergeCell ref="BW210:BW211"/>
    <mergeCell ref="BX210:BX211"/>
    <mergeCell ref="BG210:BG211"/>
    <mergeCell ref="BH210:BH211"/>
    <mergeCell ref="BI210:BI211"/>
    <mergeCell ref="BJ210:BJ211"/>
    <mergeCell ref="BK210:BK211"/>
    <mergeCell ref="BL210:BL211"/>
    <mergeCell ref="AZ210:AZ211"/>
    <mergeCell ref="BB210:BB211"/>
    <mergeCell ref="BC210:BC211"/>
    <mergeCell ref="BD210:BD211"/>
    <mergeCell ref="BE210:BE211"/>
    <mergeCell ref="BF210:BF211"/>
    <mergeCell ref="AD210:AD211"/>
    <mergeCell ref="AE210:AE211"/>
    <mergeCell ref="AX210:AX211"/>
    <mergeCell ref="C210:C211"/>
    <mergeCell ref="F210:F211"/>
    <mergeCell ref="K210:K211"/>
    <mergeCell ref="AB210:AB211"/>
    <mergeCell ref="AC210:AC211"/>
    <mergeCell ref="BV207:BV209"/>
    <mergeCell ref="BW207:BW209"/>
    <mergeCell ref="BX207:BX209"/>
    <mergeCell ref="BK207:BK209"/>
    <mergeCell ref="BL207:BL209"/>
    <mergeCell ref="BE207:BE209"/>
    <mergeCell ref="BF207:BF209"/>
    <mergeCell ref="BG207:BG209"/>
    <mergeCell ref="BH207:BH209"/>
    <mergeCell ref="BI207:BI209"/>
    <mergeCell ref="BJ207:BJ209"/>
    <mergeCell ref="AY207:AY209"/>
    <mergeCell ref="AZ207:AZ209"/>
    <mergeCell ref="BB207:BB209"/>
    <mergeCell ref="BC207:BC209"/>
    <mergeCell ref="BD207:BD209"/>
    <mergeCell ref="C207:C209"/>
    <mergeCell ref="F207:F209"/>
    <mergeCell ref="K207:K209"/>
    <mergeCell ref="AB207:AB209"/>
    <mergeCell ref="AC207:AC209"/>
    <mergeCell ref="AD207:AD209"/>
    <mergeCell ref="AE207:AE209"/>
    <mergeCell ref="AX207:AX209"/>
    <mergeCell ref="AW207:AW209"/>
    <mergeCell ref="BA207:BA209"/>
    <mergeCell ref="AW210:AW211"/>
    <mergeCell ref="BI204:BI206"/>
    <mergeCell ref="BJ204:BJ206"/>
    <mergeCell ref="BK204:BK206"/>
    <mergeCell ref="BL204:BL206"/>
    <mergeCell ref="BC204:BC206"/>
    <mergeCell ref="BD204:BD206"/>
    <mergeCell ref="BE204:BE206"/>
    <mergeCell ref="BF204:BF206"/>
    <mergeCell ref="BG204:BG206"/>
    <mergeCell ref="BH204:BH206"/>
    <mergeCell ref="AX204:AX206"/>
    <mergeCell ref="AY204:AY206"/>
    <mergeCell ref="AZ204:AZ206"/>
    <mergeCell ref="BB204:BB206"/>
    <mergeCell ref="C204:C206"/>
    <mergeCell ref="F204:F206"/>
    <mergeCell ref="K204:K206"/>
    <mergeCell ref="AB204:AB206"/>
    <mergeCell ref="AC204:AC206"/>
    <mergeCell ref="AD204:AD206"/>
    <mergeCell ref="AE204:AE206"/>
    <mergeCell ref="AW204:AW206"/>
    <mergeCell ref="BA204:BA206"/>
    <mergeCell ref="CC201:CC203"/>
    <mergeCell ref="CD201:CD203"/>
    <mergeCell ref="CE201:CE203"/>
    <mergeCell ref="BT201:BT203"/>
    <mergeCell ref="BU201:BU203"/>
    <mergeCell ref="BV201:BV203"/>
    <mergeCell ref="BW201:BW203"/>
    <mergeCell ref="BX201:BX203"/>
    <mergeCell ref="BG201:BG203"/>
    <mergeCell ref="BH201:BH203"/>
    <mergeCell ref="BI201:BI203"/>
    <mergeCell ref="BJ201:BJ203"/>
    <mergeCell ref="BK201:BK203"/>
    <mergeCell ref="BL201:BL203"/>
    <mergeCell ref="AZ201:AZ203"/>
    <mergeCell ref="BB201:BB203"/>
    <mergeCell ref="BC201:BC203"/>
    <mergeCell ref="BD201:BD203"/>
    <mergeCell ref="BE201:BE203"/>
    <mergeCell ref="BF201:BF203"/>
    <mergeCell ref="BA201:BA203"/>
    <mergeCell ref="CA201:CA203"/>
    <mergeCell ref="CB201:CB203"/>
    <mergeCell ref="AD201:AD203"/>
    <mergeCell ref="AE201:AE203"/>
    <mergeCell ref="AX201:AX203"/>
    <mergeCell ref="C201:C203"/>
    <mergeCell ref="F201:F203"/>
    <mergeCell ref="K201:K203"/>
    <mergeCell ref="AB201:AB203"/>
    <mergeCell ref="AC201:AC203"/>
    <mergeCell ref="BV198:BV200"/>
    <mergeCell ref="BW198:BW200"/>
    <mergeCell ref="BX198:BX200"/>
    <mergeCell ref="BK198:BK200"/>
    <mergeCell ref="BL198:BL200"/>
    <mergeCell ref="BE198:BE200"/>
    <mergeCell ref="BF198:BF200"/>
    <mergeCell ref="BG198:BG200"/>
    <mergeCell ref="BH198:BH200"/>
    <mergeCell ref="BI198:BI200"/>
    <mergeCell ref="BJ198:BJ200"/>
    <mergeCell ref="AY198:AY200"/>
    <mergeCell ref="AZ198:AZ200"/>
    <mergeCell ref="BB198:BB200"/>
    <mergeCell ref="BC198:BC200"/>
    <mergeCell ref="BD198:BD200"/>
    <mergeCell ref="C198:C200"/>
    <mergeCell ref="F198:F200"/>
    <mergeCell ref="K198:K200"/>
    <mergeCell ref="AB198:AB200"/>
    <mergeCell ref="AC198:AC200"/>
    <mergeCell ref="AD198:AD200"/>
    <mergeCell ref="AE198:AE200"/>
    <mergeCell ref="AX198:AX200"/>
    <mergeCell ref="CF196:CF197"/>
    <mergeCell ref="CG196:CG197"/>
    <mergeCell ref="BT196:BT197"/>
    <mergeCell ref="BU196:BU197"/>
    <mergeCell ref="BV196:BV197"/>
    <mergeCell ref="BW196:BW197"/>
    <mergeCell ref="BX196:BX197"/>
    <mergeCell ref="BI196:BI197"/>
    <mergeCell ref="BJ196:BJ197"/>
    <mergeCell ref="BK196:BK197"/>
    <mergeCell ref="BL196:BL197"/>
    <mergeCell ref="BC196:BC197"/>
    <mergeCell ref="BD196:BD197"/>
    <mergeCell ref="BE196:BE197"/>
    <mergeCell ref="BF196:BF197"/>
    <mergeCell ref="BG196:BG197"/>
    <mergeCell ref="BH196:BH197"/>
    <mergeCell ref="CD196:CD197"/>
    <mergeCell ref="CE196:CE197"/>
    <mergeCell ref="AX196:AX197"/>
    <mergeCell ref="AY196:AY197"/>
    <mergeCell ref="AZ196:AZ197"/>
    <mergeCell ref="BB196:BB197"/>
    <mergeCell ref="C196:C197"/>
    <mergeCell ref="K196:K197"/>
    <mergeCell ref="AB196:AB197"/>
    <mergeCell ref="AC196:AC197"/>
    <mergeCell ref="AD196:AD197"/>
    <mergeCell ref="AE196:AE197"/>
    <mergeCell ref="CC194:CC195"/>
    <mergeCell ref="CD194:CD195"/>
    <mergeCell ref="CE194:CE195"/>
    <mergeCell ref="CF194:CF195"/>
    <mergeCell ref="CG194:CG195"/>
    <mergeCell ref="CH194:CH195"/>
    <mergeCell ref="BU194:BU195"/>
    <mergeCell ref="BV194:BV195"/>
    <mergeCell ref="BW194:BW195"/>
    <mergeCell ref="BX194:BX195"/>
    <mergeCell ref="BJ194:BJ195"/>
    <mergeCell ref="BK194:BK195"/>
    <mergeCell ref="BL194:BL195"/>
    <mergeCell ref="BD194:BD195"/>
    <mergeCell ref="BE194:BE195"/>
    <mergeCell ref="BF194:BF195"/>
    <mergeCell ref="BG194:BG195"/>
    <mergeCell ref="BH194:BH195"/>
    <mergeCell ref="BI194:BI195"/>
    <mergeCell ref="AX194:AX195"/>
    <mergeCell ref="AY194:AY195"/>
    <mergeCell ref="AZ194:AZ195"/>
    <mergeCell ref="BB194:BB195"/>
    <mergeCell ref="BC194:BC195"/>
    <mergeCell ref="CG191:CG193"/>
    <mergeCell ref="CH191:CH193"/>
    <mergeCell ref="C194:C195"/>
    <mergeCell ref="F194:F195"/>
    <mergeCell ref="K194:K195"/>
    <mergeCell ref="AB194:AB195"/>
    <mergeCell ref="AC194:AC195"/>
    <mergeCell ref="AD194:AD195"/>
    <mergeCell ref="AE194:AE195"/>
    <mergeCell ref="CA191:CA193"/>
    <mergeCell ref="CB191:CB193"/>
    <mergeCell ref="CC191:CC193"/>
    <mergeCell ref="CD191:CD193"/>
    <mergeCell ref="CE191:CE193"/>
    <mergeCell ref="CF191:CF193"/>
    <mergeCell ref="BT191:BT193"/>
    <mergeCell ref="BU191:BU193"/>
    <mergeCell ref="BV191:BV193"/>
    <mergeCell ref="BW191:BW193"/>
    <mergeCell ref="BX191:BX193"/>
    <mergeCell ref="BH191:BH193"/>
    <mergeCell ref="BI191:BI193"/>
    <mergeCell ref="BJ191:BJ193"/>
    <mergeCell ref="BK191:BK193"/>
    <mergeCell ref="BL191:BL193"/>
    <mergeCell ref="BB191:BB193"/>
    <mergeCell ref="BC191:BC193"/>
    <mergeCell ref="BD191:BD193"/>
    <mergeCell ref="BE191:BE193"/>
    <mergeCell ref="BF191:BF193"/>
    <mergeCell ref="BG191:BG193"/>
    <mergeCell ref="AE191:AE193"/>
    <mergeCell ref="AX191:AX193"/>
    <mergeCell ref="AW191:AW193"/>
    <mergeCell ref="C191:C193"/>
    <mergeCell ref="F191:F193"/>
    <mergeCell ref="K191:K193"/>
    <mergeCell ref="AB191:AB193"/>
    <mergeCell ref="AC191:AC193"/>
    <mergeCell ref="AD191:AD193"/>
    <mergeCell ref="CC189:CC190"/>
    <mergeCell ref="CD189:CD190"/>
    <mergeCell ref="CE189:CE190"/>
    <mergeCell ref="CF189:CF190"/>
    <mergeCell ref="CG189:CG190"/>
    <mergeCell ref="CH189:CH190"/>
    <mergeCell ref="BU189:BU190"/>
    <mergeCell ref="BV189:BV190"/>
    <mergeCell ref="BW189:BW190"/>
    <mergeCell ref="BX189:BX190"/>
    <mergeCell ref="BJ189:BJ190"/>
    <mergeCell ref="BK189:BK190"/>
    <mergeCell ref="BL189:BL190"/>
    <mergeCell ref="BD189:BD190"/>
    <mergeCell ref="BE189:BE190"/>
    <mergeCell ref="BF189:BF190"/>
    <mergeCell ref="BG189:BG190"/>
    <mergeCell ref="BH189:BH190"/>
    <mergeCell ref="BI189:BI190"/>
    <mergeCell ref="AX189:AX190"/>
    <mergeCell ref="AY189:AY190"/>
    <mergeCell ref="AZ189:AZ190"/>
    <mergeCell ref="BB189:BB190"/>
    <mergeCell ref="BC189:BC190"/>
    <mergeCell ref="CG185:CG188"/>
    <mergeCell ref="CH185:CH188"/>
    <mergeCell ref="C189:C190"/>
    <mergeCell ref="F189:F190"/>
    <mergeCell ref="K189:K190"/>
    <mergeCell ref="AB189:AB190"/>
    <mergeCell ref="AC189:AC190"/>
    <mergeCell ref="AD189:AD190"/>
    <mergeCell ref="AE189:AE190"/>
    <mergeCell ref="CA185:CA188"/>
    <mergeCell ref="CB185:CB188"/>
    <mergeCell ref="CC185:CC188"/>
    <mergeCell ref="CD185:CD188"/>
    <mergeCell ref="CE185:CE188"/>
    <mergeCell ref="CF185:CF188"/>
    <mergeCell ref="BT185:BT188"/>
    <mergeCell ref="BU185:BU188"/>
    <mergeCell ref="BV185:BV188"/>
    <mergeCell ref="BW185:BW188"/>
    <mergeCell ref="BX185:BX188"/>
    <mergeCell ref="BH185:BH188"/>
    <mergeCell ref="BI185:BI188"/>
    <mergeCell ref="BJ185:BJ188"/>
    <mergeCell ref="BK185:BK188"/>
    <mergeCell ref="BL185:BL188"/>
    <mergeCell ref="BB185:BB188"/>
    <mergeCell ref="BC185:BC188"/>
    <mergeCell ref="BD185:BD188"/>
    <mergeCell ref="BE185:BE188"/>
    <mergeCell ref="BF185:BF188"/>
    <mergeCell ref="BG185:BG188"/>
    <mergeCell ref="AE185:AE188"/>
    <mergeCell ref="AX185:AX188"/>
    <mergeCell ref="C185:C188"/>
    <mergeCell ref="F185:F188"/>
    <mergeCell ref="K185:K188"/>
    <mergeCell ref="AB185:AB188"/>
    <mergeCell ref="AC185:AC188"/>
    <mergeCell ref="AD185:AD188"/>
    <mergeCell ref="CD182:CD184"/>
    <mergeCell ref="CE182:CE184"/>
    <mergeCell ref="CF182:CF184"/>
    <mergeCell ref="CG182:CG184"/>
    <mergeCell ref="CH182:CH184"/>
    <mergeCell ref="AF183:AF184"/>
    <mergeCell ref="BW182:BW184"/>
    <mergeCell ref="BX182:BX184"/>
    <mergeCell ref="BV182:BV184"/>
    <mergeCell ref="BK182:BK184"/>
    <mergeCell ref="BL182:BL184"/>
    <mergeCell ref="BE182:BE184"/>
    <mergeCell ref="BF182:BF184"/>
    <mergeCell ref="BG182:BG184"/>
    <mergeCell ref="BH182:BH184"/>
    <mergeCell ref="BI182:BI184"/>
    <mergeCell ref="BJ182:BJ184"/>
    <mergeCell ref="AY182:AY184"/>
    <mergeCell ref="AZ182:AZ184"/>
    <mergeCell ref="BB182:BB184"/>
    <mergeCell ref="BC182:BC184"/>
    <mergeCell ref="BD182:BD184"/>
    <mergeCell ref="AM182:AM184"/>
    <mergeCell ref="AN182:AN184"/>
    <mergeCell ref="AO182:AO184"/>
    <mergeCell ref="AP182:AP184"/>
    <mergeCell ref="AX182:AX184"/>
    <mergeCell ref="AG182:AG184"/>
    <mergeCell ref="AH182:AH184"/>
    <mergeCell ref="AI182:AI184"/>
    <mergeCell ref="AJ182:AJ184"/>
    <mergeCell ref="AK182:AK184"/>
    <mergeCell ref="AL182:AL184"/>
    <mergeCell ref="CG178:CG181"/>
    <mergeCell ref="CH178:CH181"/>
    <mergeCell ref="C182:C184"/>
    <mergeCell ref="F182:F184"/>
    <mergeCell ref="K182:K184"/>
    <mergeCell ref="AA182:AA184"/>
    <mergeCell ref="AB182:AB184"/>
    <mergeCell ref="AC182:AC184"/>
    <mergeCell ref="AD182:AD184"/>
    <mergeCell ref="AE182:AE184"/>
    <mergeCell ref="CA178:CA181"/>
    <mergeCell ref="CB178:CB181"/>
    <mergeCell ref="CC178:CC181"/>
    <mergeCell ref="CD178:CD181"/>
    <mergeCell ref="CE178:CE181"/>
    <mergeCell ref="CF178:CF181"/>
    <mergeCell ref="BT178:BT181"/>
    <mergeCell ref="BU178:BU181"/>
    <mergeCell ref="BV178:BV181"/>
    <mergeCell ref="BH178:BH181"/>
    <mergeCell ref="BI178:BI181"/>
    <mergeCell ref="BJ178:BJ181"/>
    <mergeCell ref="AP178:AP181"/>
    <mergeCell ref="AX178:AX181"/>
    <mergeCell ref="AJ178:AJ181"/>
    <mergeCell ref="AK178:AK181"/>
    <mergeCell ref="AL178:AL181"/>
    <mergeCell ref="AM178:AM181"/>
    <mergeCell ref="AN178:AN181"/>
    <mergeCell ref="AO178:AO181"/>
    <mergeCell ref="AC178:AC181"/>
    <mergeCell ref="AD178:AD181"/>
    <mergeCell ref="AE178:AE181"/>
    <mergeCell ref="AG178:AG181"/>
    <mergeCell ref="AH178:AH181"/>
    <mergeCell ref="AI178:AI181"/>
    <mergeCell ref="AZ178:AZ181"/>
    <mergeCell ref="BA178:BA181"/>
    <mergeCell ref="AW178:AW181"/>
    <mergeCell ref="CD175:CD177"/>
    <mergeCell ref="CE175:CE177"/>
    <mergeCell ref="CF175:CF177"/>
    <mergeCell ref="CG175:CG177"/>
    <mergeCell ref="CH175:CH177"/>
    <mergeCell ref="C178:C181"/>
    <mergeCell ref="F178:F181"/>
    <mergeCell ref="K178:K181"/>
    <mergeCell ref="AA178:AA181"/>
    <mergeCell ref="AB178:AB181"/>
    <mergeCell ref="BV175:BV177"/>
    <mergeCell ref="BK175:BK177"/>
    <mergeCell ref="BL175:BL177"/>
    <mergeCell ref="BE175:BE177"/>
    <mergeCell ref="BF175:BF177"/>
    <mergeCell ref="BG175:BG177"/>
    <mergeCell ref="BH175:BH177"/>
    <mergeCell ref="BI175:BI177"/>
    <mergeCell ref="BJ175:BJ177"/>
    <mergeCell ref="AY175:AY177"/>
    <mergeCell ref="AZ175:AZ177"/>
    <mergeCell ref="BB175:BB177"/>
    <mergeCell ref="BC175:BC177"/>
    <mergeCell ref="BD175:BD177"/>
    <mergeCell ref="BA175:BA177"/>
    <mergeCell ref="AM175:AM177"/>
    <mergeCell ref="AN175:AN177"/>
    <mergeCell ref="AO175:AO177"/>
    <mergeCell ref="AP175:AP177"/>
    <mergeCell ref="AX175:AX177"/>
    <mergeCell ref="AW175:AW177"/>
    <mergeCell ref="AG175:AG177"/>
    <mergeCell ref="AH175:AH177"/>
    <mergeCell ref="AI175:AI177"/>
    <mergeCell ref="AJ175:AJ177"/>
    <mergeCell ref="AK175:AK177"/>
    <mergeCell ref="AL175:AL177"/>
    <mergeCell ref="CG172:CG174"/>
    <mergeCell ref="CH172:CH174"/>
    <mergeCell ref="C175:C177"/>
    <mergeCell ref="F175:F177"/>
    <mergeCell ref="K175:K177"/>
    <mergeCell ref="AA175:AA177"/>
    <mergeCell ref="AB175:AB177"/>
    <mergeCell ref="AC175:AC177"/>
    <mergeCell ref="AD175:AD177"/>
    <mergeCell ref="AE175:AE177"/>
    <mergeCell ref="CA172:CA174"/>
    <mergeCell ref="CB172:CB174"/>
    <mergeCell ref="CC172:CC174"/>
    <mergeCell ref="CD172:CD174"/>
    <mergeCell ref="CE172:CE174"/>
    <mergeCell ref="CF172:CF174"/>
    <mergeCell ref="BT172:BT174"/>
    <mergeCell ref="BU172:BU174"/>
    <mergeCell ref="BV172:BV174"/>
    <mergeCell ref="BX172:BX174"/>
    <mergeCell ref="BI172:BI174"/>
    <mergeCell ref="BJ172:BJ174"/>
    <mergeCell ref="BK172:BK174"/>
    <mergeCell ref="BL172:BL174"/>
    <mergeCell ref="BC172:BC174"/>
    <mergeCell ref="BD172:BD174"/>
    <mergeCell ref="BE172:BE174"/>
    <mergeCell ref="AZ172:AZ174"/>
    <mergeCell ref="BB172:BB174"/>
    <mergeCell ref="AK172:AK174"/>
    <mergeCell ref="AL172:AL174"/>
    <mergeCell ref="AM172:AM174"/>
    <mergeCell ref="AN172:AN174"/>
    <mergeCell ref="AO172:AO174"/>
    <mergeCell ref="AP172:AP174"/>
    <mergeCell ref="AD172:AD174"/>
    <mergeCell ref="AE172:AE174"/>
    <mergeCell ref="AG172:AG174"/>
    <mergeCell ref="AH172:AH174"/>
    <mergeCell ref="AI172:AI174"/>
    <mergeCell ref="AJ172:AJ174"/>
    <mergeCell ref="CE170:CE171"/>
    <mergeCell ref="CF170:CF171"/>
    <mergeCell ref="CG170:CG171"/>
    <mergeCell ref="AL170:AL171"/>
    <mergeCell ref="AM170:AM171"/>
    <mergeCell ref="BZ170:BZ171"/>
    <mergeCell ref="BZ172:BZ174"/>
    <mergeCell ref="BW170:BW171"/>
    <mergeCell ref="BX170:BX171"/>
    <mergeCell ref="BW172:BW174"/>
    <mergeCell ref="CH170:CH171"/>
    <mergeCell ref="C172:C174"/>
    <mergeCell ref="F172:F174"/>
    <mergeCell ref="K172:K174"/>
    <mergeCell ref="AA172:AA174"/>
    <mergeCell ref="AB172:AB174"/>
    <mergeCell ref="AC172:AC174"/>
    <mergeCell ref="CA170:CA171"/>
    <mergeCell ref="CB170:CB171"/>
    <mergeCell ref="CC170:CC171"/>
    <mergeCell ref="CD170:CD171"/>
    <mergeCell ref="BL170:BL171"/>
    <mergeCell ref="BF170:BF171"/>
    <mergeCell ref="BG170:BG171"/>
    <mergeCell ref="BH170:BH171"/>
    <mergeCell ref="BI170:BI171"/>
    <mergeCell ref="BJ170:BJ171"/>
    <mergeCell ref="BK170:BK171"/>
    <mergeCell ref="AY170:AY171"/>
    <mergeCell ref="AZ170:AZ171"/>
    <mergeCell ref="BB170:BB171"/>
    <mergeCell ref="BC170:BC171"/>
    <mergeCell ref="BD170:BD171"/>
    <mergeCell ref="BE170:BE171"/>
    <mergeCell ref="AN170:AN171"/>
    <mergeCell ref="AO170:AO171"/>
    <mergeCell ref="AP170:AP171"/>
    <mergeCell ref="AX170:AX171"/>
    <mergeCell ref="AH170:AH171"/>
    <mergeCell ref="AI170:AI171"/>
    <mergeCell ref="AJ170:AJ171"/>
    <mergeCell ref="AK170:AK171"/>
    <mergeCell ref="CH166:CH169"/>
    <mergeCell ref="C170:C171"/>
    <mergeCell ref="F170:F171"/>
    <mergeCell ref="K170:K171"/>
    <mergeCell ref="AA170:AA171"/>
    <mergeCell ref="AB170:AB171"/>
    <mergeCell ref="AC170:AC171"/>
    <mergeCell ref="AD170:AD171"/>
    <mergeCell ref="AE170:AE171"/>
    <mergeCell ref="AG170:AG171"/>
    <mergeCell ref="CB166:CB169"/>
    <mergeCell ref="CC166:CC169"/>
    <mergeCell ref="CD166:CD169"/>
    <mergeCell ref="CE166:CE169"/>
    <mergeCell ref="CF166:CF169"/>
    <mergeCell ref="CG166:CG169"/>
    <mergeCell ref="BU166:BU169"/>
    <mergeCell ref="BV166:BV169"/>
    <mergeCell ref="BX166:BX169"/>
    <mergeCell ref="BW166:BW169"/>
    <mergeCell ref="BJ166:BJ169"/>
    <mergeCell ref="BK166:BK169"/>
    <mergeCell ref="BL166:BL169"/>
    <mergeCell ref="BD166:BD169"/>
    <mergeCell ref="BE166:BE169"/>
    <mergeCell ref="BF166:BF169"/>
    <mergeCell ref="BG166:BG169"/>
    <mergeCell ref="BH166:BH169"/>
    <mergeCell ref="BI166:BI169"/>
    <mergeCell ref="AX166:AX169"/>
    <mergeCell ref="AY166:AY169"/>
    <mergeCell ref="AZ166:AZ169"/>
    <mergeCell ref="BB166:BB169"/>
    <mergeCell ref="BC166:BC169"/>
    <mergeCell ref="AK166:AK169"/>
    <mergeCell ref="AL166:AL169"/>
    <mergeCell ref="AM166:AM169"/>
    <mergeCell ref="AN166:AN169"/>
    <mergeCell ref="AP166:AP169"/>
    <mergeCell ref="AD166:AD169"/>
    <mergeCell ref="AE166:AE169"/>
    <mergeCell ref="AG166:AG169"/>
    <mergeCell ref="AH166:AH169"/>
    <mergeCell ref="AI166:AI169"/>
    <mergeCell ref="AJ166:AJ169"/>
    <mergeCell ref="C166:C169"/>
    <mergeCell ref="F166:F169"/>
    <mergeCell ref="K166:K169"/>
    <mergeCell ref="AA166:AA169"/>
    <mergeCell ref="AB166:AB169"/>
    <mergeCell ref="AC166:AC169"/>
    <mergeCell ref="BV162:BV165"/>
    <mergeCell ref="BX162:BX165"/>
    <mergeCell ref="BW162:BW165"/>
    <mergeCell ref="BK162:BK165"/>
    <mergeCell ref="BL162:BL165"/>
    <mergeCell ref="BE162:BE165"/>
    <mergeCell ref="BF162:BF165"/>
    <mergeCell ref="BG162:BG165"/>
    <mergeCell ref="BH162:BH165"/>
    <mergeCell ref="BI162:BI165"/>
    <mergeCell ref="BJ162:BJ165"/>
    <mergeCell ref="AY162:AY165"/>
    <mergeCell ref="AZ162:AZ165"/>
    <mergeCell ref="BB162:BB165"/>
    <mergeCell ref="BC162:BC165"/>
    <mergeCell ref="BD162:BD165"/>
    <mergeCell ref="BA162:BA165"/>
    <mergeCell ref="AM162:AM165"/>
    <mergeCell ref="AN162:AN165"/>
    <mergeCell ref="AO162:AO165"/>
    <mergeCell ref="AP162:AP165"/>
    <mergeCell ref="AX162:AX165"/>
    <mergeCell ref="AW162:AW165"/>
    <mergeCell ref="AG162:AG165"/>
    <mergeCell ref="AH162:AH165"/>
    <mergeCell ref="AI162:AI165"/>
    <mergeCell ref="AJ162:AJ165"/>
    <mergeCell ref="AK162:AK165"/>
    <mergeCell ref="AL162:AL165"/>
    <mergeCell ref="C162:C165"/>
    <mergeCell ref="F162:F165"/>
    <mergeCell ref="K162:K165"/>
    <mergeCell ref="AA162:AA165"/>
    <mergeCell ref="AB162:AB165"/>
    <mergeCell ref="AC162:AC165"/>
    <mergeCell ref="AD162:AD165"/>
    <mergeCell ref="AE162:AE165"/>
    <mergeCell ref="AM158:AM161"/>
    <mergeCell ref="AN158:AN161"/>
    <mergeCell ref="AO158:AO161"/>
    <mergeCell ref="AP158:AP161"/>
    <mergeCell ref="AD158:AD161"/>
    <mergeCell ref="AE158:AE161"/>
    <mergeCell ref="AG158:AG161"/>
    <mergeCell ref="AH158:AH161"/>
    <mergeCell ref="AI158:AI161"/>
    <mergeCell ref="AJ158:AJ161"/>
    <mergeCell ref="C158:C161"/>
    <mergeCell ref="F158:F161"/>
    <mergeCell ref="BX158:BX161"/>
    <mergeCell ref="BW158:BW161"/>
    <mergeCell ref="BI158:BI161"/>
    <mergeCell ref="BJ158:BJ161"/>
    <mergeCell ref="BK158:BK161"/>
    <mergeCell ref="BL158:BL161"/>
    <mergeCell ref="BC158:BC161"/>
    <mergeCell ref="BD158:BD161"/>
    <mergeCell ref="BE158:BE161"/>
    <mergeCell ref="BF158:BF161"/>
    <mergeCell ref="BG158:BG161"/>
    <mergeCell ref="BH158:BH161"/>
    <mergeCell ref="AX158:AX161"/>
    <mergeCell ref="AY158:AY161"/>
    <mergeCell ref="AZ158:AZ161"/>
    <mergeCell ref="BB158:BB161"/>
    <mergeCell ref="BA158:BA161"/>
    <mergeCell ref="K158:K161"/>
    <mergeCell ref="AA158:AA161"/>
    <mergeCell ref="AB158:AB161"/>
    <mergeCell ref="AC158:AC161"/>
    <mergeCell ref="BW156:BW157"/>
    <mergeCell ref="BF156:BF157"/>
    <mergeCell ref="BG156:BG157"/>
    <mergeCell ref="AZ156:AZ157"/>
    <mergeCell ref="BA156:BA157"/>
    <mergeCell ref="BB156:BB157"/>
    <mergeCell ref="BC156:BC157"/>
    <mergeCell ref="BD156:BD157"/>
    <mergeCell ref="BE156:BE157"/>
    <mergeCell ref="AI156:AI157"/>
    <mergeCell ref="AJ156:AJ157"/>
    <mergeCell ref="AN156:AN157"/>
    <mergeCell ref="AW156:AW157"/>
    <mergeCell ref="AX156:AX157"/>
    <mergeCell ref="AY156:AY157"/>
    <mergeCell ref="AC156:AC157"/>
    <mergeCell ref="AD156:AD157"/>
    <mergeCell ref="AE156:AE157"/>
    <mergeCell ref="AF156:AF157"/>
    <mergeCell ref="AG156:AG157"/>
    <mergeCell ref="AH156:AH157"/>
    <mergeCell ref="BU158:BU161"/>
    <mergeCell ref="BV158:BV161"/>
    <mergeCell ref="BT158:BT161"/>
    <mergeCell ref="AW158:AW161"/>
    <mergeCell ref="AK158:AK161"/>
    <mergeCell ref="AL158:AL161"/>
    <mergeCell ref="C156:C157"/>
    <mergeCell ref="F156:F157"/>
    <mergeCell ref="K156:K157"/>
    <mergeCell ref="AA156:AA157"/>
    <mergeCell ref="AB156:AB157"/>
    <mergeCell ref="BM153:BM155"/>
    <mergeCell ref="BG153:BG155"/>
    <mergeCell ref="BH153:BH155"/>
    <mergeCell ref="BI153:BI155"/>
    <mergeCell ref="BJ153:BJ155"/>
    <mergeCell ref="BK153:BK155"/>
    <mergeCell ref="BL153:BL155"/>
    <mergeCell ref="BA153:BA155"/>
    <mergeCell ref="BB153:BB155"/>
    <mergeCell ref="BC153:BC155"/>
    <mergeCell ref="BD153:BD155"/>
    <mergeCell ref="BE153:BE155"/>
    <mergeCell ref="BF153:BF155"/>
    <mergeCell ref="AP153:AP155"/>
    <mergeCell ref="AQ153:AQ155"/>
    <mergeCell ref="AW153:AW155"/>
    <mergeCell ref="AX153:AX155"/>
    <mergeCell ref="AY153:AY155"/>
    <mergeCell ref="AZ153:AZ155"/>
    <mergeCell ref="AJ153:AJ155"/>
    <mergeCell ref="AK153:AK155"/>
    <mergeCell ref="AL153:AL155"/>
    <mergeCell ref="AM153:AM155"/>
    <mergeCell ref="AN153:AN155"/>
    <mergeCell ref="AO153:AO155"/>
    <mergeCell ref="AD153:AD155"/>
    <mergeCell ref="AE153:AE155"/>
    <mergeCell ref="AF153:AF155"/>
    <mergeCell ref="AG153:AG155"/>
    <mergeCell ref="AH153:AH155"/>
    <mergeCell ref="AI153:AI155"/>
    <mergeCell ref="CG149:CG152"/>
    <mergeCell ref="CH149:CH152"/>
    <mergeCell ref="CI149:CI152"/>
    <mergeCell ref="CJ149:CJ152"/>
    <mergeCell ref="C153:C155"/>
    <mergeCell ref="F153:F155"/>
    <mergeCell ref="K153:K155"/>
    <mergeCell ref="AA153:AA155"/>
    <mergeCell ref="AB153:AB155"/>
    <mergeCell ref="AC153:AC155"/>
    <mergeCell ref="CA149:CA152"/>
    <mergeCell ref="CB149:CB152"/>
    <mergeCell ref="CC149:CC152"/>
    <mergeCell ref="CD149:CD152"/>
    <mergeCell ref="CE149:CE152"/>
    <mergeCell ref="CF149:CF152"/>
    <mergeCell ref="BN149:BN152"/>
    <mergeCell ref="BT149:BT152"/>
    <mergeCell ref="BU149:BU152"/>
    <mergeCell ref="BV149:BV152"/>
    <mergeCell ref="BW149:BW152"/>
    <mergeCell ref="BX149:BX152"/>
    <mergeCell ref="BH149:BH152"/>
    <mergeCell ref="BI149:BI152"/>
    <mergeCell ref="BJ149:BJ152"/>
    <mergeCell ref="BK149:BK152"/>
    <mergeCell ref="BL149:BL152"/>
    <mergeCell ref="BM149:BM152"/>
    <mergeCell ref="AZ149:AZ152"/>
    <mergeCell ref="BA149:BA152"/>
    <mergeCell ref="BD149:BD152"/>
    <mergeCell ref="BE149:BE152"/>
    <mergeCell ref="BF149:BF152"/>
    <mergeCell ref="BG149:BG152"/>
    <mergeCell ref="AO149:AO152"/>
    <mergeCell ref="AP149:AP152"/>
    <mergeCell ref="AQ149:AQ152"/>
    <mergeCell ref="AW149:AW152"/>
    <mergeCell ref="AX149:AX152"/>
    <mergeCell ref="AY149:AY152"/>
    <mergeCell ref="AI149:AI152"/>
    <mergeCell ref="AJ149:AJ152"/>
    <mergeCell ref="AK149:AK152"/>
    <mergeCell ref="AL149:AL152"/>
    <mergeCell ref="AM149:AM152"/>
    <mergeCell ref="AN149:AN152"/>
    <mergeCell ref="CJ146:CJ148"/>
    <mergeCell ref="C149:C152"/>
    <mergeCell ref="K149:K152"/>
    <mergeCell ref="AA149:AA152"/>
    <mergeCell ref="AB149:AB152"/>
    <mergeCell ref="AC149:AC152"/>
    <mergeCell ref="AD149:AD152"/>
    <mergeCell ref="AE149:AE152"/>
    <mergeCell ref="AG149:AG152"/>
    <mergeCell ref="AH149:AH152"/>
    <mergeCell ref="CD146:CD148"/>
    <mergeCell ref="CE146:CE148"/>
    <mergeCell ref="CF146:CF148"/>
    <mergeCell ref="CG146:CG148"/>
    <mergeCell ref="CH146:CH148"/>
    <mergeCell ref="CI146:CI148"/>
    <mergeCell ref="BV146:BV148"/>
    <mergeCell ref="BW146:BW148"/>
    <mergeCell ref="BX146:BX148"/>
    <mergeCell ref="CA146:CA148"/>
    <mergeCell ref="CB146:CB148"/>
    <mergeCell ref="CC146:CC148"/>
    <mergeCell ref="BK146:BK148"/>
    <mergeCell ref="BL146:BL148"/>
    <mergeCell ref="BM146:BM148"/>
    <mergeCell ref="BN146:BN148"/>
    <mergeCell ref="BT146:BT148"/>
    <mergeCell ref="BU146:BU148"/>
    <mergeCell ref="BE146:BE148"/>
    <mergeCell ref="BF146:BF148"/>
    <mergeCell ref="BG146:BG148"/>
    <mergeCell ref="BH146:BH148"/>
    <mergeCell ref="BI146:BI148"/>
    <mergeCell ref="BJ146:BJ148"/>
    <mergeCell ref="AW146:AW148"/>
    <mergeCell ref="AX146:AX148"/>
    <mergeCell ref="AY146:AY148"/>
    <mergeCell ref="AZ146:AZ148"/>
    <mergeCell ref="BA146:BA148"/>
    <mergeCell ref="BD146:BD148"/>
    <mergeCell ref="AL146:AL148"/>
    <mergeCell ref="AM146:AM148"/>
    <mergeCell ref="AN146:AN148"/>
    <mergeCell ref="AO146:AO148"/>
    <mergeCell ref="AP146:AP148"/>
    <mergeCell ref="AQ146:AQ148"/>
    <mergeCell ref="AE146:AE148"/>
    <mergeCell ref="AG146:AG148"/>
    <mergeCell ref="AH146:AH148"/>
    <mergeCell ref="AI146:AI148"/>
    <mergeCell ref="AJ146:AJ148"/>
    <mergeCell ref="AK146:AK148"/>
    <mergeCell ref="C146:C148"/>
    <mergeCell ref="K146:K148"/>
    <mergeCell ref="AA146:AA148"/>
    <mergeCell ref="AB146:AB148"/>
    <mergeCell ref="AC146:AC148"/>
    <mergeCell ref="AD146:AD148"/>
    <mergeCell ref="CE143:CE145"/>
    <mergeCell ref="CF143:CF145"/>
    <mergeCell ref="CG143:CG145"/>
    <mergeCell ref="CH143:CH145"/>
    <mergeCell ref="CI143:CI145"/>
    <mergeCell ref="CJ143:CJ145"/>
    <mergeCell ref="BW143:BW145"/>
    <mergeCell ref="BX143:BX145"/>
    <mergeCell ref="CA143:CA145"/>
    <mergeCell ref="CB143:CB145"/>
    <mergeCell ref="CC143:CC145"/>
    <mergeCell ref="CD143:CD145"/>
    <mergeCell ref="BL143:BL145"/>
    <mergeCell ref="BM143:BM145"/>
    <mergeCell ref="BN143:BN145"/>
    <mergeCell ref="BT143:BT145"/>
    <mergeCell ref="BU143:BU145"/>
    <mergeCell ref="BV143:BV145"/>
    <mergeCell ref="BF143:BF145"/>
    <mergeCell ref="BG143:BG145"/>
    <mergeCell ref="BH143:BH145"/>
    <mergeCell ref="BI143:BI145"/>
    <mergeCell ref="BJ143:BJ145"/>
    <mergeCell ref="BK143:BK145"/>
    <mergeCell ref="AX143:AX145"/>
    <mergeCell ref="AY143:AY145"/>
    <mergeCell ref="AZ143:AZ145"/>
    <mergeCell ref="BA143:BA145"/>
    <mergeCell ref="BD143:BD145"/>
    <mergeCell ref="BE143:BE145"/>
    <mergeCell ref="AM143:AM145"/>
    <mergeCell ref="AN143:AN145"/>
    <mergeCell ref="AO143:AO145"/>
    <mergeCell ref="AP143:AP145"/>
    <mergeCell ref="AQ143:AQ145"/>
    <mergeCell ref="AW143:AW145"/>
    <mergeCell ref="AG143:AG145"/>
    <mergeCell ref="AH143:AH145"/>
    <mergeCell ref="AI143:AI145"/>
    <mergeCell ref="AJ143:AJ145"/>
    <mergeCell ref="AK143:AK145"/>
    <mergeCell ref="AL143:AL145"/>
    <mergeCell ref="CI139:CI142"/>
    <mergeCell ref="BI139:BI142"/>
    <mergeCell ref="AW139:AW142"/>
    <mergeCell ref="AX139:AX142"/>
    <mergeCell ref="AY139:AY142"/>
    <mergeCell ref="AZ139:AZ142"/>
    <mergeCell ref="BA139:BA142"/>
    <mergeCell ref="BC139:BC142"/>
    <mergeCell ref="AL139:AL142"/>
    <mergeCell ref="AM139:AM142"/>
    <mergeCell ref="AN139:AN142"/>
    <mergeCell ref="AO139:AO142"/>
    <mergeCell ref="AP139:AP142"/>
    <mergeCell ref="AQ139:AQ142"/>
    <mergeCell ref="CJ139:CJ142"/>
    <mergeCell ref="C143:C145"/>
    <mergeCell ref="F143:F145"/>
    <mergeCell ref="K143:K145"/>
    <mergeCell ref="AA143:AA145"/>
    <mergeCell ref="AB143:AB145"/>
    <mergeCell ref="AC143:AC145"/>
    <mergeCell ref="AD143:AD145"/>
    <mergeCell ref="AE143:AE145"/>
    <mergeCell ref="CC139:CC142"/>
    <mergeCell ref="CD139:CD142"/>
    <mergeCell ref="CE139:CE142"/>
    <mergeCell ref="CF139:CF142"/>
    <mergeCell ref="CG139:CG142"/>
    <mergeCell ref="CH139:CH142"/>
    <mergeCell ref="BU139:BU142"/>
    <mergeCell ref="BV139:BV142"/>
    <mergeCell ref="BW139:BW142"/>
    <mergeCell ref="BX139:BX142"/>
    <mergeCell ref="CA139:CA142"/>
    <mergeCell ref="CB139:CB142"/>
    <mergeCell ref="BJ139:BJ142"/>
    <mergeCell ref="BK139:BK142"/>
    <mergeCell ref="BL139:BL142"/>
    <mergeCell ref="BM139:BM142"/>
    <mergeCell ref="BN139:BN142"/>
    <mergeCell ref="BT139:BT142"/>
    <mergeCell ref="BD139:BD142"/>
    <mergeCell ref="BE139:BE142"/>
    <mergeCell ref="BF139:BF142"/>
    <mergeCell ref="BG139:BG142"/>
    <mergeCell ref="BH139:BH142"/>
    <mergeCell ref="AE139:AE142"/>
    <mergeCell ref="AG139:AG142"/>
    <mergeCell ref="AH139:AH142"/>
    <mergeCell ref="AI139:AI142"/>
    <mergeCell ref="AJ139:AJ142"/>
    <mergeCell ref="AK139:AK142"/>
    <mergeCell ref="CH136:CH138"/>
    <mergeCell ref="CI136:CI138"/>
    <mergeCell ref="CJ136:CJ138"/>
    <mergeCell ref="C139:C142"/>
    <mergeCell ref="F139:F142"/>
    <mergeCell ref="K139:K142"/>
    <mergeCell ref="AA139:AA142"/>
    <mergeCell ref="AB139:AB142"/>
    <mergeCell ref="AC139:AC142"/>
    <mergeCell ref="AD139:AD142"/>
    <mergeCell ref="CB136:CB138"/>
    <mergeCell ref="CC136:CC138"/>
    <mergeCell ref="CD136:CD138"/>
    <mergeCell ref="CE136:CE138"/>
    <mergeCell ref="CF136:CF138"/>
    <mergeCell ref="CG136:CG138"/>
    <mergeCell ref="BT136:BT138"/>
    <mergeCell ref="BU136:BU138"/>
    <mergeCell ref="BV136:BV138"/>
    <mergeCell ref="BW136:BW138"/>
    <mergeCell ref="BX136:BX138"/>
    <mergeCell ref="CA136:CA138"/>
    <mergeCell ref="BI136:BI138"/>
    <mergeCell ref="BJ136:BJ138"/>
    <mergeCell ref="BK136:BK138"/>
    <mergeCell ref="BL136:BL138"/>
    <mergeCell ref="BM136:BM138"/>
    <mergeCell ref="BN136:BN138"/>
    <mergeCell ref="BA136:BA138"/>
    <mergeCell ref="BD136:BD138"/>
    <mergeCell ref="BE136:BE138"/>
    <mergeCell ref="BF136:BF138"/>
    <mergeCell ref="BG136:BG138"/>
    <mergeCell ref="BH136:BH138"/>
    <mergeCell ref="AP136:AP138"/>
    <mergeCell ref="AQ136:AQ138"/>
    <mergeCell ref="AW136:AW138"/>
    <mergeCell ref="AX136:AX138"/>
    <mergeCell ref="AY136:AY138"/>
    <mergeCell ref="AZ136:AZ138"/>
    <mergeCell ref="AJ136:AJ138"/>
    <mergeCell ref="AK136:AK138"/>
    <mergeCell ref="AL136:AL138"/>
    <mergeCell ref="AM136:AM138"/>
    <mergeCell ref="AN136:AN138"/>
    <mergeCell ref="AO136:AO138"/>
    <mergeCell ref="AC136:AC138"/>
    <mergeCell ref="AD136:AD138"/>
    <mergeCell ref="AE136:AE138"/>
    <mergeCell ref="AG136:AG138"/>
    <mergeCell ref="AH136:AH138"/>
    <mergeCell ref="AI136:AI138"/>
    <mergeCell ref="CF131:CF135"/>
    <mergeCell ref="CG131:CG135"/>
    <mergeCell ref="CH131:CH135"/>
    <mergeCell ref="CI131:CI135"/>
    <mergeCell ref="CJ131:CJ135"/>
    <mergeCell ref="C136:C138"/>
    <mergeCell ref="F136:F138"/>
    <mergeCell ref="K136:K138"/>
    <mergeCell ref="AA136:AA138"/>
    <mergeCell ref="AB136:AB138"/>
    <mergeCell ref="BX131:BX135"/>
    <mergeCell ref="CA131:CA135"/>
    <mergeCell ref="CB131:CB135"/>
    <mergeCell ref="CC131:CC135"/>
    <mergeCell ref="CD131:CD135"/>
    <mergeCell ref="CE131:CE135"/>
    <mergeCell ref="BM131:BM135"/>
    <mergeCell ref="BN131:BN135"/>
    <mergeCell ref="BT131:BT135"/>
    <mergeCell ref="BU131:BU135"/>
    <mergeCell ref="BV131:BV135"/>
    <mergeCell ref="BW131:BW135"/>
    <mergeCell ref="BG131:BG135"/>
    <mergeCell ref="BH131:BH135"/>
    <mergeCell ref="BI131:BI135"/>
    <mergeCell ref="BJ131:BJ135"/>
    <mergeCell ref="BK131:BK135"/>
    <mergeCell ref="BL131:BL135"/>
    <mergeCell ref="AY131:AY135"/>
    <mergeCell ref="AZ131:AZ135"/>
    <mergeCell ref="BA131:BA135"/>
    <mergeCell ref="BD131:BD135"/>
    <mergeCell ref="BE131:BE135"/>
    <mergeCell ref="BF131:BF135"/>
    <mergeCell ref="AN131:AN135"/>
    <mergeCell ref="AO131:AO135"/>
    <mergeCell ref="AP131:AP135"/>
    <mergeCell ref="AQ131:AQ135"/>
    <mergeCell ref="AW131:AW135"/>
    <mergeCell ref="AX131:AX135"/>
    <mergeCell ref="AH131:AH135"/>
    <mergeCell ref="AI131:AI135"/>
    <mergeCell ref="AJ131:AJ135"/>
    <mergeCell ref="AK131:AK135"/>
    <mergeCell ref="AL131:AL135"/>
    <mergeCell ref="AM131:AM135"/>
    <mergeCell ref="CJ128:CJ130"/>
    <mergeCell ref="C131:C135"/>
    <mergeCell ref="F131:F135"/>
    <mergeCell ref="K131:K135"/>
    <mergeCell ref="AA131:AA135"/>
    <mergeCell ref="AB131:AB135"/>
    <mergeCell ref="AC131:AC135"/>
    <mergeCell ref="AD131:AD135"/>
    <mergeCell ref="AE131:AE135"/>
    <mergeCell ref="AG131:AG135"/>
    <mergeCell ref="CD128:CD130"/>
    <mergeCell ref="CE128:CE130"/>
    <mergeCell ref="CF128:CF130"/>
    <mergeCell ref="CG128:CG130"/>
    <mergeCell ref="CH128:CH130"/>
    <mergeCell ref="CI128:CI130"/>
    <mergeCell ref="BV128:BV130"/>
    <mergeCell ref="BW128:BW130"/>
    <mergeCell ref="BX128:BX130"/>
    <mergeCell ref="CA128:CA130"/>
    <mergeCell ref="CB128:CB130"/>
    <mergeCell ref="CC128:CC130"/>
    <mergeCell ref="BK128:BK130"/>
    <mergeCell ref="BL128:BL130"/>
    <mergeCell ref="BM128:BM130"/>
    <mergeCell ref="BN128:BN130"/>
    <mergeCell ref="BT128:BT130"/>
    <mergeCell ref="BU128:BU130"/>
    <mergeCell ref="BE128:BE130"/>
    <mergeCell ref="BF128:BF130"/>
    <mergeCell ref="BG128:BG130"/>
    <mergeCell ref="BH128:BH130"/>
    <mergeCell ref="BI128:BI130"/>
    <mergeCell ref="BJ128:BJ130"/>
    <mergeCell ref="AX128:AX130"/>
    <mergeCell ref="AY128:AY130"/>
    <mergeCell ref="AZ128:AZ130"/>
    <mergeCell ref="BA128:BA130"/>
    <mergeCell ref="BC128:BC130"/>
    <mergeCell ref="BD128:BD130"/>
    <mergeCell ref="AM128:AM130"/>
    <mergeCell ref="AN128:AN130"/>
    <mergeCell ref="AO128:AO130"/>
    <mergeCell ref="AP128:AP130"/>
    <mergeCell ref="AQ128:AQ130"/>
    <mergeCell ref="AW128:AW130"/>
    <mergeCell ref="AG128:AG130"/>
    <mergeCell ref="AH128:AH130"/>
    <mergeCell ref="AI128:AI130"/>
    <mergeCell ref="AJ128:AJ130"/>
    <mergeCell ref="AK128:AK130"/>
    <mergeCell ref="AL128:AL130"/>
    <mergeCell ref="CI126:CI127"/>
    <mergeCell ref="CJ126:CJ127"/>
    <mergeCell ref="C128:C130"/>
    <mergeCell ref="F128:F130"/>
    <mergeCell ref="K128:K130"/>
    <mergeCell ref="AA128:AA130"/>
    <mergeCell ref="AB128:AB130"/>
    <mergeCell ref="AC128:AC130"/>
    <mergeCell ref="AD128:AD130"/>
    <mergeCell ref="AE128:AE130"/>
    <mergeCell ref="CC126:CC127"/>
    <mergeCell ref="CD126:CD127"/>
    <mergeCell ref="CE126:CE127"/>
    <mergeCell ref="CF126:CF127"/>
    <mergeCell ref="CG126:CG127"/>
    <mergeCell ref="CH126:CH127"/>
    <mergeCell ref="BU126:BU127"/>
    <mergeCell ref="BV126:BV127"/>
    <mergeCell ref="BW126:BW127"/>
    <mergeCell ref="BX126:BX127"/>
    <mergeCell ref="CA126:CA127"/>
    <mergeCell ref="CB126:CB127"/>
    <mergeCell ref="BJ126:BJ127"/>
    <mergeCell ref="BK126:BK127"/>
    <mergeCell ref="BL126:BL127"/>
    <mergeCell ref="BM126:BM127"/>
    <mergeCell ref="BN126:BN127"/>
    <mergeCell ref="BT126:BT127"/>
    <mergeCell ref="BD126:BD127"/>
    <mergeCell ref="BE126:BE127"/>
    <mergeCell ref="BF126:BF127"/>
    <mergeCell ref="BG126:BG127"/>
    <mergeCell ref="BH126:BH127"/>
    <mergeCell ref="BI126:BI127"/>
    <mergeCell ref="AW126:AW127"/>
    <mergeCell ref="AX126:AX127"/>
    <mergeCell ref="AY126:AY127"/>
    <mergeCell ref="AZ126:AZ127"/>
    <mergeCell ref="BA126:BA127"/>
    <mergeCell ref="BC126:BC127"/>
    <mergeCell ref="AL126:AL127"/>
    <mergeCell ref="AM126:AM127"/>
    <mergeCell ref="AN126:AN127"/>
    <mergeCell ref="AO126:AO127"/>
    <mergeCell ref="AP126:AP127"/>
    <mergeCell ref="AQ126:AQ127"/>
    <mergeCell ref="AE126:AE127"/>
    <mergeCell ref="AG126:AG127"/>
    <mergeCell ref="AH126:AH127"/>
    <mergeCell ref="AI126:AI127"/>
    <mergeCell ref="AJ126:AJ127"/>
    <mergeCell ref="AK126:AK127"/>
    <mergeCell ref="CJ123:CJ125"/>
    <mergeCell ref="C126:C127"/>
    <mergeCell ref="F126:F127"/>
    <mergeCell ref="K126:K127"/>
    <mergeCell ref="AA126:AA127"/>
    <mergeCell ref="AB126:AB127"/>
    <mergeCell ref="AC126:AC127"/>
    <mergeCell ref="AD126:AD127"/>
    <mergeCell ref="CB123:CB125"/>
    <mergeCell ref="CC123:CC125"/>
    <mergeCell ref="CD123:CD125"/>
    <mergeCell ref="CE123:CE125"/>
    <mergeCell ref="CF123:CF125"/>
    <mergeCell ref="CG123:CG125"/>
    <mergeCell ref="BT123:BT125"/>
    <mergeCell ref="BU123:BU125"/>
    <mergeCell ref="BV123:BV125"/>
    <mergeCell ref="BW123:BW125"/>
    <mergeCell ref="BX123:BX125"/>
    <mergeCell ref="CA123:CA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Q123:AQ125"/>
    <mergeCell ref="AW123:AW125"/>
    <mergeCell ref="AX123:AX125"/>
    <mergeCell ref="AY123:AY125"/>
    <mergeCell ref="AZ123:AZ125"/>
    <mergeCell ref="BA123:BA125"/>
    <mergeCell ref="AK123:AK125"/>
    <mergeCell ref="AL123:AL125"/>
    <mergeCell ref="AM123:AM125"/>
    <mergeCell ref="AN123:AN125"/>
    <mergeCell ref="AO123:AO125"/>
    <mergeCell ref="AP123:AP125"/>
    <mergeCell ref="AD123:AD125"/>
    <mergeCell ref="AE123:AE125"/>
    <mergeCell ref="AG123:AG125"/>
    <mergeCell ref="AH123:AH125"/>
    <mergeCell ref="AI123:AI125"/>
    <mergeCell ref="AJ123:AJ125"/>
    <mergeCell ref="CJ121:CJ122"/>
    <mergeCell ref="C123:C125"/>
    <mergeCell ref="F123:F125"/>
    <mergeCell ref="K123:K125"/>
    <mergeCell ref="AA123:AA125"/>
    <mergeCell ref="AB123:AB125"/>
    <mergeCell ref="AC123:AC125"/>
    <mergeCell ref="CA121:CA122"/>
    <mergeCell ref="CB121:CB122"/>
    <mergeCell ref="CC121:CC122"/>
    <mergeCell ref="CD121:CD122"/>
    <mergeCell ref="CE121:CE122"/>
    <mergeCell ref="CF121:CF122"/>
    <mergeCell ref="BU121:BU122"/>
    <mergeCell ref="BV121:BV122"/>
    <mergeCell ref="BW121:BW122"/>
    <mergeCell ref="BX121:BX122"/>
    <mergeCell ref="BY121:BY122"/>
    <mergeCell ref="BZ121:BZ122"/>
    <mergeCell ref="BJ121:BJ122"/>
    <mergeCell ref="BK121:BK122"/>
    <mergeCell ref="BL121:BL122"/>
    <mergeCell ref="BM121:BM122"/>
    <mergeCell ref="BN121:BN122"/>
    <mergeCell ref="BT121:BT122"/>
    <mergeCell ref="BD121:BD122"/>
    <mergeCell ref="BE121:BE122"/>
    <mergeCell ref="BF121:BF122"/>
    <mergeCell ref="BG121:BG122"/>
    <mergeCell ref="BH121:BH122"/>
    <mergeCell ref="BI121:BI122"/>
    <mergeCell ref="AW121:AW122"/>
    <mergeCell ref="AX121:AX122"/>
    <mergeCell ref="AY121:AY122"/>
    <mergeCell ref="AZ121:AZ122"/>
    <mergeCell ref="BA121:BA122"/>
    <mergeCell ref="BC121:BC122"/>
    <mergeCell ref="AK121:AK122"/>
    <mergeCell ref="AL121:AL122"/>
    <mergeCell ref="AM121:AM122"/>
    <mergeCell ref="AN121:AN122"/>
    <mergeCell ref="AO121:AO122"/>
    <mergeCell ref="AP121:AP122"/>
    <mergeCell ref="AD121:AD122"/>
    <mergeCell ref="AE121:AE122"/>
    <mergeCell ref="AG121:AG122"/>
    <mergeCell ref="AH121:AH122"/>
    <mergeCell ref="AI121:AI122"/>
    <mergeCell ref="AJ121:AJ122"/>
    <mergeCell ref="CJ119:CJ120"/>
    <mergeCell ref="C121:C122"/>
    <mergeCell ref="F121:F122"/>
    <mergeCell ref="K121:K122"/>
    <mergeCell ref="AA121:AA122"/>
    <mergeCell ref="AB121:AB122"/>
    <mergeCell ref="AC121:AC122"/>
    <mergeCell ref="CA119:CA120"/>
    <mergeCell ref="CB119:CB120"/>
    <mergeCell ref="CC119:CC120"/>
    <mergeCell ref="CD119:CD120"/>
    <mergeCell ref="CE119:CE120"/>
    <mergeCell ref="CF119:CF120"/>
    <mergeCell ref="BU119:BU120"/>
    <mergeCell ref="BV119:BV120"/>
    <mergeCell ref="BW119:BW120"/>
    <mergeCell ref="BX119:BX120"/>
    <mergeCell ref="BY119:BY120"/>
    <mergeCell ref="BZ119:BZ120"/>
    <mergeCell ref="BJ119:BJ120"/>
    <mergeCell ref="BK119:BK120"/>
    <mergeCell ref="BL119:BL120"/>
    <mergeCell ref="BM119:BM120"/>
    <mergeCell ref="BN119:BN120"/>
    <mergeCell ref="BT119:BT120"/>
    <mergeCell ref="BD119:BD120"/>
    <mergeCell ref="BE119:BE120"/>
    <mergeCell ref="BF119:BF120"/>
    <mergeCell ref="BG119:BG120"/>
    <mergeCell ref="BH119:BH120"/>
    <mergeCell ref="BI119:BI120"/>
    <mergeCell ref="AW119:AW120"/>
    <mergeCell ref="AX119:AX120"/>
    <mergeCell ref="AY119:AY120"/>
    <mergeCell ref="AZ119:AZ120"/>
    <mergeCell ref="BA119:BA120"/>
    <mergeCell ref="BC119:BC120"/>
    <mergeCell ref="AK119:AK120"/>
    <mergeCell ref="AL119:AL120"/>
    <mergeCell ref="AM119:AM120"/>
    <mergeCell ref="AN119:AN120"/>
    <mergeCell ref="AO119:AO120"/>
    <mergeCell ref="AP119:AP120"/>
    <mergeCell ref="AD119:AD120"/>
    <mergeCell ref="AE119:AE120"/>
    <mergeCell ref="AG119:AG120"/>
    <mergeCell ref="AH119:AH120"/>
    <mergeCell ref="AI119:AI120"/>
    <mergeCell ref="AJ119:AJ120"/>
    <mergeCell ref="CJ116:CJ118"/>
    <mergeCell ref="C119:C120"/>
    <mergeCell ref="F119:F120"/>
    <mergeCell ref="K119:K120"/>
    <mergeCell ref="AA119:AA120"/>
    <mergeCell ref="AB119:AB120"/>
    <mergeCell ref="AC119:AC120"/>
    <mergeCell ref="CA116:CA118"/>
    <mergeCell ref="CB116:CB118"/>
    <mergeCell ref="CC116:CC118"/>
    <mergeCell ref="CD116:CD118"/>
    <mergeCell ref="CE116:CE118"/>
    <mergeCell ref="CF116:CF118"/>
    <mergeCell ref="BU116:BU118"/>
    <mergeCell ref="BV116:BV118"/>
    <mergeCell ref="BW116:BW118"/>
    <mergeCell ref="BX116:BX118"/>
    <mergeCell ref="BY116:BY118"/>
    <mergeCell ref="BZ116:BZ118"/>
    <mergeCell ref="BJ116:BJ118"/>
    <mergeCell ref="BK116:BK118"/>
    <mergeCell ref="BL116:BL118"/>
    <mergeCell ref="BM116:BM118"/>
    <mergeCell ref="BN116:BN118"/>
    <mergeCell ref="BT116:BT118"/>
    <mergeCell ref="BD116:BD118"/>
    <mergeCell ref="BE116:BE118"/>
    <mergeCell ref="BF116:BF118"/>
    <mergeCell ref="BG116:BG118"/>
    <mergeCell ref="BH116:BH118"/>
    <mergeCell ref="BI116:BI118"/>
    <mergeCell ref="AW116:AW118"/>
    <mergeCell ref="AX116:AX118"/>
    <mergeCell ref="AY116:AY118"/>
    <mergeCell ref="AZ116:AZ118"/>
    <mergeCell ref="BA116:BA118"/>
    <mergeCell ref="BC116:BC118"/>
    <mergeCell ref="AK116:AK118"/>
    <mergeCell ref="AL116:AL118"/>
    <mergeCell ref="AM116:AM118"/>
    <mergeCell ref="AN116:AN118"/>
    <mergeCell ref="AO116:AO118"/>
    <mergeCell ref="AP116:AP118"/>
    <mergeCell ref="AD116:AD118"/>
    <mergeCell ref="AE116:AE118"/>
    <mergeCell ref="AG116:AG118"/>
    <mergeCell ref="AH116:AH118"/>
    <mergeCell ref="AI116:AI118"/>
    <mergeCell ref="AJ116:AJ118"/>
    <mergeCell ref="CJ114:CJ115"/>
    <mergeCell ref="C116:C118"/>
    <mergeCell ref="F116:F118"/>
    <mergeCell ref="K116:K118"/>
    <mergeCell ref="AA116:AA118"/>
    <mergeCell ref="AB116:AB118"/>
    <mergeCell ref="AC116:AC118"/>
    <mergeCell ref="CA114:CA115"/>
    <mergeCell ref="CB114:CB115"/>
    <mergeCell ref="CC114:CC115"/>
    <mergeCell ref="CD114:CD115"/>
    <mergeCell ref="CE114:CE115"/>
    <mergeCell ref="CF114:CF115"/>
    <mergeCell ref="BU114:BU115"/>
    <mergeCell ref="BV114:BV115"/>
    <mergeCell ref="BW114:BW115"/>
    <mergeCell ref="BX114:BX115"/>
    <mergeCell ref="BY114:BY115"/>
    <mergeCell ref="BZ114:BZ115"/>
    <mergeCell ref="BJ114:BJ115"/>
    <mergeCell ref="BK114:BK115"/>
    <mergeCell ref="BL114:BL115"/>
    <mergeCell ref="BM114:BM115"/>
    <mergeCell ref="BN114:BN115"/>
    <mergeCell ref="BT114:BT115"/>
    <mergeCell ref="BD114:BD115"/>
    <mergeCell ref="BE114:BE115"/>
    <mergeCell ref="BF114:BF115"/>
    <mergeCell ref="BG114:BG115"/>
    <mergeCell ref="BH114:BH115"/>
    <mergeCell ref="BI114:BI115"/>
    <mergeCell ref="AW114:AW115"/>
    <mergeCell ref="AX114:AX115"/>
    <mergeCell ref="AY114:AY115"/>
    <mergeCell ref="AZ114:AZ115"/>
    <mergeCell ref="BA114:BA115"/>
    <mergeCell ref="BC114:BC115"/>
    <mergeCell ref="AK114:AK115"/>
    <mergeCell ref="AL114:AL115"/>
    <mergeCell ref="AM114:AM115"/>
    <mergeCell ref="AN114:AN115"/>
    <mergeCell ref="AO114:AO115"/>
    <mergeCell ref="AP114:AP115"/>
    <mergeCell ref="AD114:AD115"/>
    <mergeCell ref="AE114:AE115"/>
    <mergeCell ref="AG114:AG115"/>
    <mergeCell ref="AH114:AH115"/>
    <mergeCell ref="AI114:AI115"/>
    <mergeCell ref="AJ114:AJ115"/>
    <mergeCell ref="C114:C115"/>
    <mergeCell ref="F114:F115"/>
    <mergeCell ref="K114:K115"/>
    <mergeCell ref="AA114:AA115"/>
    <mergeCell ref="AB114:AB115"/>
    <mergeCell ref="AC114:AC115"/>
    <mergeCell ref="CE111:CE113"/>
    <mergeCell ref="CF111:CF113"/>
    <mergeCell ref="CG111:CG113"/>
    <mergeCell ref="CH111:CH113"/>
    <mergeCell ref="CI111:CI113"/>
    <mergeCell ref="CJ111:CJ113"/>
    <mergeCell ref="BW111:BW113"/>
    <mergeCell ref="BX111:BX113"/>
    <mergeCell ref="CA111:CA113"/>
    <mergeCell ref="CB111:CB113"/>
    <mergeCell ref="CC111:CC113"/>
    <mergeCell ref="CD111:CD113"/>
    <mergeCell ref="BL111:BL113"/>
    <mergeCell ref="BM111:BM113"/>
    <mergeCell ref="BN111:BN113"/>
    <mergeCell ref="BT111:BT113"/>
    <mergeCell ref="BU111:BU113"/>
    <mergeCell ref="BV111:BV113"/>
    <mergeCell ref="BF111:BF113"/>
    <mergeCell ref="BG111:BG113"/>
    <mergeCell ref="BH111:BH113"/>
    <mergeCell ref="BI111:BI113"/>
    <mergeCell ref="BJ111:BJ113"/>
    <mergeCell ref="BK111:BK113"/>
    <mergeCell ref="AY111:AY113"/>
    <mergeCell ref="AZ111:AZ113"/>
    <mergeCell ref="BA111:BA113"/>
    <mergeCell ref="BC111:BC113"/>
    <mergeCell ref="BD111:BD113"/>
    <mergeCell ref="BE111:BE113"/>
    <mergeCell ref="AN111:AN113"/>
    <mergeCell ref="AO111:AO113"/>
    <mergeCell ref="AP111:AP113"/>
    <mergeCell ref="AQ111:AQ113"/>
    <mergeCell ref="AW111:AW113"/>
    <mergeCell ref="AX111:AX113"/>
    <mergeCell ref="AH111:AH113"/>
    <mergeCell ref="AI111:AI113"/>
    <mergeCell ref="AJ111:AJ113"/>
    <mergeCell ref="AK111:AK113"/>
    <mergeCell ref="AL111:AL113"/>
    <mergeCell ref="AM111:AM113"/>
    <mergeCell ref="CJ108:CJ110"/>
    <mergeCell ref="BJ108:BJ110"/>
    <mergeCell ref="AX108:AX110"/>
    <mergeCell ref="AY108:AY110"/>
    <mergeCell ref="AZ108:AZ110"/>
    <mergeCell ref="BA108:BA110"/>
    <mergeCell ref="BC108:BC110"/>
    <mergeCell ref="BD108:BD110"/>
    <mergeCell ref="AM108:AM110"/>
    <mergeCell ref="AN108:AN110"/>
    <mergeCell ref="AO108:AO110"/>
    <mergeCell ref="AP108:AP110"/>
    <mergeCell ref="AQ108:AQ110"/>
    <mergeCell ref="AW108:AW110"/>
    <mergeCell ref="C111:C113"/>
    <mergeCell ref="F111:F113"/>
    <mergeCell ref="K111:K113"/>
    <mergeCell ref="AA111:AA113"/>
    <mergeCell ref="AB111:AB113"/>
    <mergeCell ref="AC111:AC113"/>
    <mergeCell ref="AD111:AD113"/>
    <mergeCell ref="AE111:AE113"/>
    <mergeCell ref="AG111:AG113"/>
    <mergeCell ref="CD108:CD110"/>
    <mergeCell ref="CE108:CE110"/>
    <mergeCell ref="CF108:CF110"/>
    <mergeCell ref="CG108:CG110"/>
    <mergeCell ref="CH108:CH110"/>
    <mergeCell ref="CI108:CI110"/>
    <mergeCell ref="BV108:BV110"/>
    <mergeCell ref="BW108:BW110"/>
    <mergeCell ref="BX108:BX110"/>
    <mergeCell ref="CA108:CA110"/>
    <mergeCell ref="CB108:CB110"/>
    <mergeCell ref="CC108:CC110"/>
    <mergeCell ref="BK108:BK110"/>
    <mergeCell ref="BL108:BL110"/>
    <mergeCell ref="BM108:BM110"/>
    <mergeCell ref="BN108:BN110"/>
    <mergeCell ref="BT108:BT110"/>
    <mergeCell ref="BU108:BU110"/>
    <mergeCell ref="BE108:BE110"/>
    <mergeCell ref="BF108:BF110"/>
    <mergeCell ref="BG108:BG110"/>
    <mergeCell ref="BH108:BH110"/>
    <mergeCell ref="BI108:BI110"/>
    <mergeCell ref="AG108:AG110"/>
    <mergeCell ref="AH108:AH110"/>
    <mergeCell ref="AI108:AI110"/>
    <mergeCell ref="AJ108:AJ110"/>
    <mergeCell ref="AK108:AK110"/>
    <mergeCell ref="AL108:AL110"/>
    <mergeCell ref="CI104:CI107"/>
    <mergeCell ref="CJ104:CJ107"/>
    <mergeCell ref="C108:C110"/>
    <mergeCell ref="F108:F110"/>
    <mergeCell ref="K108:K110"/>
    <mergeCell ref="AA108:AA110"/>
    <mergeCell ref="AB108:AB110"/>
    <mergeCell ref="AC108:AC110"/>
    <mergeCell ref="AD108:AD110"/>
    <mergeCell ref="AE108:AE110"/>
    <mergeCell ref="CC104:CC107"/>
    <mergeCell ref="CD104:CD107"/>
    <mergeCell ref="CE104:CE107"/>
    <mergeCell ref="CF104:CF107"/>
    <mergeCell ref="CG104:CG107"/>
    <mergeCell ref="CH104:CH107"/>
    <mergeCell ref="BU104:BU107"/>
    <mergeCell ref="BV104:BV107"/>
    <mergeCell ref="BW104:BW107"/>
    <mergeCell ref="BX104:BX107"/>
    <mergeCell ref="CA104:CA107"/>
    <mergeCell ref="CB104:CB107"/>
    <mergeCell ref="BJ104:BJ107"/>
    <mergeCell ref="BK104:BK107"/>
    <mergeCell ref="BL104:BL107"/>
    <mergeCell ref="BM104:BM107"/>
    <mergeCell ref="BN104:BN107"/>
    <mergeCell ref="BT104:BT107"/>
    <mergeCell ref="BD104:BD107"/>
    <mergeCell ref="BE104:BE107"/>
    <mergeCell ref="BF104:BF107"/>
    <mergeCell ref="BG104:BG107"/>
    <mergeCell ref="BH104:BH107"/>
    <mergeCell ref="BI104:BI107"/>
    <mergeCell ref="AW104:AW106"/>
    <mergeCell ref="AX104:AX107"/>
    <mergeCell ref="AY104:AY107"/>
    <mergeCell ref="AZ104:AZ107"/>
    <mergeCell ref="BA104:BA107"/>
    <mergeCell ref="BC104:BC107"/>
    <mergeCell ref="AL104:AL107"/>
    <mergeCell ref="AM104:AM107"/>
    <mergeCell ref="AN104:AN107"/>
    <mergeCell ref="AO104:AO107"/>
    <mergeCell ref="AP104:AP107"/>
    <mergeCell ref="AQ104:AQ107"/>
    <mergeCell ref="AE104:AE107"/>
    <mergeCell ref="AG104:AG107"/>
    <mergeCell ref="AH104:AH107"/>
    <mergeCell ref="AI104:AI107"/>
    <mergeCell ref="AJ104:AJ107"/>
    <mergeCell ref="AK104:AK107"/>
    <mergeCell ref="CH102:CH103"/>
    <mergeCell ref="CI102:CI103"/>
    <mergeCell ref="CJ102:CJ103"/>
    <mergeCell ref="C104:C107"/>
    <mergeCell ref="F104:F107"/>
    <mergeCell ref="K104:K107"/>
    <mergeCell ref="AA104:AA106"/>
    <mergeCell ref="AB104:AB107"/>
    <mergeCell ref="AC104:AC107"/>
    <mergeCell ref="AD104:AD107"/>
    <mergeCell ref="CB102:CB103"/>
    <mergeCell ref="CC102:CC103"/>
    <mergeCell ref="CD102:CD103"/>
    <mergeCell ref="CE102:CE103"/>
    <mergeCell ref="CF102:CF103"/>
    <mergeCell ref="CG102:CG103"/>
    <mergeCell ref="BT102:BT103"/>
    <mergeCell ref="BU102:BU103"/>
    <mergeCell ref="BV102:BV103"/>
    <mergeCell ref="BW102:BW103"/>
    <mergeCell ref="BX102:BX103"/>
    <mergeCell ref="CA102:CA103"/>
    <mergeCell ref="BI102:BI103"/>
    <mergeCell ref="BJ102:BJ103"/>
    <mergeCell ref="BK102:BK103"/>
    <mergeCell ref="BL102:BL103"/>
    <mergeCell ref="BM102:BM103"/>
    <mergeCell ref="BN102:BN103"/>
    <mergeCell ref="BC102:BC103"/>
    <mergeCell ref="BD102:BD103"/>
    <mergeCell ref="BE102:BE103"/>
    <mergeCell ref="BF102:BF103"/>
    <mergeCell ref="BG102:BG103"/>
    <mergeCell ref="BH102:BH103"/>
    <mergeCell ref="AQ102:AQ103"/>
    <mergeCell ref="AW102:AW103"/>
    <mergeCell ref="AX102:AX103"/>
    <mergeCell ref="AY102:AY103"/>
    <mergeCell ref="AZ102:AZ103"/>
    <mergeCell ref="BA102:BA103"/>
    <mergeCell ref="AK102:AK103"/>
    <mergeCell ref="AL102:AL103"/>
    <mergeCell ref="AM102:AM103"/>
    <mergeCell ref="AN102:AN103"/>
    <mergeCell ref="AO102:AO103"/>
    <mergeCell ref="AP102:AP103"/>
    <mergeCell ref="AD102:AD103"/>
    <mergeCell ref="AE102:AE103"/>
    <mergeCell ref="AG102:AG103"/>
    <mergeCell ref="AH102:AH103"/>
    <mergeCell ref="AI102:AI103"/>
    <mergeCell ref="AJ102:AJ103"/>
    <mergeCell ref="CG96:CG101"/>
    <mergeCell ref="CH96:CH101"/>
    <mergeCell ref="CI96:CI101"/>
    <mergeCell ref="CJ96:CJ101"/>
    <mergeCell ref="C102:C103"/>
    <mergeCell ref="F102:F103"/>
    <mergeCell ref="K102:K103"/>
    <mergeCell ref="AA102:AA103"/>
    <mergeCell ref="AB102:AB103"/>
    <mergeCell ref="AC102:AC103"/>
    <mergeCell ref="CA96:CA101"/>
    <mergeCell ref="CB96:CB101"/>
    <mergeCell ref="CC96:CC101"/>
    <mergeCell ref="CD96:CD101"/>
    <mergeCell ref="CE96:CE101"/>
    <mergeCell ref="CF96:CF101"/>
    <mergeCell ref="BN96:BN101"/>
    <mergeCell ref="BT96:BT101"/>
    <mergeCell ref="BU96:BU101"/>
    <mergeCell ref="BV96:BV101"/>
    <mergeCell ref="BW96:BW101"/>
    <mergeCell ref="BX96:BX101"/>
    <mergeCell ref="BH96:BH101"/>
    <mergeCell ref="BI96:BI101"/>
    <mergeCell ref="BJ96:BJ101"/>
    <mergeCell ref="BK96:BK101"/>
    <mergeCell ref="BL96:BL101"/>
    <mergeCell ref="BM96:BM101"/>
    <mergeCell ref="BA96:BA101"/>
    <mergeCell ref="BC96:BC101"/>
    <mergeCell ref="BD96:BD101"/>
    <mergeCell ref="BE96:BE101"/>
    <mergeCell ref="BF96:BF101"/>
    <mergeCell ref="BG96:BG101"/>
    <mergeCell ref="AP96:AP101"/>
    <mergeCell ref="AQ96:AQ101"/>
    <mergeCell ref="AW96:AW101"/>
    <mergeCell ref="AX96:AX101"/>
    <mergeCell ref="AY96:AY101"/>
    <mergeCell ref="AZ96:AZ101"/>
    <mergeCell ref="AJ96:AJ101"/>
    <mergeCell ref="AK96:AK101"/>
    <mergeCell ref="AL96:AL101"/>
    <mergeCell ref="AM96:AM101"/>
    <mergeCell ref="AN96:AN101"/>
    <mergeCell ref="AO96:AO101"/>
    <mergeCell ref="AC96:AC101"/>
    <mergeCell ref="AD96:AD101"/>
    <mergeCell ref="AE96:AE101"/>
    <mergeCell ref="AG96:AG101"/>
    <mergeCell ref="AH96:AH101"/>
    <mergeCell ref="AI96:AI101"/>
    <mergeCell ref="CF94:CF95"/>
    <mergeCell ref="CG94:CG95"/>
    <mergeCell ref="CH94:CH95"/>
    <mergeCell ref="CI94:CI95"/>
    <mergeCell ref="CJ94:CJ95"/>
    <mergeCell ref="C96:C101"/>
    <mergeCell ref="F96:F101"/>
    <mergeCell ref="K96:K101"/>
    <mergeCell ref="AA96:AA101"/>
    <mergeCell ref="AB96:AB101"/>
    <mergeCell ref="BZ94:BZ95"/>
    <mergeCell ref="CA94:CA95"/>
    <mergeCell ref="CB94:CB95"/>
    <mergeCell ref="CC94:CC95"/>
    <mergeCell ref="CD94:CD95"/>
    <mergeCell ref="CE94:CE95"/>
    <mergeCell ref="BT94:BT95"/>
    <mergeCell ref="BU94:BU95"/>
    <mergeCell ref="BV94:BV95"/>
    <mergeCell ref="BW94:BW95"/>
    <mergeCell ref="BX94:BX95"/>
    <mergeCell ref="BY94:BY95"/>
    <mergeCell ref="BI94:BI95"/>
    <mergeCell ref="BJ94:BJ95"/>
    <mergeCell ref="BK94:BK95"/>
    <mergeCell ref="BL94:BL95"/>
    <mergeCell ref="BM94:BM95"/>
    <mergeCell ref="BP94:BP95"/>
    <mergeCell ref="BA94:BA95"/>
    <mergeCell ref="BD94:BD95"/>
    <mergeCell ref="BE94:BE95"/>
    <mergeCell ref="BF94:BF95"/>
    <mergeCell ref="BG94:BG95"/>
    <mergeCell ref="BH94:BH95"/>
    <mergeCell ref="AP94:AP95"/>
    <mergeCell ref="AS94:AS95"/>
    <mergeCell ref="AW94:AW95"/>
    <mergeCell ref="AX94:AX95"/>
    <mergeCell ref="AY94:AY95"/>
    <mergeCell ref="AZ94:AZ95"/>
    <mergeCell ref="AJ94:AJ95"/>
    <mergeCell ref="AK94:AK95"/>
    <mergeCell ref="AL94:AL95"/>
    <mergeCell ref="AM94:AM95"/>
    <mergeCell ref="AN94:AN95"/>
    <mergeCell ref="AO94:AO95"/>
    <mergeCell ref="AC94:AC95"/>
    <mergeCell ref="AD94:AD95"/>
    <mergeCell ref="AE94:AE95"/>
    <mergeCell ref="AG94:AG95"/>
    <mergeCell ref="AH94:AH95"/>
    <mergeCell ref="AI94:AI95"/>
    <mergeCell ref="I94:I95"/>
    <mergeCell ref="J94:J95"/>
    <mergeCell ref="K94:K95"/>
    <mergeCell ref="L94:L95"/>
    <mergeCell ref="AA94:AA95"/>
    <mergeCell ref="AB94:AB95"/>
    <mergeCell ref="C94:C95"/>
    <mergeCell ref="D94:D95"/>
    <mergeCell ref="E94:E95"/>
    <mergeCell ref="F94:F95"/>
    <mergeCell ref="G94:G95"/>
    <mergeCell ref="H94:H95"/>
    <mergeCell ref="CF92:CF93"/>
    <mergeCell ref="CG92:CG93"/>
    <mergeCell ref="CH92:CH93"/>
    <mergeCell ref="CI92:CI93"/>
    <mergeCell ref="CJ92:CJ93"/>
    <mergeCell ref="BX92:BX93"/>
    <mergeCell ref="BZ92:BZ93"/>
    <mergeCell ref="CA92:CA93"/>
    <mergeCell ref="CB92:CB93"/>
    <mergeCell ref="CC92:CC93"/>
    <mergeCell ref="CD92:CD93"/>
    <mergeCell ref="BM92:BM93"/>
    <mergeCell ref="BN92:BN93"/>
    <mergeCell ref="BT92:BT93"/>
    <mergeCell ref="BU92:BU93"/>
    <mergeCell ref="BV92:BV93"/>
    <mergeCell ref="BW92:BW93"/>
    <mergeCell ref="BG92:BG93"/>
    <mergeCell ref="BH92:BH93"/>
    <mergeCell ref="BI92:BI93"/>
    <mergeCell ref="BJ92:BJ93"/>
    <mergeCell ref="BK92:BK93"/>
    <mergeCell ref="BL92:BL93"/>
    <mergeCell ref="AZ92:AZ93"/>
    <mergeCell ref="BA92:BA93"/>
    <mergeCell ref="BC92:BC93"/>
    <mergeCell ref="BD92:BD93"/>
    <mergeCell ref="BE92:BE93"/>
    <mergeCell ref="BF92:BF93"/>
    <mergeCell ref="AO92:AO93"/>
    <mergeCell ref="AP92:AP93"/>
    <mergeCell ref="AQ92:AQ93"/>
    <mergeCell ref="AW92:AW93"/>
    <mergeCell ref="AX92:AX93"/>
    <mergeCell ref="AY92:AY93"/>
    <mergeCell ref="AI92:AI93"/>
    <mergeCell ref="AJ92:AJ93"/>
    <mergeCell ref="AK92:AK93"/>
    <mergeCell ref="AL92:AL93"/>
    <mergeCell ref="AM92:AM93"/>
    <mergeCell ref="AN92:AN93"/>
    <mergeCell ref="AB92:AB93"/>
    <mergeCell ref="AC92:AC93"/>
    <mergeCell ref="AD92:AD93"/>
    <mergeCell ref="AE92:AE93"/>
    <mergeCell ref="AG92:AG93"/>
    <mergeCell ref="AH92:AH93"/>
    <mergeCell ref="H92:H93"/>
    <mergeCell ref="I92:I93"/>
    <mergeCell ref="J92:J93"/>
    <mergeCell ref="K92:K93"/>
    <mergeCell ref="L92:L93"/>
    <mergeCell ref="AA92:AA93"/>
    <mergeCell ref="CF89:CF91"/>
    <mergeCell ref="CG89:CG91"/>
    <mergeCell ref="CH89:CH91"/>
    <mergeCell ref="CI89:CI91"/>
    <mergeCell ref="CJ89:CJ91"/>
    <mergeCell ref="C92:C93"/>
    <mergeCell ref="D92:D93"/>
    <mergeCell ref="E92:E93"/>
    <mergeCell ref="F92:F93"/>
    <mergeCell ref="G92:G93"/>
    <mergeCell ref="BZ89:BZ91"/>
    <mergeCell ref="CA89:CA91"/>
    <mergeCell ref="CB89:CB91"/>
    <mergeCell ref="CC89:CC91"/>
    <mergeCell ref="CD89:CD91"/>
    <mergeCell ref="CE89:CE91"/>
    <mergeCell ref="BN89:BN91"/>
    <mergeCell ref="BT89:BT91"/>
    <mergeCell ref="BU89:BU91"/>
    <mergeCell ref="BV89:BV91"/>
    <mergeCell ref="BW89:BW91"/>
    <mergeCell ref="BX89:BX91"/>
    <mergeCell ref="BH89:BH91"/>
    <mergeCell ref="BI89:BI91"/>
    <mergeCell ref="BJ89:BJ91"/>
    <mergeCell ref="BK89:BK91"/>
    <mergeCell ref="BL89:BL91"/>
    <mergeCell ref="BM89:BM91"/>
    <mergeCell ref="BA89:BA91"/>
    <mergeCell ref="BC89:BC91"/>
    <mergeCell ref="BD89:BD91"/>
    <mergeCell ref="BE89:BE91"/>
    <mergeCell ref="BF89:BF91"/>
    <mergeCell ref="BG89:BG91"/>
    <mergeCell ref="AP89:AP91"/>
    <mergeCell ref="AQ89:AQ91"/>
    <mergeCell ref="AW89:AW91"/>
    <mergeCell ref="AX89:AX91"/>
    <mergeCell ref="AY89:AY91"/>
    <mergeCell ref="AZ89:AZ91"/>
    <mergeCell ref="AJ89:AJ91"/>
    <mergeCell ref="AK89:AK91"/>
    <mergeCell ref="AL89:AL91"/>
    <mergeCell ref="AM89:AM91"/>
    <mergeCell ref="AN89:AN91"/>
    <mergeCell ref="AO89:AO91"/>
    <mergeCell ref="AC89:AC91"/>
    <mergeCell ref="AD89:AD91"/>
    <mergeCell ref="AE89:AE91"/>
    <mergeCell ref="AG89:AG91"/>
    <mergeCell ref="AH89:AH91"/>
    <mergeCell ref="AI89:AI91"/>
    <mergeCell ref="CF86:CF88"/>
    <mergeCell ref="CG86:CG88"/>
    <mergeCell ref="CH86:CH88"/>
    <mergeCell ref="CI86:CI88"/>
    <mergeCell ref="CJ86:CJ88"/>
    <mergeCell ref="C89:C91"/>
    <mergeCell ref="F89:F91"/>
    <mergeCell ref="K89:K91"/>
    <mergeCell ref="AA89:AA91"/>
    <mergeCell ref="AB89:AB91"/>
    <mergeCell ref="BZ86:BZ88"/>
    <mergeCell ref="CA86:CA88"/>
    <mergeCell ref="CB86:CB88"/>
    <mergeCell ref="CC86:CC88"/>
    <mergeCell ref="CD86:CD88"/>
    <mergeCell ref="CE86:CE88"/>
    <mergeCell ref="BN86:BN88"/>
    <mergeCell ref="BT86:BT88"/>
    <mergeCell ref="BU86:BU88"/>
    <mergeCell ref="BV86:BV88"/>
    <mergeCell ref="BW86:BW88"/>
    <mergeCell ref="BX86:BX88"/>
    <mergeCell ref="BH86:BH88"/>
    <mergeCell ref="BI86:BI88"/>
    <mergeCell ref="BJ86:BJ88"/>
    <mergeCell ref="BK86:BK88"/>
    <mergeCell ref="BL86:BL88"/>
    <mergeCell ref="BM86:BM88"/>
    <mergeCell ref="BA86:BA88"/>
    <mergeCell ref="BC86:BC88"/>
    <mergeCell ref="BD86:BD88"/>
    <mergeCell ref="BE86:BE88"/>
    <mergeCell ref="BF86:BF88"/>
    <mergeCell ref="BG86:BG88"/>
    <mergeCell ref="AP86:AP88"/>
    <mergeCell ref="AQ86:AQ88"/>
    <mergeCell ref="AW86:AW88"/>
    <mergeCell ref="AX86:AX88"/>
    <mergeCell ref="AY86:AY88"/>
    <mergeCell ref="AZ86:AZ88"/>
    <mergeCell ref="AJ86:AJ88"/>
    <mergeCell ref="AK86:AK88"/>
    <mergeCell ref="AL86:AL88"/>
    <mergeCell ref="AM86:AM88"/>
    <mergeCell ref="AN86:AN88"/>
    <mergeCell ref="AO86:AO88"/>
    <mergeCell ref="AC86:AC88"/>
    <mergeCell ref="AD86:AD88"/>
    <mergeCell ref="AE86:AE88"/>
    <mergeCell ref="AG86:AG88"/>
    <mergeCell ref="AH86:AH88"/>
    <mergeCell ref="AI86:AI88"/>
    <mergeCell ref="CF83:CF85"/>
    <mergeCell ref="CG83:CG85"/>
    <mergeCell ref="CH83:CH85"/>
    <mergeCell ref="CI83:CI85"/>
    <mergeCell ref="CJ83:CJ85"/>
    <mergeCell ref="C86:C88"/>
    <mergeCell ref="F86:F88"/>
    <mergeCell ref="K86:K88"/>
    <mergeCell ref="AA86:AA88"/>
    <mergeCell ref="AB86:AB88"/>
    <mergeCell ref="BZ83:BZ85"/>
    <mergeCell ref="CA83:CA85"/>
    <mergeCell ref="CB83:CB85"/>
    <mergeCell ref="CC83:CC85"/>
    <mergeCell ref="CD83:CD85"/>
    <mergeCell ref="CE83:CE85"/>
    <mergeCell ref="BN83:BN85"/>
    <mergeCell ref="BT83:BT85"/>
    <mergeCell ref="BU83:BU85"/>
    <mergeCell ref="BV83:BV85"/>
    <mergeCell ref="BW83:BW85"/>
    <mergeCell ref="BX83:BX85"/>
    <mergeCell ref="BH83:BH85"/>
    <mergeCell ref="BI83:BI85"/>
    <mergeCell ref="BJ83:BJ85"/>
    <mergeCell ref="BK83:BK85"/>
    <mergeCell ref="BL83:BL85"/>
    <mergeCell ref="BM83:BM85"/>
    <mergeCell ref="BA83:BA85"/>
    <mergeCell ref="BC83:BC85"/>
    <mergeCell ref="BD83:BD85"/>
    <mergeCell ref="BE83:BE85"/>
    <mergeCell ref="BF83:BF85"/>
    <mergeCell ref="BG83:BG85"/>
    <mergeCell ref="AP83:AP85"/>
    <mergeCell ref="AQ83:AQ85"/>
    <mergeCell ref="AW83:AW85"/>
    <mergeCell ref="AX83:AX85"/>
    <mergeCell ref="AY83:AY85"/>
    <mergeCell ref="AZ83:AZ85"/>
    <mergeCell ref="AJ83:AJ85"/>
    <mergeCell ref="AK83:AK85"/>
    <mergeCell ref="AL83:AL85"/>
    <mergeCell ref="AM83:AM85"/>
    <mergeCell ref="AN83:AN85"/>
    <mergeCell ref="AO83:AO85"/>
    <mergeCell ref="AC83:AC85"/>
    <mergeCell ref="AD83:AD85"/>
    <mergeCell ref="AE83:AE85"/>
    <mergeCell ref="AG83:AG85"/>
    <mergeCell ref="AH83:AH85"/>
    <mergeCell ref="AI83:AI85"/>
    <mergeCell ref="CF80:CF82"/>
    <mergeCell ref="CG80:CG82"/>
    <mergeCell ref="CH80:CH82"/>
    <mergeCell ref="CI80:CI82"/>
    <mergeCell ref="CJ80:CJ82"/>
    <mergeCell ref="C83:C85"/>
    <mergeCell ref="F83:F85"/>
    <mergeCell ref="K83:K85"/>
    <mergeCell ref="AA83:AA85"/>
    <mergeCell ref="AB83:AB85"/>
    <mergeCell ref="BZ80:BZ82"/>
    <mergeCell ref="CA80:CA82"/>
    <mergeCell ref="CB80:CB82"/>
    <mergeCell ref="CC80:CC82"/>
    <mergeCell ref="CD80:CD82"/>
    <mergeCell ref="CE80:CE82"/>
    <mergeCell ref="BN80:BN82"/>
    <mergeCell ref="BT80:BT82"/>
    <mergeCell ref="BU80:BU82"/>
    <mergeCell ref="BV80:BV82"/>
    <mergeCell ref="BW80:BW82"/>
    <mergeCell ref="BX80:BX82"/>
    <mergeCell ref="BH80:BH82"/>
    <mergeCell ref="BI80:BI82"/>
    <mergeCell ref="BJ80:BJ82"/>
    <mergeCell ref="BK80:BK82"/>
    <mergeCell ref="BL80:BL82"/>
    <mergeCell ref="BM80:BM82"/>
    <mergeCell ref="BA80:BA82"/>
    <mergeCell ref="BC80:BC82"/>
    <mergeCell ref="BD80:BD82"/>
    <mergeCell ref="BE80:BE82"/>
    <mergeCell ref="BF80:BF82"/>
    <mergeCell ref="BG80:BG82"/>
    <mergeCell ref="AP80:AP82"/>
    <mergeCell ref="AQ80:AQ82"/>
    <mergeCell ref="AW80:AW82"/>
    <mergeCell ref="AX80:AX82"/>
    <mergeCell ref="AY80:AY82"/>
    <mergeCell ref="AZ80:AZ82"/>
    <mergeCell ref="AJ80:AJ82"/>
    <mergeCell ref="AK80:AK82"/>
    <mergeCell ref="AL80:AL82"/>
    <mergeCell ref="AM80:AM82"/>
    <mergeCell ref="AN80:AN82"/>
    <mergeCell ref="AO80:AO82"/>
    <mergeCell ref="AC80:AC82"/>
    <mergeCell ref="AD80:AD82"/>
    <mergeCell ref="AE80:AE82"/>
    <mergeCell ref="AG80:AG82"/>
    <mergeCell ref="AH80:AH82"/>
    <mergeCell ref="AI80:AI82"/>
    <mergeCell ref="CF77:CF79"/>
    <mergeCell ref="CG77:CG79"/>
    <mergeCell ref="CH77:CH79"/>
    <mergeCell ref="CI77:CI79"/>
    <mergeCell ref="CJ77:CJ79"/>
    <mergeCell ref="C80:C82"/>
    <mergeCell ref="F80:F82"/>
    <mergeCell ref="K80:K82"/>
    <mergeCell ref="AA80:AA82"/>
    <mergeCell ref="AB80:AB82"/>
    <mergeCell ref="BZ77:BZ79"/>
    <mergeCell ref="CA77:CA79"/>
    <mergeCell ref="CB77:CB79"/>
    <mergeCell ref="CC77:CC79"/>
    <mergeCell ref="CD77:CD79"/>
    <mergeCell ref="CE77:CE79"/>
    <mergeCell ref="BN77:BN79"/>
    <mergeCell ref="BT77:BT79"/>
    <mergeCell ref="BU77:BU79"/>
    <mergeCell ref="BV77:BV79"/>
    <mergeCell ref="BW77:BW79"/>
    <mergeCell ref="BX77:BX79"/>
    <mergeCell ref="BH77:BH79"/>
    <mergeCell ref="BI77:BI79"/>
    <mergeCell ref="BJ77:BJ79"/>
    <mergeCell ref="BK77:BK79"/>
    <mergeCell ref="BL77:BL79"/>
    <mergeCell ref="BM77:BM79"/>
    <mergeCell ref="BA77:BA79"/>
    <mergeCell ref="BC77:BC79"/>
    <mergeCell ref="BD77:BD79"/>
    <mergeCell ref="BE77:BE79"/>
    <mergeCell ref="BF77:BF79"/>
    <mergeCell ref="BG77:BG79"/>
    <mergeCell ref="AP77:AP79"/>
    <mergeCell ref="AQ77:AQ79"/>
    <mergeCell ref="AW77:AW79"/>
    <mergeCell ref="AX77:AX79"/>
    <mergeCell ref="AY77:AY79"/>
    <mergeCell ref="AZ77:AZ79"/>
    <mergeCell ref="AJ77:AJ79"/>
    <mergeCell ref="AK77:AK79"/>
    <mergeCell ref="AL77:AL79"/>
    <mergeCell ref="AM77:AM79"/>
    <mergeCell ref="AN77:AN79"/>
    <mergeCell ref="AO77:AO79"/>
    <mergeCell ref="AC77:AC79"/>
    <mergeCell ref="AD77:AD79"/>
    <mergeCell ref="AE77:AE79"/>
    <mergeCell ref="AG77:AG79"/>
    <mergeCell ref="AH77:AH79"/>
    <mergeCell ref="AI77:AI79"/>
    <mergeCell ref="CH71:CH76"/>
    <mergeCell ref="CI71:CI76"/>
    <mergeCell ref="CJ71:CJ76"/>
    <mergeCell ref="BC74:BC76"/>
    <mergeCell ref="BZ74:BZ76"/>
    <mergeCell ref="C77:C79"/>
    <mergeCell ref="F77:F79"/>
    <mergeCell ref="K77:K79"/>
    <mergeCell ref="AA77:AA79"/>
    <mergeCell ref="AB77:AB79"/>
    <mergeCell ref="CB71:CB76"/>
    <mergeCell ref="CC71:CC76"/>
    <mergeCell ref="CD71:CD76"/>
    <mergeCell ref="CE71:CE76"/>
    <mergeCell ref="CF71:CF76"/>
    <mergeCell ref="CG71:CG76"/>
    <mergeCell ref="BU71:BU76"/>
    <mergeCell ref="BV71:BV76"/>
    <mergeCell ref="BW71:BW76"/>
    <mergeCell ref="BX71:BX76"/>
    <mergeCell ref="BZ71:BZ72"/>
    <mergeCell ref="CA71:CA76"/>
    <mergeCell ref="BJ71:BJ76"/>
    <mergeCell ref="BK71:BK76"/>
    <mergeCell ref="BL71:BL76"/>
    <mergeCell ref="BM71:BM76"/>
    <mergeCell ref="BN71:BN76"/>
    <mergeCell ref="BT71:BT76"/>
    <mergeCell ref="BD71:BD76"/>
    <mergeCell ref="BE71:BE76"/>
    <mergeCell ref="BF71:BF76"/>
    <mergeCell ref="BG71:BG76"/>
    <mergeCell ref="BH71:BH76"/>
    <mergeCell ref="BI71:BI76"/>
    <mergeCell ref="AW71:AW76"/>
    <mergeCell ref="AX71:AX76"/>
    <mergeCell ref="AY71:AY76"/>
    <mergeCell ref="AZ71:AZ76"/>
    <mergeCell ref="BA71:BA76"/>
    <mergeCell ref="BC71:BC72"/>
    <mergeCell ref="AL71:AL76"/>
    <mergeCell ref="AM71:AM76"/>
    <mergeCell ref="AN71:AN76"/>
    <mergeCell ref="AO71:AO76"/>
    <mergeCell ref="AP71:AP76"/>
    <mergeCell ref="AQ71:AQ76"/>
    <mergeCell ref="AE71:AE76"/>
    <mergeCell ref="AG71:AG76"/>
    <mergeCell ref="AH71:AH76"/>
    <mergeCell ref="AI71:AI76"/>
    <mergeCell ref="AJ71:AJ76"/>
    <mergeCell ref="AK71:AK76"/>
    <mergeCell ref="CH68:CH70"/>
    <mergeCell ref="CI68:CI70"/>
    <mergeCell ref="CJ68:CJ70"/>
    <mergeCell ref="C71:C76"/>
    <mergeCell ref="F71:F76"/>
    <mergeCell ref="K71:K76"/>
    <mergeCell ref="AA71:AA76"/>
    <mergeCell ref="AB71:AB76"/>
    <mergeCell ref="AC71:AC76"/>
    <mergeCell ref="AD71:AD76"/>
    <mergeCell ref="CB68:CB70"/>
    <mergeCell ref="CC68:CC70"/>
    <mergeCell ref="CD68:CD70"/>
    <mergeCell ref="CE68:CE70"/>
    <mergeCell ref="CF68:CF70"/>
    <mergeCell ref="CG68:CG70"/>
    <mergeCell ref="BU68:BU70"/>
    <mergeCell ref="BV68:BV70"/>
    <mergeCell ref="BW68:BW70"/>
    <mergeCell ref="BX68:BX70"/>
    <mergeCell ref="BZ68:BZ70"/>
    <mergeCell ref="CA68:CA70"/>
    <mergeCell ref="BJ68:BJ70"/>
    <mergeCell ref="BK68:BK70"/>
    <mergeCell ref="BL68:BL70"/>
    <mergeCell ref="BM68:BM70"/>
    <mergeCell ref="BN68:BN70"/>
    <mergeCell ref="BT68:BT70"/>
    <mergeCell ref="BD68:BD70"/>
    <mergeCell ref="BE68:BE70"/>
    <mergeCell ref="BF68:BF70"/>
    <mergeCell ref="BG68:BG70"/>
    <mergeCell ref="BH68:BH70"/>
    <mergeCell ref="BI68:BI70"/>
    <mergeCell ref="AW68:AW70"/>
    <mergeCell ref="AX68:AX70"/>
    <mergeCell ref="AY68:AY70"/>
    <mergeCell ref="AZ68:AZ70"/>
    <mergeCell ref="BA68:BA70"/>
    <mergeCell ref="BC68:BC70"/>
    <mergeCell ref="AL68:AL70"/>
    <mergeCell ref="AM68:AM70"/>
    <mergeCell ref="AN68:AN70"/>
    <mergeCell ref="AO68:AO70"/>
    <mergeCell ref="AP68:AP70"/>
    <mergeCell ref="AQ68:AQ70"/>
    <mergeCell ref="AE68:AE70"/>
    <mergeCell ref="AG68:AG70"/>
    <mergeCell ref="AH68:AH70"/>
    <mergeCell ref="AI68:AI70"/>
    <mergeCell ref="AJ68:AJ70"/>
    <mergeCell ref="AK68:AK70"/>
    <mergeCell ref="CH62:CH67"/>
    <mergeCell ref="CI62:CI67"/>
    <mergeCell ref="CJ62:CJ67"/>
    <mergeCell ref="C68:C70"/>
    <mergeCell ref="F68:F70"/>
    <mergeCell ref="K68:K70"/>
    <mergeCell ref="AA68:AA70"/>
    <mergeCell ref="AB68:AB70"/>
    <mergeCell ref="AC68:AC70"/>
    <mergeCell ref="AD68:AD70"/>
    <mergeCell ref="CB62:CB67"/>
    <mergeCell ref="CC62:CC67"/>
    <mergeCell ref="CD62:CD67"/>
    <mergeCell ref="CE62:CE67"/>
    <mergeCell ref="CF62:CF67"/>
    <mergeCell ref="CG62:CG67"/>
    <mergeCell ref="BU62:BU67"/>
    <mergeCell ref="BV62:BV67"/>
    <mergeCell ref="BW62:BW67"/>
    <mergeCell ref="BX62:BX67"/>
    <mergeCell ref="BZ62:BZ67"/>
    <mergeCell ref="CA62:CA67"/>
    <mergeCell ref="BJ62:BJ67"/>
    <mergeCell ref="BK62:BK67"/>
    <mergeCell ref="BL62:BL67"/>
    <mergeCell ref="BM62:BM67"/>
    <mergeCell ref="BN62:BN67"/>
    <mergeCell ref="BT62:BT67"/>
    <mergeCell ref="BD62:BD67"/>
    <mergeCell ref="BE62:BE67"/>
    <mergeCell ref="BF62:BF67"/>
    <mergeCell ref="BG62:BG67"/>
    <mergeCell ref="BH62:BH67"/>
    <mergeCell ref="BI62:BI67"/>
    <mergeCell ref="AW62:AW67"/>
    <mergeCell ref="AX62:AX67"/>
    <mergeCell ref="AY62:AY67"/>
    <mergeCell ref="AZ62:AZ67"/>
    <mergeCell ref="BA62:BA67"/>
    <mergeCell ref="BC62:BC67"/>
    <mergeCell ref="AL62:AL67"/>
    <mergeCell ref="AM62:AM67"/>
    <mergeCell ref="AN62:AN67"/>
    <mergeCell ref="AO62:AO67"/>
    <mergeCell ref="AP62:AP67"/>
    <mergeCell ref="AQ62:AQ67"/>
    <mergeCell ref="AE62:AE67"/>
    <mergeCell ref="AG62:AG67"/>
    <mergeCell ref="AH62:AH67"/>
    <mergeCell ref="AI62:AI67"/>
    <mergeCell ref="AJ62:AJ67"/>
    <mergeCell ref="AK62:AK67"/>
    <mergeCell ref="CH60:CH61"/>
    <mergeCell ref="CI60:CI61"/>
    <mergeCell ref="CJ60:CJ61"/>
    <mergeCell ref="C62:C67"/>
    <mergeCell ref="F62:F67"/>
    <mergeCell ref="K62:K67"/>
    <mergeCell ref="AA62:AA67"/>
    <mergeCell ref="AB62:AB67"/>
    <mergeCell ref="AC62:AC67"/>
    <mergeCell ref="AD62:AD67"/>
    <mergeCell ref="CB60:CB61"/>
    <mergeCell ref="CC60:CC61"/>
    <mergeCell ref="CD60:CD61"/>
    <mergeCell ref="CE60:CE61"/>
    <mergeCell ref="CF60:CF61"/>
    <mergeCell ref="CG60:CG61"/>
    <mergeCell ref="BU60:BU61"/>
    <mergeCell ref="BV60:BV61"/>
    <mergeCell ref="BW60:BW61"/>
    <mergeCell ref="BX60:BX61"/>
    <mergeCell ref="BZ60:BZ61"/>
    <mergeCell ref="CA60:CA61"/>
    <mergeCell ref="BJ60:BJ61"/>
    <mergeCell ref="BK60:BK61"/>
    <mergeCell ref="BL60:BL61"/>
    <mergeCell ref="BM60:BM61"/>
    <mergeCell ref="BN60:BN61"/>
    <mergeCell ref="BT60:BT61"/>
    <mergeCell ref="BD60:BD61"/>
    <mergeCell ref="BE60:BE61"/>
    <mergeCell ref="BF60:BF61"/>
    <mergeCell ref="BG60:BG61"/>
    <mergeCell ref="BH60:BH61"/>
    <mergeCell ref="BI60:BI61"/>
    <mergeCell ref="AW60:AW61"/>
    <mergeCell ref="AX60:AX61"/>
    <mergeCell ref="AY60:AY61"/>
    <mergeCell ref="AZ60:AZ61"/>
    <mergeCell ref="BA60:BA61"/>
    <mergeCell ref="BC60:BC61"/>
    <mergeCell ref="AL60:AL61"/>
    <mergeCell ref="AM60:AM61"/>
    <mergeCell ref="AN60:AN61"/>
    <mergeCell ref="AO60:AO61"/>
    <mergeCell ref="AP60:AP61"/>
    <mergeCell ref="AQ60:AQ61"/>
    <mergeCell ref="AE60:AE61"/>
    <mergeCell ref="AG60:AG61"/>
    <mergeCell ref="AH60:AH61"/>
    <mergeCell ref="AI60:AI61"/>
    <mergeCell ref="AJ60:AJ61"/>
    <mergeCell ref="AK60:AK61"/>
    <mergeCell ref="CH56:CH59"/>
    <mergeCell ref="CI56:CI59"/>
    <mergeCell ref="CJ56:CJ59"/>
    <mergeCell ref="C60:C61"/>
    <mergeCell ref="F60:F61"/>
    <mergeCell ref="K60:K61"/>
    <mergeCell ref="AA60:AA61"/>
    <mergeCell ref="AB60:AB61"/>
    <mergeCell ref="AC60:AC61"/>
    <mergeCell ref="AD60:AD61"/>
    <mergeCell ref="CB56:CB59"/>
    <mergeCell ref="CC56:CC59"/>
    <mergeCell ref="CD56:CD59"/>
    <mergeCell ref="CE56:CE59"/>
    <mergeCell ref="CF56:CF59"/>
    <mergeCell ref="CG56:CG59"/>
    <mergeCell ref="BU56:BU59"/>
    <mergeCell ref="BV56:BV59"/>
    <mergeCell ref="BW56:BW59"/>
    <mergeCell ref="BX56:BX59"/>
    <mergeCell ref="BZ56:BZ59"/>
    <mergeCell ref="CA56:CA59"/>
    <mergeCell ref="BJ56:BJ59"/>
    <mergeCell ref="BK56:BK59"/>
    <mergeCell ref="BL56:BL59"/>
    <mergeCell ref="BM56:BM59"/>
    <mergeCell ref="BN56:BN59"/>
    <mergeCell ref="BT56:BT59"/>
    <mergeCell ref="BD56:BD59"/>
    <mergeCell ref="BE56:BE59"/>
    <mergeCell ref="BF56:BF59"/>
    <mergeCell ref="BG56:BG59"/>
    <mergeCell ref="BH56:BH59"/>
    <mergeCell ref="BI56:BI59"/>
    <mergeCell ref="AW56:AW59"/>
    <mergeCell ref="AX56:AX59"/>
    <mergeCell ref="AY56:AY59"/>
    <mergeCell ref="AZ56:AZ59"/>
    <mergeCell ref="BA56:BA59"/>
    <mergeCell ref="BC56:BC59"/>
    <mergeCell ref="AL56:AL59"/>
    <mergeCell ref="AM56:AM59"/>
    <mergeCell ref="AN56:AN59"/>
    <mergeCell ref="AO56:AO59"/>
    <mergeCell ref="AP56:AP59"/>
    <mergeCell ref="AQ56:AQ59"/>
    <mergeCell ref="AE56:AE59"/>
    <mergeCell ref="AG56:AG59"/>
    <mergeCell ref="AH56:AH59"/>
    <mergeCell ref="AI56:AI59"/>
    <mergeCell ref="AJ56:AJ59"/>
    <mergeCell ref="AK56:AK59"/>
    <mergeCell ref="C56:C59"/>
    <mergeCell ref="F56:F59"/>
    <mergeCell ref="K56:K59"/>
    <mergeCell ref="AA56:AA59"/>
    <mergeCell ref="AB56:AB59"/>
    <mergeCell ref="AC56:AC59"/>
    <mergeCell ref="AD56:AD59"/>
    <mergeCell ref="BU53:BU55"/>
    <mergeCell ref="BV53:BV55"/>
    <mergeCell ref="BW53:BW55"/>
    <mergeCell ref="BX53:BX55"/>
    <mergeCell ref="BJ53:BJ55"/>
    <mergeCell ref="BK53:BK55"/>
    <mergeCell ref="BL53:BL55"/>
    <mergeCell ref="BM53:BM55"/>
    <mergeCell ref="BD53:BD55"/>
    <mergeCell ref="BE53:BE55"/>
    <mergeCell ref="BF53:BF55"/>
    <mergeCell ref="BG53:BG55"/>
    <mergeCell ref="BH53:BH55"/>
    <mergeCell ref="BI53:BI55"/>
    <mergeCell ref="AW53:AW55"/>
    <mergeCell ref="AX53:AX55"/>
    <mergeCell ref="AY53:AY55"/>
    <mergeCell ref="AZ53:AZ55"/>
    <mergeCell ref="BA53:BA55"/>
    <mergeCell ref="BC53:BC55"/>
    <mergeCell ref="AL53:AL55"/>
    <mergeCell ref="AM53:AM55"/>
    <mergeCell ref="AN53:AN55"/>
    <mergeCell ref="AO53:AO55"/>
    <mergeCell ref="AP53:AP55"/>
    <mergeCell ref="AQ53:AQ55"/>
    <mergeCell ref="AE53:AE55"/>
    <mergeCell ref="AG53:AG55"/>
    <mergeCell ref="AH53:AH55"/>
    <mergeCell ref="AI53:AI55"/>
    <mergeCell ref="AJ53:AJ55"/>
    <mergeCell ref="AK53:AK55"/>
    <mergeCell ref="C53:C55"/>
    <mergeCell ref="F53:F55"/>
    <mergeCell ref="K53:K55"/>
    <mergeCell ref="AA53:AA55"/>
    <mergeCell ref="AB53:AB55"/>
    <mergeCell ref="AC53:AC55"/>
    <mergeCell ref="AD53:AD55"/>
    <mergeCell ref="BU50:BU52"/>
    <mergeCell ref="BV50:BV52"/>
    <mergeCell ref="BW50:BW52"/>
    <mergeCell ref="AL50:AL52"/>
    <mergeCell ref="AM50:AM52"/>
    <mergeCell ref="AN50:AN52"/>
    <mergeCell ref="AO50:AO52"/>
    <mergeCell ref="AP50:AP52"/>
    <mergeCell ref="AQ50:AQ52"/>
    <mergeCell ref="AE50:AE52"/>
    <mergeCell ref="AG50:AG52"/>
    <mergeCell ref="AH50:AH52"/>
    <mergeCell ref="AI50:AI52"/>
    <mergeCell ref="AJ50:AJ52"/>
    <mergeCell ref="AK50:AK52"/>
    <mergeCell ref="C50:C52"/>
    <mergeCell ref="F50:F52"/>
    <mergeCell ref="K50:K52"/>
    <mergeCell ref="BX50:BX52"/>
    <mergeCell ref="BJ50:BJ52"/>
    <mergeCell ref="BK50:BK52"/>
    <mergeCell ref="BL50:BL52"/>
    <mergeCell ref="BM50:BM52"/>
    <mergeCell ref="BD50:BD52"/>
    <mergeCell ref="BE50:BE52"/>
    <mergeCell ref="BF50:BF52"/>
    <mergeCell ref="BG50:BG52"/>
    <mergeCell ref="BH50:BH52"/>
    <mergeCell ref="BI50:BI52"/>
    <mergeCell ref="AW50:AW52"/>
    <mergeCell ref="AX50:AX52"/>
    <mergeCell ref="AY50:AY52"/>
    <mergeCell ref="AZ50:AZ52"/>
    <mergeCell ref="BA50:BA52"/>
    <mergeCell ref="BC50:BC52"/>
    <mergeCell ref="AA50:AA52"/>
    <mergeCell ref="AB50:AB52"/>
    <mergeCell ref="AC50:AC52"/>
    <mergeCell ref="AD50:AD52"/>
    <mergeCell ref="BW47:BW49"/>
    <mergeCell ref="BL47:BL48"/>
    <mergeCell ref="BM47:BM48"/>
    <mergeCell ref="BF47:BF49"/>
    <mergeCell ref="BG47:BG48"/>
    <mergeCell ref="BH47:BH48"/>
    <mergeCell ref="BI47:BI48"/>
    <mergeCell ref="BJ47:BJ48"/>
    <mergeCell ref="BK47:BK48"/>
    <mergeCell ref="AY47:AY49"/>
    <mergeCell ref="AZ47:AZ49"/>
    <mergeCell ref="BA47:BA49"/>
    <mergeCell ref="BC47:BC49"/>
    <mergeCell ref="BD47:BD49"/>
    <mergeCell ref="BE47:BE49"/>
    <mergeCell ref="AN47:AN48"/>
    <mergeCell ref="AO47:AO48"/>
    <mergeCell ref="AP47:AP48"/>
    <mergeCell ref="AQ47:AQ48"/>
    <mergeCell ref="AW47:AW49"/>
    <mergeCell ref="AX47:AX49"/>
    <mergeCell ref="AH47:AH48"/>
    <mergeCell ref="AI47:AI48"/>
    <mergeCell ref="AJ47:AJ48"/>
    <mergeCell ref="AK47:AK48"/>
    <mergeCell ref="AL47:AL48"/>
    <mergeCell ref="AM47:AM48"/>
    <mergeCell ref="BT47:BT49"/>
    <mergeCell ref="CJ45:CJ46"/>
    <mergeCell ref="C47:C49"/>
    <mergeCell ref="F47:F49"/>
    <mergeCell ref="K47:K49"/>
    <mergeCell ref="AA47:AA49"/>
    <mergeCell ref="AB47:AB49"/>
    <mergeCell ref="AC47:AC49"/>
    <mergeCell ref="AD47:AD49"/>
    <mergeCell ref="AE47:AE49"/>
    <mergeCell ref="AG47:AG48"/>
    <mergeCell ref="BX45:BX46"/>
    <mergeCell ref="CA45:CA46"/>
    <mergeCell ref="CF45:CF46"/>
    <mergeCell ref="CG45:CG46"/>
    <mergeCell ref="CH45:CH46"/>
    <mergeCell ref="CI45:CI46"/>
    <mergeCell ref="BL45:BL46"/>
    <mergeCell ref="BM45:BM46"/>
    <mergeCell ref="BN45:BN46"/>
    <mergeCell ref="BU45:BU46"/>
    <mergeCell ref="BV45:BV46"/>
    <mergeCell ref="BW45:BW46"/>
    <mergeCell ref="BT45:BT46"/>
    <mergeCell ref="BF45:BF46"/>
    <mergeCell ref="BG45:BG46"/>
    <mergeCell ref="BH45:BH46"/>
    <mergeCell ref="BI45:BI46"/>
    <mergeCell ref="BJ45:BJ46"/>
    <mergeCell ref="BK45:BK46"/>
    <mergeCell ref="AX45:AX46"/>
    <mergeCell ref="AY45:AY46"/>
    <mergeCell ref="AZ45:AZ46"/>
    <mergeCell ref="CI43:CI44"/>
    <mergeCell ref="CJ43:CJ44"/>
    <mergeCell ref="AX43:AX44"/>
    <mergeCell ref="AY43:AY44"/>
    <mergeCell ref="AZ43:AZ44"/>
    <mergeCell ref="BA43:BA44"/>
    <mergeCell ref="BD43:BD44"/>
    <mergeCell ref="BE43:BE44"/>
    <mergeCell ref="AM43:AM44"/>
    <mergeCell ref="AN43:AN44"/>
    <mergeCell ref="AO43:AO44"/>
    <mergeCell ref="AP43:AP44"/>
    <mergeCell ref="AQ43:AQ44"/>
    <mergeCell ref="AW43:AW44"/>
    <mergeCell ref="AG43:AG44"/>
    <mergeCell ref="AH43:AH44"/>
    <mergeCell ref="AI43:AI44"/>
    <mergeCell ref="BF43:BF44"/>
    <mergeCell ref="BG43:BG44"/>
    <mergeCell ref="BH43:BH44"/>
    <mergeCell ref="BI43:BI44"/>
    <mergeCell ref="BJ43:BJ44"/>
    <mergeCell ref="BK43:BK44"/>
    <mergeCell ref="CE43:CE44"/>
    <mergeCell ref="CF43:CF44"/>
    <mergeCell ref="CG43:CG44"/>
    <mergeCell ref="CH43:CH44"/>
    <mergeCell ref="BE45:BE46"/>
    <mergeCell ref="AM45:AM46"/>
    <mergeCell ref="AN45:AN46"/>
    <mergeCell ref="AO45:AO46"/>
    <mergeCell ref="AP45:AP46"/>
    <mergeCell ref="AQ45:AQ46"/>
    <mergeCell ref="AW45:AW46"/>
    <mergeCell ref="AG45:AG46"/>
    <mergeCell ref="AH45:AH46"/>
    <mergeCell ref="AI45:AI46"/>
    <mergeCell ref="AJ45:AJ46"/>
    <mergeCell ref="AK45:AK46"/>
    <mergeCell ref="AL45:AL46"/>
    <mergeCell ref="CC43:CC44"/>
    <mergeCell ref="CD43:CD44"/>
    <mergeCell ref="BW43:BW44"/>
    <mergeCell ref="BX43:BX44"/>
    <mergeCell ref="BY43:BY44"/>
    <mergeCell ref="BZ43:BZ44"/>
    <mergeCell ref="CA43:CA44"/>
    <mergeCell ref="CB43:CB44"/>
    <mergeCell ref="BL43:BL44"/>
    <mergeCell ref="BM43:BM44"/>
    <mergeCell ref="BN43:BN44"/>
    <mergeCell ref="BT43:BT44"/>
    <mergeCell ref="BU43:BU44"/>
    <mergeCell ref="BV43:BV44"/>
    <mergeCell ref="AZ41:AZ42"/>
    <mergeCell ref="BA41:BA42"/>
    <mergeCell ref="BD41:BD42"/>
    <mergeCell ref="F41:F42"/>
    <mergeCell ref="K41:K42"/>
    <mergeCell ref="AC41:AC42"/>
    <mergeCell ref="AD41:AD42"/>
    <mergeCell ref="AE41:AE42"/>
    <mergeCell ref="AG41:AG42"/>
    <mergeCell ref="AH41:AH42"/>
    <mergeCell ref="AI41:AI42"/>
    <mergeCell ref="AW41:AW42"/>
    <mergeCell ref="AX41:AX42"/>
    <mergeCell ref="C45:C46"/>
    <mergeCell ref="F45:F46"/>
    <mergeCell ref="K45:K46"/>
    <mergeCell ref="AA45:AA46"/>
    <mergeCell ref="AB45:AB46"/>
    <mergeCell ref="AC45:AC46"/>
    <mergeCell ref="AD45:AD46"/>
    <mergeCell ref="AE45:AE46"/>
    <mergeCell ref="BA45:BA46"/>
    <mergeCell ref="BD45:BD46"/>
    <mergeCell ref="BX39:BX40"/>
    <mergeCell ref="AH39:AH40"/>
    <mergeCell ref="AI39:AI40"/>
    <mergeCell ref="AJ39:AJ40"/>
    <mergeCell ref="AN39:AN40"/>
    <mergeCell ref="AY39:AY40"/>
    <mergeCell ref="AZ39:AZ40"/>
    <mergeCell ref="F39:F40"/>
    <mergeCell ref="K39:K40"/>
    <mergeCell ref="AC39:AC40"/>
    <mergeCell ref="AD39:AD40"/>
    <mergeCell ref="AE39:AE40"/>
    <mergeCell ref="AG39:AG40"/>
    <mergeCell ref="AJ43:AJ44"/>
    <mergeCell ref="AK43:AK44"/>
    <mergeCell ref="AL43:AL44"/>
    <mergeCell ref="C43:C44"/>
    <mergeCell ref="F43:F44"/>
    <mergeCell ref="K43:K44"/>
    <mergeCell ref="AA43:AA44"/>
    <mergeCell ref="AB43:AB44"/>
    <mergeCell ref="AC43:AC44"/>
    <mergeCell ref="AD43:AD44"/>
    <mergeCell ref="AE43:AE44"/>
    <mergeCell ref="BT41:BT42"/>
    <mergeCell ref="BU41:BU42"/>
    <mergeCell ref="BV41:BV42"/>
    <mergeCell ref="BW41:BW42"/>
    <mergeCell ref="BX41:BX42"/>
    <mergeCell ref="AJ41:AJ42"/>
    <mergeCell ref="AN41:AN42"/>
    <mergeCell ref="AY41:AY42"/>
    <mergeCell ref="BL19:BL21"/>
    <mergeCell ref="BM19:BM21"/>
    <mergeCell ref="AK19:AK21"/>
    <mergeCell ref="AL19:AL21"/>
    <mergeCell ref="AM19:AM21"/>
    <mergeCell ref="AO19:AO21"/>
    <mergeCell ref="AP19:AP21"/>
    <mergeCell ref="AQ19:AQ21"/>
    <mergeCell ref="F15:F21"/>
    <mergeCell ref="K15:K21"/>
    <mergeCell ref="AC15:AC21"/>
    <mergeCell ref="AD15:AD21"/>
    <mergeCell ref="AE15:AE21"/>
    <mergeCell ref="AG15:AG21"/>
    <mergeCell ref="AH15:AH21"/>
    <mergeCell ref="AI15:AI21"/>
    <mergeCell ref="BK30:BK38"/>
    <mergeCell ref="BL30:BL38"/>
    <mergeCell ref="BM30:BM38"/>
    <mergeCell ref="AK30:AK38"/>
    <mergeCell ref="AL30:AL38"/>
    <mergeCell ref="AM30:AM38"/>
    <mergeCell ref="AO30:AO38"/>
    <mergeCell ref="AP30:AP38"/>
    <mergeCell ref="AQ30:AQ38"/>
    <mergeCell ref="BL22:BL29"/>
    <mergeCell ref="BM22:BM29"/>
    <mergeCell ref="BF22:BF38"/>
    <mergeCell ref="BG22:BG29"/>
    <mergeCell ref="BH22:BH29"/>
    <mergeCell ref="BI22:BI29"/>
    <mergeCell ref="BJ22:BJ29"/>
    <mergeCell ref="BH15:BH18"/>
    <mergeCell ref="BI15:BI18"/>
    <mergeCell ref="BJ15:BJ18"/>
    <mergeCell ref="BK15:BK18"/>
    <mergeCell ref="BG19:BG21"/>
    <mergeCell ref="BH19:BH21"/>
    <mergeCell ref="BI19:BI21"/>
    <mergeCell ref="BJ19:BJ21"/>
    <mergeCell ref="AN15:AN21"/>
    <mergeCell ref="AO15:AO18"/>
    <mergeCell ref="AP15:AP18"/>
    <mergeCell ref="AQ15:AQ18"/>
    <mergeCell ref="AY15:AY21"/>
    <mergeCell ref="AZ15:AZ21"/>
    <mergeCell ref="AH22:AH38"/>
    <mergeCell ref="AI22:AI38"/>
    <mergeCell ref="AJ22:AJ38"/>
    <mergeCell ref="AK22:AK29"/>
    <mergeCell ref="AL22:AL29"/>
    <mergeCell ref="AM22:AM29"/>
    <mergeCell ref="BK19:BK21"/>
    <mergeCell ref="BK22:BK29"/>
    <mergeCell ref="BG30:BG38"/>
    <mergeCell ref="BH30:BH38"/>
    <mergeCell ref="BI30:BI38"/>
    <mergeCell ref="BJ30:BJ38"/>
    <mergeCell ref="BT13:BT14"/>
    <mergeCell ref="BU13:BU14"/>
    <mergeCell ref="BV13:BV14"/>
    <mergeCell ref="BW13:BW14"/>
    <mergeCell ref="BX13:BX14"/>
    <mergeCell ref="AH13:AH14"/>
    <mergeCell ref="AI13:AI14"/>
    <mergeCell ref="AJ13:AJ14"/>
    <mergeCell ref="AN13:AN14"/>
    <mergeCell ref="AY13:AY14"/>
    <mergeCell ref="AZ13:AZ14"/>
    <mergeCell ref="F13:F14"/>
    <mergeCell ref="K13:K14"/>
    <mergeCell ref="AC13:AC14"/>
    <mergeCell ref="AD13:AD14"/>
    <mergeCell ref="AE13:AE14"/>
    <mergeCell ref="AG13:AG14"/>
    <mergeCell ref="AW13:AW14"/>
    <mergeCell ref="AX13:AX14"/>
    <mergeCell ref="BA13:BA14"/>
    <mergeCell ref="BD13:BD14"/>
    <mergeCell ref="BE13:BE14"/>
    <mergeCell ref="BF13:BF14"/>
    <mergeCell ref="AA13:AA14"/>
    <mergeCell ref="AB13:AB14"/>
    <mergeCell ref="BE41:BE42"/>
    <mergeCell ref="BF41:BF42"/>
    <mergeCell ref="AA41:AA42"/>
    <mergeCell ref="AB41:AB42"/>
    <mergeCell ref="C41:C42"/>
    <mergeCell ref="AW39:AW40"/>
    <mergeCell ref="AX39:AX40"/>
    <mergeCell ref="BA39:BA40"/>
    <mergeCell ref="BD39:BD40"/>
    <mergeCell ref="BE39:BE40"/>
    <mergeCell ref="BF39:BF40"/>
    <mergeCell ref="AA39:AA40"/>
    <mergeCell ref="AB39:AB40"/>
    <mergeCell ref="C39:C40"/>
    <mergeCell ref="BW22:BW38"/>
    <mergeCell ref="BT22:BT38"/>
    <mergeCell ref="BU22:BU38"/>
    <mergeCell ref="BV22:BV38"/>
    <mergeCell ref="AN22:AN38"/>
    <mergeCell ref="AO22:AO29"/>
    <mergeCell ref="AP22:AP29"/>
    <mergeCell ref="AQ22:AQ29"/>
    <mergeCell ref="F22:F38"/>
    <mergeCell ref="K22:K38"/>
    <mergeCell ref="AC22:AC38"/>
    <mergeCell ref="AD22:AD38"/>
    <mergeCell ref="AE22:AE38"/>
    <mergeCell ref="AG22:AG38"/>
    <mergeCell ref="BT39:BT40"/>
    <mergeCell ref="BU39:BU40"/>
    <mergeCell ref="BV39:BV40"/>
    <mergeCell ref="BW39:BW40"/>
    <mergeCell ref="BX22:BX38"/>
    <mergeCell ref="BD22:BD38"/>
    <mergeCell ref="BE22:BE38"/>
    <mergeCell ref="AW22:AW38"/>
    <mergeCell ref="AX22:AX38"/>
    <mergeCell ref="AY22:AY38"/>
    <mergeCell ref="AZ22:AZ38"/>
    <mergeCell ref="BA22:BA38"/>
    <mergeCell ref="AA22:AA38"/>
    <mergeCell ref="AB22:AB38"/>
    <mergeCell ref="C22:C38"/>
    <mergeCell ref="BW15:BW21"/>
    <mergeCell ref="BT15:BT21"/>
    <mergeCell ref="BU15:BU21"/>
    <mergeCell ref="BV15:BV21"/>
    <mergeCell ref="AJ15:AJ21"/>
    <mergeCell ref="AK15:AK18"/>
    <mergeCell ref="AL15:AL18"/>
    <mergeCell ref="AM15:AM18"/>
    <mergeCell ref="BX15:BX21"/>
    <mergeCell ref="BD15:BD21"/>
    <mergeCell ref="BE15:BE21"/>
    <mergeCell ref="AW15:AW21"/>
    <mergeCell ref="AX15:AX21"/>
    <mergeCell ref="BA15:BA21"/>
    <mergeCell ref="AA15:AA21"/>
    <mergeCell ref="AB15:AB21"/>
    <mergeCell ref="C15:C21"/>
    <mergeCell ref="BL15:BL18"/>
    <mergeCell ref="BM15:BM18"/>
    <mergeCell ref="BF15:BF21"/>
    <mergeCell ref="BG15:BG18"/>
    <mergeCell ref="C13:C14"/>
    <mergeCell ref="CC11:CC12"/>
    <mergeCell ref="CD11:CD12"/>
    <mergeCell ref="CE11:CE12"/>
    <mergeCell ref="AF7:AF8"/>
    <mergeCell ref="AF9:AF10"/>
    <mergeCell ref="AF11:AF12"/>
    <mergeCell ref="BU11:BU12"/>
    <mergeCell ref="BV11:BV12"/>
    <mergeCell ref="BW11:BW12"/>
    <mergeCell ref="BX11:BX12"/>
    <mergeCell ref="CA11:CA12"/>
    <mergeCell ref="CB11:CB12"/>
    <mergeCell ref="BJ11:BJ12"/>
    <mergeCell ref="BK11:BK12"/>
    <mergeCell ref="BL11:BL12"/>
    <mergeCell ref="BM11:BM12"/>
    <mergeCell ref="BN11:BN12"/>
    <mergeCell ref="BT11:BT12"/>
    <mergeCell ref="BD11:BD12"/>
    <mergeCell ref="BE11:BE12"/>
    <mergeCell ref="BF11:BF12"/>
    <mergeCell ref="BG11:BG12"/>
    <mergeCell ref="BH11:BH12"/>
    <mergeCell ref="BI11:BI12"/>
    <mergeCell ref="AQ11:AQ12"/>
    <mergeCell ref="AW11:AW12"/>
    <mergeCell ref="AX11:AX12"/>
    <mergeCell ref="AY11:AY12"/>
    <mergeCell ref="AZ11:AZ12"/>
    <mergeCell ref="BA11:BA12"/>
    <mergeCell ref="AK11:AK12"/>
    <mergeCell ref="AL11:AL12"/>
    <mergeCell ref="AM11:AM12"/>
    <mergeCell ref="AN11:AN12"/>
    <mergeCell ref="AO11:AO12"/>
    <mergeCell ref="AP11:AP12"/>
    <mergeCell ref="AD11:AD12"/>
    <mergeCell ref="AE11:AE12"/>
    <mergeCell ref="AG11:AG12"/>
    <mergeCell ref="AH11:AH12"/>
    <mergeCell ref="AI11:AI12"/>
    <mergeCell ref="AJ11:AJ12"/>
    <mergeCell ref="C11:C12"/>
    <mergeCell ref="F11:F12"/>
    <mergeCell ref="K11:K12"/>
    <mergeCell ref="AA11:AA12"/>
    <mergeCell ref="AB11:AB12"/>
    <mergeCell ref="AC11:AC12"/>
    <mergeCell ref="CK7:CK8"/>
    <mergeCell ref="C9:C10"/>
    <mergeCell ref="F9:F10"/>
    <mergeCell ref="K9:K10"/>
    <mergeCell ref="AA9:AA10"/>
    <mergeCell ref="AB9:AB10"/>
    <mergeCell ref="AC9:AC10"/>
    <mergeCell ref="AD9:AD10"/>
    <mergeCell ref="AE9:AE10"/>
    <mergeCell ref="BX7:BX8"/>
    <mergeCell ref="BZ7:BZ8"/>
    <mergeCell ref="CA7:CA8"/>
    <mergeCell ref="CB7:CB8"/>
    <mergeCell ref="CC7:CC8"/>
    <mergeCell ref="CG7:CG8"/>
    <mergeCell ref="BK7:BK8"/>
    <mergeCell ref="BN7:BN8"/>
    <mergeCell ref="BT7:BT8"/>
    <mergeCell ref="BU7:BU8"/>
    <mergeCell ref="BV7:BV8"/>
    <mergeCell ref="CH5:CH6"/>
    <mergeCell ref="CI5:CI6"/>
    <mergeCell ref="CJ5:CJ6"/>
    <mergeCell ref="AX5:AX6"/>
    <mergeCell ref="AY5:AY6"/>
    <mergeCell ref="AZ5:AZ6"/>
    <mergeCell ref="BA5:BA6"/>
    <mergeCell ref="BC5:BC6"/>
    <mergeCell ref="BW9:BW10"/>
    <mergeCell ref="BX9:BX10"/>
    <mergeCell ref="CA9:CA10"/>
    <mergeCell ref="CB9:CB10"/>
    <mergeCell ref="CC9:CC10"/>
    <mergeCell ref="CD9:CD10"/>
    <mergeCell ref="BL9:BL10"/>
    <mergeCell ref="BM9:BM10"/>
    <mergeCell ref="BN9:BN10"/>
    <mergeCell ref="BT9:BT10"/>
    <mergeCell ref="BU9:BU10"/>
    <mergeCell ref="BV9:BV10"/>
    <mergeCell ref="AG9:AG10"/>
    <mergeCell ref="AH9:AH10"/>
    <mergeCell ref="AI9:AI10"/>
    <mergeCell ref="AJ9:AJ10"/>
    <mergeCell ref="AK9:AK10"/>
    <mergeCell ref="AL9:AL10"/>
    <mergeCell ref="CJ7:CJ8"/>
    <mergeCell ref="AY9:AY10"/>
    <mergeCell ref="AZ9:AZ10"/>
    <mergeCell ref="BA9:BA10"/>
    <mergeCell ref="BD9:BD10"/>
    <mergeCell ref="BE9:BE10"/>
    <mergeCell ref="AM9:AM10"/>
    <mergeCell ref="AN9:AN10"/>
    <mergeCell ref="AO9:AO10"/>
    <mergeCell ref="AP9:AP10"/>
    <mergeCell ref="AQ9:AQ10"/>
    <mergeCell ref="AW9:AW10"/>
    <mergeCell ref="BF7:BF8"/>
    <mergeCell ref="BJ7:BJ8"/>
    <mergeCell ref="BW7:BW8"/>
    <mergeCell ref="BA7:BA8"/>
    <mergeCell ref="BC7:BC8"/>
    <mergeCell ref="BD7:BD8"/>
    <mergeCell ref="BE7:BE8"/>
    <mergeCell ref="BF9:BF10"/>
    <mergeCell ref="BG9:BG10"/>
    <mergeCell ref="BH9:BH10"/>
    <mergeCell ref="BI9:BI10"/>
    <mergeCell ref="BJ9:BJ10"/>
    <mergeCell ref="BK9:BK10"/>
    <mergeCell ref="AX9:AX10"/>
    <mergeCell ref="AZ7:AZ8"/>
    <mergeCell ref="AD7:AD8"/>
    <mergeCell ref="AE7:AE8"/>
    <mergeCell ref="AG7:AG8"/>
    <mergeCell ref="AH7:AH8"/>
    <mergeCell ref="AI7:AI8"/>
    <mergeCell ref="AM7:AM8"/>
    <mergeCell ref="AB5:AB6"/>
    <mergeCell ref="AG3:AQ3"/>
    <mergeCell ref="AR3:BC3"/>
    <mergeCell ref="BD3:BN3"/>
    <mergeCell ref="BO3:BZ3"/>
    <mergeCell ref="AJ5:AJ6"/>
    <mergeCell ref="AK5:AK6"/>
    <mergeCell ref="AL5:AL6"/>
    <mergeCell ref="AM5:AM6"/>
    <mergeCell ref="AN5:AN6"/>
    <mergeCell ref="AQ5:AQ6"/>
    <mergeCell ref="BE5:BE6"/>
    <mergeCell ref="BF5:BF6"/>
    <mergeCell ref="BG5:BG6"/>
    <mergeCell ref="BH5:BH6"/>
    <mergeCell ref="BI5:BI6"/>
    <mergeCell ref="AW5:AW6"/>
    <mergeCell ref="CA3:CJ3"/>
    <mergeCell ref="C7:C8"/>
    <mergeCell ref="F7:F8"/>
    <mergeCell ref="K7:K8"/>
    <mergeCell ref="L7:L8"/>
    <mergeCell ref="AA7:AA8"/>
    <mergeCell ref="AB7:AB8"/>
    <mergeCell ref="AC7:AC8"/>
    <mergeCell ref="CB5:CB6"/>
    <mergeCell ref="CC5:CC6"/>
    <mergeCell ref="CD5:CD6"/>
    <mergeCell ref="CE5:CE6"/>
    <mergeCell ref="CF5:CF6"/>
    <mergeCell ref="CG5:CG6"/>
    <mergeCell ref="BU5:BU6"/>
    <mergeCell ref="BV5:BV6"/>
    <mergeCell ref="BW5:BW6"/>
    <mergeCell ref="BX5:BX6"/>
    <mergeCell ref="BZ5:BZ6"/>
    <mergeCell ref="CA5:CA6"/>
    <mergeCell ref="BJ5:BJ6"/>
    <mergeCell ref="BK5:BK6"/>
    <mergeCell ref="BL5:BL6"/>
    <mergeCell ref="BM5:BM6"/>
    <mergeCell ref="BN5:BN6"/>
    <mergeCell ref="BT5:BT6"/>
    <mergeCell ref="BD5:BD6"/>
    <mergeCell ref="AN7:AN8"/>
    <mergeCell ref="AQ7:AQ8"/>
    <mergeCell ref="AW7:AW8"/>
    <mergeCell ref="AX7:AX8"/>
    <mergeCell ref="AY7:AY8"/>
    <mergeCell ref="C2:U2"/>
    <mergeCell ref="D3:J3"/>
    <mergeCell ref="K3:Q3"/>
    <mergeCell ref="R3:U3"/>
    <mergeCell ref="V3:AF3"/>
    <mergeCell ref="CH371:CH372"/>
    <mergeCell ref="CI371:CI372"/>
    <mergeCell ref="CJ371:CJ372"/>
    <mergeCell ref="CB412:CB416"/>
    <mergeCell ref="CC412:CC416"/>
    <mergeCell ref="CD412:CD416"/>
    <mergeCell ref="CE412:CE416"/>
    <mergeCell ref="CF412:CF416"/>
    <mergeCell ref="CG412:CG416"/>
    <mergeCell ref="CJ412:CJ416"/>
    <mergeCell ref="CA409:CA411"/>
    <mergeCell ref="CB409:CB411"/>
    <mergeCell ref="CC409:CC411"/>
    <mergeCell ref="AC5:AC6"/>
    <mergeCell ref="AD5:AD6"/>
    <mergeCell ref="AE5:AE6"/>
    <mergeCell ref="AG5:AG6"/>
    <mergeCell ref="AH5:AH6"/>
    <mergeCell ref="AI5:AI6"/>
    <mergeCell ref="C5:C6"/>
    <mergeCell ref="F5:F6"/>
    <mergeCell ref="K5:K6"/>
    <mergeCell ref="L5:L6"/>
    <mergeCell ref="AA5:AA6"/>
    <mergeCell ref="BZ166:BZ169"/>
    <mergeCell ref="CA432:CA434"/>
    <mergeCell ref="CB432:CB434"/>
    <mergeCell ref="CC432:CC434"/>
    <mergeCell ref="CD429:CD431"/>
    <mergeCell ref="CE429:CE431"/>
    <mergeCell ref="CF429:CF431"/>
    <mergeCell ref="CG429:CG431"/>
    <mergeCell ref="CH429:CH431"/>
    <mergeCell ref="CI429:CI431"/>
    <mergeCell ref="CJ429:CJ431"/>
    <mergeCell ref="CJ432:CJ434"/>
    <mergeCell ref="CI432:CI434"/>
    <mergeCell ref="CH432:CH434"/>
    <mergeCell ref="CG432:CG434"/>
    <mergeCell ref="CF432:CF434"/>
    <mergeCell ref="CE432:CE434"/>
    <mergeCell ref="CD432:CD434"/>
    <mergeCell ref="CA435:CA440"/>
    <mergeCell ref="CB435:CB440"/>
    <mergeCell ref="CC435:CC440"/>
    <mergeCell ref="CD435:CD440"/>
    <mergeCell ref="CE435:CE440"/>
    <mergeCell ref="CF435:CF440"/>
    <mergeCell ref="CG435:CG440"/>
    <mergeCell ref="CH435:CH440"/>
    <mergeCell ref="CI435:CI440"/>
    <mergeCell ref="CJ435:CJ440"/>
    <mergeCell ref="CA441:CA443"/>
    <mergeCell ref="CB441:CB443"/>
    <mergeCell ref="CC441:CC443"/>
    <mergeCell ref="CD441:CD443"/>
    <mergeCell ref="CE441:CE443"/>
    <mergeCell ref="CF441:CF443"/>
    <mergeCell ref="CG441:CG443"/>
    <mergeCell ref="CH441:CH443"/>
    <mergeCell ref="CI441:CI443"/>
    <mergeCell ref="CJ441:CJ443"/>
    <mergeCell ref="CA453:CA454"/>
    <mergeCell ref="CC453:CC454"/>
    <mergeCell ref="CB453:CB454"/>
    <mergeCell ref="BZ9:BZ10"/>
    <mergeCell ref="BZ11:BZ12"/>
    <mergeCell ref="BZ13:BZ14"/>
    <mergeCell ref="BZ15:BZ21"/>
    <mergeCell ref="BZ22:BZ38"/>
    <mergeCell ref="BZ39:BZ40"/>
    <mergeCell ref="BZ41:BZ42"/>
    <mergeCell ref="BZ45:BZ46"/>
    <mergeCell ref="BZ47:BZ49"/>
    <mergeCell ref="BZ50:BZ52"/>
    <mergeCell ref="BZ53:BZ55"/>
    <mergeCell ref="BZ96:BZ101"/>
    <mergeCell ref="BZ102:BZ103"/>
    <mergeCell ref="BZ104:BZ107"/>
    <mergeCell ref="BZ108:BZ110"/>
    <mergeCell ref="BZ111:BZ113"/>
    <mergeCell ref="BZ123:BZ125"/>
    <mergeCell ref="BZ126:BZ127"/>
    <mergeCell ref="BZ128:BZ130"/>
    <mergeCell ref="BZ131:BZ135"/>
    <mergeCell ref="BZ136:BZ138"/>
    <mergeCell ref="BZ139:BZ142"/>
    <mergeCell ref="BZ143:BZ145"/>
    <mergeCell ref="BZ146:BZ148"/>
    <mergeCell ref="BZ149:BZ152"/>
    <mergeCell ref="BZ153:BZ155"/>
    <mergeCell ref="BZ156:BZ157"/>
    <mergeCell ref="BZ158:BZ161"/>
    <mergeCell ref="BZ162:BZ165"/>
    <mergeCell ref="BZ409:BZ411"/>
    <mergeCell ref="BZ412:BZ416"/>
    <mergeCell ref="BZ417:BZ419"/>
    <mergeCell ref="BZ373:BZ374"/>
    <mergeCell ref="BZ432:BZ434"/>
    <mergeCell ref="BZ435:BZ440"/>
    <mergeCell ref="BZ175:BZ177"/>
    <mergeCell ref="BZ178:BZ181"/>
    <mergeCell ref="BZ182:BZ184"/>
    <mergeCell ref="BZ185:BZ188"/>
    <mergeCell ref="BZ189:BZ190"/>
    <mergeCell ref="BZ191:BZ193"/>
    <mergeCell ref="BZ194:BZ195"/>
    <mergeCell ref="BZ196:BZ197"/>
    <mergeCell ref="BZ198:BZ200"/>
    <mergeCell ref="BZ201:BZ203"/>
    <mergeCell ref="BZ204:BZ206"/>
    <mergeCell ref="BZ207:BZ209"/>
    <mergeCell ref="BZ210:BZ211"/>
    <mergeCell ref="BZ212:BZ214"/>
    <mergeCell ref="BZ215:BZ217"/>
    <mergeCell ref="BZ218:BZ220"/>
    <mergeCell ref="BZ221:BZ223"/>
    <mergeCell ref="BZ441:BZ443"/>
    <mergeCell ref="BZ444:BZ448"/>
    <mergeCell ref="BZ449:BZ452"/>
    <mergeCell ref="BZ453:BZ454"/>
    <mergeCell ref="C242:C248"/>
    <mergeCell ref="C249:C252"/>
    <mergeCell ref="C253:C256"/>
    <mergeCell ref="C257:C263"/>
    <mergeCell ref="C264:C266"/>
    <mergeCell ref="C267:C271"/>
    <mergeCell ref="C272:C275"/>
    <mergeCell ref="C276:C277"/>
    <mergeCell ref="C278:C280"/>
    <mergeCell ref="C281:C284"/>
    <mergeCell ref="C285:C286"/>
    <mergeCell ref="C287:C290"/>
    <mergeCell ref="C291:C292"/>
    <mergeCell ref="C293:C294"/>
    <mergeCell ref="C295:C297"/>
    <mergeCell ref="C298:C299"/>
    <mergeCell ref="C300:C302"/>
    <mergeCell ref="C303:C304"/>
    <mergeCell ref="D242:D248"/>
    <mergeCell ref="E242:E248"/>
    <mergeCell ref="F242:F248"/>
    <mergeCell ref="G242:G248"/>
    <mergeCell ref="H242:H248"/>
    <mergeCell ref="I242:I248"/>
    <mergeCell ref="J242:J248"/>
    <mergeCell ref="C325:C326"/>
    <mergeCell ref="K242:K248"/>
    <mergeCell ref="L242:L248"/>
    <mergeCell ref="AA242:AA248"/>
    <mergeCell ref="AB242:AB248"/>
    <mergeCell ref="AC242:AC248"/>
    <mergeCell ref="AD242:AD248"/>
    <mergeCell ref="AE242:AE248"/>
    <mergeCell ref="AG242:AG248"/>
    <mergeCell ref="AH242:AH248"/>
    <mergeCell ref="AI242:AI248"/>
    <mergeCell ref="AJ242:AJ248"/>
    <mergeCell ref="AK242:AK248"/>
    <mergeCell ref="AL242:AL248"/>
    <mergeCell ref="AM242:AM248"/>
    <mergeCell ref="AN242:AN248"/>
    <mergeCell ref="AO242:AO248"/>
    <mergeCell ref="AP242:AP248"/>
    <mergeCell ref="AQ242:AQ248"/>
    <mergeCell ref="AW242:AW248"/>
    <mergeCell ref="AX242:AX248"/>
    <mergeCell ref="AY242:AY248"/>
    <mergeCell ref="AZ242:AZ248"/>
    <mergeCell ref="BA242:BA248"/>
    <mergeCell ref="BC242:BC248"/>
    <mergeCell ref="BD242:BD248"/>
    <mergeCell ref="BE242:BE248"/>
    <mergeCell ref="BF242:BF248"/>
    <mergeCell ref="BG242:BG248"/>
    <mergeCell ref="BH242:BH245"/>
    <mergeCell ref="BI242:BI245"/>
    <mergeCell ref="BJ242:BJ248"/>
    <mergeCell ref="BH246:BH248"/>
    <mergeCell ref="BI246:BI248"/>
    <mergeCell ref="D249:D252"/>
    <mergeCell ref="E249:E252"/>
    <mergeCell ref="F249:F252"/>
    <mergeCell ref="G249:G252"/>
    <mergeCell ref="H249:H252"/>
    <mergeCell ref="I249:I252"/>
    <mergeCell ref="J249:J252"/>
    <mergeCell ref="K249:K252"/>
    <mergeCell ref="L249:L252"/>
    <mergeCell ref="AA249:AA252"/>
    <mergeCell ref="AB249:AB252"/>
    <mergeCell ref="AC249:AC252"/>
    <mergeCell ref="AD249:AD252"/>
    <mergeCell ref="AE249:AE252"/>
    <mergeCell ref="AG249:AG252"/>
    <mergeCell ref="AH249:AH252"/>
    <mergeCell ref="AI249:AI252"/>
    <mergeCell ref="AJ249:AJ252"/>
    <mergeCell ref="AK249:AK252"/>
    <mergeCell ref="AL249:AL252"/>
    <mergeCell ref="AM249:AM252"/>
    <mergeCell ref="AN249:AN252"/>
    <mergeCell ref="AO249:AO252"/>
    <mergeCell ref="AP249:AP252"/>
    <mergeCell ref="AQ249:AQ252"/>
    <mergeCell ref="AW249:AW252"/>
    <mergeCell ref="AX249:AX252"/>
    <mergeCell ref="AY249:AY252"/>
    <mergeCell ref="AZ249:AZ252"/>
    <mergeCell ref="BA249:BA252"/>
    <mergeCell ref="BC249:BC252"/>
    <mergeCell ref="BD249:BD252"/>
    <mergeCell ref="BE249:BE252"/>
    <mergeCell ref="BF249:BF252"/>
    <mergeCell ref="BG249:BG252"/>
    <mergeCell ref="BH249:BH252"/>
    <mergeCell ref="BI249:BI252"/>
    <mergeCell ref="BJ249:BJ252"/>
    <mergeCell ref="D253:D256"/>
    <mergeCell ref="E253:E256"/>
    <mergeCell ref="F253:F256"/>
    <mergeCell ref="G253:G256"/>
    <mergeCell ref="H253:H256"/>
    <mergeCell ref="I253:I256"/>
    <mergeCell ref="J253:J256"/>
    <mergeCell ref="K253:K256"/>
    <mergeCell ref="L253:L256"/>
    <mergeCell ref="AA253:AA256"/>
    <mergeCell ref="AB253:AB256"/>
    <mergeCell ref="AC253:AC256"/>
    <mergeCell ref="AD253:AD256"/>
    <mergeCell ref="AE253:AE256"/>
    <mergeCell ref="AG253:AG256"/>
    <mergeCell ref="AH253:AH256"/>
    <mergeCell ref="AI253:AI256"/>
    <mergeCell ref="AJ253:AJ256"/>
    <mergeCell ref="AK253:AK256"/>
    <mergeCell ref="AL253:AL256"/>
    <mergeCell ref="AM253:AM256"/>
    <mergeCell ref="AN253:AN256"/>
    <mergeCell ref="AO253:AO256"/>
    <mergeCell ref="AP253:AP256"/>
    <mergeCell ref="AQ253:AQ256"/>
    <mergeCell ref="AW253:AW256"/>
    <mergeCell ref="AX253:AX256"/>
    <mergeCell ref="AY253:AY256"/>
    <mergeCell ref="AZ253:AZ256"/>
    <mergeCell ref="BA253:BA256"/>
    <mergeCell ref="BC253:BC256"/>
    <mergeCell ref="BD253:BD256"/>
    <mergeCell ref="BE253:BE256"/>
    <mergeCell ref="BF253:BF256"/>
    <mergeCell ref="BG253:BG256"/>
    <mergeCell ref="BH253:BH256"/>
    <mergeCell ref="BI253:BI256"/>
    <mergeCell ref="BJ253:BJ256"/>
    <mergeCell ref="D257:D263"/>
    <mergeCell ref="E257:E263"/>
    <mergeCell ref="G257:G263"/>
    <mergeCell ref="H257:H263"/>
    <mergeCell ref="I257:I263"/>
    <mergeCell ref="J257:J263"/>
    <mergeCell ref="K257:K263"/>
    <mergeCell ref="L257:L263"/>
    <mergeCell ref="AA257:AA263"/>
    <mergeCell ref="AB257:AB263"/>
    <mergeCell ref="AC257:AC263"/>
    <mergeCell ref="AD257:AD263"/>
    <mergeCell ref="AE257:AE263"/>
    <mergeCell ref="AG257:AG263"/>
    <mergeCell ref="AH257:AH263"/>
    <mergeCell ref="AI257:AI263"/>
    <mergeCell ref="AJ257:AJ260"/>
    <mergeCell ref="AK257:AK260"/>
    <mergeCell ref="AL257:AL260"/>
    <mergeCell ref="AM257:AM263"/>
    <mergeCell ref="AN257:AN263"/>
    <mergeCell ref="AO257:AO260"/>
    <mergeCell ref="AP257:AP260"/>
    <mergeCell ref="AQ257:AQ260"/>
    <mergeCell ref="AW257:AW263"/>
    <mergeCell ref="AX257:AX263"/>
    <mergeCell ref="AY257:AY263"/>
    <mergeCell ref="AZ257:AZ263"/>
    <mergeCell ref="BA257:BA263"/>
    <mergeCell ref="BC257:BC263"/>
    <mergeCell ref="BD257:BD263"/>
    <mergeCell ref="BE257:BE263"/>
    <mergeCell ref="BF257:BF263"/>
    <mergeCell ref="BG257:BG260"/>
    <mergeCell ref="BH257:BH260"/>
    <mergeCell ref="BI257:BI260"/>
    <mergeCell ref="BJ257:BJ263"/>
    <mergeCell ref="AJ261:AJ263"/>
    <mergeCell ref="AK261:AK263"/>
    <mergeCell ref="AL261:AL263"/>
    <mergeCell ref="AO261:AO263"/>
    <mergeCell ref="AP261:AP263"/>
    <mergeCell ref="AQ261:AQ263"/>
    <mergeCell ref="BG261:BG263"/>
    <mergeCell ref="BH261:BH263"/>
    <mergeCell ref="BI261:BI263"/>
    <mergeCell ref="D264:D266"/>
    <mergeCell ref="F264:F265"/>
    <mergeCell ref="G264:G266"/>
    <mergeCell ref="H264:H266"/>
    <mergeCell ref="I264:I266"/>
    <mergeCell ref="J264:J266"/>
    <mergeCell ref="K264:K266"/>
    <mergeCell ref="L264:L266"/>
    <mergeCell ref="AA264:AA266"/>
    <mergeCell ref="AB264:AB266"/>
    <mergeCell ref="AC264:AC266"/>
    <mergeCell ref="AD264:AD266"/>
    <mergeCell ref="AE264:AE266"/>
    <mergeCell ref="AG264:AG266"/>
    <mergeCell ref="AH264:AH266"/>
    <mergeCell ref="AI264:AI266"/>
    <mergeCell ref="AJ264:AJ266"/>
    <mergeCell ref="AK264:AK265"/>
    <mergeCell ref="AL264:AL265"/>
    <mergeCell ref="AM264:AM266"/>
    <mergeCell ref="AN264:AN266"/>
    <mergeCell ref="AO264:AO265"/>
    <mergeCell ref="AP264:AP265"/>
    <mergeCell ref="AQ264:AQ265"/>
    <mergeCell ref="AW264:AW266"/>
    <mergeCell ref="AX264:AX266"/>
    <mergeCell ref="AY264:AY266"/>
    <mergeCell ref="AZ264:AZ266"/>
    <mergeCell ref="BA264:BA266"/>
    <mergeCell ref="BC264:BC266"/>
    <mergeCell ref="BD264:BD266"/>
    <mergeCell ref="BE264:BE266"/>
    <mergeCell ref="BF264:BF266"/>
    <mergeCell ref="BG264:BG266"/>
    <mergeCell ref="BH264:BH265"/>
    <mergeCell ref="BI264:BI265"/>
    <mergeCell ref="BJ264:BJ266"/>
    <mergeCell ref="D267:D271"/>
    <mergeCell ref="E267:E271"/>
    <mergeCell ref="F267:F271"/>
    <mergeCell ref="G267:G271"/>
    <mergeCell ref="H267:H271"/>
    <mergeCell ref="I267:I271"/>
    <mergeCell ref="J267:J271"/>
    <mergeCell ref="K267:K271"/>
    <mergeCell ref="L267:L271"/>
    <mergeCell ref="AA267:AA271"/>
    <mergeCell ref="AB267:AB271"/>
    <mergeCell ref="AC267:AC271"/>
    <mergeCell ref="AD267:AD271"/>
    <mergeCell ref="AE267:AE271"/>
    <mergeCell ref="AG267:AG271"/>
    <mergeCell ref="AH267:AH271"/>
    <mergeCell ref="AI267:AI271"/>
    <mergeCell ref="AJ267:AJ271"/>
    <mergeCell ref="AK267:AK269"/>
    <mergeCell ref="AL267:AL269"/>
    <mergeCell ref="AM267:AM271"/>
    <mergeCell ref="AN267:AN271"/>
    <mergeCell ref="AO267:AO268"/>
    <mergeCell ref="AP267:AP268"/>
    <mergeCell ref="AQ267:AQ268"/>
    <mergeCell ref="AW267:AW271"/>
    <mergeCell ref="AX267:AX271"/>
    <mergeCell ref="AY267:AY271"/>
    <mergeCell ref="AZ267:AZ271"/>
    <mergeCell ref="BA267:BA271"/>
    <mergeCell ref="BC267:BC271"/>
    <mergeCell ref="BD267:BD271"/>
    <mergeCell ref="BE267:BE271"/>
    <mergeCell ref="BF267:BF271"/>
    <mergeCell ref="BG267:BG271"/>
    <mergeCell ref="BH267:BH269"/>
    <mergeCell ref="BI267:BI269"/>
    <mergeCell ref="BJ267:BJ271"/>
    <mergeCell ref="AO269:AO271"/>
    <mergeCell ref="AP269:AP271"/>
    <mergeCell ref="AQ269:AQ271"/>
    <mergeCell ref="AK270:AK271"/>
    <mergeCell ref="AL270:AL271"/>
    <mergeCell ref="BH270:BH271"/>
    <mergeCell ref="BI270:BI271"/>
    <mergeCell ref="D272:D275"/>
    <mergeCell ref="E272:E275"/>
    <mergeCell ref="F272:F275"/>
    <mergeCell ref="G272:G275"/>
    <mergeCell ref="H272:H275"/>
    <mergeCell ref="I272:I275"/>
    <mergeCell ref="J272:J275"/>
    <mergeCell ref="K272:K275"/>
    <mergeCell ref="L272:L275"/>
    <mergeCell ref="AA272:AA275"/>
    <mergeCell ref="AB272:AB275"/>
    <mergeCell ref="AC272:AC275"/>
    <mergeCell ref="AD272:AD275"/>
    <mergeCell ref="AE272:AE275"/>
    <mergeCell ref="AG272:AG275"/>
    <mergeCell ref="AH272:AH275"/>
    <mergeCell ref="AI272:AI275"/>
    <mergeCell ref="AJ272:AJ275"/>
    <mergeCell ref="AK272:AK275"/>
    <mergeCell ref="AL272:AL275"/>
    <mergeCell ref="AM272:AM275"/>
    <mergeCell ref="AN272:AN275"/>
    <mergeCell ref="AO272:AO275"/>
    <mergeCell ref="AP272:AP275"/>
    <mergeCell ref="AQ272:AQ275"/>
    <mergeCell ref="AW272:AW275"/>
    <mergeCell ref="AX272:AX275"/>
    <mergeCell ref="AY272:AY275"/>
    <mergeCell ref="AZ272:AZ275"/>
    <mergeCell ref="BA272:BA275"/>
    <mergeCell ref="BC272:BC275"/>
    <mergeCell ref="BD272:BD275"/>
    <mergeCell ref="BE272:BE275"/>
    <mergeCell ref="BF272:BF275"/>
    <mergeCell ref="BG272:BG275"/>
    <mergeCell ref="BH272:BH275"/>
    <mergeCell ref="BI272:BI275"/>
    <mergeCell ref="BJ272:BJ275"/>
    <mergeCell ref="D276:D277"/>
    <mergeCell ref="E276:E277"/>
    <mergeCell ref="F276:F277"/>
    <mergeCell ref="G276:G277"/>
    <mergeCell ref="H276:H277"/>
    <mergeCell ref="I276:I277"/>
    <mergeCell ref="J276:J277"/>
    <mergeCell ref="K276:K277"/>
    <mergeCell ref="L276:L277"/>
    <mergeCell ref="AA276:AA277"/>
    <mergeCell ref="AB276:AB277"/>
    <mergeCell ref="AC276:AC277"/>
    <mergeCell ref="AD276:AD277"/>
    <mergeCell ref="AE276:AE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W276:AW277"/>
    <mergeCell ref="AX276:AX277"/>
    <mergeCell ref="AY276:AY277"/>
    <mergeCell ref="AZ276:AZ277"/>
    <mergeCell ref="BA276:BA277"/>
    <mergeCell ref="BC276:BC277"/>
    <mergeCell ref="BD276:BD277"/>
    <mergeCell ref="BE276:BE277"/>
    <mergeCell ref="BF276:BF277"/>
    <mergeCell ref="BG276:BG277"/>
    <mergeCell ref="BH276:BH277"/>
    <mergeCell ref="BI276:BI277"/>
    <mergeCell ref="BJ276:BJ277"/>
    <mergeCell ref="D278:D280"/>
    <mergeCell ref="E278:E280"/>
    <mergeCell ref="F278:F280"/>
    <mergeCell ref="G278:G280"/>
    <mergeCell ref="H278:H280"/>
    <mergeCell ref="I278:I280"/>
    <mergeCell ref="J278:J280"/>
    <mergeCell ref="K278:K280"/>
    <mergeCell ref="L278:L280"/>
    <mergeCell ref="AA278:AA280"/>
    <mergeCell ref="AB278:AB280"/>
    <mergeCell ref="AC278:AC280"/>
    <mergeCell ref="AD278:AD280"/>
    <mergeCell ref="AE278:AE280"/>
    <mergeCell ref="AG278:AG280"/>
    <mergeCell ref="AH278:AH280"/>
    <mergeCell ref="AI278:AI280"/>
    <mergeCell ref="AJ278:AJ280"/>
    <mergeCell ref="AK278:AK280"/>
    <mergeCell ref="AL278:AL280"/>
    <mergeCell ref="AM278:AM280"/>
    <mergeCell ref="AN278:AN280"/>
    <mergeCell ref="AO278:AO280"/>
    <mergeCell ref="AP278:AP280"/>
    <mergeCell ref="AQ278:AQ280"/>
    <mergeCell ref="AW278:AW280"/>
    <mergeCell ref="AX278:AX280"/>
    <mergeCell ref="AY278:AY280"/>
    <mergeCell ref="AZ278:AZ280"/>
    <mergeCell ref="BA278:BA280"/>
    <mergeCell ref="BC278:BC280"/>
    <mergeCell ref="BD278:BD280"/>
    <mergeCell ref="BE278:BE280"/>
    <mergeCell ref="BF278:BF280"/>
    <mergeCell ref="BG278:BG280"/>
    <mergeCell ref="BH278:BH280"/>
    <mergeCell ref="BI278:BI280"/>
    <mergeCell ref="BJ278:BJ280"/>
    <mergeCell ref="D281:D284"/>
    <mergeCell ref="E281:E284"/>
    <mergeCell ref="F281:F284"/>
    <mergeCell ref="G281:G284"/>
    <mergeCell ref="H281:H284"/>
    <mergeCell ref="I281:I284"/>
    <mergeCell ref="J281:J284"/>
    <mergeCell ref="K281:K284"/>
    <mergeCell ref="L281:L284"/>
    <mergeCell ref="AA281:AA284"/>
    <mergeCell ref="AB281:AB284"/>
    <mergeCell ref="AC281:AC284"/>
    <mergeCell ref="AD281:AD284"/>
    <mergeCell ref="AE281:AE284"/>
    <mergeCell ref="AG281:AG284"/>
    <mergeCell ref="AH281:AH284"/>
    <mergeCell ref="AI281:AI284"/>
    <mergeCell ref="AJ281:AJ284"/>
    <mergeCell ref="AK281:AK284"/>
    <mergeCell ref="AL281:AL284"/>
    <mergeCell ref="AM281:AM284"/>
    <mergeCell ref="AN281:AN284"/>
    <mergeCell ref="AO281:AO284"/>
    <mergeCell ref="AP281:AP284"/>
    <mergeCell ref="AQ281:AQ284"/>
    <mergeCell ref="AW281:AW284"/>
    <mergeCell ref="AX281:AX284"/>
    <mergeCell ref="AY281:AY284"/>
    <mergeCell ref="AZ281:AZ284"/>
    <mergeCell ref="BA281:BA284"/>
    <mergeCell ref="BC281:BC284"/>
    <mergeCell ref="BD281:BD284"/>
    <mergeCell ref="BE281:BE284"/>
    <mergeCell ref="BF281:BF284"/>
    <mergeCell ref="BG281:BG284"/>
    <mergeCell ref="BH281:BH284"/>
    <mergeCell ref="BI281:BI284"/>
    <mergeCell ref="BJ281:BJ284"/>
    <mergeCell ref="D285:D286"/>
    <mergeCell ref="E285:E286"/>
    <mergeCell ref="F285:F286"/>
    <mergeCell ref="G285:G286"/>
    <mergeCell ref="H285:H286"/>
    <mergeCell ref="I285:I286"/>
    <mergeCell ref="J285:J286"/>
    <mergeCell ref="K285:K286"/>
    <mergeCell ref="L285:L286"/>
    <mergeCell ref="AA285:AA286"/>
    <mergeCell ref="AB285:AB286"/>
    <mergeCell ref="AC285:AC286"/>
    <mergeCell ref="AD285:AD286"/>
    <mergeCell ref="AE285:AE286"/>
    <mergeCell ref="AG285:AG286"/>
    <mergeCell ref="AH285:AH286"/>
    <mergeCell ref="AI285:AI286"/>
    <mergeCell ref="AJ285:AJ286"/>
    <mergeCell ref="AK285:AK286"/>
    <mergeCell ref="AL285:AL286"/>
    <mergeCell ref="AM285:AM286"/>
    <mergeCell ref="AN285:AN286"/>
    <mergeCell ref="AO285:AO286"/>
    <mergeCell ref="AP285:AP286"/>
    <mergeCell ref="AQ285:AQ286"/>
    <mergeCell ref="AW285:AW286"/>
    <mergeCell ref="AX285:AX286"/>
    <mergeCell ref="AY285:AY286"/>
    <mergeCell ref="AZ285:AZ286"/>
    <mergeCell ref="BA285:BA286"/>
    <mergeCell ref="BC285:BC286"/>
    <mergeCell ref="BD285:BD286"/>
    <mergeCell ref="BE285:BE286"/>
    <mergeCell ref="BF285:BF286"/>
    <mergeCell ref="BG285:BG286"/>
    <mergeCell ref="BH285:BH286"/>
    <mergeCell ref="BI285:BI286"/>
    <mergeCell ref="BJ285:BJ286"/>
    <mergeCell ref="D287:D290"/>
    <mergeCell ref="E287:E290"/>
    <mergeCell ref="F287:F290"/>
    <mergeCell ref="G287:G290"/>
    <mergeCell ref="H287:H290"/>
    <mergeCell ref="I287:I290"/>
    <mergeCell ref="J287:J290"/>
    <mergeCell ref="K287:K290"/>
    <mergeCell ref="L287:L290"/>
    <mergeCell ref="AA287:AA290"/>
    <mergeCell ref="AB287:AB290"/>
    <mergeCell ref="AC287:AC290"/>
    <mergeCell ref="AD287:AD290"/>
    <mergeCell ref="AE287:AE290"/>
    <mergeCell ref="AG287:AG290"/>
    <mergeCell ref="AH287:AH290"/>
    <mergeCell ref="AI287:AI290"/>
    <mergeCell ref="AJ287:AJ288"/>
    <mergeCell ref="AK287:AK288"/>
    <mergeCell ref="AL287:AL288"/>
    <mergeCell ref="AM287:AM290"/>
    <mergeCell ref="AN287:AN290"/>
    <mergeCell ref="AO287:AO288"/>
    <mergeCell ref="AP287:AP288"/>
    <mergeCell ref="AQ287:AQ288"/>
    <mergeCell ref="AW287:AW290"/>
    <mergeCell ref="AX287:AX290"/>
    <mergeCell ref="AY287:AY290"/>
    <mergeCell ref="AZ287:AZ290"/>
    <mergeCell ref="BA287:BA290"/>
    <mergeCell ref="BC287:BC290"/>
    <mergeCell ref="BD287:BD290"/>
    <mergeCell ref="BE287:BE290"/>
    <mergeCell ref="BF287:BF290"/>
    <mergeCell ref="BG287:BG290"/>
    <mergeCell ref="BH287:BH288"/>
    <mergeCell ref="BI287:BI288"/>
    <mergeCell ref="BJ287:BJ290"/>
    <mergeCell ref="AJ289:AJ290"/>
    <mergeCell ref="AK289:AK290"/>
    <mergeCell ref="AL289:AL290"/>
    <mergeCell ref="AO289:AO290"/>
    <mergeCell ref="AP289:AP290"/>
    <mergeCell ref="AQ289:AQ290"/>
    <mergeCell ref="BH289:BH290"/>
    <mergeCell ref="BI289:BI290"/>
    <mergeCell ref="D291:D292"/>
    <mergeCell ref="E291:E292"/>
    <mergeCell ref="F291:F292"/>
    <mergeCell ref="G291:G292"/>
    <mergeCell ref="H291:H292"/>
    <mergeCell ref="J291:J292"/>
    <mergeCell ref="K291:K292"/>
    <mergeCell ref="L291:L292"/>
    <mergeCell ref="AA291:AA292"/>
    <mergeCell ref="AB291:AB292"/>
    <mergeCell ref="AC291:AC292"/>
    <mergeCell ref="AD291:AD292"/>
    <mergeCell ref="AE291:AE292"/>
    <mergeCell ref="AG291:AG292"/>
    <mergeCell ref="AH291:AH292"/>
    <mergeCell ref="AI291:AI292"/>
    <mergeCell ref="AJ291:AJ292"/>
    <mergeCell ref="AK291:AK292"/>
    <mergeCell ref="AL291:AL292"/>
    <mergeCell ref="AM291:AM292"/>
    <mergeCell ref="AN291:AN292"/>
    <mergeCell ref="AO291:AO292"/>
    <mergeCell ref="AP291:AP292"/>
    <mergeCell ref="AQ291:AQ292"/>
    <mergeCell ref="AW291:AW292"/>
    <mergeCell ref="AX291:AX292"/>
    <mergeCell ref="AY291:AY292"/>
    <mergeCell ref="AZ291:AZ292"/>
    <mergeCell ref="BA291:BA292"/>
    <mergeCell ref="BC291:BC292"/>
    <mergeCell ref="BD291:BD292"/>
    <mergeCell ref="BE291:BE292"/>
    <mergeCell ref="BF291:BF292"/>
    <mergeCell ref="BG291:BG292"/>
    <mergeCell ref="BH291:BH292"/>
    <mergeCell ref="BI291:BI292"/>
    <mergeCell ref="BJ291:BJ292"/>
    <mergeCell ref="D293:D294"/>
    <mergeCell ref="E293:E294"/>
    <mergeCell ref="F293:F294"/>
    <mergeCell ref="G293:G294"/>
    <mergeCell ref="H293:H294"/>
    <mergeCell ref="I293:I294"/>
    <mergeCell ref="J293:J294"/>
    <mergeCell ref="K293:K294"/>
    <mergeCell ref="L293:L294"/>
    <mergeCell ref="AA293:AA294"/>
    <mergeCell ref="AB293:AB294"/>
    <mergeCell ref="AC293:AC294"/>
    <mergeCell ref="AD293:AD294"/>
    <mergeCell ref="AE293:AE294"/>
    <mergeCell ref="AG293:AG294"/>
    <mergeCell ref="AH293:AH294"/>
    <mergeCell ref="AI293:AI294"/>
    <mergeCell ref="AJ293:AJ294"/>
    <mergeCell ref="AK293:AK294"/>
    <mergeCell ref="AL293:AL294"/>
    <mergeCell ref="AM293:AM294"/>
    <mergeCell ref="AN293:AN294"/>
    <mergeCell ref="AO293:AO294"/>
    <mergeCell ref="AP293:AP294"/>
    <mergeCell ref="AQ293:AQ294"/>
    <mergeCell ref="AW293:AW294"/>
    <mergeCell ref="AX293:AX294"/>
    <mergeCell ref="AY293:AY294"/>
    <mergeCell ref="AZ293:AZ294"/>
    <mergeCell ref="BA293:BA294"/>
    <mergeCell ref="BC293:BC294"/>
    <mergeCell ref="BD293:BD294"/>
    <mergeCell ref="BE293:BE294"/>
    <mergeCell ref="BF293:BF294"/>
    <mergeCell ref="BG293:BG294"/>
    <mergeCell ref="BH293:BH294"/>
    <mergeCell ref="BI293:BI294"/>
    <mergeCell ref="BJ293:BJ294"/>
    <mergeCell ref="D295:D297"/>
    <mergeCell ref="E295:E297"/>
    <mergeCell ref="F295:F297"/>
    <mergeCell ref="G295:G297"/>
    <mergeCell ref="H295:H297"/>
    <mergeCell ref="I295:I297"/>
    <mergeCell ref="J295:J297"/>
    <mergeCell ref="K295:K297"/>
    <mergeCell ref="L295:L297"/>
    <mergeCell ref="AA295:AA297"/>
    <mergeCell ref="AB295:AB297"/>
    <mergeCell ref="AC295:AC297"/>
    <mergeCell ref="AD295:AD297"/>
    <mergeCell ref="AE295:AE297"/>
    <mergeCell ref="AG295:AG297"/>
    <mergeCell ref="AH295:AH297"/>
    <mergeCell ref="AI295:AI297"/>
    <mergeCell ref="AJ295:AJ297"/>
    <mergeCell ref="AK295:AK297"/>
    <mergeCell ref="AL295:AL297"/>
    <mergeCell ref="AM295:AM297"/>
    <mergeCell ref="AN295:AN297"/>
    <mergeCell ref="AO295:AO297"/>
    <mergeCell ref="AP295:AP297"/>
    <mergeCell ref="AQ295:AQ297"/>
    <mergeCell ref="AW295:AW297"/>
    <mergeCell ref="AX295:AX297"/>
    <mergeCell ref="AY295:AY297"/>
    <mergeCell ref="AZ295:AZ297"/>
    <mergeCell ref="BA295:BA297"/>
    <mergeCell ref="BC295:BC297"/>
    <mergeCell ref="BD295:BD297"/>
    <mergeCell ref="BE295:BE297"/>
    <mergeCell ref="BF295:BF297"/>
    <mergeCell ref="BG295:BG297"/>
    <mergeCell ref="BH295:BH297"/>
    <mergeCell ref="BI295:BI297"/>
    <mergeCell ref="BJ295:BJ297"/>
    <mergeCell ref="D298:D299"/>
    <mergeCell ref="E298:E299"/>
    <mergeCell ref="F298:F299"/>
    <mergeCell ref="G298:G299"/>
    <mergeCell ref="H298:H299"/>
    <mergeCell ref="I298:I299"/>
    <mergeCell ref="J298:J299"/>
    <mergeCell ref="K298:K299"/>
    <mergeCell ref="L298:L299"/>
    <mergeCell ref="AA298:AA299"/>
    <mergeCell ref="AB298:AB299"/>
    <mergeCell ref="AC298:AC299"/>
    <mergeCell ref="AD298:AD299"/>
    <mergeCell ref="AE298:AE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W298:AW299"/>
    <mergeCell ref="AX298:AX299"/>
    <mergeCell ref="AY298:AY299"/>
    <mergeCell ref="AZ298:AZ299"/>
    <mergeCell ref="BA298:BA299"/>
    <mergeCell ref="BC298:BC299"/>
    <mergeCell ref="BD298:BD299"/>
    <mergeCell ref="BE298:BE299"/>
    <mergeCell ref="BF298:BF299"/>
    <mergeCell ref="BG298:BG299"/>
    <mergeCell ref="BH298:BH299"/>
    <mergeCell ref="BI298:BI299"/>
    <mergeCell ref="BJ298:BJ299"/>
    <mergeCell ref="D300:D302"/>
    <mergeCell ref="E300:E302"/>
    <mergeCell ref="F300:F302"/>
    <mergeCell ref="G300:G302"/>
    <mergeCell ref="H300:H302"/>
    <mergeCell ref="I300:I302"/>
    <mergeCell ref="J300:J302"/>
    <mergeCell ref="K300:K302"/>
    <mergeCell ref="L300:L302"/>
    <mergeCell ref="AA300:AA302"/>
    <mergeCell ref="AB300:AB302"/>
    <mergeCell ref="AC300:AC302"/>
    <mergeCell ref="AD300:AD302"/>
    <mergeCell ref="AE300:AE302"/>
    <mergeCell ref="AG300:AG302"/>
    <mergeCell ref="AH300:AH302"/>
    <mergeCell ref="AI300:AI302"/>
    <mergeCell ref="AJ300:AJ302"/>
    <mergeCell ref="AK300:AK302"/>
    <mergeCell ref="AL300:AL302"/>
    <mergeCell ref="AM300:AM302"/>
    <mergeCell ref="AN300:AN302"/>
    <mergeCell ref="AO300:AO302"/>
    <mergeCell ref="AP300:AP302"/>
    <mergeCell ref="AQ300:AQ302"/>
    <mergeCell ref="AW300:AW302"/>
    <mergeCell ref="AX300:AX302"/>
    <mergeCell ref="AY300:AY302"/>
    <mergeCell ref="AZ300:AZ302"/>
    <mergeCell ref="BA300:BA302"/>
    <mergeCell ref="BC300:BC302"/>
    <mergeCell ref="BD300:BD302"/>
    <mergeCell ref="BE300:BE302"/>
    <mergeCell ref="BF300:BF302"/>
    <mergeCell ref="BG300:BG302"/>
    <mergeCell ref="BH300:BH302"/>
    <mergeCell ref="BI300:BI302"/>
    <mergeCell ref="BJ300:BJ302"/>
    <mergeCell ref="D303:D304"/>
    <mergeCell ref="E303:E304"/>
    <mergeCell ref="F303:F304"/>
    <mergeCell ref="G303:G304"/>
    <mergeCell ref="H303:H304"/>
    <mergeCell ref="I303:I304"/>
    <mergeCell ref="J303:J304"/>
    <mergeCell ref="K303:K304"/>
    <mergeCell ref="L303:L304"/>
    <mergeCell ref="AA303:AA304"/>
    <mergeCell ref="AB303:AB304"/>
    <mergeCell ref="AC303:AC304"/>
    <mergeCell ref="AD303:AD304"/>
    <mergeCell ref="AE303:AE304"/>
    <mergeCell ref="AG303:AG304"/>
    <mergeCell ref="AH303:AH304"/>
    <mergeCell ref="AI303:AI304"/>
    <mergeCell ref="AM303:AM304"/>
    <mergeCell ref="AN303:AN304"/>
    <mergeCell ref="AW303:AW304"/>
    <mergeCell ref="AX303:AX304"/>
    <mergeCell ref="AY303:AY304"/>
    <mergeCell ref="AZ303:AZ304"/>
    <mergeCell ref="BA303:BA304"/>
    <mergeCell ref="BC303:BC304"/>
    <mergeCell ref="BD303:BD304"/>
    <mergeCell ref="BE303:BE304"/>
    <mergeCell ref="BF303:BF304"/>
    <mergeCell ref="BG303:BG304"/>
    <mergeCell ref="BJ303:BJ304"/>
    <mergeCell ref="BL242:BL248"/>
    <mergeCell ref="BM242:BM248"/>
    <mergeCell ref="BN242:BN245"/>
    <mergeCell ref="BT242:BT248"/>
    <mergeCell ref="BU242:BU248"/>
    <mergeCell ref="BV242:BV248"/>
    <mergeCell ref="BW242:BW248"/>
    <mergeCell ref="BX242:BX248"/>
    <mergeCell ref="BZ242:BZ248"/>
    <mergeCell ref="BL257:BL260"/>
    <mergeCell ref="BM257:BM260"/>
    <mergeCell ref="BN257:BN260"/>
    <mergeCell ref="BT257:BT263"/>
    <mergeCell ref="BU257:BU263"/>
    <mergeCell ref="BV257:BV263"/>
    <mergeCell ref="BW257:BW263"/>
    <mergeCell ref="BX257:BX263"/>
    <mergeCell ref="BZ257:BZ263"/>
    <mergeCell ref="BL264:BL265"/>
    <mergeCell ref="BM264:BM265"/>
    <mergeCell ref="BN264:BN265"/>
    <mergeCell ref="BT264:BT266"/>
    <mergeCell ref="BU264:BU266"/>
    <mergeCell ref="BV264:BV266"/>
    <mergeCell ref="CA242:CA248"/>
    <mergeCell ref="CB242:CB248"/>
    <mergeCell ref="CC242:CC248"/>
    <mergeCell ref="CD242:CD248"/>
    <mergeCell ref="CE242:CE245"/>
    <mergeCell ref="CF242:CF245"/>
    <mergeCell ref="CG242:CG248"/>
    <mergeCell ref="CH242:CH248"/>
    <mergeCell ref="CI242:CI248"/>
    <mergeCell ref="CJ242:CJ245"/>
    <mergeCell ref="BN246:BN248"/>
    <mergeCell ref="CE246:CE248"/>
    <mergeCell ref="CF246:CF248"/>
    <mergeCell ref="CJ246:CJ248"/>
    <mergeCell ref="BL249:BL252"/>
    <mergeCell ref="BM249:BM252"/>
    <mergeCell ref="BN249:BN252"/>
    <mergeCell ref="BT249:BT252"/>
    <mergeCell ref="BU249:BU252"/>
    <mergeCell ref="BV249:BV252"/>
    <mergeCell ref="BW249:BW252"/>
    <mergeCell ref="BX249:BX252"/>
    <mergeCell ref="BZ249:BZ252"/>
    <mergeCell ref="CA249:CA252"/>
    <mergeCell ref="CB249:CB252"/>
    <mergeCell ref="CC249:CC252"/>
    <mergeCell ref="CD249:CD252"/>
    <mergeCell ref="CE249:CE252"/>
    <mergeCell ref="CF249:CF252"/>
    <mergeCell ref="CG249:CG252"/>
    <mergeCell ref="CH249:CH252"/>
    <mergeCell ref="CI249:CI252"/>
    <mergeCell ref="CJ249:CJ252"/>
    <mergeCell ref="BL253:BL256"/>
    <mergeCell ref="BM253:BM256"/>
    <mergeCell ref="BN253:BN256"/>
    <mergeCell ref="BT253:BT256"/>
    <mergeCell ref="BU253:BU256"/>
    <mergeCell ref="BV253:BV256"/>
    <mergeCell ref="BW253:BW256"/>
    <mergeCell ref="BX253:BX256"/>
    <mergeCell ref="BZ253:BZ256"/>
    <mergeCell ref="CA253:CA256"/>
    <mergeCell ref="CB253:CB256"/>
    <mergeCell ref="CC253:CC256"/>
    <mergeCell ref="CD253:CD256"/>
    <mergeCell ref="CE253:CE256"/>
    <mergeCell ref="CF253:CF256"/>
    <mergeCell ref="CG253:CG256"/>
    <mergeCell ref="CH253:CH256"/>
    <mergeCell ref="CI253:CI256"/>
    <mergeCell ref="CJ253:CJ256"/>
    <mergeCell ref="CA257:CA263"/>
    <mergeCell ref="CB257:CB263"/>
    <mergeCell ref="CC257:CC263"/>
    <mergeCell ref="CD257:CD260"/>
    <mergeCell ref="CE257:CE260"/>
    <mergeCell ref="CF257:CF260"/>
    <mergeCell ref="CG257:CG263"/>
    <mergeCell ref="CH257:CH260"/>
    <mergeCell ref="CI257:CI260"/>
    <mergeCell ref="CJ257:CJ260"/>
    <mergeCell ref="BL261:BL263"/>
    <mergeCell ref="BM261:BM263"/>
    <mergeCell ref="BN261:BN263"/>
    <mergeCell ref="CD261:CD263"/>
    <mergeCell ref="CE261:CE263"/>
    <mergeCell ref="CF261:CF263"/>
    <mergeCell ref="CH261:CH263"/>
    <mergeCell ref="CI261:CI263"/>
    <mergeCell ref="CJ261:CJ263"/>
    <mergeCell ref="BW264:BW266"/>
    <mergeCell ref="BX264:BX266"/>
    <mergeCell ref="BZ264:BZ266"/>
    <mergeCell ref="CA264:CA266"/>
    <mergeCell ref="CB264:CB266"/>
    <mergeCell ref="CC264:CC266"/>
    <mergeCell ref="CD264:CD265"/>
    <mergeCell ref="CE264:CE265"/>
    <mergeCell ref="CF264:CF265"/>
    <mergeCell ref="CG264:CG266"/>
    <mergeCell ref="CH264:CH265"/>
    <mergeCell ref="CI264:CI265"/>
    <mergeCell ref="CJ264:CJ265"/>
    <mergeCell ref="BL267:BL268"/>
    <mergeCell ref="BM267:BM268"/>
    <mergeCell ref="BN267:BN268"/>
    <mergeCell ref="BT267:BT271"/>
    <mergeCell ref="BU267:BU271"/>
    <mergeCell ref="BV267:BV271"/>
    <mergeCell ref="BW267:BW271"/>
    <mergeCell ref="BX267:BX271"/>
    <mergeCell ref="BZ267:BZ271"/>
    <mergeCell ref="CA267:CA271"/>
    <mergeCell ref="CB267:CB271"/>
    <mergeCell ref="CC267:CC271"/>
    <mergeCell ref="CD267:CD268"/>
    <mergeCell ref="CE267:CE268"/>
    <mergeCell ref="CF267:CF268"/>
    <mergeCell ref="CG267:CG271"/>
    <mergeCell ref="CH267:CH268"/>
    <mergeCell ref="CI267:CI268"/>
    <mergeCell ref="CJ267:CJ268"/>
    <mergeCell ref="CI269:CI271"/>
    <mergeCell ref="CJ269:CJ271"/>
    <mergeCell ref="BL272:BL275"/>
    <mergeCell ref="BM272:BM275"/>
    <mergeCell ref="BN272:BN275"/>
    <mergeCell ref="BT272:BT275"/>
    <mergeCell ref="BU272:BU275"/>
    <mergeCell ref="BV272:BV275"/>
    <mergeCell ref="BW272:BW275"/>
    <mergeCell ref="BX272:BX275"/>
    <mergeCell ref="BZ272:BZ275"/>
    <mergeCell ref="CA272:CA275"/>
    <mergeCell ref="CB272:CB275"/>
    <mergeCell ref="CC272:CC275"/>
    <mergeCell ref="CD272:CD275"/>
    <mergeCell ref="CE272:CE275"/>
    <mergeCell ref="CF272:CF275"/>
    <mergeCell ref="CG272:CG275"/>
    <mergeCell ref="CH272:CH275"/>
    <mergeCell ref="CI272:CI275"/>
    <mergeCell ref="CJ272:CJ275"/>
    <mergeCell ref="BV276:BV277"/>
    <mergeCell ref="BW276:BW277"/>
    <mergeCell ref="BX276:BX277"/>
    <mergeCell ref="BZ276:BZ277"/>
    <mergeCell ref="CA276:CA277"/>
    <mergeCell ref="CB276:CB277"/>
    <mergeCell ref="CC276:CC277"/>
    <mergeCell ref="CD276:CD277"/>
    <mergeCell ref="CE276:CE277"/>
    <mergeCell ref="CF276:CF277"/>
    <mergeCell ref="CG276:CG277"/>
    <mergeCell ref="CH276:CH277"/>
    <mergeCell ref="BL269:BL271"/>
    <mergeCell ref="BM269:BM271"/>
    <mergeCell ref="BN269:BN271"/>
    <mergeCell ref="CD269:CD271"/>
    <mergeCell ref="CE269:CE271"/>
    <mergeCell ref="CF269:CF271"/>
    <mergeCell ref="CH269:CH271"/>
    <mergeCell ref="CC281:CC284"/>
    <mergeCell ref="CD281:CD284"/>
    <mergeCell ref="CE281:CE284"/>
    <mergeCell ref="CF281:CF284"/>
    <mergeCell ref="CG281:CG284"/>
    <mergeCell ref="CH281:CH284"/>
    <mergeCell ref="CI276:CI277"/>
    <mergeCell ref="CJ276:CJ277"/>
    <mergeCell ref="BL278:BL280"/>
    <mergeCell ref="BM278:BM280"/>
    <mergeCell ref="BN278:BN280"/>
    <mergeCell ref="BT278:BT280"/>
    <mergeCell ref="BU278:BU280"/>
    <mergeCell ref="BV278:BV280"/>
    <mergeCell ref="BW278:BW280"/>
    <mergeCell ref="BX278:BX280"/>
    <mergeCell ref="BZ278:BZ280"/>
    <mergeCell ref="CA278:CA280"/>
    <mergeCell ref="CB278:CB280"/>
    <mergeCell ref="CC278:CC280"/>
    <mergeCell ref="CD278:CD280"/>
    <mergeCell ref="CE278:CE280"/>
    <mergeCell ref="CF278:CF280"/>
    <mergeCell ref="CG278:CG280"/>
    <mergeCell ref="CH278:CH280"/>
    <mergeCell ref="CI278:CI280"/>
    <mergeCell ref="CJ278:CJ280"/>
    <mergeCell ref="BL276:BL277"/>
    <mergeCell ref="BM276:BM277"/>
    <mergeCell ref="BN276:BN277"/>
    <mergeCell ref="BT276:BT277"/>
    <mergeCell ref="BU276:BU277"/>
    <mergeCell ref="CI281:CI284"/>
    <mergeCell ref="CJ281:CJ284"/>
    <mergeCell ref="BL285:BL286"/>
    <mergeCell ref="BM285:BM286"/>
    <mergeCell ref="BN285:BN286"/>
    <mergeCell ref="BT285:BT286"/>
    <mergeCell ref="BU285:BU286"/>
    <mergeCell ref="BV285:BV286"/>
    <mergeCell ref="BW285:BW286"/>
    <mergeCell ref="BX285:BX286"/>
    <mergeCell ref="BZ285:BZ286"/>
    <mergeCell ref="CA285:CA286"/>
    <mergeCell ref="CB285:CB286"/>
    <mergeCell ref="CC285:CC286"/>
    <mergeCell ref="CD285:CD286"/>
    <mergeCell ref="CE285:CE286"/>
    <mergeCell ref="CF285:CF286"/>
    <mergeCell ref="CG285:CG286"/>
    <mergeCell ref="CH285:CH286"/>
    <mergeCell ref="CI285:CI286"/>
    <mergeCell ref="CJ285:CJ286"/>
    <mergeCell ref="BL281:BL284"/>
    <mergeCell ref="BM281:BM284"/>
    <mergeCell ref="BN281:BN284"/>
    <mergeCell ref="BT281:BT284"/>
    <mergeCell ref="BU281:BU284"/>
    <mergeCell ref="BV281:BV284"/>
    <mergeCell ref="BW281:BW284"/>
    <mergeCell ref="BX281:BX284"/>
    <mergeCell ref="BZ281:BZ284"/>
    <mergeCell ref="CA281:CA284"/>
    <mergeCell ref="CB281:CB284"/>
    <mergeCell ref="BL287:BL288"/>
    <mergeCell ref="BM287:BM288"/>
    <mergeCell ref="BN287:BN288"/>
    <mergeCell ref="BT287:BT290"/>
    <mergeCell ref="BU287:BU290"/>
    <mergeCell ref="BV287:BV290"/>
    <mergeCell ref="BW287:BW290"/>
    <mergeCell ref="BX287:BX290"/>
    <mergeCell ref="BZ287:BZ290"/>
    <mergeCell ref="CA287:CA290"/>
    <mergeCell ref="CB287:CB290"/>
    <mergeCell ref="CC287:CC290"/>
    <mergeCell ref="CD287:CD288"/>
    <mergeCell ref="CE287:CE288"/>
    <mergeCell ref="CF287:CF288"/>
    <mergeCell ref="CG287:CG290"/>
    <mergeCell ref="CH287:CH288"/>
    <mergeCell ref="BL289:BL290"/>
    <mergeCell ref="BM289:BM290"/>
    <mergeCell ref="BN289:BN290"/>
    <mergeCell ref="CD289:CD290"/>
    <mergeCell ref="CE289:CE290"/>
    <mergeCell ref="CF289:CF290"/>
    <mergeCell ref="CH289:CH290"/>
    <mergeCell ref="CI289:CI290"/>
    <mergeCell ref="CJ289:CJ290"/>
    <mergeCell ref="BL291:BL292"/>
    <mergeCell ref="BM291:BM292"/>
    <mergeCell ref="BN291:BN292"/>
    <mergeCell ref="BT291:BT292"/>
    <mergeCell ref="BU291:BU292"/>
    <mergeCell ref="BV291:BV292"/>
    <mergeCell ref="BW291:BW292"/>
    <mergeCell ref="BX291:BX292"/>
    <mergeCell ref="BZ291:BZ292"/>
    <mergeCell ref="CA291:CA292"/>
    <mergeCell ref="CB291:CB292"/>
    <mergeCell ref="CC291:CC292"/>
    <mergeCell ref="CD291:CD292"/>
    <mergeCell ref="CE291:CE292"/>
    <mergeCell ref="CF291:CF292"/>
    <mergeCell ref="CG291:CG292"/>
    <mergeCell ref="CH291:CH292"/>
    <mergeCell ref="CI291:CI292"/>
    <mergeCell ref="CJ291:CJ292"/>
    <mergeCell ref="BN293:BN294"/>
    <mergeCell ref="BT293:BT294"/>
    <mergeCell ref="BU293:BU294"/>
    <mergeCell ref="BV293:BV294"/>
    <mergeCell ref="BW293:BW294"/>
    <mergeCell ref="BX293:BX294"/>
    <mergeCell ref="BZ293:BZ294"/>
    <mergeCell ref="CA293:CA294"/>
    <mergeCell ref="CB293:CB294"/>
    <mergeCell ref="CC293:CC294"/>
    <mergeCell ref="CD293:CD294"/>
    <mergeCell ref="CE293:CE294"/>
    <mergeCell ref="CF293:CF294"/>
    <mergeCell ref="CG293:CG294"/>
    <mergeCell ref="CH293:CH294"/>
    <mergeCell ref="CI287:CI288"/>
    <mergeCell ref="CJ287:CJ288"/>
    <mergeCell ref="BZ298:BZ299"/>
    <mergeCell ref="CA298:CA299"/>
    <mergeCell ref="CB298:CB299"/>
    <mergeCell ref="CC298:CC299"/>
    <mergeCell ref="CD298:CD299"/>
    <mergeCell ref="CE298:CE299"/>
    <mergeCell ref="CF298:CF299"/>
    <mergeCell ref="CG298:CG299"/>
    <mergeCell ref="CH298:CH299"/>
    <mergeCell ref="CI293:CI294"/>
    <mergeCell ref="CJ293:CJ294"/>
    <mergeCell ref="BL295:BL297"/>
    <mergeCell ref="BM295:BM297"/>
    <mergeCell ref="BN295:BN297"/>
    <mergeCell ref="BT295:BT297"/>
    <mergeCell ref="BU295:BU297"/>
    <mergeCell ref="BV295:BV297"/>
    <mergeCell ref="BW295:BW297"/>
    <mergeCell ref="BX295:BX297"/>
    <mergeCell ref="BZ295:BZ297"/>
    <mergeCell ref="CA295:CA297"/>
    <mergeCell ref="CB295:CB297"/>
    <mergeCell ref="CC295:CC297"/>
    <mergeCell ref="CD295:CD297"/>
    <mergeCell ref="CE295:CE297"/>
    <mergeCell ref="CF295:CF297"/>
    <mergeCell ref="CG295:CG297"/>
    <mergeCell ref="CH295:CH297"/>
    <mergeCell ref="CI295:CI297"/>
    <mergeCell ref="CJ295:CJ297"/>
    <mergeCell ref="BL293:BL294"/>
    <mergeCell ref="BM293:BM294"/>
    <mergeCell ref="CC303:CC304"/>
    <mergeCell ref="CD303:CD304"/>
    <mergeCell ref="CG303:CG304"/>
    <mergeCell ref="CI298:CI299"/>
    <mergeCell ref="CJ298:CJ299"/>
    <mergeCell ref="BL300:BL302"/>
    <mergeCell ref="BM300:BM302"/>
    <mergeCell ref="BN300:BN302"/>
    <mergeCell ref="BT300:BT302"/>
    <mergeCell ref="BU300:BU302"/>
    <mergeCell ref="BV300:BV302"/>
    <mergeCell ref="BW300:BW302"/>
    <mergeCell ref="BX300:BX302"/>
    <mergeCell ref="BZ300:BZ302"/>
    <mergeCell ref="CA300:CA302"/>
    <mergeCell ref="CB300:CB302"/>
    <mergeCell ref="CC300:CC302"/>
    <mergeCell ref="CD300:CD302"/>
    <mergeCell ref="CE300:CE302"/>
    <mergeCell ref="CF300:CF302"/>
    <mergeCell ref="CG300:CG302"/>
    <mergeCell ref="CH300:CH302"/>
    <mergeCell ref="CI300:CI302"/>
    <mergeCell ref="CJ300:CJ302"/>
    <mergeCell ref="BL298:BL299"/>
    <mergeCell ref="BM298:BM299"/>
    <mergeCell ref="BN298:BN299"/>
    <mergeCell ref="BT298:BT299"/>
    <mergeCell ref="BU298:BU299"/>
    <mergeCell ref="BV298:BV299"/>
    <mergeCell ref="BW298:BW299"/>
    <mergeCell ref="BX298:BX299"/>
    <mergeCell ref="BD401:BD405"/>
    <mergeCell ref="BE401:BE405"/>
    <mergeCell ref="BF401:BF405"/>
    <mergeCell ref="BG401:BG405"/>
    <mergeCell ref="BH401:BH405"/>
    <mergeCell ref="BI401:BI405"/>
    <mergeCell ref="BJ401:BJ405"/>
    <mergeCell ref="BK401:BK405"/>
    <mergeCell ref="BL401:BL405"/>
    <mergeCell ref="BT303:BT304"/>
    <mergeCell ref="BU303:BU304"/>
    <mergeCell ref="BV303:BV304"/>
    <mergeCell ref="BW303:BW304"/>
    <mergeCell ref="BX303:BX304"/>
    <mergeCell ref="BZ303:BZ304"/>
    <mergeCell ref="CA303:CA304"/>
    <mergeCell ref="CB303:CB304"/>
    <mergeCell ref="BZ325:BZ326"/>
    <mergeCell ref="BZ327:BZ328"/>
    <mergeCell ref="BZ329:BZ334"/>
    <mergeCell ref="BZ335:BZ341"/>
    <mergeCell ref="BZ342:BZ346"/>
    <mergeCell ref="BZ347:BZ348"/>
    <mergeCell ref="BZ349:BZ356"/>
    <mergeCell ref="BZ359:BZ363"/>
    <mergeCell ref="BZ364:BZ368"/>
    <mergeCell ref="BZ369:BZ370"/>
    <mergeCell ref="BZ371:BZ372"/>
    <mergeCell ref="BF329:BF334"/>
    <mergeCell ref="BG329:BG334"/>
    <mergeCell ref="BH329:BH334"/>
    <mergeCell ref="BI329:BI334"/>
    <mergeCell ref="BH412:BH416"/>
    <mergeCell ref="BI412:BI416"/>
    <mergeCell ref="BJ412:BJ414"/>
    <mergeCell ref="BK412:BK414"/>
    <mergeCell ref="BL412:BL414"/>
    <mergeCell ref="BM412:BM414"/>
    <mergeCell ref="BN412:BN414"/>
    <mergeCell ref="BJ415:BJ416"/>
    <mergeCell ref="BK415:BK416"/>
    <mergeCell ref="BL415:BL416"/>
    <mergeCell ref="BM415:BM416"/>
    <mergeCell ref="BN415:BN416"/>
    <mergeCell ref="BN401:BN405"/>
    <mergeCell ref="BM401:BM405"/>
    <mergeCell ref="BK398:BK400"/>
    <mergeCell ref="BK373:BK374"/>
    <mergeCell ref="BK375:BK377"/>
    <mergeCell ref="BK378:BK380"/>
    <mergeCell ref="BK381:BK382"/>
    <mergeCell ref="BK383:BK385"/>
    <mergeCell ref="BK386:BK388"/>
    <mergeCell ref="BK389:BK391"/>
    <mergeCell ref="BK392:BK394"/>
    <mergeCell ref="BK395:BK397"/>
    <mergeCell ref="BJ373:BJ374"/>
    <mergeCell ref="BN378:BN380"/>
    <mergeCell ref="BL392:BL394"/>
    <mergeCell ref="BM392:BM394"/>
    <mergeCell ref="BL395:BL397"/>
    <mergeCell ref="BM395:BM397"/>
    <mergeCell ref="BN395:BN397"/>
    <mergeCell ref="BM185:BM188"/>
    <mergeCell ref="BD417:BD419"/>
    <mergeCell ref="BE417:BE419"/>
    <mergeCell ref="BF417:BF419"/>
    <mergeCell ref="BG417:BG419"/>
    <mergeCell ref="BH417:BH419"/>
    <mergeCell ref="BI417:BI419"/>
    <mergeCell ref="BJ418:BJ419"/>
    <mergeCell ref="BK418:BK419"/>
    <mergeCell ref="BL418:BL419"/>
    <mergeCell ref="BM418:BM419"/>
    <mergeCell ref="BN418:BN419"/>
    <mergeCell ref="BD420:BD421"/>
    <mergeCell ref="BE420:BE421"/>
    <mergeCell ref="BF420:BF421"/>
    <mergeCell ref="BG420:BG421"/>
    <mergeCell ref="BH420:BH421"/>
    <mergeCell ref="BI420:BI421"/>
    <mergeCell ref="BJ420:BJ421"/>
    <mergeCell ref="BK420:BK421"/>
    <mergeCell ref="BL420:BL421"/>
    <mergeCell ref="BM420:BM421"/>
    <mergeCell ref="BN420:BN421"/>
    <mergeCell ref="BJ410:BJ411"/>
    <mergeCell ref="BK410:BK411"/>
    <mergeCell ref="BL410:BL411"/>
    <mergeCell ref="BM410:BM411"/>
    <mergeCell ref="BN410:BN411"/>
    <mergeCell ref="BD412:BD416"/>
    <mergeCell ref="BE412:BE416"/>
    <mergeCell ref="BF412:BF416"/>
    <mergeCell ref="BG412:BG416"/>
    <mergeCell ref="BN207:BN209"/>
    <mergeCell ref="BD425:BD428"/>
    <mergeCell ref="BE425:BE428"/>
    <mergeCell ref="BF425:BF428"/>
    <mergeCell ref="BG425:BG428"/>
    <mergeCell ref="BH425:BH428"/>
    <mergeCell ref="BI425:BI428"/>
    <mergeCell ref="BJ425:BJ428"/>
    <mergeCell ref="BK425:BK428"/>
    <mergeCell ref="BL425:BL428"/>
    <mergeCell ref="BM425:BM428"/>
    <mergeCell ref="BN425:BN428"/>
    <mergeCell ref="BN429:BN431"/>
    <mergeCell ref="BN432:BN434"/>
    <mergeCell ref="BN435:BN440"/>
    <mergeCell ref="BN441:BN443"/>
    <mergeCell ref="BM158:BM161"/>
    <mergeCell ref="BN158:BN161"/>
    <mergeCell ref="BM162:BM165"/>
    <mergeCell ref="BN162:BN165"/>
    <mergeCell ref="BM166:BM169"/>
    <mergeCell ref="BN166:BN169"/>
    <mergeCell ref="BM170:BM171"/>
    <mergeCell ref="BN170:BN171"/>
    <mergeCell ref="BM172:BM174"/>
    <mergeCell ref="BN172:BN174"/>
    <mergeCell ref="BM175:BM177"/>
    <mergeCell ref="BN175:BN177"/>
    <mergeCell ref="BM178:BM181"/>
    <mergeCell ref="BN178:BN181"/>
    <mergeCell ref="BM182:BM184"/>
    <mergeCell ref="BN182:BN184"/>
    <mergeCell ref="BM210:BM211"/>
    <mergeCell ref="BN210:BN211"/>
    <mergeCell ref="BM212:BM214"/>
    <mergeCell ref="BN212:BN214"/>
    <mergeCell ref="BM215:BM217"/>
    <mergeCell ref="BN215:BN217"/>
    <mergeCell ref="BM218:BM220"/>
    <mergeCell ref="BN218:BN220"/>
    <mergeCell ref="BM221:BM223"/>
    <mergeCell ref="BN221:BN223"/>
    <mergeCell ref="BK242:BK248"/>
    <mergeCell ref="BK249:BK252"/>
    <mergeCell ref="BK253:BK256"/>
    <mergeCell ref="BK257:BK263"/>
    <mergeCell ref="BK264:BK266"/>
    <mergeCell ref="BK267:BK271"/>
    <mergeCell ref="BN185:BN188"/>
    <mergeCell ref="BM189:BM190"/>
    <mergeCell ref="BN189:BN190"/>
    <mergeCell ref="BM191:BM193"/>
    <mergeCell ref="BN191:BN193"/>
    <mergeCell ref="BM194:BM195"/>
    <mergeCell ref="BN194:BN195"/>
    <mergeCell ref="BM196:BM197"/>
    <mergeCell ref="BN196:BN197"/>
    <mergeCell ref="BM198:BM200"/>
    <mergeCell ref="BN198:BN200"/>
    <mergeCell ref="BM201:BM203"/>
    <mergeCell ref="BN201:BN203"/>
    <mergeCell ref="BM204:BM206"/>
    <mergeCell ref="BN204:BN206"/>
    <mergeCell ref="BM207:BM209"/>
    <mergeCell ref="BK272:BK275"/>
    <mergeCell ref="BK276:BK277"/>
    <mergeCell ref="BK278:BK280"/>
    <mergeCell ref="BK281:BK284"/>
    <mergeCell ref="BK285:BK286"/>
    <mergeCell ref="BK287:BK290"/>
    <mergeCell ref="BK291:BK292"/>
    <mergeCell ref="BK293:BK294"/>
    <mergeCell ref="BK295:BK297"/>
    <mergeCell ref="BK298:BK299"/>
    <mergeCell ref="BK300:BK302"/>
    <mergeCell ref="BK303:BK304"/>
    <mergeCell ref="BK305:BK306"/>
    <mergeCell ref="BK307:BK308"/>
    <mergeCell ref="BK310:BK313"/>
    <mergeCell ref="BK314:BK316"/>
    <mergeCell ref="BK317:BK319"/>
  </mergeCells>
  <conditionalFormatting sqref="Y5:Y12">
    <cfRule type="beginsWith" dxfId="2751" priority="2195" operator="beginsWith" text="T">
      <formula>LEFT(Y5,LEN("T"))="T"</formula>
    </cfRule>
    <cfRule type="containsText" dxfId="2750" priority="2196" operator="containsText" text="Sin iniciar">
      <formula>NOT(ISERROR(SEARCH("Sin iniciar",Y5)))</formula>
    </cfRule>
    <cfRule type="containsText" dxfId="2749" priority="2197" operator="containsText" text="En gestión">
      <formula>NOT(ISERROR(SEARCH("En gestión",Y5)))</formula>
    </cfRule>
  </conditionalFormatting>
  <conditionalFormatting sqref="BA5">
    <cfRule type="beginsWith" dxfId="2748" priority="2165" operator="beginsWith" text="T">
      <formula>LEFT(BA5,LEN("T"))="T"</formula>
    </cfRule>
    <cfRule type="containsText" dxfId="2747" priority="2166" operator="containsText" text="Sin iniciar">
      <formula>NOT(ISERROR(SEARCH("Sin iniciar",BA5)))</formula>
    </cfRule>
    <cfRule type="containsText" dxfId="2746" priority="2167" operator="containsText" text="En gestión">
      <formula>NOT(ISERROR(SEARCH("En gestión",BA5)))</formula>
    </cfRule>
  </conditionalFormatting>
  <conditionalFormatting sqref="Z5:Z12">
    <cfRule type="beginsWith" dxfId="2745" priority="2192" operator="beginsWith" text="T">
      <formula>LEFT(Z5,LEN("T"))="T"</formula>
    </cfRule>
    <cfRule type="containsText" dxfId="2744" priority="2193" operator="containsText" text="Sin iniciar">
      <formula>NOT(ISERROR(SEARCH("Sin iniciar",Z5)))</formula>
    </cfRule>
    <cfRule type="containsText" dxfId="2743" priority="2194" operator="containsText" text="En gestión">
      <formula>NOT(ISERROR(SEARCH("En gestión",Z5)))</formula>
    </cfRule>
  </conditionalFormatting>
  <conditionalFormatting sqref="AD5">
    <cfRule type="beginsWith" dxfId="2742" priority="2189" operator="beginsWith" text="T">
      <formula>LEFT(AD5,LEN("T"))="T"</formula>
    </cfRule>
    <cfRule type="containsText" dxfId="2741" priority="2190" operator="containsText" text="Sin iniciar">
      <formula>NOT(ISERROR(SEARCH("Sin iniciar",AD5)))</formula>
    </cfRule>
    <cfRule type="containsText" dxfId="2740" priority="2191" operator="containsText" text="En gestión">
      <formula>NOT(ISERROR(SEARCH("En gestión",AD5)))</formula>
    </cfRule>
  </conditionalFormatting>
  <conditionalFormatting sqref="AD7 AD9">
    <cfRule type="beginsWith" dxfId="2739" priority="2186" operator="beginsWith" text="T">
      <formula>LEFT(AD7,LEN("T"))="T"</formula>
    </cfRule>
    <cfRule type="containsText" dxfId="2738" priority="2187" operator="containsText" text="Sin iniciar">
      <formula>NOT(ISERROR(SEARCH("Sin iniciar",AD7)))</formula>
    </cfRule>
    <cfRule type="containsText" dxfId="2737" priority="2188" operator="containsText" text="En gestión">
      <formula>NOT(ISERROR(SEARCH("En gestión",AD7)))</formula>
    </cfRule>
  </conditionalFormatting>
  <conditionalFormatting sqref="AE5">
    <cfRule type="beginsWith" dxfId="2736" priority="2183" operator="beginsWith" text="T">
      <formula>LEFT(AE5,LEN("T"))="T"</formula>
    </cfRule>
    <cfRule type="containsText" dxfId="2735" priority="2184" operator="containsText" text="Sin iniciar">
      <formula>NOT(ISERROR(SEARCH("Sin iniciar",AE5)))</formula>
    </cfRule>
    <cfRule type="containsText" dxfId="2734" priority="2185" operator="containsText" text="En gestión">
      <formula>NOT(ISERROR(SEARCH("En gestión",AE5)))</formula>
    </cfRule>
  </conditionalFormatting>
  <conditionalFormatting sqref="AE7 AE9">
    <cfRule type="beginsWith" dxfId="2733" priority="2180" operator="beginsWith" text="T">
      <formula>LEFT(AE7,LEN("T"))="T"</formula>
    </cfRule>
    <cfRule type="containsText" dxfId="2732" priority="2181" operator="containsText" text="Sin iniciar">
      <formula>NOT(ISERROR(SEARCH("Sin iniciar",AE7)))</formula>
    </cfRule>
    <cfRule type="containsText" dxfId="2731" priority="2182" operator="containsText" text="En gestión">
      <formula>NOT(ISERROR(SEARCH("En gestión",AE7)))</formula>
    </cfRule>
  </conditionalFormatting>
  <conditionalFormatting sqref="AV5:AV10">
    <cfRule type="beginsWith" dxfId="2730" priority="2177" operator="beginsWith" text="T">
      <formula>LEFT(AV5,LEN("T"))="T"</formula>
    </cfRule>
    <cfRule type="containsText" dxfId="2729" priority="2178" operator="containsText" text="Sin iniciar">
      <formula>NOT(ISERROR(SEARCH("Sin iniciar",AV5)))</formula>
    </cfRule>
    <cfRule type="containsText" dxfId="2728" priority="2179" operator="containsText" text="En gestión">
      <formula>NOT(ISERROR(SEARCH("En gestión",AV5)))</formula>
    </cfRule>
  </conditionalFormatting>
  <conditionalFormatting sqref="AU5:AU10">
    <cfRule type="beginsWith" dxfId="2727" priority="2174" operator="beginsWith" text="T">
      <formula>LEFT(AU5,LEN("T"))="T"</formula>
    </cfRule>
    <cfRule type="containsText" dxfId="2726" priority="2175" operator="containsText" text="Sin iniciar">
      <formula>NOT(ISERROR(SEARCH("Sin iniciar",AU5)))</formula>
    </cfRule>
    <cfRule type="containsText" dxfId="2725" priority="2176" operator="containsText" text="En gestión">
      <formula>NOT(ISERROR(SEARCH("En gestión",AU5)))</formula>
    </cfRule>
  </conditionalFormatting>
  <conditionalFormatting sqref="AZ5">
    <cfRule type="beginsWith" dxfId="2724" priority="2171" operator="beginsWith" text="T">
      <formula>LEFT(AZ5,LEN("T"))="T"</formula>
    </cfRule>
    <cfRule type="containsText" dxfId="2723" priority="2172" operator="containsText" text="Sin iniciar">
      <formula>NOT(ISERROR(SEARCH("Sin iniciar",AZ5)))</formula>
    </cfRule>
    <cfRule type="containsText" dxfId="2722" priority="2173" operator="containsText" text="En gestión">
      <formula>NOT(ISERROR(SEARCH("En gestión",AZ5)))</formula>
    </cfRule>
  </conditionalFormatting>
  <conditionalFormatting sqref="AZ7 AZ9">
    <cfRule type="beginsWith" dxfId="2721" priority="2168" operator="beginsWith" text="T">
      <formula>LEFT(AZ7,LEN("T"))="T"</formula>
    </cfRule>
    <cfRule type="containsText" dxfId="2720" priority="2169" operator="containsText" text="Sin iniciar">
      <formula>NOT(ISERROR(SEARCH("Sin iniciar",AZ7)))</formula>
    </cfRule>
    <cfRule type="containsText" dxfId="2719" priority="2170" operator="containsText" text="En gestión">
      <formula>NOT(ISERROR(SEARCH("En gestión",AZ7)))</formula>
    </cfRule>
  </conditionalFormatting>
  <conditionalFormatting sqref="BA7 BA9">
    <cfRule type="beginsWith" dxfId="2718" priority="2162" operator="beginsWith" text="T">
      <formula>LEFT(BA7,LEN("T"))="T"</formula>
    </cfRule>
    <cfRule type="containsText" dxfId="2717" priority="2163" operator="containsText" text="Sin iniciar">
      <formula>NOT(ISERROR(SEARCH("Sin iniciar",BA7)))</formula>
    </cfRule>
    <cfRule type="containsText" dxfId="2716" priority="2164" operator="containsText" text="En gestión">
      <formula>NOT(ISERROR(SEARCH("En gestión",BA7)))</formula>
    </cfRule>
  </conditionalFormatting>
  <conditionalFormatting sqref="BS5:BS12">
    <cfRule type="beginsWith" dxfId="2715" priority="2159" operator="beginsWith" text="T">
      <formula>LEFT(BS5,LEN("T"))="T"</formula>
    </cfRule>
    <cfRule type="containsText" dxfId="2714" priority="2160" operator="containsText" text="Sin iniciar">
      <formula>NOT(ISERROR(SEARCH("Sin iniciar",BS5)))</formula>
    </cfRule>
    <cfRule type="containsText" dxfId="2713" priority="2161" operator="containsText" text="En gestión">
      <formula>NOT(ISERROR(SEARCH("En gestión",BS5)))</formula>
    </cfRule>
  </conditionalFormatting>
  <conditionalFormatting sqref="BR5:BR12">
    <cfRule type="beginsWith" dxfId="2712" priority="2156" operator="beginsWith" text="T">
      <formula>LEFT(BR5,LEN("T"))="T"</formula>
    </cfRule>
    <cfRule type="containsText" dxfId="2711" priority="2157" operator="containsText" text="Sin iniciar">
      <formula>NOT(ISERROR(SEARCH("Sin iniciar",BR5)))</formula>
    </cfRule>
    <cfRule type="containsText" dxfId="2710" priority="2158" operator="containsText" text="En gestión">
      <formula>NOT(ISERROR(SEARCH("En gestión",BR5)))</formula>
    </cfRule>
  </conditionalFormatting>
  <conditionalFormatting sqref="BX5">
    <cfRule type="beginsWith" dxfId="2709" priority="2147" operator="beginsWith" text="T">
      <formula>LEFT(BX5,LEN("T"))="T"</formula>
    </cfRule>
    <cfRule type="containsText" dxfId="2708" priority="2148" operator="containsText" text="Sin iniciar">
      <formula>NOT(ISERROR(SEARCH("Sin iniciar",BX5)))</formula>
    </cfRule>
    <cfRule type="containsText" dxfId="2707" priority="2149" operator="containsText" text="En gestión">
      <formula>NOT(ISERROR(SEARCH("En gestión",BX5)))</formula>
    </cfRule>
  </conditionalFormatting>
  <conditionalFormatting sqref="BW5">
    <cfRule type="beginsWith" dxfId="2706" priority="2153" operator="beginsWith" text="T">
      <formula>LEFT(BW5,LEN("T"))="T"</formula>
    </cfRule>
    <cfRule type="containsText" dxfId="2705" priority="2154" operator="containsText" text="Sin iniciar">
      <formula>NOT(ISERROR(SEARCH("Sin iniciar",BW5)))</formula>
    </cfRule>
    <cfRule type="containsText" dxfId="2704" priority="2155" operator="containsText" text="En gestión">
      <formula>NOT(ISERROR(SEARCH("En gestión",BW5)))</formula>
    </cfRule>
  </conditionalFormatting>
  <conditionalFormatting sqref="BW7 BW9 BW11">
    <cfRule type="beginsWith" dxfId="2703" priority="2150" operator="beginsWith" text="T">
      <formula>LEFT(BW7,LEN("T"))="T"</formula>
    </cfRule>
    <cfRule type="containsText" dxfId="2702" priority="2151" operator="containsText" text="Sin iniciar">
      <formula>NOT(ISERROR(SEARCH("Sin iniciar",BW7)))</formula>
    </cfRule>
    <cfRule type="containsText" dxfId="2701" priority="2152" operator="containsText" text="En gestión">
      <formula>NOT(ISERROR(SEARCH("En gestión",BW7)))</formula>
    </cfRule>
  </conditionalFormatting>
  <conditionalFormatting sqref="BX7 BX9 BX11">
    <cfRule type="beginsWith" dxfId="2700" priority="2144" operator="beginsWith" text="T">
      <formula>LEFT(BX7,LEN("T"))="T"</formula>
    </cfRule>
    <cfRule type="containsText" dxfId="2699" priority="2145" operator="containsText" text="Sin iniciar">
      <formula>NOT(ISERROR(SEARCH("Sin iniciar",BX7)))</formula>
    </cfRule>
    <cfRule type="containsText" dxfId="2698" priority="2146" operator="containsText" text="En gestión">
      <formula>NOT(ISERROR(SEARCH("En gestión",BX7)))</formula>
    </cfRule>
  </conditionalFormatting>
  <conditionalFormatting sqref="AD11">
    <cfRule type="beginsWith" dxfId="2697" priority="2141" operator="beginsWith" text="T">
      <formula>LEFT(AD11,LEN("T"))="T"</formula>
    </cfRule>
    <cfRule type="containsText" dxfId="2696" priority="2142" operator="containsText" text="Sin iniciar">
      <formula>NOT(ISERROR(SEARCH("Sin iniciar",AD11)))</formula>
    </cfRule>
    <cfRule type="containsText" dxfId="2695" priority="2143" operator="containsText" text="En gestión">
      <formula>NOT(ISERROR(SEARCH("En gestión",AD11)))</formula>
    </cfRule>
  </conditionalFormatting>
  <conditionalFormatting sqref="AE11">
    <cfRule type="beginsWith" dxfId="2694" priority="2138" operator="beginsWith" text="T">
      <formula>LEFT(AE11,LEN("T"))="T"</formula>
    </cfRule>
    <cfRule type="containsText" dxfId="2693" priority="2139" operator="containsText" text="Sin iniciar">
      <formula>NOT(ISERROR(SEARCH("Sin iniciar",AE11)))</formula>
    </cfRule>
    <cfRule type="containsText" dxfId="2692" priority="2140" operator="containsText" text="En gestión">
      <formula>NOT(ISERROR(SEARCH("En gestión",AE11)))</formula>
    </cfRule>
  </conditionalFormatting>
  <conditionalFormatting sqref="AV11:AV12">
    <cfRule type="beginsWith" dxfId="2691" priority="2135" operator="beginsWith" text="T">
      <formula>LEFT(AV11,LEN("T"))="T"</formula>
    </cfRule>
    <cfRule type="containsText" dxfId="2690" priority="2136" operator="containsText" text="Sin iniciar">
      <formula>NOT(ISERROR(SEARCH("Sin iniciar",AV11)))</formula>
    </cfRule>
    <cfRule type="containsText" dxfId="2689" priority="2137" operator="containsText" text="En gestión">
      <formula>NOT(ISERROR(SEARCH("En gestión",AV11)))</formula>
    </cfRule>
  </conditionalFormatting>
  <conditionalFormatting sqref="AU11:AU12">
    <cfRule type="beginsWith" dxfId="2688" priority="2132" operator="beginsWith" text="T">
      <formula>LEFT(AU11,LEN("T"))="T"</formula>
    </cfRule>
    <cfRule type="containsText" dxfId="2687" priority="2133" operator="containsText" text="Sin iniciar">
      <formula>NOT(ISERROR(SEARCH("Sin iniciar",AU11)))</formula>
    </cfRule>
    <cfRule type="containsText" dxfId="2686" priority="2134" operator="containsText" text="En gestión">
      <formula>NOT(ISERROR(SEARCH("En gestión",AU11)))</formula>
    </cfRule>
  </conditionalFormatting>
  <conditionalFormatting sqref="AZ11">
    <cfRule type="beginsWith" dxfId="2685" priority="2129" operator="beginsWith" text="T">
      <formula>LEFT(AZ11,LEN("T"))="T"</formula>
    </cfRule>
    <cfRule type="containsText" dxfId="2684" priority="2130" operator="containsText" text="Sin iniciar">
      <formula>NOT(ISERROR(SEARCH("Sin iniciar",AZ11)))</formula>
    </cfRule>
    <cfRule type="containsText" dxfId="2683" priority="2131" operator="containsText" text="En gestión">
      <formula>NOT(ISERROR(SEARCH("En gestión",AZ11)))</formula>
    </cfRule>
  </conditionalFormatting>
  <conditionalFormatting sqref="BA11">
    <cfRule type="beginsWith" dxfId="2682" priority="2126" operator="beginsWith" text="T">
      <formula>LEFT(BA11,LEN("T"))="T"</formula>
    </cfRule>
    <cfRule type="containsText" dxfId="2681" priority="2127" operator="containsText" text="Sin iniciar">
      <formula>NOT(ISERROR(SEARCH("Sin iniciar",BA11)))</formula>
    </cfRule>
    <cfRule type="containsText" dxfId="2680" priority="2128" operator="containsText" text="En gestión">
      <formula>NOT(ISERROR(SEARCH("En gestión",BA11)))</formula>
    </cfRule>
  </conditionalFormatting>
  <conditionalFormatting sqref="BX41">
    <cfRule type="beginsWith" dxfId="2679" priority="2018" operator="beginsWith" text="T">
      <formula>LEFT(BX41,LEN("T"))="T"</formula>
    </cfRule>
    <cfRule type="containsText" dxfId="2678" priority="2019" operator="containsText" text="Sin iniciar">
      <formula>NOT(ISERROR(SEARCH("Sin iniciar",BX41)))</formula>
    </cfRule>
    <cfRule type="containsText" dxfId="2677" priority="2020" operator="containsText" text="En gestión">
      <formula>NOT(ISERROR(SEARCH("En gestión",BX41)))</formula>
    </cfRule>
  </conditionalFormatting>
  <conditionalFormatting sqref="BX53">
    <cfRule type="beginsWith" dxfId="2676" priority="1946" operator="beginsWith" text="T">
      <formula>LEFT(BX53,LEN("T"))="T"</formula>
    </cfRule>
    <cfRule type="containsText" dxfId="2675" priority="1947" operator="containsText" text="Sin iniciar">
      <formula>NOT(ISERROR(SEARCH("Sin iniciar",BX53)))</formula>
    </cfRule>
    <cfRule type="containsText" dxfId="2674" priority="1948" operator="containsText" text="En gestión">
      <formula>NOT(ISERROR(SEARCH("En gestión",BX53)))</formula>
    </cfRule>
  </conditionalFormatting>
  <conditionalFormatting sqref="BW210:BX210">
    <cfRule type="beginsWith" dxfId="2673" priority="896" operator="beginsWith" text="T">
      <formula>LEFT(BW210,LEN("T"))="T"</formula>
    </cfRule>
    <cfRule type="containsText" dxfId="2672" priority="897" operator="containsText" text="Sin iniciar">
      <formula>NOT(ISERROR(SEARCH("Sin iniciar",BW210)))</formula>
    </cfRule>
    <cfRule type="containsText" dxfId="2671" priority="898" operator="containsText" text="En gestión">
      <formula>NOT(ISERROR(SEARCH("En gestión",BW210)))</formula>
    </cfRule>
  </conditionalFormatting>
  <conditionalFormatting sqref="BX398">
    <cfRule type="beginsWith" dxfId="2670" priority="421" operator="beginsWith" text="T">
      <formula>LEFT(BX398,LEN("T"))="T"</formula>
    </cfRule>
    <cfRule type="containsText" dxfId="2669" priority="422" operator="containsText" text="Sin iniciar">
      <formula>NOT(ISERROR(SEARCH("Sin iniciar",BX398)))</formula>
    </cfRule>
    <cfRule type="containsText" dxfId="2668" priority="423" operator="containsText" text="En gestión">
      <formula>NOT(ISERROR(SEARCH("En gestión",BX398)))</formula>
    </cfRule>
  </conditionalFormatting>
  <conditionalFormatting sqref="BR401:BR428">
    <cfRule type="beginsWith" dxfId="2667" priority="334" operator="beginsWith" text="T">
      <formula>LEFT(BR401,LEN("T"))="T"</formula>
    </cfRule>
    <cfRule type="containsText" dxfId="2666" priority="335" operator="containsText" text="Sin iniciar">
      <formula>NOT(ISERROR(SEARCH("Sin iniciar",BR401)))</formula>
    </cfRule>
    <cfRule type="containsText" dxfId="2665" priority="336" operator="containsText" text="En gestión">
      <formula>NOT(ISERROR(SEARCH("En gestión",BR401)))</formula>
    </cfRule>
  </conditionalFormatting>
  <conditionalFormatting sqref="BX449">
    <cfRule type="beginsWith" dxfId="2664" priority="208" operator="beginsWith" text="T">
      <formula>LEFT(BX449,LEN("T"))="T"</formula>
    </cfRule>
    <cfRule type="containsText" dxfId="2663" priority="209" operator="containsText" text="Sin iniciar">
      <formula>NOT(ISERROR(SEARCH("Sin iniciar",BX449)))</formula>
    </cfRule>
    <cfRule type="containsText" dxfId="2662" priority="210" operator="containsText" text="En gestión">
      <formula>NOT(ISERROR(SEARCH("En gestión",BX449)))</formula>
    </cfRule>
  </conditionalFormatting>
  <conditionalFormatting sqref="Y13:Y42">
    <cfRule type="beginsWith" dxfId="2661" priority="2123" operator="beginsWith" text="T">
      <formula>LEFT(Y13,LEN("T"))="T"</formula>
    </cfRule>
    <cfRule type="containsText" dxfId="2660" priority="2124" operator="containsText" text="Sin iniciar">
      <formula>NOT(ISERROR(SEARCH("Sin iniciar",Y13)))</formula>
    </cfRule>
    <cfRule type="containsText" dxfId="2659" priority="2125" operator="containsText" text="En gestión">
      <formula>NOT(ISERROR(SEARCH("En gestión",Y13)))</formula>
    </cfRule>
  </conditionalFormatting>
  <conditionalFormatting sqref="Z13:Z42">
    <cfRule type="beginsWith" dxfId="2658" priority="2120" operator="beginsWith" text="T">
      <formula>LEFT(Z13,LEN("T"))="T"</formula>
    </cfRule>
    <cfRule type="containsText" dxfId="2657" priority="2121" operator="containsText" text="Sin iniciar">
      <formula>NOT(ISERROR(SEARCH("Sin iniciar",Z13)))</formula>
    </cfRule>
    <cfRule type="containsText" dxfId="2656" priority="2122" operator="containsText" text="En gestión">
      <formula>NOT(ISERROR(SEARCH("En gestión",Z13)))</formula>
    </cfRule>
  </conditionalFormatting>
  <conditionalFormatting sqref="AV13:AV42">
    <cfRule type="beginsWith" dxfId="2655" priority="2117" operator="beginsWith" text="T">
      <formula>LEFT(AV13,LEN("T"))="T"</formula>
    </cfRule>
    <cfRule type="containsText" dxfId="2654" priority="2118" operator="containsText" text="Sin iniciar">
      <formula>NOT(ISERROR(SEARCH("Sin iniciar",AV13)))</formula>
    </cfRule>
    <cfRule type="containsText" dxfId="2653" priority="2119" operator="containsText" text="En gestión">
      <formula>NOT(ISERROR(SEARCH("En gestión",AV13)))</formula>
    </cfRule>
  </conditionalFormatting>
  <conditionalFormatting sqref="AU13:AU42">
    <cfRule type="beginsWith" dxfId="2652" priority="2114" operator="beginsWith" text="T">
      <formula>LEFT(AU13,LEN("T"))="T"</formula>
    </cfRule>
    <cfRule type="containsText" dxfId="2651" priority="2115" operator="containsText" text="Sin iniciar">
      <formula>NOT(ISERROR(SEARCH("Sin iniciar",AU13)))</formula>
    </cfRule>
    <cfRule type="containsText" dxfId="2650" priority="2116" operator="containsText" text="En gestión">
      <formula>NOT(ISERROR(SEARCH("En gestión",AU13)))</formula>
    </cfRule>
  </conditionalFormatting>
  <conditionalFormatting sqref="AE15">
    <cfRule type="beginsWith" dxfId="2649" priority="2102" operator="beginsWith" text="T">
      <formula>LEFT(AE15,LEN("T"))="T"</formula>
    </cfRule>
    <cfRule type="containsText" dxfId="2648" priority="2103" operator="containsText" text="Sin iniciar">
      <formula>NOT(ISERROR(SEARCH("Sin iniciar",AE15)))</formula>
    </cfRule>
    <cfRule type="containsText" dxfId="2647" priority="2104" operator="containsText" text="En gestión">
      <formula>NOT(ISERROR(SEARCH("En gestión",AE15)))</formula>
    </cfRule>
  </conditionalFormatting>
  <conditionalFormatting sqref="AD22">
    <cfRule type="beginsWith" dxfId="2646" priority="2099" operator="beginsWith" text="T">
      <formula>LEFT(AD22,LEN("T"))="T"</formula>
    </cfRule>
    <cfRule type="containsText" dxfId="2645" priority="2100" operator="containsText" text="Sin iniciar">
      <formula>NOT(ISERROR(SEARCH("Sin iniciar",AD22)))</formula>
    </cfRule>
    <cfRule type="containsText" dxfId="2644" priority="2101" operator="containsText" text="En gestión">
      <formula>NOT(ISERROR(SEARCH("En gestión",AD22)))</formula>
    </cfRule>
  </conditionalFormatting>
  <conditionalFormatting sqref="AD13">
    <cfRule type="beginsWith" dxfId="2643" priority="2111" operator="beginsWith" text="T">
      <formula>LEFT(AD13,LEN("T"))="T"</formula>
    </cfRule>
    <cfRule type="containsText" dxfId="2642" priority="2112" operator="containsText" text="Sin iniciar">
      <formula>NOT(ISERROR(SEARCH("Sin iniciar",AD13)))</formula>
    </cfRule>
    <cfRule type="containsText" dxfId="2641" priority="2113" operator="containsText" text="En gestión">
      <formula>NOT(ISERROR(SEARCH("En gestión",AD13)))</formula>
    </cfRule>
  </conditionalFormatting>
  <conditionalFormatting sqref="AE13">
    <cfRule type="beginsWith" dxfId="2640" priority="2108" operator="beginsWith" text="T">
      <formula>LEFT(AE13,LEN("T"))="T"</formula>
    </cfRule>
    <cfRule type="containsText" dxfId="2639" priority="2109" operator="containsText" text="Sin iniciar">
      <formula>NOT(ISERROR(SEARCH("Sin iniciar",AE13)))</formula>
    </cfRule>
    <cfRule type="containsText" dxfId="2638" priority="2110" operator="containsText" text="En gestión">
      <formula>NOT(ISERROR(SEARCH("En gestión",AE13)))</formula>
    </cfRule>
  </conditionalFormatting>
  <conditionalFormatting sqref="AE39">
    <cfRule type="beginsWith" dxfId="2637" priority="2090" operator="beginsWith" text="T">
      <formula>LEFT(AE39,LEN("T"))="T"</formula>
    </cfRule>
    <cfRule type="containsText" dxfId="2636" priority="2091" operator="containsText" text="Sin iniciar">
      <formula>NOT(ISERROR(SEARCH("Sin iniciar",AE39)))</formula>
    </cfRule>
    <cfRule type="containsText" dxfId="2635" priority="2092" operator="containsText" text="En gestión">
      <formula>NOT(ISERROR(SEARCH("En gestión",AE39)))</formula>
    </cfRule>
  </conditionalFormatting>
  <conditionalFormatting sqref="AD41">
    <cfRule type="beginsWith" dxfId="2634" priority="2087" operator="beginsWith" text="T">
      <formula>LEFT(AD41,LEN("T"))="T"</formula>
    </cfRule>
    <cfRule type="containsText" dxfId="2633" priority="2088" operator="containsText" text="Sin iniciar">
      <formula>NOT(ISERROR(SEARCH("Sin iniciar",AD41)))</formula>
    </cfRule>
    <cfRule type="containsText" dxfId="2632" priority="2089" operator="containsText" text="En gestión">
      <formula>NOT(ISERROR(SEARCH("En gestión",AD41)))</formula>
    </cfRule>
  </conditionalFormatting>
  <conditionalFormatting sqref="AE41">
    <cfRule type="beginsWith" dxfId="2631" priority="2084" operator="beginsWith" text="T">
      <formula>LEFT(AE41,LEN("T"))="T"</formula>
    </cfRule>
    <cfRule type="containsText" dxfId="2630" priority="2085" operator="containsText" text="Sin iniciar">
      <formula>NOT(ISERROR(SEARCH("Sin iniciar",AE41)))</formula>
    </cfRule>
    <cfRule type="containsText" dxfId="2629" priority="2086" operator="containsText" text="En gestión">
      <formula>NOT(ISERROR(SEARCH("En gestión",AE41)))</formula>
    </cfRule>
  </conditionalFormatting>
  <conditionalFormatting sqref="AZ13">
    <cfRule type="beginsWith" dxfId="2628" priority="2081" operator="beginsWith" text="T">
      <formula>LEFT(AZ13,LEN("T"))="T"</formula>
    </cfRule>
    <cfRule type="containsText" dxfId="2627" priority="2082" operator="containsText" text="Sin iniciar">
      <formula>NOT(ISERROR(SEARCH("Sin iniciar",AZ13)))</formula>
    </cfRule>
    <cfRule type="containsText" dxfId="2626" priority="2083" operator="containsText" text="En gestión">
      <formula>NOT(ISERROR(SEARCH("En gestión",AZ13)))</formula>
    </cfRule>
  </conditionalFormatting>
  <conditionalFormatting sqref="AD15">
    <cfRule type="beginsWith" dxfId="2625" priority="2105" operator="beginsWith" text="T">
      <formula>LEFT(AD15,LEN("T"))="T"</formula>
    </cfRule>
    <cfRule type="containsText" dxfId="2624" priority="2106" operator="containsText" text="Sin iniciar">
      <formula>NOT(ISERROR(SEARCH("Sin iniciar",AD15)))</formula>
    </cfRule>
    <cfRule type="containsText" dxfId="2623" priority="2107" operator="containsText" text="En gestión">
      <formula>NOT(ISERROR(SEARCH("En gestión",AD15)))</formula>
    </cfRule>
  </conditionalFormatting>
  <conditionalFormatting sqref="AE22">
    <cfRule type="beginsWith" dxfId="2622" priority="2096" operator="beginsWith" text="T">
      <formula>LEFT(AE22,LEN("T"))="T"</formula>
    </cfRule>
    <cfRule type="containsText" dxfId="2621" priority="2097" operator="containsText" text="Sin iniciar">
      <formula>NOT(ISERROR(SEARCH("Sin iniciar",AE22)))</formula>
    </cfRule>
    <cfRule type="containsText" dxfId="2620" priority="2098" operator="containsText" text="En gestión">
      <formula>NOT(ISERROR(SEARCH("En gestión",AE22)))</formula>
    </cfRule>
  </conditionalFormatting>
  <conditionalFormatting sqref="AD39">
    <cfRule type="beginsWith" dxfId="2619" priority="2093" operator="beginsWith" text="T">
      <formula>LEFT(AD39,LEN("T"))="T"</formula>
    </cfRule>
    <cfRule type="containsText" dxfId="2618" priority="2094" operator="containsText" text="Sin iniciar">
      <formula>NOT(ISERROR(SEARCH("Sin iniciar",AD39)))</formula>
    </cfRule>
    <cfRule type="containsText" dxfId="2617" priority="2095" operator="containsText" text="En gestión">
      <formula>NOT(ISERROR(SEARCH("En gestión",AD39)))</formula>
    </cfRule>
  </conditionalFormatting>
  <conditionalFormatting sqref="BA13">
    <cfRule type="beginsWith" dxfId="2616" priority="2078" operator="beginsWith" text="T">
      <formula>LEFT(BA13,LEN("T"))="T"</formula>
    </cfRule>
    <cfRule type="containsText" dxfId="2615" priority="2079" operator="containsText" text="Sin iniciar">
      <formula>NOT(ISERROR(SEARCH("Sin iniciar",BA13)))</formula>
    </cfRule>
    <cfRule type="containsText" dxfId="2614" priority="2080" operator="containsText" text="En gestión">
      <formula>NOT(ISERROR(SEARCH("En gestión",BA13)))</formula>
    </cfRule>
  </conditionalFormatting>
  <conditionalFormatting sqref="AZ15">
    <cfRule type="beginsWith" dxfId="2613" priority="2075" operator="beginsWith" text="T">
      <formula>LEFT(AZ15,LEN("T"))="T"</formula>
    </cfRule>
    <cfRule type="containsText" dxfId="2612" priority="2076" operator="containsText" text="Sin iniciar">
      <formula>NOT(ISERROR(SEARCH("Sin iniciar",AZ15)))</formula>
    </cfRule>
    <cfRule type="containsText" dxfId="2611" priority="2077" operator="containsText" text="En gestión">
      <formula>NOT(ISERROR(SEARCH("En gestión",AZ15)))</formula>
    </cfRule>
  </conditionalFormatting>
  <conditionalFormatting sqref="BA15">
    <cfRule type="beginsWith" dxfId="2610" priority="2072" operator="beginsWith" text="T">
      <formula>LEFT(BA15,LEN("T"))="T"</formula>
    </cfRule>
    <cfRule type="containsText" dxfId="2609" priority="2073" operator="containsText" text="Sin iniciar">
      <formula>NOT(ISERROR(SEARCH("Sin iniciar",BA15)))</formula>
    </cfRule>
    <cfRule type="containsText" dxfId="2608" priority="2074" operator="containsText" text="En gestión">
      <formula>NOT(ISERROR(SEARCH("En gestión",BA15)))</formula>
    </cfRule>
  </conditionalFormatting>
  <conditionalFormatting sqref="AZ22">
    <cfRule type="beginsWith" dxfId="2607" priority="2069" operator="beginsWith" text="T">
      <formula>LEFT(AZ22,LEN("T"))="T"</formula>
    </cfRule>
    <cfRule type="containsText" dxfId="2606" priority="2070" operator="containsText" text="Sin iniciar">
      <formula>NOT(ISERROR(SEARCH("Sin iniciar",AZ22)))</formula>
    </cfRule>
    <cfRule type="containsText" dxfId="2605" priority="2071" operator="containsText" text="En gestión">
      <formula>NOT(ISERROR(SEARCH("En gestión",AZ22)))</formula>
    </cfRule>
  </conditionalFormatting>
  <conditionalFormatting sqref="BA22">
    <cfRule type="beginsWith" dxfId="2604" priority="2066" operator="beginsWith" text="T">
      <formula>LEFT(BA22,LEN("T"))="T"</formula>
    </cfRule>
    <cfRule type="containsText" dxfId="2603" priority="2067" operator="containsText" text="Sin iniciar">
      <formula>NOT(ISERROR(SEARCH("Sin iniciar",BA22)))</formula>
    </cfRule>
    <cfRule type="containsText" dxfId="2602" priority="2068" operator="containsText" text="En gestión">
      <formula>NOT(ISERROR(SEARCH("En gestión",BA22)))</formula>
    </cfRule>
  </conditionalFormatting>
  <conditionalFormatting sqref="AZ39">
    <cfRule type="beginsWith" dxfId="2601" priority="2063" operator="beginsWith" text="T">
      <formula>LEFT(AZ39,LEN("T"))="T"</formula>
    </cfRule>
    <cfRule type="containsText" dxfId="2600" priority="2064" operator="containsText" text="Sin iniciar">
      <formula>NOT(ISERROR(SEARCH("Sin iniciar",AZ39)))</formula>
    </cfRule>
    <cfRule type="containsText" dxfId="2599" priority="2065" operator="containsText" text="En gestión">
      <formula>NOT(ISERROR(SEARCH("En gestión",AZ39)))</formula>
    </cfRule>
  </conditionalFormatting>
  <conditionalFormatting sqref="BA39">
    <cfRule type="beginsWith" dxfId="2598" priority="2060" operator="beginsWith" text="T">
      <formula>LEFT(BA39,LEN("T"))="T"</formula>
    </cfRule>
    <cfRule type="containsText" dxfId="2597" priority="2061" operator="containsText" text="Sin iniciar">
      <formula>NOT(ISERROR(SEARCH("Sin iniciar",BA39)))</formula>
    </cfRule>
    <cfRule type="containsText" dxfId="2596" priority="2062" operator="containsText" text="En gestión">
      <formula>NOT(ISERROR(SEARCH("En gestión",BA39)))</formula>
    </cfRule>
  </conditionalFormatting>
  <conditionalFormatting sqref="AZ41">
    <cfRule type="beginsWith" dxfId="2595" priority="2057" operator="beginsWith" text="T">
      <formula>LEFT(AZ41,LEN("T"))="T"</formula>
    </cfRule>
    <cfRule type="containsText" dxfId="2594" priority="2058" operator="containsText" text="Sin iniciar">
      <formula>NOT(ISERROR(SEARCH("Sin iniciar",AZ41)))</formula>
    </cfRule>
    <cfRule type="containsText" dxfId="2593" priority="2059" operator="containsText" text="En gestión">
      <formula>NOT(ISERROR(SEARCH("En gestión",AZ41)))</formula>
    </cfRule>
  </conditionalFormatting>
  <conditionalFormatting sqref="BA41">
    <cfRule type="beginsWith" dxfId="2592" priority="2054" operator="beginsWith" text="T">
      <formula>LEFT(BA41,LEN("T"))="T"</formula>
    </cfRule>
    <cfRule type="containsText" dxfId="2591" priority="2055" operator="containsText" text="Sin iniciar">
      <formula>NOT(ISERROR(SEARCH("Sin iniciar",BA41)))</formula>
    </cfRule>
    <cfRule type="containsText" dxfId="2590" priority="2056" operator="containsText" text="En gestión">
      <formula>NOT(ISERROR(SEARCH("En gestión",BA41)))</formula>
    </cfRule>
  </conditionalFormatting>
  <conditionalFormatting sqref="BS13:BS42">
    <cfRule type="beginsWith" dxfId="2589" priority="2051" operator="beginsWith" text="T">
      <formula>LEFT(BS13,LEN("T"))="T"</formula>
    </cfRule>
    <cfRule type="containsText" dxfId="2588" priority="2052" operator="containsText" text="Sin iniciar">
      <formula>NOT(ISERROR(SEARCH("Sin iniciar",BS13)))</formula>
    </cfRule>
    <cfRule type="containsText" dxfId="2587" priority="2053" operator="containsText" text="En gestión">
      <formula>NOT(ISERROR(SEARCH("En gestión",BS13)))</formula>
    </cfRule>
  </conditionalFormatting>
  <conditionalFormatting sqref="BR13:BR42">
    <cfRule type="beginsWith" dxfId="2586" priority="2048" operator="beginsWith" text="T">
      <formula>LEFT(BR13,LEN("T"))="T"</formula>
    </cfRule>
    <cfRule type="containsText" dxfId="2585" priority="2049" operator="containsText" text="Sin iniciar">
      <formula>NOT(ISERROR(SEARCH("Sin iniciar",BR13)))</formula>
    </cfRule>
    <cfRule type="containsText" dxfId="2584" priority="2050" operator="containsText" text="En gestión">
      <formula>NOT(ISERROR(SEARCH("En gestión",BR13)))</formula>
    </cfRule>
  </conditionalFormatting>
  <conditionalFormatting sqref="BW13">
    <cfRule type="beginsWith" dxfId="2583" priority="2045" operator="beginsWith" text="T">
      <formula>LEFT(BW13,LEN("T"))="T"</formula>
    </cfRule>
    <cfRule type="containsText" dxfId="2582" priority="2046" operator="containsText" text="Sin iniciar">
      <formula>NOT(ISERROR(SEARCH("Sin iniciar",BW13)))</formula>
    </cfRule>
    <cfRule type="containsText" dxfId="2581" priority="2047" operator="containsText" text="En gestión">
      <formula>NOT(ISERROR(SEARCH("En gestión",BW13)))</formula>
    </cfRule>
  </conditionalFormatting>
  <conditionalFormatting sqref="BX13">
    <cfRule type="beginsWith" dxfId="2580" priority="2042" operator="beginsWith" text="T">
      <formula>LEFT(BX13,LEN("T"))="T"</formula>
    </cfRule>
    <cfRule type="containsText" dxfId="2579" priority="2043" operator="containsText" text="Sin iniciar">
      <formula>NOT(ISERROR(SEARCH("Sin iniciar",BX13)))</formula>
    </cfRule>
    <cfRule type="containsText" dxfId="2578" priority="2044" operator="containsText" text="En gestión">
      <formula>NOT(ISERROR(SEARCH("En gestión",BX13)))</formula>
    </cfRule>
  </conditionalFormatting>
  <conditionalFormatting sqref="BW15">
    <cfRule type="beginsWith" dxfId="2577" priority="2039" operator="beginsWith" text="T">
      <formula>LEFT(BW15,LEN("T"))="T"</formula>
    </cfRule>
    <cfRule type="containsText" dxfId="2576" priority="2040" operator="containsText" text="Sin iniciar">
      <formula>NOT(ISERROR(SEARCH("Sin iniciar",BW15)))</formula>
    </cfRule>
    <cfRule type="containsText" dxfId="2575" priority="2041" operator="containsText" text="En gestión">
      <formula>NOT(ISERROR(SEARCH("En gestión",BW15)))</formula>
    </cfRule>
  </conditionalFormatting>
  <conditionalFormatting sqref="BX15">
    <cfRule type="beginsWith" dxfId="2574" priority="2036" operator="beginsWith" text="T">
      <formula>LEFT(BX15,LEN("T"))="T"</formula>
    </cfRule>
    <cfRule type="containsText" dxfId="2573" priority="2037" operator="containsText" text="Sin iniciar">
      <formula>NOT(ISERROR(SEARCH("Sin iniciar",BX15)))</formula>
    </cfRule>
    <cfRule type="containsText" dxfId="2572" priority="2038" operator="containsText" text="En gestión">
      <formula>NOT(ISERROR(SEARCH("En gestión",BX15)))</formula>
    </cfRule>
  </conditionalFormatting>
  <conditionalFormatting sqref="BW22">
    <cfRule type="beginsWith" dxfId="2571" priority="2033" operator="beginsWith" text="T">
      <formula>LEFT(BW22,LEN("T"))="T"</formula>
    </cfRule>
    <cfRule type="containsText" dxfId="2570" priority="2034" operator="containsText" text="Sin iniciar">
      <formula>NOT(ISERROR(SEARCH("Sin iniciar",BW22)))</formula>
    </cfRule>
    <cfRule type="containsText" dxfId="2569" priority="2035" operator="containsText" text="En gestión">
      <formula>NOT(ISERROR(SEARCH("En gestión",BW22)))</formula>
    </cfRule>
  </conditionalFormatting>
  <conditionalFormatting sqref="BX22">
    <cfRule type="beginsWith" dxfId="2568" priority="2030" operator="beginsWith" text="T">
      <formula>LEFT(BX22,LEN("T"))="T"</formula>
    </cfRule>
    <cfRule type="containsText" dxfId="2567" priority="2031" operator="containsText" text="Sin iniciar">
      <formula>NOT(ISERROR(SEARCH("Sin iniciar",BX22)))</formula>
    </cfRule>
    <cfRule type="containsText" dxfId="2566" priority="2032" operator="containsText" text="En gestión">
      <formula>NOT(ISERROR(SEARCH("En gestión",BX22)))</formula>
    </cfRule>
  </conditionalFormatting>
  <conditionalFormatting sqref="BW39">
    <cfRule type="beginsWith" dxfId="2565" priority="2027" operator="beginsWith" text="T">
      <formula>LEFT(BW39,LEN("T"))="T"</formula>
    </cfRule>
    <cfRule type="containsText" dxfId="2564" priority="2028" operator="containsText" text="Sin iniciar">
      <formula>NOT(ISERROR(SEARCH("Sin iniciar",BW39)))</formula>
    </cfRule>
    <cfRule type="containsText" dxfId="2563" priority="2029" operator="containsText" text="En gestión">
      <formula>NOT(ISERROR(SEARCH("En gestión",BW39)))</formula>
    </cfRule>
  </conditionalFormatting>
  <conditionalFormatting sqref="BX39">
    <cfRule type="beginsWith" dxfId="2562" priority="2024" operator="beginsWith" text="T">
      <formula>LEFT(BX39,LEN("T"))="T"</formula>
    </cfRule>
    <cfRule type="containsText" dxfId="2561" priority="2025" operator="containsText" text="Sin iniciar">
      <formula>NOT(ISERROR(SEARCH("Sin iniciar",BX39)))</formula>
    </cfRule>
    <cfRule type="containsText" dxfId="2560" priority="2026" operator="containsText" text="En gestión">
      <formula>NOT(ISERROR(SEARCH("En gestión",BX39)))</formula>
    </cfRule>
  </conditionalFormatting>
  <conditionalFormatting sqref="BW41">
    <cfRule type="beginsWith" dxfId="2559" priority="2021" operator="beginsWith" text="T">
      <formula>LEFT(BW41,LEN("T"))="T"</formula>
    </cfRule>
    <cfRule type="containsText" dxfId="2558" priority="2022" operator="containsText" text="Sin iniciar">
      <formula>NOT(ISERROR(SEARCH("Sin iniciar",BW41)))</formula>
    </cfRule>
    <cfRule type="containsText" dxfId="2557" priority="2023" operator="containsText" text="En gestión">
      <formula>NOT(ISERROR(SEARCH("En gestión",BW41)))</formula>
    </cfRule>
  </conditionalFormatting>
  <conditionalFormatting sqref="Y47:Y55">
    <cfRule type="beginsWith" dxfId="2556" priority="2015" operator="beginsWith" text="T">
      <formula>LEFT(Y47,LEN("T"))="T"</formula>
    </cfRule>
    <cfRule type="containsText" dxfId="2555" priority="2016" operator="containsText" text="Sin iniciar">
      <formula>NOT(ISERROR(SEARCH("Sin iniciar",Y47)))</formula>
    </cfRule>
    <cfRule type="containsText" dxfId="2554" priority="2017" operator="containsText" text="En gestión">
      <formula>NOT(ISERROR(SEARCH("En gestión",Y47)))</formula>
    </cfRule>
  </conditionalFormatting>
  <conditionalFormatting sqref="Z47:Z55">
    <cfRule type="beginsWith" dxfId="2553" priority="2012" operator="beginsWith" text="T">
      <formula>LEFT(Z47,LEN("T"))="T"</formula>
    </cfRule>
    <cfRule type="containsText" dxfId="2552" priority="2013" operator="containsText" text="Sin iniciar">
      <formula>NOT(ISERROR(SEARCH("Sin iniciar",Z47)))</formula>
    </cfRule>
    <cfRule type="containsText" dxfId="2551" priority="2014" operator="containsText" text="En gestión">
      <formula>NOT(ISERROR(SEARCH("En gestión",Z47)))</formula>
    </cfRule>
  </conditionalFormatting>
  <conditionalFormatting sqref="AV47:AV55">
    <cfRule type="beginsWith" dxfId="2550" priority="2009" operator="beginsWith" text="T">
      <formula>LEFT(AV47,LEN("T"))="T"</formula>
    </cfRule>
    <cfRule type="containsText" dxfId="2549" priority="2010" operator="containsText" text="Sin iniciar">
      <formula>NOT(ISERROR(SEARCH("Sin iniciar",AV47)))</formula>
    </cfRule>
    <cfRule type="containsText" dxfId="2548" priority="2011" operator="containsText" text="En gestión">
      <formula>NOT(ISERROR(SEARCH("En gestión",AV47)))</formula>
    </cfRule>
  </conditionalFormatting>
  <conditionalFormatting sqref="AU47:AU55">
    <cfRule type="beginsWith" dxfId="2547" priority="2006" operator="beginsWith" text="T">
      <formula>LEFT(AU47,LEN("T"))="T"</formula>
    </cfRule>
    <cfRule type="containsText" dxfId="2546" priority="2007" operator="containsText" text="Sin iniciar">
      <formula>NOT(ISERROR(SEARCH("Sin iniciar",AU47)))</formula>
    </cfRule>
    <cfRule type="containsText" dxfId="2545" priority="2008" operator="containsText" text="En gestión">
      <formula>NOT(ISERROR(SEARCH("En gestión",AU47)))</formula>
    </cfRule>
  </conditionalFormatting>
  <conditionalFormatting sqref="BA47">
    <cfRule type="beginsWith" dxfId="2544" priority="1982" operator="beginsWith" text="T">
      <formula>LEFT(BA47,LEN("T"))="T"</formula>
    </cfRule>
    <cfRule type="containsText" dxfId="2543" priority="1983" operator="containsText" text="Sin iniciar">
      <formula>NOT(ISERROR(SEARCH("Sin iniciar",BA47)))</formula>
    </cfRule>
    <cfRule type="containsText" dxfId="2542" priority="1984" operator="containsText" text="En gestión">
      <formula>NOT(ISERROR(SEARCH("En gestión",BA47)))</formula>
    </cfRule>
  </conditionalFormatting>
  <conditionalFormatting sqref="AZ50">
    <cfRule type="beginsWith" dxfId="2541" priority="1979" operator="beginsWith" text="T">
      <formula>LEFT(AZ50,LEN("T"))="T"</formula>
    </cfRule>
    <cfRule type="containsText" dxfId="2540" priority="1980" operator="containsText" text="Sin iniciar">
      <formula>NOT(ISERROR(SEARCH("Sin iniciar",AZ50)))</formula>
    </cfRule>
    <cfRule type="containsText" dxfId="2539" priority="1981" operator="containsText" text="En gestión">
      <formula>NOT(ISERROR(SEARCH("En gestión",AZ50)))</formula>
    </cfRule>
  </conditionalFormatting>
  <conditionalFormatting sqref="AD47">
    <cfRule type="beginsWith" dxfId="2538" priority="2003" operator="beginsWith" text="T">
      <formula>LEFT(AD47,LEN("T"))="T"</formula>
    </cfRule>
    <cfRule type="containsText" dxfId="2537" priority="2004" operator="containsText" text="Sin iniciar">
      <formula>NOT(ISERROR(SEARCH("Sin iniciar",AD47)))</formula>
    </cfRule>
    <cfRule type="containsText" dxfId="2536" priority="2005" operator="containsText" text="En gestión">
      <formula>NOT(ISERROR(SEARCH("En gestión",AD47)))</formula>
    </cfRule>
  </conditionalFormatting>
  <conditionalFormatting sqref="AE47">
    <cfRule type="beginsWith" dxfId="2535" priority="2000" operator="beginsWith" text="T">
      <formula>LEFT(AE47,LEN("T"))="T"</formula>
    </cfRule>
    <cfRule type="containsText" dxfId="2534" priority="2001" operator="containsText" text="Sin iniciar">
      <formula>NOT(ISERROR(SEARCH("Sin iniciar",AE47)))</formula>
    </cfRule>
    <cfRule type="containsText" dxfId="2533" priority="2002" operator="containsText" text="En gestión">
      <formula>NOT(ISERROR(SEARCH("En gestión",AE47)))</formula>
    </cfRule>
  </conditionalFormatting>
  <conditionalFormatting sqref="AD50">
    <cfRule type="beginsWith" dxfId="2532" priority="1997" operator="beginsWith" text="T">
      <formula>LEFT(AD50,LEN("T"))="T"</formula>
    </cfRule>
    <cfRule type="containsText" dxfId="2531" priority="1998" operator="containsText" text="Sin iniciar">
      <formula>NOT(ISERROR(SEARCH("Sin iniciar",AD50)))</formula>
    </cfRule>
    <cfRule type="containsText" dxfId="2530" priority="1999" operator="containsText" text="En gestión">
      <formula>NOT(ISERROR(SEARCH("En gestión",AD50)))</formula>
    </cfRule>
  </conditionalFormatting>
  <conditionalFormatting sqref="AE50">
    <cfRule type="beginsWith" dxfId="2529" priority="1994" operator="beginsWith" text="T">
      <formula>LEFT(AE50,LEN("T"))="T"</formula>
    </cfRule>
    <cfRule type="containsText" dxfId="2528" priority="1995" operator="containsText" text="Sin iniciar">
      <formula>NOT(ISERROR(SEARCH("Sin iniciar",AE50)))</formula>
    </cfRule>
    <cfRule type="containsText" dxfId="2527" priority="1996" operator="containsText" text="En gestión">
      <formula>NOT(ISERROR(SEARCH("En gestión",AE50)))</formula>
    </cfRule>
  </conditionalFormatting>
  <conditionalFormatting sqref="AD53">
    <cfRule type="beginsWith" dxfId="2526" priority="1991" operator="beginsWith" text="T">
      <formula>LEFT(AD53,LEN("T"))="T"</formula>
    </cfRule>
    <cfRule type="containsText" dxfId="2525" priority="1992" operator="containsText" text="Sin iniciar">
      <formula>NOT(ISERROR(SEARCH("Sin iniciar",AD53)))</formula>
    </cfRule>
    <cfRule type="containsText" dxfId="2524" priority="1993" operator="containsText" text="En gestión">
      <formula>NOT(ISERROR(SEARCH("En gestión",AD53)))</formula>
    </cfRule>
  </conditionalFormatting>
  <conditionalFormatting sqref="AE53">
    <cfRule type="beginsWith" dxfId="2523" priority="1988" operator="beginsWith" text="T">
      <formula>LEFT(AE53,LEN("T"))="T"</formula>
    </cfRule>
    <cfRule type="containsText" dxfId="2522" priority="1989" operator="containsText" text="Sin iniciar">
      <formula>NOT(ISERROR(SEARCH("Sin iniciar",AE53)))</formula>
    </cfRule>
    <cfRule type="containsText" dxfId="2521" priority="1990" operator="containsText" text="En gestión">
      <formula>NOT(ISERROR(SEARCH("En gestión",AE53)))</formula>
    </cfRule>
  </conditionalFormatting>
  <conditionalFormatting sqref="AZ47">
    <cfRule type="beginsWith" dxfId="2520" priority="1985" operator="beginsWith" text="T">
      <formula>LEFT(AZ47,LEN("T"))="T"</formula>
    </cfRule>
    <cfRule type="containsText" dxfId="2519" priority="1986" operator="containsText" text="Sin iniciar">
      <formula>NOT(ISERROR(SEARCH("Sin iniciar",AZ47)))</formula>
    </cfRule>
    <cfRule type="containsText" dxfId="2518" priority="1987" operator="containsText" text="En gestión">
      <formula>NOT(ISERROR(SEARCH("En gestión",AZ47)))</formula>
    </cfRule>
  </conditionalFormatting>
  <conditionalFormatting sqref="BA50">
    <cfRule type="beginsWith" dxfId="2517" priority="1976" operator="beginsWith" text="T">
      <formula>LEFT(BA50,LEN("T"))="T"</formula>
    </cfRule>
    <cfRule type="containsText" dxfId="2516" priority="1977" operator="containsText" text="Sin iniciar">
      <formula>NOT(ISERROR(SEARCH("Sin iniciar",BA50)))</formula>
    </cfRule>
    <cfRule type="containsText" dxfId="2515" priority="1978" operator="containsText" text="En gestión">
      <formula>NOT(ISERROR(SEARCH("En gestión",BA50)))</formula>
    </cfRule>
  </conditionalFormatting>
  <conditionalFormatting sqref="AZ53">
    <cfRule type="beginsWith" dxfId="2514" priority="1973" operator="beginsWith" text="T">
      <formula>LEFT(AZ53,LEN("T"))="T"</formula>
    </cfRule>
    <cfRule type="containsText" dxfId="2513" priority="1974" operator="containsText" text="Sin iniciar">
      <formula>NOT(ISERROR(SEARCH("Sin iniciar",AZ53)))</formula>
    </cfRule>
    <cfRule type="containsText" dxfId="2512" priority="1975" operator="containsText" text="En gestión">
      <formula>NOT(ISERROR(SEARCH("En gestión",AZ53)))</formula>
    </cfRule>
  </conditionalFormatting>
  <conditionalFormatting sqref="BA53">
    <cfRule type="beginsWith" dxfId="2511" priority="1970" operator="beginsWith" text="T">
      <formula>LEFT(BA53,LEN("T"))="T"</formula>
    </cfRule>
    <cfRule type="containsText" dxfId="2510" priority="1971" operator="containsText" text="Sin iniciar">
      <formula>NOT(ISERROR(SEARCH("Sin iniciar",BA53)))</formula>
    </cfRule>
    <cfRule type="containsText" dxfId="2509" priority="1972" operator="containsText" text="En gestión">
      <formula>NOT(ISERROR(SEARCH("En gestión",BA53)))</formula>
    </cfRule>
  </conditionalFormatting>
  <conditionalFormatting sqref="BS47:BS55">
    <cfRule type="beginsWith" dxfId="2508" priority="1967" operator="beginsWith" text="T">
      <formula>LEFT(BS47,LEN("T"))="T"</formula>
    </cfRule>
    <cfRule type="containsText" dxfId="2507" priority="1968" operator="containsText" text="Sin iniciar">
      <formula>NOT(ISERROR(SEARCH("Sin iniciar",BS47)))</formula>
    </cfRule>
    <cfRule type="containsText" dxfId="2506" priority="1969" operator="containsText" text="En gestión">
      <formula>NOT(ISERROR(SEARCH("En gestión",BS47)))</formula>
    </cfRule>
  </conditionalFormatting>
  <conditionalFormatting sqref="BR47:BR55">
    <cfRule type="beginsWith" dxfId="2505" priority="1964" operator="beginsWith" text="T">
      <formula>LEFT(BR47,LEN("T"))="T"</formula>
    </cfRule>
    <cfRule type="containsText" dxfId="2504" priority="1965" operator="containsText" text="Sin iniciar">
      <formula>NOT(ISERROR(SEARCH("Sin iniciar",BR47)))</formula>
    </cfRule>
    <cfRule type="containsText" dxfId="2503" priority="1966" operator="containsText" text="En gestión">
      <formula>NOT(ISERROR(SEARCH("En gestión",BR47)))</formula>
    </cfRule>
  </conditionalFormatting>
  <conditionalFormatting sqref="BX47">
    <cfRule type="beginsWith" dxfId="2502" priority="1958" operator="beginsWith" text="T">
      <formula>LEFT(BX47,LEN("T"))="T"</formula>
    </cfRule>
    <cfRule type="containsText" dxfId="2501" priority="1959" operator="containsText" text="Sin iniciar">
      <formula>NOT(ISERROR(SEARCH("Sin iniciar",BX47)))</formula>
    </cfRule>
    <cfRule type="containsText" dxfId="2500" priority="1960" operator="containsText" text="En gestión">
      <formula>NOT(ISERROR(SEARCH("En gestión",BX47)))</formula>
    </cfRule>
  </conditionalFormatting>
  <conditionalFormatting sqref="BW50">
    <cfRule type="beginsWith" dxfId="2499" priority="1955" operator="beginsWith" text="T">
      <formula>LEFT(BW50,LEN("T"))="T"</formula>
    </cfRule>
    <cfRule type="containsText" dxfId="2498" priority="1956" operator="containsText" text="Sin iniciar">
      <formula>NOT(ISERROR(SEARCH("Sin iniciar",BW50)))</formula>
    </cfRule>
    <cfRule type="containsText" dxfId="2497" priority="1957" operator="containsText" text="En gestión">
      <formula>NOT(ISERROR(SEARCH("En gestión",BW50)))</formula>
    </cfRule>
  </conditionalFormatting>
  <conditionalFormatting sqref="BW47">
    <cfRule type="beginsWith" dxfId="2496" priority="1961" operator="beginsWith" text="T">
      <formula>LEFT(BW47,LEN("T"))="T"</formula>
    </cfRule>
    <cfRule type="containsText" dxfId="2495" priority="1962" operator="containsText" text="Sin iniciar">
      <formula>NOT(ISERROR(SEARCH("Sin iniciar",BW47)))</formula>
    </cfRule>
    <cfRule type="containsText" dxfId="2494" priority="1963" operator="containsText" text="En gestión">
      <formula>NOT(ISERROR(SEARCH("En gestión",BW47)))</formula>
    </cfRule>
  </conditionalFormatting>
  <conditionalFormatting sqref="BX50">
    <cfRule type="beginsWith" dxfId="2493" priority="1952" operator="beginsWith" text="T">
      <formula>LEFT(BX50,LEN("T"))="T"</formula>
    </cfRule>
    <cfRule type="containsText" dxfId="2492" priority="1953" operator="containsText" text="Sin iniciar">
      <formula>NOT(ISERROR(SEARCH("Sin iniciar",BX50)))</formula>
    </cfRule>
    <cfRule type="containsText" dxfId="2491" priority="1954" operator="containsText" text="En gestión">
      <formula>NOT(ISERROR(SEARCH("En gestión",BX50)))</formula>
    </cfRule>
  </conditionalFormatting>
  <conditionalFormatting sqref="BW53">
    <cfRule type="beginsWith" dxfId="2490" priority="1949" operator="beginsWith" text="T">
      <formula>LEFT(BW53,LEN("T"))="T"</formula>
    </cfRule>
    <cfRule type="containsText" dxfId="2489" priority="1950" operator="containsText" text="Sin iniciar">
      <formula>NOT(ISERROR(SEARCH("Sin iniciar",BW53)))</formula>
    </cfRule>
    <cfRule type="containsText" dxfId="2488" priority="1951" operator="containsText" text="En gestión">
      <formula>NOT(ISERROR(SEARCH("En gestión",BW53)))</formula>
    </cfRule>
  </conditionalFormatting>
  <conditionalFormatting sqref="AD191">
    <cfRule type="beginsWith" dxfId="2487" priority="1031" operator="beginsWith" text="T">
      <formula>LEFT(AD191,LEN("T"))="T"</formula>
    </cfRule>
    <cfRule type="containsText" dxfId="2486" priority="1032" operator="containsText" text="Sin iniciar">
      <formula>NOT(ISERROR(SEARCH("Sin iniciar",AD191)))</formula>
    </cfRule>
    <cfRule type="containsText" dxfId="2485" priority="1033" operator="containsText" text="En gestión">
      <formula>NOT(ISERROR(SEARCH("En gestión",AD191)))</formula>
    </cfRule>
  </conditionalFormatting>
  <conditionalFormatting sqref="BX158">
    <cfRule type="beginsWith" dxfId="2484" priority="1004" operator="beginsWith" text="T">
      <formula>LEFT(BX158,LEN("T"))="T"</formula>
    </cfRule>
    <cfRule type="containsText" dxfId="2483" priority="1005" operator="containsText" text="Sin iniciar">
      <formula>NOT(ISERROR(SEARCH("Sin iniciar",BX158)))</formula>
    </cfRule>
    <cfRule type="containsText" dxfId="2482" priority="1006" operator="containsText" text="En gestión">
      <formula>NOT(ISERROR(SEARCH("En gestión",BX158)))</formula>
    </cfRule>
  </conditionalFormatting>
  <conditionalFormatting sqref="AE191">
    <cfRule type="beginsWith" dxfId="2481" priority="1028" operator="beginsWith" text="T">
      <formula>LEFT(AE191,LEN("T"))="T"</formula>
    </cfRule>
    <cfRule type="containsText" dxfId="2480" priority="1029" operator="containsText" text="Sin iniciar">
      <formula>NOT(ISERROR(SEARCH("Sin iniciar",AE191)))</formula>
    </cfRule>
    <cfRule type="containsText" dxfId="2479" priority="1030" operator="containsText" text="En gestión">
      <formula>NOT(ISERROR(SEARCH("En gestión",AE191)))</formula>
    </cfRule>
  </conditionalFormatting>
  <conditionalFormatting sqref="AD194:AE194 AD196:AE196">
    <cfRule type="beginsWith" dxfId="2478" priority="1025" operator="beginsWith" text="T">
      <formula>LEFT(AD194,LEN("T"))="T"</formula>
    </cfRule>
    <cfRule type="containsText" dxfId="2477" priority="1026" operator="containsText" text="Sin iniciar">
      <formula>NOT(ISERROR(SEARCH("Sin iniciar",AD194)))</formula>
    </cfRule>
    <cfRule type="containsText" dxfId="2476" priority="1027" operator="containsText" text="En gestión">
      <formula>NOT(ISERROR(SEARCH("En gestión",AD194)))</formula>
    </cfRule>
  </conditionalFormatting>
  <conditionalFormatting sqref="AD198 AD201 AD204 AD207">
    <cfRule type="beginsWith" dxfId="2475" priority="1022" operator="beginsWith" text="T">
      <formula>LEFT(AD198,LEN("T"))="T"</formula>
    </cfRule>
    <cfRule type="containsText" dxfId="2474" priority="1023" operator="containsText" text="Sin iniciar">
      <formula>NOT(ISERROR(SEARCH("Sin iniciar",AD198)))</formula>
    </cfRule>
    <cfRule type="containsText" dxfId="2473" priority="1024" operator="containsText" text="En gestión">
      <formula>NOT(ISERROR(SEARCH("En gestión",AD198)))</formula>
    </cfRule>
  </conditionalFormatting>
  <conditionalFormatting sqref="AE198 AE201 AE204 AE207">
    <cfRule type="beginsWith" dxfId="2472" priority="1019" operator="beginsWith" text="T">
      <formula>LEFT(AE198,LEN("T"))="T"</formula>
    </cfRule>
    <cfRule type="containsText" dxfId="2471" priority="1020" operator="containsText" text="Sin iniciar">
      <formula>NOT(ISERROR(SEARCH("Sin iniciar",AE198)))</formula>
    </cfRule>
    <cfRule type="containsText" dxfId="2470" priority="1021" operator="containsText" text="En gestión">
      <formula>NOT(ISERROR(SEARCH("En gestión",AE198)))</formula>
    </cfRule>
  </conditionalFormatting>
  <conditionalFormatting sqref="AD210:AE210">
    <cfRule type="beginsWith" dxfId="2469" priority="1016" operator="beginsWith" text="T">
      <formula>LEFT(AD210,LEN("T"))="T"</formula>
    </cfRule>
    <cfRule type="containsText" dxfId="2468" priority="1017" operator="containsText" text="Sin iniciar">
      <formula>NOT(ISERROR(SEARCH("Sin iniciar",AD210)))</formula>
    </cfRule>
    <cfRule type="containsText" dxfId="2467" priority="1018" operator="containsText" text="En gestión">
      <formula>NOT(ISERROR(SEARCH("En gestión",AD210)))</formula>
    </cfRule>
  </conditionalFormatting>
  <conditionalFormatting sqref="AD212 AD215 AD218 AD221">
    <cfRule type="beginsWith" dxfId="2466" priority="1013" operator="beginsWith" text="T">
      <formula>LEFT(AD212,LEN("T"))="T"</formula>
    </cfRule>
    <cfRule type="containsText" dxfId="2465" priority="1014" operator="containsText" text="Sin iniciar">
      <formula>NOT(ISERROR(SEARCH("Sin iniciar",AD212)))</formula>
    </cfRule>
    <cfRule type="containsText" dxfId="2464" priority="1015" operator="containsText" text="En gestión">
      <formula>NOT(ISERROR(SEARCH("En gestión",AD212)))</formula>
    </cfRule>
  </conditionalFormatting>
  <conditionalFormatting sqref="AE212 AE215 AE218 AE221">
    <cfRule type="beginsWith" dxfId="2463" priority="1010" operator="beginsWith" text="T">
      <formula>LEFT(AE212,LEN("T"))="T"</formula>
    </cfRule>
    <cfRule type="containsText" dxfId="2462" priority="1011" operator="containsText" text="Sin iniciar">
      <formula>NOT(ISERROR(SEARCH("Sin iniciar",AE212)))</formula>
    </cfRule>
    <cfRule type="containsText" dxfId="2461" priority="1012" operator="containsText" text="En gestión">
      <formula>NOT(ISERROR(SEARCH("En gestión",AE212)))</formula>
    </cfRule>
  </conditionalFormatting>
  <conditionalFormatting sqref="BW158">
    <cfRule type="beginsWith" dxfId="2460" priority="1007" operator="beginsWith" text="T">
      <formula>LEFT(BW158,LEN("T"))="T"</formula>
    </cfRule>
    <cfRule type="containsText" dxfId="2459" priority="1008" operator="containsText" text="Sin iniciar">
      <formula>NOT(ISERROR(SEARCH("Sin iniciar",BW158)))</formula>
    </cfRule>
    <cfRule type="containsText" dxfId="2458" priority="1009" operator="containsText" text="En gestión">
      <formula>NOT(ISERROR(SEARCH("En gestión",BW158)))</formula>
    </cfRule>
  </conditionalFormatting>
  <conditionalFormatting sqref="BW162">
    <cfRule type="beginsWith" dxfId="2457" priority="1001" operator="beginsWith" text="T">
      <formula>LEFT(BW162,LEN("T"))="T"</formula>
    </cfRule>
    <cfRule type="containsText" dxfId="2456" priority="1002" operator="containsText" text="Sin iniciar">
      <formula>NOT(ISERROR(SEARCH("Sin iniciar",BW162)))</formula>
    </cfRule>
    <cfRule type="containsText" dxfId="2455" priority="1003" operator="containsText" text="En gestión">
      <formula>NOT(ISERROR(SEARCH("En gestión",BW162)))</formula>
    </cfRule>
  </conditionalFormatting>
  <conditionalFormatting sqref="BX162">
    <cfRule type="beginsWith" dxfId="2454" priority="998" operator="beginsWith" text="T">
      <formula>LEFT(BX162,LEN("T"))="T"</formula>
    </cfRule>
    <cfRule type="containsText" dxfId="2453" priority="999" operator="containsText" text="Sin iniciar">
      <formula>NOT(ISERROR(SEARCH("Sin iniciar",BX162)))</formula>
    </cfRule>
    <cfRule type="containsText" dxfId="2452" priority="1000" operator="containsText" text="En gestión">
      <formula>NOT(ISERROR(SEARCH("En gestión",BX162)))</formula>
    </cfRule>
  </conditionalFormatting>
  <conditionalFormatting sqref="BW166">
    <cfRule type="beginsWith" dxfId="2451" priority="995" operator="beginsWith" text="T">
      <formula>LEFT(BW166,LEN("T"))="T"</formula>
    </cfRule>
    <cfRule type="containsText" dxfId="2450" priority="996" operator="containsText" text="Sin iniciar">
      <formula>NOT(ISERROR(SEARCH("Sin iniciar",BW166)))</formula>
    </cfRule>
    <cfRule type="containsText" dxfId="2449" priority="997" operator="containsText" text="En gestión">
      <formula>NOT(ISERROR(SEARCH("En gestión",BW166)))</formula>
    </cfRule>
  </conditionalFormatting>
  <conditionalFormatting sqref="BX166">
    <cfRule type="beginsWith" dxfId="2448" priority="992" operator="beginsWith" text="T">
      <formula>LEFT(BX166,LEN("T"))="T"</formula>
    </cfRule>
    <cfRule type="containsText" dxfId="2447" priority="993" operator="containsText" text="Sin iniciar">
      <formula>NOT(ISERROR(SEARCH("Sin iniciar",BX166)))</formula>
    </cfRule>
    <cfRule type="containsText" dxfId="2446" priority="994" operator="containsText" text="En gestión">
      <formula>NOT(ISERROR(SEARCH("En gestión",BX166)))</formula>
    </cfRule>
  </conditionalFormatting>
  <conditionalFormatting sqref="BW170:BX170">
    <cfRule type="beginsWith" dxfId="2445" priority="989" operator="beginsWith" text="T">
      <formula>LEFT(BW170,LEN("T"))="T"</formula>
    </cfRule>
    <cfRule type="containsText" dxfId="2444" priority="990" operator="containsText" text="Sin iniciar">
      <formula>NOT(ISERROR(SEARCH("Sin iniciar",BW170)))</formula>
    </cfRule>
    <cfRule type="containsText" dxfId="2443" priority="991" operator="containsText" text="En gestión">
      <formula>NOT(ISERROR(SEARCH("En gestión",BW170)))</formula>
    </cfRule>
  </conditionalFormatting>
  <conditionalFormatting sqref="BW172">
    <cfRule type="beginsWith" dxfId="2442" priority="986" operator="beginsWith" text="T">
      <formula>LEFT(BW172,LEN("T"))="T"</formula>
    </cfRule>
    <cfRule type="containsText" dxfId="2441" priority="987" operator="containsText" text="Sin iniciar">
      <formula>NOT(ISERROR(SEARCH("Sin iniciar",BW172)))</formula>
    </cfRule>
    <cfRule type="containsText" dxfId="2440" priority="988" operator="containsText" text="En gestión">
      <formula>NOT(ISERROR(SEARCH("En gestión",BW172)))</formula>
    </cfRule>
  </conditionalFormatting>
  <conditionalFormatting sqref="BX172">
    <cfRule type="beginsWith" dxfId="2439" priority="983" operator="beginsWith" text="T">
      <formula>LEFT(BX172,LEN("T"))="T"</formula>
    </cfRule>
    <cfRule type="containsText" dxfId="2438" priority="984" operator="containsText" text="Sin iniciar">
      <formula>NOT(ISERROR(SEARCH("Sin iniciar",BX172)))</formula>
    </cfRule>
    <cfRule type="containsText" dxfId="2437" priority="985" operator="containsText" text="En gestión">
      <formula>NOT(ISERROR(SEARCH("En gestión",BX172)))</formula>
    </cfRule>
  </conditionalFormatting>
  <conditionalFormatting sqref="BW175:BX175">
    <cfRule type="beginsWith" dxfId="2436" priority="980" operator="beginsWith" text="T">
      <formula>LEFT(BW175,LEN("T"))="T"</formula>
    </cfRule>
    <cfRule type="containsText" dxfId="2435" priority="981" operator="containsText" text="Sin iniciar">
      <formula>NOT(ISERROR(SEARCH("Sin iniciar",BW175)))</formula>
    </cfRule>
    <cfRule type="containsText" dxfId="2434" priority="982" operator="containsText" text="En gestión">
      <formula>NOT(ISERROR(SEARCH("En gestión",BW175)))</formula>
    </cfRule>
  </conditionalFormatting>
  <conditionalFormatting sqref="BW178">
    <cfRule type="beginsWith" dxfId="2433" priority="977" operator="beginsWith" text="T">
      <formula>LEFT(BW178,LEN("T"))="T"</formula>
    </cfRule>
    <cfRule type="containsText" dxfId="2432" priority="978" operator="containsText" text="Sin iniciar">
      <formula>NOT(ISERROR(SEARCH("Sin iniciar",BW178)))</formula>
    </cfRule>
    <cfRule type="containsText" dxfId="2431" priority="979" operator="containsText" text="En gestión">
      <formula>NOT(ISERROR(SEARCH("En gestión",BW178)))</formula>
    </cfRule>
  </conditionalFormatting>
  <conditionalFormatting sqref="BX178">
    <cfRule type="beginsWith" dxfId="2430" priority="974" operator="beginsWith" text="T">
      <formula>LEFT(BX178,LEN("T"))="T"</formula>
    </cfRule>
    <cfRule type="containsText" dxfId="2429" priority="975" operator="containsText" text="Sin iniciar">
      <formula>NOT(ISERROR(SEARCH("Sin iniciar",BX178)))</formula>
    </cfRule>
    <cfRule type="containsText" dxfId="2428" priority="976" operator="containsText" text="En gestión">
      <formula>NOT(ISERROR(SEARCH("En gestión",BX178)))</formula>
    </cfRule>
  </conditionalFormatting>
  <conditionalFormatting sqref="BW182">
    <cfRule type="beginsWith" dxfId="2427" priority="971" operator="beginsWith" text="T">
      <formula>LEFT(BW182,LEN("T"))="T"</formula>
    </cfRule>
    <cfRule type="containsText" dxfId="2426" priority="972" operator="containsText" text="Sin iniciar">
      <formula>NOT(ISERROR(SEARCH("Sin iniciar",BW182)))</formula>
    </cfRule>
    <cfRule type="containsText" dxfId="2425" priority="973" operator="containsText" text="En gestión">
      <formula>NOT(ISERROR(SEARCH("En gestión",BW182)))</formula>
    </cfRule>
  </conditionalFormatting>
  <conditionalFormatting sqref="BX182">
    <cfRule type="beginsWith" dxfId="2424" priority="968" operator="beginsWith" text="T">
      <formula>LEFT(BX182,LEN("T"))="T"</formula>
    </cfRule>
    <cfRule type="containsText" dxfId="2423" priority="969" operator="containsText" text="Sin iniciar">
      <formula>NOT(ISERROR(SEARCH("Sin iniciar",BX182)))</formula>
    </cfRule>
    <cfRule type="containsText" dxfId="2422" priority="970" operator="containsText" text="En gestión">
      <formula>NOT(ISERROR(SEARCH("En gestión",BX182)))</formula>
    </cfRule>
  </conditionalFormatting>
  <conditionalFormatting sqref="BW191">
    <cfRule type="beginsWith" dxfId="2421" priority="965" operator="beginsWith" text="T">
      <formula>LEFT(BW191,LEN("T"))="T"</formula>
    </cfRule>
    <cfRule type="containsText" dxfId="2420" priority="966" operator="containsText" text="Sin iniciar">
      <formula>NOT(ISERROR(SEARCH("Sin iniciar",BW191)))</formula>
    </cfRule>
    <cfRule type="containsText" dxfId="2419" priority="967" operator="containsText" text="En gestión">
      <formula>NOT(ISERROR(SEARCH("En gestión",BW191)))</formula>
    </cfRule>
  </conditionalFormatting>
  <conditionalFormatting sqref="BW198">
    <cfRule type="beginsWith" dxfId="2418" priority="962" operator="beginsWith" text="T">
      <formula>LEFT(BW198,LEN("T"))="T"</formula>
    </cfRule>
    <cfRule type="containsText" dxfId="2417" priority="963" operator="containsText" text="Sin iniciar">
      <formula>NOT(ISERROR(SEARCH("Sin iniciar",BW198)))</formula>
    </cfRule>
    <cfRule type="containsText" dxfId="2416" priority="964" operator="containsText" text="En gestión">
      <formula>NOT(ISERROR(SEARCH("En gestión",BW198)))</formula>
    </cfRule>
  </conditionalFormatting>
  <conditionalFormatting sqref="BW201">
    <cfRule type="beginsWith" dxfId="2415" priority="959" operator="beginsWith" text="T">
      <formula>LEFT(BW201,LEN("T"))="T"</formula>
    </cfRule>
    <cfRule type="containsText" dxfId="2414" priority="960" operator="containsText" text="Sin iniciar">
      <formula>NOT(ISERROR(SEARCH("Sin iniciar",BW201)))</formula>
    </cfRule>
    <cfRule type="containsText" dxfId="2413" priority="961" operator="containsText" text="En gestión">
      <formula>NOT(ISERROR(SEARCH("En gestión",BW201)))</formula>
    </cfRule>
  </conditionalFormatting>
  <conditionalFormatting sqref="BW204">
    <cfRule type="beginsWith" dxfId="2412" priority="956" operator="beginsWith" text="T">
      <formula>LEFT(BW204,LEN("T"))="T"</formula>
    </cfRule>
    <cfRule type="containsText" dxfId="2411" priority="957" operator="containsText" text="Sin iniciar">
      <formula>NOT(ISERROR(SEARCH("Sin iniciar",BW204)))</formula>
    </cfRule>
    <cfRule type="containsText" dxfId="2410" priority="958" operator="containsText" text="En gestión">
      <formula>NOT(ISERROR(SEARCH("En gestión",BW204)))</formula>
    </cfRule>
  </conditionalFormatting>
  <conditionalFormatting sqref="BW207">
    <cfRule type="beginsWith" dxfId="2409" priority="953" operator="beginsWith" text="T">
      <formula>LEFT(BW207,LEN("T"))="T"</formula>
    </cfRule>
    <cfRule type="containsText" dxfId="2408" priority="954" operator="containsText" text="Sin iniciar">
      <formula>NOT(ISERROR(SEARCH("Sin iniciar",BW207)))</formula>
    </cfRule>
    <cfRule type="containsText" dxfId="2407" priority="955" operator="containsText" text="En gestión">
      <formula>NOT(ISERROR(SEARCH("En gestión",BW207)))</formula>
    </cfRule>
  </conditionalFormatting>
  <conditionalFormatting sqref="BW212">
    <cfRule type="beginsWith" dxfId="2406" priority="950" operator="beginsWith" text="T">
      <formula>LEFT(BW212,LEN("T"))="T"</formula>
    </cfRule>
    <cfRule type="containsText" dxfId="2405" priority="951" operator="containsText" text="Sin iniciar">
      <formula>NOT(ISERROR(SEARCH("Sin iniciar",BW212)))</formula>
    </cfRule>
    <cfRule type="containsText" dxfId="2404" priority="952" operator="containsText" text="En gestión">
      <formula>NOT(ISERROR(SEARCH("En gestión",BW212)))</formula>
    </cfRule>
  </conditionalFormatting>
  <conditionalFormatting sqref="BW215">
    <cfRule type="beginsWith" dxfId="2403" priority="947" operator="beginsWith" text="T">
      <formula>LEFT(BW215,LEN("T"))="T"</formula>
    </cfRule>
    <cfRule type="containsText" dxfId="2402" priority="948" operator="containsText" text="Sin iniciar">
      <formula>NOT(ISERROR(SEARCH("Sin iniciar",BW215)))</formula>
    </cfRule>
    <cfRule type="containsText" dxfId="2401" priority="949" operator="containsText" text="En gestión">
      <formula>NOT(ISERROR(SEARCH("En gestión",BW215)))</formula>
    </cfRule>
  </conditionalFormatting>
  <conditionalFormatting sqref="BW218">
    <cfRule type="beginsWith" dxfId="2400" priority="944" operator="beginsWith" text="T">
      <formula>LEFT(BW218,LEN("T"))="T"</formula>
    </cfRule>
    <cfRule type="containsText" dxfId="2399" priority="945" operator="containsText" text="Sin iniciar">
      <formula>NOT(ISERROR(SEARCH("Sin iniciar",BW218)))</formula>
    </cfRule>
    <cfRule type="containsText" dxfId="2398" priority="946" operator="containsText" text="En gestión">
      <formula>NOT(ISERROR(SEARCH("En gestión",BW218)))</formula>
    </cfRule>
  </conditionalFormatting>
  <conditionalFormatting sqref="BW221">
    <cfRule type="beginsWith" dxfId="2397" priority="941" operator="beginsWith" text="T">
      <formula>LEFT(BW221,LEN("T"))="T"</formula>
    </cfRule>
    <cfRule type="containsText" dxfId="2396" priority="942" operator="containsText" text="Sin iniciar">
      <formula>NOT(ISERROR(SEARCH("Sin iniciar",BW221)))</formula>
    </cfRule>
    <cfRule type="containsText" dxfId="2395" priority="943" operator="containsText" text="En gestión">
      <formula>NOT(ISERROR(SEARCH("En gestión",BW221)))</formula>
    </cfRule>
  </conditionalFormatting>
  <conditionalFormatting sqref="BX191">
    <cfRule type="beginsWith" dxfId="2394" priority="938" operator="beginsWith" text="T">
      <formula>LEFT(BX191,LEN("T"))="T"</formula>
    </cfRule>
    <cfRule type="containsText" dxfId="2393" priority="939" operator="containsText" text="Sin iniciar">
      <formula>NOT(ISERROR(SEARCH("Sin iniciar",BX191)))</formula>
    </cfRule>
    <cfRule type="containsText" dxfId="2392" priority="940" operator="containsText" text="En gestión">
      <formula>NOT(ISERROR(SEARCH("En gestión",BX191)))</formula>
    </cfRule>
  </conditionalFormatting>
  <conditionalFormatting sqref="BX198">
    <cfRule type="beginsWith" dxfId="2391" priority="935" operator="beginsWith" text="T">
      <formula>LEFT(BX198,LEN("T"))="T"</formula>
    </cfRule>
    <cfRule type="containsText" dxfId="2390" priority="936" operator="containsText" text="Sin iniciar">
      <formula>NOT(ISERROR(SEARCH("Sin iniciar",BX198)))</formula>
    </cfRule>
    <cfRule type="containsText" dxfId="2389" priority="937" operator="containsText" text="En gestión">
      <formula>NOT(ISERROR(SEARCH("En gestión",BX198)))</formula>
    </cfRule>
  </conditionalFormatting>
  <conditionalFormatting sqref="BX201">
    <cfRule type="beginsWith" dxfId="2388" priority="932" operator="beginsWith" text="T">
      <formula>LEFT(BX201,LEN("T"))="T"</formula>
    </cfRule>
    <cfRule type="containsText" dxfId="2387" priority="933" operator="containsText" text="Sin iniciar">
      <formula>NOT(ISERROR(SEARCH("Sin iniciar",BX201)))</formula>
    </cfRule>
    <cfRule type="containsText" dxfId="2386" priority="934" operator="containsText" text="En gestión">
      <formula>NOT(ISERROR(SEARCH("En gestión",BX201)))</formula>
    </cfRule>
  </conditionalFormatting>
  <conditionalFormatting sqref="BX204">
    <cfRule type="beginsWith" dxfId="2385" priority="929" operator="beginsWith" text="T">
      <formula>LEFT(BX204,LEN("T"))="T"</formula>
    </cfRule>
    <cfRule type="containsText" dxfId="2384" priority="930" operator="containsText" text="Sin iniciar">
      <formula>NOT(ISERROR(SEARCH("Sin iniciar",BX204)))</formula>
    </cfRule>
    <cfRule type="containsText" dxfId="2383" priority="931" operator="containsText" text="En gestión">
      <formula>NOT(ISERROR(SEARCH("En gestión",BX204)))</formula>
    </cfRule>
  </conditionalFormatting>
  <conditionalFormatting sqref="BX207">
    <cfRule type="beginsWith" dxfId="2382" priority="926" operator="beginsWith" text="T">
      <formula>LEFT(BX207,LEN("T"))="T"</formula>
    </cfRule>
    <cfRule type="containsText" dxfId="2381" priority="927" operator="containsText" text="Sin iniciar">
      <formula>NOT(ISERROR(SEARCH("Sin iniciar",BX207)))</formula>
    </cfRule>
    <cfRule type="containsText" dxfId="2380" priority="928" operator="containsText" text="En gestión">
      <formula>NOT(ISERROR(SEARCH("En gestión",BX207)))</formula>
    </cfRule>
  </conditionalFormatting>
  <conditionalFormatting sqref="BX212">
    <cfRule type="beginsWith" dxfId="2379" priority="923" operator="beginsWith" text="T">
      <formula>LEFT(BX212,LEN("T"))="T"</formula>
    </cfRule>
    <cfRule type="containsText" dxfId="2378" priority="924" operator="containsText" text="Sin iniciar">
      <formula>NOT(ISERROR(SEARCH("Sin iniciar",BX212)))</formula>
    </cfRule>
    <cfRule type="containsText" dxfId="2377" priority="925" operator="containsText" text="En gestión">
      <formula>NOT(ISERROR(SEARCH("En gestión",BX212)))</formula>
    </cfRule>
  </conditionalFormatting>
  <conditionalFormatting sqref="BX215">
    <cfRule type="beginsWith" dxfId="2376" priority="920" operator="beginsWith" text="T">
      <formula>LEFT(BX215,LEN("T"))="T"</formula>
    </cfRule>
    <cfRule type="containsText" dxfId="2375" priority="921" operator="containsText" text="Sin iniciar">
      <formula>NOT(ISERROR(SEARCH("Sin iniciar",BX215)))</formula>
    </cfRule>
    <cfRule type="containsText" dxfId="2374" priority="922" operator="containsText" text="En gestión">
      <formula>NOT(ISERROR(SEARCH("En gestión",BX215)))</formula>
    </cfRule>
  </conditionalFormatting>
  <conditionalFormatting sqref="BX218">
    <cfRule type="beginsWith" dxfId="2373" priority="917" operator="beginsWith" text="T">
      <formula>LEFT(BX218,LEN("T"))="T"</formula>
    </cfRule>
    <cfRule type="containsText" dxfId="2372" priority="918" operator="containsText" text="Sin iniciar">
      <formula>NOT(ISERROR(SEARCH("Sin iniciar",BX218)))</formula>
    </cfRule>
    <cfRule type="containsText" dxfId="2371" priority="919" operator="containsText" text="En gestión">
      <formula>NOT(ISERROR(SEARCH("En gestión",BX218)))</formula>
    </cfRule>
  </conditionalFormatting>
  <conditionalFormatting sqref="BX221">
    <cfRule type="beginsWith" dxfId="2370" priority="914" operator="beginsWith" text="T">
      <formula>LEFT(BX221,LEN("T"))="T"</formula>
    </cfRule>
    <cfRule type="containsText" dxfId="2369" priority="915" operator="containsText" text="Sin iniciar">
      <formula>NOT(ISERROR(SEARCH("Sin iniciar",BX221)))</formula>
    </cfRule>
    <cfRule type="containsText" dxfId="2368" priority="916" operator="containsText" text="En gestión">
      <formula>NOT(ISERROR(SEARCH("En gestión",BX221)))</formula>
    </cfRule>
  </conditionalFormatting>
  <conditionalFormatting sqref="BW185">
    <cfRule type="beginsWith" dxfId="2367" priority="911" operator="beginsWith" text="T">
      <formula>LEFT(BW185,LEN("T"))="T"</formula>
    </cfRule>
    <cfRule type="containsText" dxfId="2366" priority="912" operator="containsText" text="Sin iniciar">
      <formula>NOT(ISERROR(SEARCH("Sin iniciar",BW185)))</formula>
    </cfRule>
    <cfRule type="containsText" dxfId="2365" priority="913" operator="containsText" text="En gestión">
      <formula>NOT(ISERROR(SEARCH("En gestión",BW185)))</formula>
    </cfRule>
  </conditionalFormatting>
  <conditionalFormatting sqref="BX185">
    <cfRule type="beginsWith" dxfId="2364" priority="908" operator="beginsWith" text="T">
      <formula>LEFT(BX185,LEN("T"))="T"</formula>
    </cfRule>
    <cfRule type="containsText" dxfId="2363" priority="909" operator="containsText" text="Sin iniciar">
      <formula>NOT(ISERROR(SEARCH("Sin iniciar",BX185)))</formula>
    </cfRule>
    <cfRule type="containsText" dxfId="2362" priority="910" operator="containsText" text="En gestión">
      <formula>NOT(ISERROR(SEARCH("En gestión",BX185)))</formula>
    </cfRule>
  </conditionalFormatting>
  <conditionalFormatting sqref="BW189:BX189">
    <cfRule type="beginsWith" dxfId="2361" priority="905" operator="beginsWith" text="T">
      <formula>LEFT(BW189,LEN("T"))="T"</formula>
    </cfRule>
    <cfRule type="containsText" dxfId="2360" priority="906" operator="containsText" text="Sin iniciar">
      <formula>NOT(ISERROR(SEARCH("Sin iniciar",BW189)))</formula>
    </cfRule>
    <cfRule type="containsText" dxfId="2359" priority="907" operator="containsText" text="En gestión">
      <formula>NOT(ISERROR(SEARCH("En gestión",BW189)))</formula>
    </cfRule>
  </conditionalFormatting>
  <conditionalFormatting sqref="BW194:BX194">
    <cfRule type="beginsWith" dxfId="2358" priority="902" operator="beginsWith" text="T">
      <formula>LEFT(BW194,LEN("T"))="T"</formula>
    </cfRule>
    <cfRule type="containsText" dxfId="2357" priority="903" operator="containsText" text="Sin iniciar">
      <formula>NOT(ISERROR(SEARCH("Sin iniciar",BW194)))</formula>
    </cfRule>
    <cfRule type="containsText" dxfId="2356" priority="904" operator="containsText" text="En gestión">
      <formula>NOT(ISERROR(SEARCH("En gestión",BW194)))</formula>
    </cfRule>
  </conditionalFormatting>
  <conditionalFormatting sqref="BW196:BX196">
    <cfRule type="beginsWith" dxfId="2355" priority="899" operator="beginsWith" text="T">
      <formula>LEFT(BW196,LEN("T"))="T"</formula>
    </cfRule>
    <cfRule type="containsText" dxfId="2354" priority="900" operator="containsText" text="Sin iniciar">
      <formula>NOT(ISERROR(SEARCH("Sin iniciar",BW196)))</formula>
    </cfRule>
    <cfRule type="containsText" dxfId="2353" priority="901" operator="containsText" text="En gestión">
      <formula>NOT(ISERROR(SEARCH("En gestión",BW196)))</formula>
    </cfRule>
  </conditionalFormatting>
  <conditionalFormatting sqref="Y56:Z91 AU56:AV91 BR56:BS91">
    <cfRule type="beginsWith" dxfId="2352" priority="1805" operator="beginsWith" text="T">
      <formula>LEFT(Y56,LEN("T"))="T"</formula>
    </cfRule>
    <cfRule type="containsText" dxfId="2351" priority="1806" operator="containsText" text="Sin iniciar">
      <formula>NOT(ISERROR(SEARCH("Sin iniciar",Y56)))</formula>
    </cfRule>
    <cfRule type="containsText" dxfId="2350" priority="1807" operator="containsText" text="En gestión">
      <formula>NOT(ISERROR(SEARCH("En gestión",Y56)))</formula>
    </cfRule>
  </conditionalFormatting>
  <conditionalFormatting sqref="AD77:AE77">
    <cfRule type="beginsWith" dxfId="2349" priority="1778" operator="beginsWith" text="T">
      <formula>LEFT(AD77,LEN("T"))="T"</formula>
    </cfRule>
    <cfRule type="containsText" dxfId="2348" priority="1779" operator="containsText" text="Sin iniciar">
      <formula>NOT(ISERROR(SEARCH("Sin iniciar",AD77)))</formula>
    </cfRule>
    <cfRule type="containsText" dxfId="2347" priority="1780" operator="containsText" text="En gestión">
      <formula>NOT(ISERROR(SEARCH("En gestión",AD77)))</formula>
    </cfRule>
  </conditionalFormatting>
  <conditionalFormatting sqref="AD56">
    <cfRule type="beginsWith" dxfId="2346" priority="1802" operator="beginsWith" text="T">
      <formula>LEFT(AD56,LEN("T"))="T"</formula>
    </cfRule>
    <cfRule type="containsText" dxfId="2345" priority="1803" operator="containsText" text="Sin iniciar">
      <formula>NOT(ISERROR(SEARCH("Sin iniciar",AD56)))</formula>
    </cfRule>
    <cfRule type="containsText" dxfId="2344" priority="1804" operator="containsText" text="En gestión">
      <formula>NOT(ISERROR(SEARCH("En gestión",AD56)))</formula>
    </cfRule>
  </conditionalFormatting>
  <conditionalFormatting sqref="AE56">
    <cfRule type="beginsWith" dxfId="2343" priority="1799" operator="beginsWith" text="T">
      <formula>LEFT(AE56,LEN("T"))="T"</formula>
    </cfRule>
    <cfRule type="containsText" dxfId="2342" priority="1800" operator="containsText" text="Sin iniciar">
      <formula>NOT(ISERROR(SEARCH("Sin iniciar",AE56)))</formula>
    </cfRule>
    <cfRule type="containsText" dxfId="2341" priority="1801" operator="containsText" text="En gestión">
      <formula>NOT(ISERROR(SEARCH("En gestión",AE56)))</formula>
    </cfRule>
  </conditionalFormatting>
  <conditionalFormatting sqref="AD60">
    <cfRule type="beginsWith" dxfId="2340" priority="1796" operator="beginsWith" text="T">
      <formula>LEFT(AD60,LEN("T"))="T"</formula>
    </cfRule>
    <cfRule type="containsText" dxfId="2339" priority="1797" operator="containsText" text="Sin iniciar">
      <formula>NOT(ISERROR(SEARCH("Sin iniciar",AD60)))</formula>
    </cfRule>
    <cfRule type="containsText" dxfId="2338" priority="1798" operator="containsText" text="En gestión">
      <formula>NOT(ISERROR(SEARCH("En gestión",AD60)))</formula>
    </cfRule>
  </conditionalFormatting>
  <conditionalFormatting sqref="AE60">
    <cfRule type="beginsWith" dxfId="2337" priority="1793" operator="beginsWith" text="T">
      <formula>LEFT(AE60,LEN("T"))="T"</formula>
    </cfRule>
    <cfRule type="containsText" dxfId="2336" priority="1794" operator="containsText" text="Sin iniciar">
      <formula>NOT(ISERROR(SEARCH("Sin iniciar",AE60)))</formula>
    </cfRule>
    <cfRule type="containsText" dxfId="2335" priority="1795" operator="containsText" text="En gestión">
      <formula>NOT(ISERROR(SEARCH("En gestión",AE60)))</formula>
    </cfRule>
  </conditionalFormatting>
  <conditionalFormatting sqref="AD68">
    <cfRule type="beginsWith" dxfId="2334" priority="1790" operator="beginsWith" text="T">
      <formula>LEFT(AD68,LEN("T"))="T"</formula>
    </cfRule>
    <cfRule type="containsText" dxfId="2333" priority="1791" operator="containsText" text="Sin iniciar">
      <formula>NOT(ISERROR(SEARCH("Sin iniciar",AD68)))</formula>
    </cfRule>
    <cfRule type="containsText" dxfId="2332" priority="1792" operator="containsText" text="En gestión">
      <formula>NOT(ISERROR(SEARCH("En gestión",AD68)))</formula>
    </cfRule>
  </conditionalFormatting>
  <conditionalFormatting sqref="AE68">
    <cfRule type="beginsWith" dxfId="2331" priority="1787" operator="beginsWith" text="T">
      <formula>LEFT(AE68,LEN("T"))="T"</formula>
    </cfRule>
    <cfRule type="containsText" dxfId="2330" priority="1788" operator="containsText" text="Sin iniciar">
      <formula>NOT(ISERROR(SEARCH("Sin iniciar",AE68)))</formula>
    </cfRule>
    <cfRule type="containsText" dxfId="2329" priority="1789" operator="containsText" text="En gestión">
      <formula>NOT(ISERROR(SEARCH("En gestión",AE68)))</formula>
    </cfRule>
  </conditionalFormatting>
  <conditionalFormatting sqref="AD71">
    <cfRule type="beginsWith" dxfId="2328" priority="1784" operator="beginsWith" text="T">
      <formula>LEFT(AD71,LEN("T"))="T"</formula>
    </cfRule>
    <cfRule type="containsText" dxfId="2327" priority="1785" operator="containsText" text="Sin iniciar">
      <formula>NOT(ISERROR(SEARCH("Sin iniciar",AD71)))</formula>
    </cfRule>
    <cfRule type="containsText" dxfId="2326" priority="1786" operator="containsText" text="En gestión">
      <formula>NOT(ISERROR(SEARCH("En gestión",AD71)))</formula>
    </cfRule>
  </conditionalFormatting>
  <conditionalFormatting sqref="AE71">
    <cfRule type="beginsWith" dxfId="2325" priority="1781" operator="beginsWith" text="T">
      <formula>LEFT(AE71,LEN("T"))="T"</formula>
    </cfRule>
    <cfRule type="containsText" dxfId="2324" priority="1782" operator="containsText" text="Sin iniciar">
      <formula>NOT(ISERROR(SEARCH("Sin iniciar",AE71)))</formula>
    </cfRule>
    <cfRule type="containsText" dxfId="2323" priority="1783" operator="containsText" text="En gestión">
      <formula>NOT(ISERROR(SEARCH("En gestión",AE71)))</formula>
    </cfRule>
  </conditionalFormatting>
  <conditionalFormatting sqref="AD80:AE80">
    <cfRule type="beginsWith" dxfId="2322" priority="1775" operator="beginsWith" text="T">
      <formula>LEFT(AD80,LEN("T"))="T"</formula>
    </cfRule>
    <cfRule type="containsText" dxfId="2321" priority="1776" operator="containsText" text="Sin iniciar">
      <formula>NOT(ISERROR(SEARCH("Sin iniciar",AD80)))</formula>
    </cfRule>
    <cfRule type="containsText" dxfId="2320" priority="1777" operator="containsText" text="En gestión">
      <formula>NOT(ISERROR(SEARCH("En gestión",AD80)))</formula>
    </cfRule>
  </conditionalFormatting>
  <conditionalFormatting sqref="AD83:AE83">
    <cfRule type="beginsWith" dxfId="2319" priority="1772" operator="beginsWith" text="T">
      <formula>LEFT(AD83,LEN("T"))="T"</formula>
    </cfRule>
    <cfRule type="containsText" dxfId="2318" priority="1773" operator="containsText" text="Sin iniciar">
      <formula>NOT(ISERROR(SEARCH("Sin iniciar",AD83)))</formula>
    </cfRule>
    <cfRule type="containsText" dxfId="2317" priority="1774" operator="containsText" text="En gestión">
      <formula>NOT(ISERROR(SEARCH("En gestión",AD83)))</formula>
    </cfRule>
  </conditionalFormatting>
  <conditionalFormatting sqref="AD86:AE86">
    <cfRule type="beginsWith" dxfId="2316" priority="1769" operator="beginsWith" text="T">
      <formula>LEFT(AD86,LEN("T"))="T"</formula>
    </cfRule>
    <cfRule type="containsText" dxfId="2315" priority="1770" operator="containsText" text="Sin iniciar">
      <formula>NOT(ISERROR(SEARCH("Sin iniciar",AD86)))</formula>
    </cfRule>
    <cfRule type="containsText" dxfId="2314" priority="1771" operator="containsText" text="En gestión">
      <formula>NOT(ISERROR(SEARCH("En gestión",AD86)))</formula>
    </cfRule>
  </conditionalFormatting>
  <conditionalFormatting sqref="AD89:AE89">
    <cfRule type="beginsWith" dxfId="2313" priority="1766" operator="beginsWith" text="T">
      <formula>LEFT(AD89,LEN("T"))="T"</formula>
    </cfRule>
    <cfRule type="containsText" dxfId="2312" priority="1767" operator="containsText" text="Sin iniciar">
      <formula>NOT(ISERROR(SEARCH("Sin iniciar",AD89)))</formula>
    </cfRule>
    <cfRule type="containsText" dxfId="2311" priority="1768" operator="containsText" text="En gestión">
      <formula>NOT(ISERROR(SEARCH("En gestión",AD89)))</formula>
    </cfRule>
  </conditionalFormatting>
  <conditionalFormatting sqref="AZ56">
    <cfRule type="beginsWith" dxfId="2310" priority="1763" operator="beginsWith" text="T">
      <formula>LEFT(AZ56,LEN("T"))="T"</formula>
    </cfRule>
    <cfRule type="containsText" dxfId="2309" priority="1764" operator="containsText" text="Sin iniciar">
      <formula>NOT(ISERROR(SEARCH("Sin iniciar",AZ56)))</formula>
    </cfRule>
    <cfRule type="containsText" dxfId="2308" priority="1765" operator="containsText" text="En gestión">
      <formula>NOT(ISERROR(SEARCH("En gestión",AZ56)))</formula>
    </cfRule>
  </conditionalFormatting>
  <conditionalFormatting sqref="BA56">
    <cfRule type="beginsWith" dxfId="2307" priority="1760" operator="beginsWith" text="T">
      <formula>LEFT(BA56,LEN("T"))="T"</formula>
    </cfRule>
    <cfRule type="containsText" dxfId="2306" priority="1761" operator="containsText" text="Sin iniciar">
      <formula>NOT(ISERROR(SEARCH("Sin iniciar",BA56)))</formula>
    </cfRule>
    <cfRule type="containsText" dxfId="2305" priority="1762" operator="containsText" text="En gestión">
      <formula>NOT(ISERROR(SEARCH("En gestión",BA56)))</formula>
    </cfRule>
  </conditionalFormatting>
  <conditionalFormatting sqref="AZ60">
    <cfRule type="beginsWith" dxfId="2304" priority="1757" operator="beginsWith" text="T">
      <formula>LEFT(AZ60,LEN("T"))="T"</formula>
    </cfRule>
    <cfRule type="containsText" dxfId="2303" priority="1758" operator="containsText" text="Sin iniciar">
      <formula>NOT(ISERROR(SEARCH("Sin iniciar",AZ60)))</formula>
    </cfRule>
    <cfRule type="containsText" dxfId="2302" priority="1759" operator="containsText" text="En gestión">
      <formula>NOT(ISERROR(SEARCH("En gestión",AZ60)))</formula>
    </cfRule>
  </conditionalFormatting>
  <conditionalFormatting sqref="BA60">
    <cfRule type="beginsWith" dxfId="2301" priority="1754" operator="beginsWith" text="T">
      <formula>LEFT(BA60,LEN("T"))="T"</formula>
    </cfRule>
    <cfRule type="containsText" dxfId="2300" priority="1755" operator="containsText" text="Sin iniciar">
      <formula>NOT(ISERROR(SEARCH("Sin iniciar",BA60)))</formula>
    </cfRule>
    <cfRule type="containsText" dxfId="2299" priority="1756" operator="containsText" text="En gestión">
      <formula>NOT(ISERROR(SEARCH("En gestión",BA60)))</formula>
    </cfRule>
  </conditionalFormatting>
  <conditionalFormatting sqref="AZ68">
    <cfRule type="beginsWith" dxfId="2298" priority="1751" operator="beginsWith" text="T">
      <formula>LEFT(AZ68,LEN("T"))="T"</formula>
    </cfRule>
    <cfRule type="containsText" dxfId="2297" priority="1752" operator="containsText" text="Sin iniciar">
      <formula>NOT(ISERROR(SEARCH("Sin iniciar",AZ68)))</formula>
    </cfRule>
    <cfRule type="containsText" dxfId="2296" priority="1753" operator="containsText" text="En gestión">
      <formula>NOT(ISERROR(SEARCH("En gestión",AZ68)))</formula>
    </cfRule>
  </conditionalFormatting>
  <conditionalFormatting sqref="BA68">
    <cfRule type="beginsWith" dxfId="2295" priority="1748" operator="beginsWith" text="T">
      <formula>LEFT(BA68,LEN("T"))="T"</formula>
    </cfRule>
    <cfRule type="containsText" dxfId="2294" priority="1749" operator="containsText" text="Sin iniciar">
      <formula>NOT(ISERROR(SEARCH("Sin iniciar",BA68)))</formula>
    </cfRule>
    <cfRule type="containsText" dxfId="2293" priority="1750" operator="containsText" text="En gestión">
      <formula>NOT(ISERROR(SEARCH("En gestión",BA68)))</formula>
    </cfRule>
  </conditionalFormatting>
  <conditionalFormatting sqref="AZ71">
    <cfRule type="beginsWith" dxfId="2292" priority="1745" operator="beginsWith" text="T">
      <formula>LEFT(AZ71,LEN("T"))="T"</formula>
    </cfRule>
    <cfRule type="containsText" dxfId="2291" priority="1746" operator="containsText" text="Sin iniciar">
      <formula>NOT(ISERROR(SEARCH("Sin iniciar",AZ71)))</formula>
    </cfRule>
    <cfRule type="containsText" dxfId="2290" priority="1747" operator="containsText" text="En gestión">
      <formula>NOT(ISERROR(SEARCH("En gestión",AZ71)))</formula>
    </cfRule>
  </conditionalFormatting>
  <conditionalFormatting sqref="BA71">
    <cfRule type="beginsWith" dxfId="2289" priority="1742" operator="beginsWith" text="T">
      <formula>LEFT(BA71,LEN("T"))="T"</formula>
    </cfRule>
    <cfRule type="containsText" dxfId="2288" priority="1743" operator="containsText" text="Sin iniciar">
      <formula>NOT(ISERROR(SEARCH("Sin iniciar",BA71)))</formula>
    </cfRule>
    <cfRule type="containsText" dxfId="2287" priority="1744" operator="containsText" text="En gestión">
      <formula>NOT(ISERROR(SEARCH("En gestión",BA71)))</formula>
    </cfRule>
  </conditionalFormatting>
  <conditionalFormatting sqref="AZ77:BA77">
    <cfRule type="beginsWith" dxfId="2286" priority="1739" operator="beginsWith" text="T">
      <formula>LEFT(AZ77,LEN("T"))="T"</formula>
    </cfRule>
    <cfRule type="containsText" dxfId="2285" priority="1740" operator="containsText" text="Sin iniciar">
      <formula>NOT(ISERROR(SEARCH("Sin iniciar",AZ77)))</formula>
    </cfRule>
    <cfRule type="containsText" dxfId="2284" priority="1741" operator="containsText" text="En gestión">
      <formula>NOT(ISERROR(SEARCH("En gestión",AZ77)))</formula>
    </cfRule>
  </conditionalFormatting>
  <conditionalFormatting sqref="AZ80:BA80">
    <cfRule type="beginsWith" dxfId="2283" priority="1736" operator="beginsWith" text="T">
      <formula>LEFT(AZ80,LEN("T"))="T"</formula>
    </cfRule>
    <cfRule type="containsText" dxfId="2282" priority="1737" operator="containsText" text="Sin iniciar">
      <formula>NOT(ISERROR(SEARCH("Sin iniciar",AZ80)))</formula>
    </cfRule>
    <cfRule type="containsText" dxfId="2281" priority="1738" operator="containsText" text="En gestión">
      <formula>NOT(ISERROR(SEARCH("En gestión",AZ80)))</formula>
    </cfRule>
  </conditionalFormatting>
  <conditionalFormatting sqref="AZ83:BA83">
    <cfRule type="beginsWith" dxfId="2280" priority="1733" operator="beginsWith" text="T">
      <formula>LEFT(AZ83,LEN("T"))="T"</formula>
    </cfRule>
    <cfRule type="containsText" dxfId="2279" priority="1734" operator="containsText" text="Sin iniciar">
      <formula>NOT(ISERROR(SEARCH("Sin iniciar",AZ83)))</formula>
    </cfRule>
    <cfRule type="containsText" dxfId="2278" priority="1735" operator="containsText" text="En gestión">
      <formula>NOT(ISERROR(SEARCH("En gestión",AZ83)))</formula>
    </cfRule>
  </conditionalFormatting>
  <conditionalFormatting sqref="AZ86:BA86">
    <cfRule type="beginsWith" dxfId="2277" priority="1730" operator="beginsWith" text="T">
      <formula>LEFT(AZ86,LEN("T"))="T"</formula>
    </cfRule>
    <cfRule type="containsText" dxfId="2276" priority="1731" operator="containsText" text="Sin iniciar">
      <formula>NOT(ISERROR(SEARCH("Sin iniciar",AZ86)))</formula>
    </cfRule>
    <cfRule type="containsText" dxfId="2275" priority="1732" operator="containsText" text="En gestión">
      <formula>NOT(ISERROR(SEARCH("En gestión",AZ86)))</formula>
    </cfRule>
  </conditionalFormatting>
  <conditionalFormatting sqref="AZ89:BA89">
    <cfRule type="beginsWith" dxfId="2274" priority="1727" operator="beginsWith" text="T">
      <formula>LEFT(AZ89,LEN("T"))="T"</formula>
    </cfRule>
    <cfRule type="containsText" dxfId="2273" priority="1728" operator="containsText" text="Sin iniciar">
      <formula>NOT(ISERROR(SEARCH("Sin iniciar",AZ89)))</formula>
    </cfRule>
    <cfRule type="containsText" dxfId="2272" priority="1729" operator="containsText" text="En gestión">
      <formula>NOT(ISERROR(SEARCH("En gestión",AZ89)))</formula>
    </cfRule>
  </conditionalFormatting>
  <conditionalFormatting sqref="BW56">
    <cfRule type="beginsWith" dxfId="2271" priority="1724" operator="beginsWith" text="T">
      <formula>LEFT(BW56,LEN("T"))="T"</formula>
    </cfRule>
    <cfRule type="containsText" dxfId="2270" priority="1725" operator="containsText" text="Sin iniciar">
      <formula>NOT(ISERROR(SEARCH("Sin iniciar",BW56)))</formula>
    </cfRule>
    <cfRule type="containsText" dxfId="2269" priority="1726" operator="containsText" text="En gestión">
      <formula>NOT(ISERROR(SEARCH("En gestión",BW56)))</formula>
    </cfRule>
  </conditionalFormatting>
  <conditionalFormatting sqref="BX56">
    <cfRule type="beginsWith" dxfId="2268" priority="1721" operator="beginsWith" text="T">
      <formula>LEFT(BX56,LEN("T"))="T"</formula>
    </cfRule>
    <cfRule type="containsText" dxfId="2267" priority="1722" operator="containsText" text="Sin iniciar">
      <formula>NOT(ISERROR(SEARCH("Sin iniciar",BX56)))</formula>
    </cfRule>
    <cfRule type="containsText" dxfId="2266" priority="1723" operator="containsText" text="En gestión">
      <formula>NOT(ISERROR(SEARCH("En gestión",BX56)))</formula>
    </cfRule>
  </conditionalFormatting>
  <conditionalFormatting sqref="BW60">
    <cfRule type="beginsWith" dxfId="2265" priority="1718" operator="beginsWith" text="T">
      <formula>LEFT(BW60,LEN("T"))="T"</formula>
    </cfRule>
    <cfRule type="containsText" dxfId="2264" priority="1719" operator="containsText" text="Sin iniciar">
      <formula>NOT(ISERROR(SEARCH("Sin iniciar",BW60)))</formula>
    </cfRule>
    <cfRule type="containsText" dxfId="2263" priority="1720" operator="containsText" text="En gestión">
      <formula>NOT(ISERROR(SEARCH("En gestión",BW60)))</formula>
    </cfRule>
  </conditionalFormatting>
  <conditionalFormatting sqref="BX60">
    <cfRule type="beginsWith" dxfId="2262" priority="1715" operator="beginsWith" text="T">
      <formula>LEFT(BX60,LEN("T"))="T"</formula>
    </cfRule>
    <cfRule type="containsText" dxfId="2261" priority="1716" operator="containsText" text="Sin iniciar">
      <formula>NOT(ISERROR(SEARCH("Sin iniciar",BX60)))</formula>
    </cfRule>
    <cfRule type="containsText" dxfId="2260" priority="1717" operator="containsText" text="En gestión">
      <formula>NOT(ISERROR(SEARCH("En gestión",BX60)))</formula>
    </cfRule>
  </conditionalFormatting>
  <conditionalFormatting sqref="BW68">
    <cfRule type="beginsWith" dxfId="2259" priority="1712" operator="beginsWith" text="T">
      <formula>LEFT(BW68,LEN("T"))="T"</formula>
    </cfRule>
    <cfRule type="containsText" dxfId="2258" priority="1713" operator="containsText" text="Sin iniciar">
      <formula>NOT(ISERROR(SEARCH("Sin iniciar",BW68)))</formula>
    </cfRule>
    <cfRule type="containsText" dxfId="2257" priority="1714" operator="containsText" text="En gestión">
      <formula>NOT(ISERROR(SEARCH("En gestión",BW68)))</formula>
    </cfRule>
  </conditionalFormatting>
  <conditionalFormatting sqref="BX68">
    <cfRule type="beginsWith" dxfId="2256" priority="1709" operator="beginsWith" text="T">
      <formula>LEFT(BX68,LEN("T"))="T"</formula>
    </cfRule>
    <cfRule type="containsText" dxfId="2255" priority="1710" operator="containsText" text="Sin iniciar">
      <formula>NOT(ISERROR(SEARCH("Sin iniciar",BX68)))</formula>
    </cfRule>
    <cfRule type="containsText" dxfId="2254" priority="1711" operator="containsText" text="En gestión">
      <formula>NOT(ISERROR(SEARCH("En gestión",BX68)))</formula>
    </cfRule>
  </conditionalFormatting>
  <conditionalFormatting sqref="BW71">
    <cfRule type="beginsWith" dxfId="2253" priority="1706" operator="beginsWith" text="T">
      <formula>LEFT(BW71,LEN("T"))="T"</formula>
    </cfRule>
    <cfRule type="containsText" dxfId="2252" priority="1707" operator="containsText" text="Sin iniciar">
      <formula>NOT(ISERROR(SEARCH("Sin iniciar",BW71)))</formula>
    </cfRule>
    <cfRule type="containsText" dxfId="2251" priority="1708" operator="containsText" text="En gestión">
      <formula>NOT(ISERROR(SEARCH("En gestión",BW71)))</formula>
    </cfRule>
  </conditionalFormatting>
  <conditionalFormatting sqref="BX71">
    <cfRule type="beginsWith" dxfId="2250" priority="1703" operator="beginsWith" text="T">
      <formula>LEFT(BX71,LEN("T"))="T"</formula>
    </cfRule>
    <cfRule type="containsText" dxfId="2249" priority="1704" operator="containsText" text="Sin iniciar">
      <formula>NOT(ISERROR(SEARCH("Sin iniciar",BX71)))</formula>
    </cfRule>
    <cfRule type="containsText" dxfId="2248" priority="1705" operator="containsText" text="En gestión">
      <formula>NOT(ISERROR(SEARCH("En gestión",BX71)))</formula>
    </cfRule>
  </conditionalFormatting>
  <conditionalFormatting sqref="BW77:BX77">
    <cfRule type="beginsWith" dxfId="2247" priority="1700" operator="beginsWith" text="T">
      <formula>LEFT(BW77,LEN("T"))="T"</formula>
    </cfRule>
    <cfRule type="containsText" dxfId="2246" priority="1701" operator="containsText" text="Sin iniciar">
      <formula>NOT(ISERROR(SEARCH("Sin iniciar",BW77)))</formula>
    </cfRule>
    <cfRule type="containsText" dxfId="2245" priority="1702" operator="containsText" text="En gestión">
      <formula>NOT(ISERROR(SEARCH("En gestión",BW77)))</formula>
    </cfRule>
  </conditionalFormatting>
  <conditionalFormatting sqref="BW80:BX80">
    <cfRule type="beginsWith" dxfId="2244" priority="1697" operator="beginsWith" text="T">
      <formula>LEFT(BW80,LEN("T"))="T"</formula>
    </cfRule>
    <cfRule type="containsText" dxfId="2243" priority="1698" operator="containsText" text="Sin iniciar">
      <formula>NOT(ISERROR(SEARCH("Sin iniciar",BW80)))</formula>
    </cfRule>
    <cfRule type="containsText" dxfId="2242" priority="1699" operator="containsText" text="En gestión">
      <formula>NOT(ISERROR(SEARCH("En gestión",BW80)))</formula>
    </cfRule>
  </conditionalFormatting>
  <conditionalFormatting sqref="BW83:BX83">
    <cfRule type="beginsWith" dxfId="2241" priority="1694" operator="beginsWith" text="T">
      <formula>LEFT(BW83,LEN("T"))="T"</formula>
    </cfRule>
    <cfRule type="containsText" dxfId="2240" priority="1695" operator="containsText" text="Sin iniciar">
      <formula>NOT(ISERROR(SEARCH("Sin iniciar",BW83)))</formula>
    </cfRule>
    <cfRule type="containsText" dxfId="2239" priority="1696" operator="containsText" text="En gestión">
      <formula>NOT(ISERROR(SEARCH("En gestión",BW83)))</formula>
    </cfRule>
  </conditionalFormatting>
  <conditionalFormatting sqref="BW86:BX86">
    <cfRule type="beginsWith" dxfId="2238" priority="1691" operator="beginsWith" text="T">
      <formula>LEFT(BW86,LEN("T"))="T"</formula>
    </cfRule>
    <cfRule type="containsText" dxfId="2237" priority="1692" operator="containsText" text="Sin iniciar">
      <formula>NOT(ISERROR(SEARCH("Sin iniciar",BW86)))</formula>
    </cfRule>
    <cfRule type="containsText" dxfId="2236" priority="1693" operator="containsText" text="En gestión">
      <formula>NOT(ISERROR(SEARCH("En gestión",BW86)))</formula>
    </cfRule>
  </conditionalFormatting>
  <conditionalFormatting sqref="BW89:BX89">
    <cfRule type="beginsWith" dxfId="2235" priority="1688" operator="beginsWith" text="T">
      <formula>LEFT(BW89,LEN("T"))="T"</formula>
    </cfRule>
    <cfRule type="containsText" dxfId="2234" priority="1689" operator="containsText" text="Sin iniciar">
      <formula>NOT(ISERROR(SEARCH("Sin iniciar",BW89)))</formula>
    </cfRule>
    <cfRule type="containsText" dxfId="2233" priority="1690" operator="containsText" text="En gestión">
      <formula>NOT(ISERROR(SEARCH("En gestión",BW89)))</formula>
    </cfRule>
  </conditionalFormatting>
  <conditionalFormatting sqref="AD62">
    <cfRule type="beginsWith" dxfId="2232" priority="1685" operator="beginsWith" text="T">
      <formula>LEFT(AD62,LEN("T"))="T"</formula>
    </cfRule>
    <cfRule type="containsText" dxfId="2231" priority="1686" operator="containsText" text="Sin iniciar">
      <formula>NOT(ISERROR(SEARCH("Sin iniciar",AD62)))</formula>
    </cfRule>
    <cfRule type="containsText" dxfId="2230" priority="1687" operator="containsText" text="En gestión">
      <formula>NOT(ISERROR(SEARCH("En gestión",AD62)))</formula>
    </cfRule>
  </conditionalFormatting>
  <conditionalFormatting sqref="AE62">
    <cfRule type="beginsWith" dxfId="2229" priority="1682" operator="beginsWith" text="T">
      <formula>LEFT(AE62,LEN("T"))="T"</formula>
    </cfRule>
    <cfRule type="containsText" dxfId="2228" priority="1683" operator="containsText" text="Sin iniciar">
      <formula>NOT(ISERROR(SEARCH("Sin iniciar",AE62)))</formula>
    </cfRule>
    <cfRule type="containsText" dxfId="2227" priority="1684" operator="containsText" text="En gestión">
      <formula>NOT(ISERROR(SEARCH("En gestión",AE62)))</formula>
    </cfRule>
  </conditionalFormatting>
  <conditionalFormatting sqref="AZ62">
    <cfRule type="beginsWith" dxfId="2226" priority="1679" operator="beginsWith" text="T">
      <formula>LEFT(AZ62,LEN("T"))="T"</formula>
    </cfRule>
    <cfRule type="containsText" dxfId="2225" priority="1680" operator="containsText" text="Sin iniciar">
      <formula>NOT(ISERROR(SEARCH("Sin iniciar",AZ62)))</formula>
    </cfRule>
    <cfRule type="containsText" dxfId="2224" priority="1681" operator="containsText" text="En gestión">
      <formula>NOT(ISERROR(SEARCH("En gestión",AZ62)))</formula>
    </cfRule>
  </conditionalFormatting>
  <conditionalFormatting sqref="BA62">
    <cfRule type="beginsWith" dxfId="2223" priority="1676" operator="beginsWith" text="T">
      <formula>LEFT(BA62,LEN("T"))="T"</formula>
    </cfRule>
    <cfRule type="containsText" dxfId="2222" priority="1677" operator="containsText" text="Sin iniciar">
      <formula>NOT(ISERROR(SEARCH("Sin iniciar",BA62)))</formula>
    </cfRule>
    <cfRule type="containsText" dxfId="2221" priority="1678" operator="containsText" text="En gestión">
      <formula>NOT(ISERROR(SEARCH("En gestión",BA62)))</formula>
    </cfRule>
  </conditionalFormatting>
  <conditionalFormatting sqref="BW62">
    <cfRule type="beginsWith" dxfId="2220" priority="1673" operator="beginsWith" text="T">
      <formula>LEFT(BW62,LEN("T"))="T"</formula>
    </cfRule>
    <cfRule type="containsText" dxfId="2219" priority="1674" operator="containsText" text="Sin iniciar">
      <formula>NOT(ISERROR(SEARCH("Sin iniciar",BW62)))</formula>
    </cfRule>
    <cfRule type="containsText" dxfId="2218" priority="1675" operator="containsText" text="En gestión">
      <formula>NOT(ISERROR(SEARCH("En gestión",BW62)))</formula>
    </cfRule>
  </conditionalFormatting>
  <conditionalFormatting sqref="BX62">
    <cfRule type="beginsWith" dxfId="2217" priority="1670" operator="beginsWith" text="T">
      <formula>LEFT(BX62,LEN("T"))="T"</formula>
    </cfRule>
    <cfRule type="containsText" dxfId="2216" priority="1671" operator="containsText" text="Sin iniciar">
      <formula>NOT(ISERROR(SEARCH("Sin iniciar",BX62)))</formula>
    </cfRule>
    <cfRule type="containsText" dxfId="2215" priority="1672" operator="containsText" text="En gestión">
      <formula>NOT(ISERROR(SEARCH("En gestión",BX62)))</formula>
    </cfRule>
  </conditionalFormatting>
  <conditionalFormatting sqref="Y92:Y95">
    <cfRule type="beginsWith" dxfId="2214" priority="1667" operator="beginsWith" text="T">
      <formula>LEFT(Y92,LEN("T"))="T"</formula>
    </cfRule>
    <cfRule type="containsText" dxfId="2213" priority="1668" operator="containsText" text="Sin iniciar">
      <formula>NOT(ISERROR(SEARCH("Sin iniciar",Y92)))</formula>
    </cfRule>
    <cfRule type="containsText" dxfId="2212" priority="1669" operator="containsText" text="En gestión">
      <formula>NOT(ISERROR(SEARCH("En gestión",Y92)))</formula>
    </cfRule>
  </conditionalFormatting>
  <conditionalFormatting sqref="Z92:Z95">
    <cfRule type="beginsWith" dxfId="2211" priority="1664" operator="beginsWith" text="T">
      <formula>LEFT(Z92,LEN("T"))="T"</formula>
    </cfRule>
    <cfRule type="containsText" dxfId="2210" priority="1665" operator="containsText" text="Sin iniciar">
      <formula>NOT(ISERROR(SEARCH("Sin iniciar",Z92)))</formula>
    </cfRule>
    <cfRule type="containsText" dxfId="2209" priority="1666" operator="containsText" text="En gestión">
      <formula>NOT(ISERROR(SEARCH("En gestión",Z92)))</formula>
    </cfRule>
  </conditionalFormatting>
  <conditionalFormatting sqref="AV92:AV95">
    <cfRule type="beginsWith" dxfId="2208" priority="1661" operator="beginsWith" text="T">
      <formula>LEFT(AV92,LEN("T"))="T"</formula>
    </cfRule>
    <cfRule type="containsText" dxfId="2207" priority="1662" operator="containsText" text="Sin iniciar">
      <formula>NOT(ISERROR(SEARCH("Sin iniciar",AV92)))</formula>
    </cfRule>
    <cfRule type="containsText" dxfId="2206" priority="1663" operator="containsText" text="En gestión">
      <formula>NOT(ISERROR(SEARCH("En gestión",AV92)))</formula>
    </cfRule>
  </conditionalFormatting>
  <conditionalFormatting sqref="AU92:AU95">
    <cfRule type="beginsWith" dxfId="2205" priority="1658" operator="beginsWith" text="T">
      <formula>LEFT(AU92,LEN("T"))="T"</formula>
    </cfRule>
    <cfRule type="containsText" dxfId="2204" priority="1659" operator="containsText" text="Sin iniciar">
      <formula>NOT(ISERROR(SEARCH("Sin iniciar",AU92)))</formula>
    </cfRule>
    <cfRule type="containsText" dxfId="2203" priority="1660" operator="containsText" text="En gestión">
      <formula>NOT(ISERROR(SEARCH("En gestión",AU92)))</formula>
    </cfRule>
  </conditionalFormatting>
  <conditionalFormatting sqref="AD92">
    <cfRule type="beginsWith" dxfId="2202" priority="1655" operator="beginsWith" text="T">
      <formula>LEFT(AD92,LEN("T"))="T"</formula>
    </cfRule>
    <cfRule type="containsText" dxfId="2201" priority="1656" operator="containsText" text="Sin iniciar">
      <formula>NOT(ISERROR(SEARCH("Sin iniciar",AD92)))</formula>
    </cfRule>
    <cfRule type="containsText" dxfId="2200" priority="1657" operator="containsText" text="En gestión">
      <formula>NOT(ISERROR(SEARCH("En gestión",AD92)))</formula>
    </cfRule>
  </conditionalFormatting>
  <conditionalFormatting sqref="AE92">
    <cfRule type="beginsWith" dxfId="2199" priority="1652" operator="beginsWith" text="T">
      <formula>LEFT(AE92,LEN("T"))="T"</formula>
    </cfRule>
    <cfRule type="containsText" dxfId="2198" priority="1653" operator="containsText" text="Sin iniciar">
      <formula>NOT(ISERROR(SEARCH("Sin iniciar",AE92)))</formula>
    </cfRule>
    <cfRule type="containsText" dxfId="2197" priority="1654" operator="containsText" text="En gestión">
      <formula>NOT(ISERROR(SEARCH("En gestión",AE92)))</formula>
    </cfRule>
  </conditionalFormatting>
  <conditionalFormatting sqref="AD94">
    <cfRule type="beginsWith" dxfId="2196" priority="1649" operator="beginsWith" text="T">
      <formula>LEFT(AD94,LEN("T"))="T"</formula>
    </cfRule>
    <cfRule type="containsText" dxfId="2195" priority="1650" operator="containsText" text="Sin iniciar">
      <formula>NOT(ISERROR(SEARCH("Sin iniciar",AD94)))</formula>
    </cfRule>
    <cfRule type="containsText" dxfId="2194" priority="1651" operator="containsText" text="En gestión">
      <formula>NOT(ISERROR(SEARCH("En gestión",AD94)))</formula>
    </cfRule>
  </conditionalFormatting>
  <conditionalFormatting sqref="AE94">
    <cfRule type="beginsWith" dxfId="2193" priority="1646" operator="beginsWith" text="T">
      <formula>LEFT(AE94,LEN("T"))="T"</formula>
    </cfRule>
    <cfRule type="containsText" dxfId="2192" priority="1647" operator="containsText" text="Sin iniciar">
      <formula>NOT(ISERROR(SEARCH("Sin iniciar",AE94)))</formula>
    </cfRule>
    <cfRule type="containsText" dxfId="2191" priority="1648" operator="containsText" text="En gestión">
      <formula>NOT(ISERROR(SEARCH("En gestión",AE94)))</formula>
    </cfRule>
  </conditionalFormatting>
  <conditionalFormatting sqref="AZ92">
    <cfRule type="beginsWith" dxfId="2190" priority="1643" operator="beginsWith" text="T">
      <formula>LEFT(AZ92,LEN("T"))="T"</formula>
    </cfRule>
    <cfRule type="containsText" dxfId="2189" priority="1644" operator="containsText" text="Sin iniciar">
      <formula>NOT(ISERROR(SEARCH("Sin iniciar",AZ92)))</formula>
    </cfRule>
    <cfRule type="containsText" dxfId="2188" priority="1645" operator="containsText" text="En gestión">
      <formula>NOT(ISERROR(SEARCH("En gestión",AZ92)))</formula>
    </cfRule>
  </conditionalFormatting>
  <conditionalFormatting sqref="BA92">
    <cfRule type="beginsWith" dxfId="2187" priority="1640" operator="beginsWith" text="T">
      <formula>LEFT(BA92,LEN("T"))="T"</formula>
    </cfRule>
    <cfRule type="containsText" dxfId="2186" priority="1641" operator="containsText" text="Sin iniciar">
      <formula>NOT(ISERROR(SEARCH("Sin iniciar",BA92)))</formula>
    </cfRule>
    <cfRule type="containsText" dxfId="2185" priority="1642" operator="containsText" text="En gestión">
      <formula>NOT(ISERROR(SEARCH("En gestión",BA92)))</formula>
    </cfRule>
  </conditionalFormatting>
  <conditionalFormatting sqref="AZ94">
    <cfRule type="beginsWith" dxfId="2184" priority="1637" operator="beginsWith" text="T">
      <formula>LEFT(AZ94,LEN("T"))="T"</formula>
    </cfRule>
    <cfRule type="containsText" dxfId="2183" priority="1638" operator="containsText" text="Sin iniciar">
      <formula>NOT(ISERROR(SEARCH("Sin iniciar",AZ94)))</formula>
    </cfRule>
    <cfRule type="containsText" dxfId="2182" priority="1639" operator="containsText" text="En gestión">
      <formula>NOT(ISERROR(SEARCH("En gestión",AZ94)))</formula>
    </cfRule>
  </conditionalFormatting>
  <conditionalFormatting sqref="BA94">
    <cfRule type="beginsWith" dxfId="2181" priority="1634" operator="beginsWith" text="T">
      <formula>LEFT(BA94,LEN("T"))="T"</formula>
    </cfRule>
    <cfRule type="containsText" dxfId="2180" priority="1635" operator="containsText" text="Sin iniciar">
      <formula>NOT(ISERROR(SEARCH("Sin iniciar",BA94)))</formula>
    </cfRule>
    <cfRule type="containsText" dxfId="2179" priority="1636" operator="containsText" text="En gestión">
      <formula>NOT(ISERROR(SEARCH("En gestión",BA94)))</formula>
    </cfRule>
  </conditionalFormatting>
  <conditionalFormatting sqref="BS92:BS95">
    <cfRule type="beginsWith" dxfId="2178" priority="1631" operator="beginsWith" text="T">
      <formula>LEFT(BS92,LEN("T"))="T"</formula>
    </cfRule>
    <cfRule type="containsText" dxfId="2177" priority="1632" operator="containsText" text="Sin iniciar">
      <formula>NOT(ISERROR(SEARCH("Sin iniciar",BS92)))</formula>
    </cfRule>
    <cfRule type="containsText" dxfId="2176" priority="1633" operator="containsText" text="En gestión">
      <formula>NOT(ISERROR(SEARCH("En gestión",BS92)))</formula>
    </cfRule>
  </conditionalFormatting>
  <conditionalFormatting sqref="BR92:BR95">
    <cfRule type="beginsWith" dxfId="2175" priority="1628" operator="beginsWith" text="T">
      <formula>LEFT(BR92,LEN("T"))="T"</formula>
    </cfRule>
    <cfRule type="containsText" dxfId="2174" priority="1629" operator="containsText" text="Sin iniciar">
      <formula>NOT(ISERROR(SEARCH("Sin iniciar",BR92)))</formula>
    </cfRule>
    <cfRule type="containsText" dxfId="2173" priority="1630" operator="containsText" text="En gestión">
      <formula>NOT(ISERROR(SEARCH("En gestión",BR92)))</formula>
    </cfRule>
  </conditionalFormatting>
  <conditionalFormatting sqref="BW92">
    <cfRule type="beginsWith" dxfId="2172" priority="1625" operator="beginsWith" text="T">
      <formula>LEFT(BW92,LEN("T"))="T"</formula>
    </cfRule>
    <cfRule type="containsText" dxfId="2171" priority="1626" operator="containsText" text="Sin iniciar">
      <formula>NOT(ISERROR(SEARCH("Sin iniciar",BW92)))</formula>
    </cfRule>
    <cfRule type="containsText" dxfId="2170" priority="1627" operator="containsText" text="En gestión">
      <formula>NOT(ISERROR(SEARCH("En gestión",BW92)))</formula>
    </cfRule>
  </conditionalFormatting>
  <conditionalFormatting sqref="BX92">
    <cfRule type="beginsWith" dxfId="2169" priority="1622" operator="beginsWith" text="T">
      <formula>LEFT(BX92,LEN("T"))="T"</formula>
    </cfRule>
    <cfRule type="containsText" dxfId="2168" priority="1623" operator="containsText" text="Sin iniciar">
      <formula>NOT(ISERROR(SEARCH("Sin iniciar",BX92)))</formula>
    </cfRule>
    <cfRule type="containsText" dxfId="2167" priority="1624" operator="containsText" text="En gestión">
      <formula>NOT(ISERROR(SEARCH("En gestión",BX92)))</formula>
    </cfRule>
  </conditionalFormatting>
  <conditionalFormatting sqref="BW94">
    <cfRule type="beginsWith" dxfId="2166" priority="1619" operator="beginsWith" text="T">
      <formula>LEFT(BW94,LEN("T"))="T"</formula>
    </cfRule>
    <cfRule type="containsText" dxfId="2165" priority="1620" operator="containsText" text="Sin iniciar">
      <formula>NOT(ISERROR(SEARCH("Sin iniciar",BW94)))</formula>
    </cfRule>
    <cfRule type="containsText" dxfId="2164" priority="1621" operator="containsText" text="En gestión">
      <formula>NOT(ISERROR(SEARCH("En gestión",BW94)))</formula>
    </cfRule>
  </conditionalFormatting>
  <conditionalFormatting sqref="BX94">
    <cfRule type="beginsWith" dxfId="2163" priority="1616" operator="beginsWith" text="T">
      <formula>LEFT(BX94,LEN("T"))="T"</formula>
    </cfRule>
    <cfRule type="containsText" dxfId="2162" priority="1617" operator="containsText" text="Sin iniciar">
      <formula>NOT(ISERROR(SEARCH("Sin iniciar",BX94)))</formula>
    </cfRule>
    <cfRule type="containsText" dxfId="2161" priority="1618" operator="containsText" text="En gestión">
      <formula>NOT(ISERROR(SEARCH("En gestión",BX94)))</formula>
    </cfRule>
  </conditionalFormatting>
  <conditionalFormatting sqref="Y96:Y113">
    <cfRule type="beginsWith" dxfId="2160" priority="1613" operator="beginsWith" text="T">
      <formula>LEFT(Y96,LEN("T"))="T"</formula>
    </cfRule>
    <cfRule type="containsText" dxfId="2159" priority="1614" operator="containsText" text="Sin iniciar">
      <formula>NOT(ISERROR(SEARCH("Sin iniciar",Y96)))</formula>
    </cfRule>
    <cfRule type="containsText" dxfId="2158" priority="1615" operator="containsText" text="En gestión">
      <formula>NOT(ISERROR(SEARCH("En gestión",Y96)))</formula>
    </cfRule>
  </conditionalFormatting>
  <conditionalFormatting sqref="Z96:Z113">
    <cfRule type="beginsWith" dxfId="2157" priority="1610" operator="beginsWith" text="T">
      <formula>LEFT(Z96,LEN("T"))="T"</formula>
    </cfRule>
    <cfRule type="containsText" dxfId="2156" priority="1611" operator="containsText" text="Sin iniciar">
      <formula>NOT(ISERROR(SEARCH("Sin iniciar",Z96)))</formula>
    </cfRule>
    <cfRule type="containsText" dxfId="2155" priority="1612" operator="containsText" text="En gestión">
      <formula>NOT(ISERROR(SEARCH("En gestión",Z96)))</formula>
    </cfRule>
  </conditionalFormatting>
  <conditionalFormatting sqref="AV96:AV113">
    <cfRule type="beginsWith" dxfId="2154" priority="1607" operator="beginsWith" text="T">
      <formula>LEFT(AV96,LEN("T"))="T"</formula>
    </cfRule>
    <cfRule type="containsText" dxfId="2153" priority="1608" operator="containsText" text="Sin iniciar">
      <formula>NOT(ISERROR(SEARCH("Sin iniciar",AV96)))</formula>
    </cfRule>
    <cfRule type="containsText" dxfId="2152" priority="1609" operator="containsText" text="En gestión">
      <formula>NOT(ISERROR(SEARCH("En gestión",AV96)))</formula>
    </cfRule>
  </conditionalFormatting>
  <conditionalFormatting sqref="AU96:AU113">
    <cfRule type="beginsWith" dxfId="2151" priority="1604" operator="beginsWith" text="T">
      <formula>LEFT(AU96,LEN("T"))="T"</formula>
    </cfRule>
    <cfRule type="containsText" dxfId="2150" priority="1605" operator="containsText" text="Sin iniciar">
      <formula>NOT(ISERROR(SEARCH("Sin iniciar",AU96)))</formula>
    </cfRule>
    <cfRule type="containsText" dxfId="2149" priority="1606" operator="containsText" text="En gestión">
      <formula>NOT(ISERROR(SEARCH("En gestión",AU96)))</formula>
    </cfRule>
  </conditionalFormatting>
  <conditionalFormatting sqref="AD96">
    <cfRule type="beginsWith" dxfId="2148" priority="1601" operator="beginsWith" text="T">
      <formula>LEFT(AD96,LEN("T"))="T"</formula>
    </cfRule>
    <cfRule type="containsText" dxfId="2147" priority="1602" operator="containsText" text="Sin iniciar">
      <formula>NOT(ISERROR(SEARCH("Sin iniciar",AD96)))</formula>
    </cfRule>
    <cfRule type="containsText" dxfId="2146" priority="1603" operator="containsText" text="En gestión">
      <formula>NOT(ISERROR(SEARCH("En gestión",AD96)))</formula>
    </cfRule>
  </conditionalFormatting>
  <conditionalFormatting sqref="AE111">
    <cfRule type="beginsWith" dxfId="2145" priority="1574" operator="beginsWith" text="T">
      <formula>LEFT(AE111,LEN("T"))="T"</formula>
    </cfRule>
    <cfRule type="containsText" dxfId="2144" priority="1575" operator="containsText" text="Sin iniciar">
      <formula>NOT(ISERROR(SEARCH("Sin iniciar",AE111)))</formula>
    </cfRule>
    <cfRule type="containsText" dxfId="2143" priority="1576" operator="containsText" text="En gestión">
      <formula>NOT(ISERROR(SEARCH("En gestión",AE111)))</formula>
    </cfRule>
  </conditionalFormatting>
  <conditionalFormatting sqref="AE96">
    <cfRule type="beginsWith" dxfId="2142" priority="1598" operator="beginsWith" text="T">
      <formula>LEFT(AE96,LEN("T"))="T"</formula>
    </cfRule>
    <cfRule type="containsText" dxfId="2141" priority="1599" operator="containsText" text="Sin iniciar">
      <formula>NOT(ISERROR(SEARCH("Sin iniciar",AE96)))</formula>
    </cfRule>
    <cfRule type="containsText" dxfId="2140" priority="1600" operator="containsText" text="En gestión">
      <formula>NOT(ISERROR(SEARCH("En gestión",AE96)))</formula>
    </cfRule>
  </conditionalFormatting>
  <conditionalFormatting sqref="AD102">
    <cfRule type="beginsWith" dxfId="2139" priority="1595" operator="beginsWith" text="T">
      <formula>LEFT(AD102,LEN("T"))="T"</formula>
    </cfRule>
    <cfRule type="containsText" dxfId="2138" priority="1596" operator="containsText" text="Sin iniciar">
      <formula>NOT(ISERROR(SEARCH("Sin iniciar",AD102)))</formula>
    </cfRule>
    <cfRule type="containsText" dxfId="2137" priority="1597" operator="containsText" text="En gestión">
      <formula>NOT(ISERROR(SEARCH("En gestión",AD102)))</formula>
    </cfRule>
  </conditionalFormatting>
  <conditionalFormatting sqref="AE102">
    <cfRule type="beginsWith" dxfId="2136" priority="1592" operator="beginsWith" text="T">
      <formula>LEFT(AE102,LEN("T"))="T"</formula>
    </cfRule>
    <cfRule type="containsText" dxfId="2135" priority="1593" operator="containsText" text="Sin iniciar">
      <formula>NOT(ISERROR(SEARCH("Sin iniciar",AE102)))</formula>
    </cfRule>
    <cfRule type="containsText" dxfId="2134" priority="1594" operator="containsText" text="En gestión">
      <formula>NOT(ISERROR(SEARCH("En gestión",AE102)))</formula>
    </cfRule>
  </conditionalFormatting>
  <conditionalFormatting sqref="AD104">
    <cfRule type="beginsWith" dxfId="2133" priority="1589" operator="beginsWith" text="T">
      <formula>LEFT(AD104,LEN("T"))="T"</formula>
    </cfRule>
    <cfRule type="containsText" dxfId="2132" priority="1590" operator="containsText" text="Sin iniciar">
      <formula>NOT(ISERROR(SEARCH("Sin iniciar",AD104)))</formula>
    </cfRule>
    <cfRule type="containsText" dxfId="2131" priority="1591" operator="containsText" text="En gestión">
      <formula>NOT(ISERROR(SEARCH("En gestión",AD104)))</formula>
    </cfRule>
  </conditionalFormatting>
  <conditionalFormatting sqref="AE104">
    <cfRule type="beginsWith" dxfId="2130" priority="1586" operator="beginsWith" text="T">
      <formula>LEFT(AE104,LEN("T"))="T"</formula>
    </cfRule>
    <cfRule type="containsText" dxfId="2129" priority="1587" operator="containsText" text="Sin iniciar">
      <formula>NOT(ISERROR(SEARCH("Sin iniciar",AE104)))</formula>
    </cfRule>
    <cfRule type="containsText" dxfId="2128" priority="1588" operator="containsText" text="En gestión">
      <formula>NOT(ISERROR(SEARCH("En gestión",AE104)))</formula>
    </cfRule>
  </conditionalFormatting>
  <conditionalFormatting sqref="AD108">
    <cfRule type="beginsWith" dxfId="2127" priority="1583" operator="beginsWith" text="T">
      <formula>LEFT(AD108,LEN("T"))="T"</formula>
    </cfRule>
    <cfRule type="containsText" dxfId="2126" priority="1584" operator="containsText" text="Sin iniciar">
      <formula>NOT(ISERROR(SEARCH("Sin iniciar",AD108)))</formula>
    </cfRule>
    <cfRule type="containsText" dxfId="2125" priority="1585" operator="containsText" text="En gestión">
      <formula>NOT(ISERROR(SEARCH("En gestión",AD108)))</formula>
    </cfRule>
  </conditionalFormatting>
  <conditionalFormatting sqref="AE108">
    <cfRule type="beginsWith" dxfId="2124" priority="1580" operator="beginsWith" text="T">
      <formula>LEFT(AE108,LEN("T"))="T"</formula>
    </cfRule>
    <cfRule type="containsText" dxfId="2123" priority="1581" operator="containsText" text="Sin iniciar">
      <formula>NOT(ISERROR(SEARCH("Sin iniciar",AE108)))</formula>
    </cfRule>
    <cfRule type="containsText" dxfId="2122" priority="1582" operator="containsText" text="En gestión">
      <formula>NOT(ISERROR(SEARCH("En gestión",AE108)))</formula>
    </cfRule>
  </conditionalFormatting>
  <conditionalFormatting sqref="AD111">
    <cfRule type="beginsWith" dxfId="2121" priority="1577" operator="beginsWith" text="T">
      <formula>LEFT(AD111,LEN("T"))="T"</formula>
    </cfRule>
    <cfRule type="containsText" dxfId="2120" priority="1578" operator="containsText" text="Sin iniciar">
      <formula>NOT(ISERROR(SEARCH("Sin iniciar",AD111)))</formula>
    </cfRule>
    <cfRule type="containsText" dxfId="2119" priority="1579" operator="containsText" text="En gestión">
      <formula>NOT(ISERROR(SEARCH("En gestión",AD111)))</formula>
    </cfRule>
  </conditionalFormatting>
  <conditionalFormatting sqref="AZ96">
    <cfRule type="beginsWith" dxfId="2118" priority="1571" operator="beginsWith" text="T">
      <formula>LEFT(AZ96,LEN("T"))="T"</formula>
    </cfRule>
    <cfRule type="containsText" dxfId="2117" priority="1572" operator="containsText" text="Sin iniciar">
      <formula>NOT(ISERROR(SEARCH("Sin iniciar",AZ96)))</formula>
    </cfRule>
    <cfRule type="containsText" dxfId="2116" priority="1573" operator="containsText" text="En gestión">
      <formula>NOT(ISERROR(SEARCH("En gestión",AZ96)))</formula>
    </cfRule>
  </conditionalFormatting>
  <conditionalFormatting sqref="BA96">
    <cfRule type="beginsWith" dxfId="2115" priority="1568" operator="beginsWith" text="T">
      <formula>LEFT(BA96,LEN("T"))="T"</formula>
    </cfRule>
    <cfRule type="containsText" dxfId="2114" priority="1569" operator="containsText" text="Sin iniciar">
      <formula>NOT(ISERROR(SEARCH("Sin iniciar",BA96)))</formula>
    </cfRule>
    <cfRule type="containsText" dxfId="2113" priority="1570" operator="containsText" text="En gestión">
      <formula>NOT(ISERROR(SEARCH("En gestión",BA96)))</formula>
    </cfRule>
  </conditionalFormatting>
  <conditionalFormatting sqref="AZ102">
    <cfRule type="beginsWith" dxfId="2112" priority="1565" operator="beginsWith" text="T">
      <formula>LEFT(AZ102,LEN("T"))="T"</formula>
    </cfRule>
    <cfRule type="containsText" dxfId="2111" priority="1566" operator="containsText" text="Sin iniciar">
      <formula>NOT(ISERROR(SEARCH("Sin iniciar",AZ102)))</formula>
    </cfRule>
    <cfRule type="containsText" dxfId="2110" priority="1567" operator="containsText" text="En gestión">
      <formula>NOT(ISERROR(SEARCH("En gestión",AZ102)))</formula>
    </cfRule>
  </conditionalFormatting>
  <conditionalFormatting sqref="BA102">
    <cfRule type="beginsWith" dxfId="2109" priority="1562" operator="beginsWith" text="T">
      <formula>LEFT(BA102,LEN("T"))="T"</formula>
    </cfRule>
    <cfRule type="containsText" dxfId="2108" priority="1563" operator="containsText" text="Sin iniciar">
      <formula>NOT(ISERROR(SEARCH("Sin iniciar",BA102)))</formula>
    </cfRule>
    <cfRule type="containsText" dxfId="2107" priority="1564" operator="containsText" text="En gestión">
      <formula>NOT(ISERROR(SEARCH("En gestión",BA102)))</formula>
    </cfRule>
  </conditionalFormatting>
  <conditionalFormatting sqref="AZ104">
    <cfRule type="beginsWith" dxfId="2106" priority="1559" operator="beginsWith" text="T">
      <formula>LEFT(AZ104,LEN("T"))="T"</formula>
    </cfRule>
    <cfRule type="containsText" dxfId="2105" priority="1560" operator="containsText" text="Sin iniciar">
      <formula>NOT(ISERROR(SEARCH("Sin iniciar",AZ104)))</formula>
    </cfRule>
    <cfRule type="containsText" dxfId="2104" priority="1561" operator="containsText" text="En gestión">
      <formula>NOT(ISERROR(SEARCH("En gestión",AZ104)))</formula>
    </cfRule>
  </conditionalFormatting>
  <conditionalFormatting sqref="BA104">
    <cfRule type="beginsWith" dxfId="2103" priority="1556" operator="beginsWith" text="T">
      <formula>LEFT(BA104,LEN("T"))="T"</formula>
    </cfRule>
    <cfRule type="containsText" dxfId="2102" priority="1557" operator="containsText" text="Sin iniciar">
      <formula>NOT(ISERROR(SEARCH("Sin iniciar",BA104)))</formula>
    </cfRule>
    <cfRule type="containsText" dxfId="2101" priority="1558" operator="containsText" text="En gestión">
      <formula>NOT(ISERROR(SEARCH("En gestión",BA104)))</formula>
    </cfRule>
  </conditionalFormatting>
  <conditionalFormatting sqref="AZ108">
    <cfRule type="beginsWith" dxfId="2100" priority="1553" operator="beginsWith" text="T">
      <formula>LEFT(AZ108,LEN("T"))="T"</formula>
    </cfRule>
    <cfRule type="containsText" dxfId="2099" priority="1554" operator="containsText" text="Sin iniciar">
      <formula>NOT(ISERROR(SEARCH("Sin iniciar",AZ108)))</formula>
    </cfRule>
    <cfRule type="containsText" dxfId="2098" priority="1555" operator="containsText" text="En gestión">
      <formula>NOT(ISERROR(SEARCH("En gestión",AZ108)))</formula>
    </cfRule>
  </conditionalFormatting>
  <conditionalFormatting sqref="BA108">
    <cfRule type="beginsWith" dxfId="2097" priority="1550" operator="beginsWith" text="T">
      <formula>LEFT(BA108,LEN("T"))="T"</formula>
    </cfRule>
    <cfRule type="containsText" dxfId="2096" priority="1551" operator="containsText" text="Sin iniciar">
      <formula>NOT(ISERROR(SEARCH("Sin iniciar",BA108)))</formula>
    </cfRule>
    <cfRule type="containsText" dxfId="2095" priority="1552" operator="containsText" text="En gestión">
      <formula>NOT(ISERROR(SEARCH("En gestión",BA108)))</formula>
    </cfRule>
  </conditionalFormatting>
  <conditionalFormatting sqref="BA111">
    <cfRule type="beginsWith" dxfId="2094" priority="1544" operator="beginsWith" text="T">
      <formula>LEFT(BA111,LEN("T"))="T"</formula>
    </cfRule>
    <cfRule type="containsText" dxfId="2093" priority="1545" operator="containsText" text="Sin iniciar">
      <formula>NOT(ISERROR(SEARCH("Sin iniciar",BA111)))</formula>
    </cfRule>
    <cfRule type="containsText" dxfId="2092" priority="1546" operator="containsText" text="En gestión">
      <formula>NOT(ISERROR(SEARCH("En gestión",BA111)))</formula>
    </cfRule>
  </conditionalFormatting>
  <conditionalFormatting sqref="AZ111">
    <cfRule type="beginsWith" dxfId="2091" priority="1547" operator="beginsWith" text="T">
      <formula>LEFT(AZ111,LEN("T"))="T"</formula>
    </cfRule>
    <cfRule type="containsText" dxfId="2090" priority="1548" operator="containsText" text="Sin iniciar">
      <formula>NOT(ISERROR(SEARCH("Sin iniciar",AZ111)))</formula>
    </cfRule>
    <cfRule type="containsText" dxfId="2089" priority="1549" operator="containsText" text="En gestión">
      <formula>NOT(ISERROR(SEARCH("En gestión",AZ111)))</formula>
    </cfRule>
  </conditionalFormatting>
  <conditionalFormatting sqref="BS96:BS113">
    <cfRule type="beginsWith" dxfId="2088" priority="1541" operator="beginsWith" text="T">
      <formula>LEFT(BS96,LEN("T"))="T"</formula>
    </cfRule>
    <cfRule type="containsText" dxfId="2087" priority="1542" operator="containsText" text="Sin iniciar">
      <formula>NOT(ISERROR(SEARCH("Sin iniciar",BS96)))</formula>
    </cfRule>
    <cfRule type="containsText" dxfId="2086" priority="1543" operator="containsText" text="En gestión">
      <formula>NOT(ISERROR(SEARCH("En gestión",BS96)))</formula>
    </cfRule>
  </conditionalFormatting>
  <conditionalFormatting sqref="BR96:BR113">
    <cfRule type="beginsWith" dxfId="2085" priority="1538" operator="beginsWith" text="T">
      <formula>LEFT(BR96,LEN("T"))="T"</formula>
    </cfRule>
    <cfRule type="containsText" dxfId="2084" priority="1539" operator="containsText" text="Sin iniciar">
      <formula>NOT(ISERROR(SEARCH("Sin iniciar",BR96)))</formula>
    </cfRule>
    <cfRule type="containsText" dxfId="2083" priority="1540" operator="containsText" text="En gestión">
      <formula>NOT(ISERROR(SEARCH("En gestión",BR96)))</formula>
    </cfRule>
  </conditionalFormatting>
  <conditionalFormatting sqref="BW96">
    <cfRule type="beginsWith" dxfId="2082" priority="1535" operator="beginsWith" text="T">
      <formula>LEFT(BW96,LEN("T"))="T"</formula>
    </cfRule>
    <cfRule type="containsText" dxfId="2081" priority="1536" operator="containsText" text="Sin iniciar">
      <formula>NOT(ISERROR(SEARCH("Sin iniciar",BW96)))</formula>
    </cfRule>
    <cfRule type="containsText" dxfId="2080" priority="1537" operator="containsText" text="En gestión">
      <formula>NOT(ISERROR(SEARCH("En gestión",BW96)))</formula>
    </cfRule>
  </conditionalFormatting>
  <conditionalFormatting sqref="BX96">
    <cfRule type="beginsWith" dxfId="2079" priority="1532" operator="beginsWith" text="T">
      <formula>LEFT(BX96,LEN("T"))="T"</formula>
    </cfRule>
    <cfRule type="containsText" dxfId="2078" priority="1533" operator="containsText" text="Sin iniciar">
      <formula>NOT(ISERROR(SEARCH("Sin iniciar",BX96)))</formula>
    </cfRule>
    <cfRule type="containsText" dxfId="2077" priority="1534" operator="containsText" text="En gestión">
      <formula>NOT(ISERROR(SEARCH("En gestión",BX96)))</formula>
    </cfRule>
  </conditionalFormatting>
  <conditionalFormatting sqref="BW102">
    <cfRule type="beginsWith" dxfId="2076" priority="1529" operator="beginsWith" text="T">
      <formula>LEFT(BW102,LEN("T"))="T"</formula>
    </cfRule>
    <cfRule type="containsText" dxfId="2075" priority="1530" operator="containsText" text="Sin iniciar">
      <formula>NOT(ISERROR(SEARCH("Sin iniciar",BW102)))</formula>
    </cfRule>
    <cfRule type="containsText" dxfId="2074" priority="1531" operator="containsText" text="En gestión">
      <formula>NOT(ISERROR(SEARCH("En gestión",BW102)))</formula>
    </cfRule>
  </conditionalFormatting>
  <conditionalFormatting sqref="BX102">
    <cfRule type="beginsWith" dxfId="2073" priority="1526" operator="beginsWith" text="T">
      <formula>LEFT(BX102,LEN("T"))="T"</formula>
    </cfRule>
    <cfRule type="containsText" dxfId="2072" priority="1527" operator="containsText" text="Sin iniciar">
      <formula>NOT(ISERROR(SEARCH("Sin iniciar",BX102)))</formula>
    </cfRule>
    <cfRule type="containsText" dxfId="2071" priority="1528" operator="containsText" text="En gestión">
      <formula>NOT(ISERROR(SEARCH("En gestión",BX102)))</formula>
    </cfRule>
  </conditionalFormatting>
  <conditionalFormatting sqref="BW104">
    <cfRule type="beginsWith" dxfId="2070" priority="1523" operator="beginsWith" text="T">
      <formula>LEFT(BW104,LEN("T"))="T"</formula>
    </cfRule>
    <cfRule type="containsText" dxfId="2069" priority="1524" operator="containsText" text="Sin iniciar">
      <formula>NOT(ISERROR(SEARCH("Sin iniciar",BW104)))</formula>
    </cfRule>
    <cfRule type="containsText" dxfId="2068" priority="1525" operator="containsText" text="En gestión">
      <formula>NOT(ISERROR(SEARCH("En gestión",BW104)))</formula>
    </cfRule>
  </conditionalFormatting>
  <conditionalFormatting sqref="BX104">
    <cfRule type="beginsWith" dxfId="2067" priority="1520" operator="beginsWith" text="T">
      <formula>LEFT(BX104,LEN("T"))="T"</formula>
    </cfRule>
    <cfRule type="containsText" dxfId="2066" priority="1521" operator="containsText" text="Sin iniciar">
      <formula>NOT(ISERROR(SEARCH("Sin iniciar",BX104)))</formula>
    </cfRule>
    <cfRule type="containsText" dxfId="2065" priority="1522" operator="containsText" text="En gestión">
      <formula>NOT(ISERROR(SEARCH("En gestión",BX104)))</formula>
    </cfRule>
  </conditionalFormatting>
  <conditionalFormatting sqref="BW108">
    <cfRule type="beginsWith" dxfId="2064" priority="1517" operator="beginsWith" text="T">
      <formula>LEFT(BW108,LEN("T"))="T"</formula>
    </cfRule>
    <cfRule type="containsText" dxfId="2063" priority="1518" operator="containsText" text="Sin iniciar">
      <formula>NOT(ISERROR(SEARCH("Sin iniciar",BW108)))</formula>
    </cfRule>
    <cfRule type="containsText" dxfId="2062" priority="1519" operator="containsText" text="En gestión">
      <formula>NOT(ISERROR(SEARCH("En gestión",BW108)))</formula>
    </cfRule>
  </conditionalFormatting>
  <conditionalFormatting sqref="BX108">
    <cfRule type="beginsWith" dxfId="2061" priority="1514" operator="beginsWith" text="T">
      <formula>LEFT(BX108,LEN("T"))="T"</formula>
    </cfRule>
    <cfRule type="containsText" dxfId="2060" priority="1515" operator="containsText" text="Sin iniciar">
      <formula>NOT(ISERROR(SEARCH("Sin iniciar",BX108)))</formula>
    </cfRule>
    <cfRule type="containsText" dxfId="2059" priority="1516" operator="containsText" text="En gestión">
      <formula>NOT(ISERROR(SEARCH("En gestión",BX108)))</formula>
    </cfRule>
  </conditionalFormatting>
  <conditionalFormatting sqref="BX111">
    <cfRule type="beginsWith" dxfId="2058" priority="1508" operator="beginsWith" text="T">
      <formula>LEFT(BX111,LEN("T"))="T"</formula>
    </cfRule>
    <cfRule type="containsText" dxfId="2057" priority="1509" operator="containsText" text="Sin iniciar">
      <formula>NOT(ISERROR(SEARCH("Sin iniciar",BX111)))</formula>
    </cfRule>
    <cfRule type="containsText" dxfId="2056" priority="1510" operator="containsText" text="En gestión">
      <formula>NOT(ISERROR(SEARCH("En gestión",BX111)))</formula>
    </cfRule>
  </conditionalFormatting>
  <conditionalFormatting sqref="BW111">
    <cfRule type="beginsWith" dxfId="2055" priority="1511" operator="beginsWith" text="T">
      <formula>LEFT(BW111,LEN("T"))="T"</formula>
    </cfRule>
    <cfRule type="containsText" dxfId="2054" priority="1512" operator="containsText" text="Sin iniciar">
      <formula>NOT(ISERROR(SEARCH("Sin iniciar",BW111)))</formula>
    </cfRule>
    <cfRule type="containsText" dxfId="2053" priority="1513" operator="containsText" text="En gestión">
      <formula>NOT(ISERROR(SEARCH("En gestión",BW111)))</formula>
    </cfRule>
  </conditionalFormatting>
  <conditionalFormatting sqref="Y114:Y122">
    <cfRule type="beginsWith" dxfId="2052" priority="1505" operator="beginsWith" text="T">
      <formula>LEFT(Y114,LEN("T"))="T"</formula>
    </cfRule>
    <cfRule type="containsText" dxfId="2051" priority="1506" operator="containsText" text="Sin iniciar">
      <formula>NOT(ISERROR(SEARCH("Sin iniciar",Y114)))</formula>
    </cfRule>
    <cfRule type="containsText" dxfId="2050" priority="1507" operator="containsText" text="En gestión">
      <formula>NOT(ISERROR(SEARCH("En gestión",Y114)))</formula>
    </cfRule>
  </conditionalFormatting>
  <conditionalFormatting sqref="Z114:Z122">
    <cfRule type="beginsWith" dxfId="2049" priority="1502" operator="beginsWith" text="T">
      <formula>LEFT(Z114,LEN("T"))="T"</formula>
    </cfRule>
    <cfRule type="containsText" dxfId="2048" priority="1503" operator="containsText" text="Sin iniciar">
      <formula>NOT(ISERROR(SEARCH("Sin iniciar",Z114)))</formula>
    </cfRule>
    <cfRule type="containsText" dxfId="2047" priority="1504" operator="containsText" text="En gestión">
      <formula>NOT(ISERROR(SEARCH("En gestión",Z114)))</formula>
    </cfRule>
  </conditionalFormatting>
  <conditionalFormatting sqref="AV114:AV122">
    <cfRule type="beginsWith" dxfId="2046" priority="1499" operator="beginsWith" text="T">
      <formula>LEFT(AV114,LEN("T"))="T"</formula>
    </cfRule>
    <cfRule type="containsText" dxfId="2045" priority="1500" operator="containsText" text="Sin iniciar">
      <formula>NOT(ISERROR(SEARCH("Sin iniciar",AV114)))</formula>
    </cfRule>
    <cfRule type="containsText" dxfId="2044" priority="1501" operator="containsText" text="En gestión">
      <formula>NOT(ISERROR(SEARCH("En gestión",AV114)))</formula>
    </cfRule>
  </conditionalFormatting>
  <conditionalFormatting sqref="AU114:AU122">
    <cfRule type="beginsWith" dxfId="2043" priority="1496" operator="beginsWith" text="T">
      <formula>LEFT(AU114,LEN("T"))="T"</formula>
    </cfRule>
    <cfRule type="containsText" dxfId="2042" priority="1497" operator="containsText" text="Sin iniciar">
      <formula>NOT(ISERROR(SEARCH("Sin iniciar",AU114)))</formula>
    </cfRule>
    <cfRule type="containsText" dxfId="2041" priority="1498" operator="containsText" text="En gestión">
      <formula>NOT(ISERROR(SEARCH("En gestión",AU114)))</formula>
    </cfRule>
  </conditionalFormatting>
  <conditionalFormatting sqref="AE114">
    <cfRule type="beginsWith" dxfId="2040" priority="1490" operator="beginsWith" text="T">
      <formula>LEFT(AE114,LEN("T"))="T"</formula>
    </cfRule>
    <cfRule type="containsText" dxfId="2039" priority="1491" operator="containsText" text="Sin iniciar">
      <formula>NOT(ISERROR(SEARCH("Sin iniciar",AE114)))</formula>
    </cfRule>
    <cfRule type="containsText" dxfId="2038" priority="1492" operator="containsText" text="En gestión">
      <formula>NOT(ISERROR(SEARCH("En gestión",AE114)))</formula>
    </cfRule>
  </conditionalFormatting>
  <conditionalFormatting sqref="AD116">
    <cfRule type="beginsWith" dxfId="2037" priority="1487" operator="beginsWith" text="T">
      <formula>LEFT(AD116,LEN("T"))="T"</formula>
    </cfRule>
    <cfRule type="containsText" dxfId="2036" priority="1488" operator="containsText" text="Sin iniciar">
      <formula>NOT(ISERROR(SEARCH("Sin iniciar",AD116)))</formula>
    </cfRule>
    <cfRule type="containsText" dxfId="2035" priority="1489" operator="containsText" text="En gestión">
      <formula>NOT(ISERROR(SEARCH("En gestión",AD116)))</formula>
    </cfRule>
  </conditionalFormatting>
  <conditionalFormatting sqref="AE116">
    <cfRule type="beginsWith" dxfId="2034" priority="1484" operator="beginsWith" text="T">
      <formula>LEFT(AE116,LEN("T"))="T"</formula>
    </cfRule>
    <cfRule type="containsText" dxfId="2033" priority="1485" operator="containsText" text="Sin iniciar">
      <formula>NOT(ISERROR(SEARCH("Sin iniciar",AE116)))</formula>
    </cfRule>
    <cfRule type="containsText" dxfId="2032" priority="1486" operator="containsText" text="En gestión">
      <formula>NOT(ISERROR(SEARCH("En gestión",AE116)))</formula>
    </cfRule>
  </conditionalFormatting>
  <conditionalFormatting sqref="AD119:AE119">
    <cfRule type="beginsWith" dxfId="2031" priority="1481" operator="beginsWith" text="T">
      <formula>LEFT(AD119,LEN("T"))="T"</formula>
    </cfRule>
    <cfRule type="containsText" dxfId="2030" priority="1482" operator="containsText" text="Sin iniciar">
      <formula>NOT(ISERROR(SEARCH("Sin iniciar",AD119)))</formula>
    </cfRule>
    <cfRule type="containsText" dxfId="2029" priority="1483" operator="containsText" text="En gestión">
      <formula>NOT(ISERROR(SEARCH("En gestión",AD119)))</formula>
    </cfRule>
  </conditionalFormatting>
  <conditionalFormatting sqref="AD121:AE121">
    <cfRule type="beginsWith" dxfId="2028" priority="1478" operator="beginsWith" text="T">
      <formula>LEFT(AD121,LEN("T"))="T"</formula>
    </cfRule>
    <cfRule type="containsText" dxfId="2027" priority="1479" operator="containsText" text="Sin iniciar">
      <formula>NOT(ISERROR(SEARCH("Sin iniciar",AD121)))</formula>
    </cfRule>
    <cfRule type="containsText" dxfId="2026" priority="1480" operator="containsText" text="En gestión">
      <formula>NOT(ISERROR(SEARCH("En gestión",AD121)))</formula>
    </cfRule>
  </conditionalFormatting>
  <conditionalFormatting sqref="AZ116">
    <cfRule type="beginsWith" dxfId="2025" priority="1469" operator="beginsWith" text="T">
      <formula>LEFT(AZ116,LEN("T"))="T"</formula>
    </cfRule>
    <cfRule type="containsText" dxfId="2024" priority="1470" operator="containsText" text="Sin iniciar">
      <formula>NOT(ISERROR(SEARCH("Sin iniciar",AZ116)))</formula>
    </cfRule>
    <cfRule type="containsText" dxfId="2023" priority="1471" operator="containsText" text="En gestión">
      <formula>NOT(ISERROR(SEARCH("En gestión",AZ116)))</formula>
    </cfRule>
  </conditionalFormatting>
  <conditionalFormatting sqref="AD114">
    <cfRule type="beginsWith" dxfId="2022" priority="1493" operator="beginsWith" text="T">
      <formula>LEFT(AD114,LEN("T"))="T"</formula>
    </cfRule>
    <cfRule type="containsText" dxfId="2021" priority="1494" operator="containsText" text="Sin iniciar">
      <formula>NOT(ISERROR(SEARCH("Sin iniciar",AD114)))</formula>
    </cfRule>
    <cfRule type="containsText" dxfId="2020" priority="1495" operator="containsText" text="En gestión">
      <formula>NOT(ISERROR(SEARCH("En gestión",AD114)))</formula>
    </cfRule>
  </conditionalFormatting>
  <conditionalFormatting sqref="BA114">
    <cfRule type="beginsWith" dxfId="2019" priority="1472" operator="beginsWith" text="T">
      <formula>LEFT(BA114,LEN("T"))="T"</formula>
    </cfRule>
    <cfRule type="containsText" dxfId="2018" priority="1473" operator="containsText" text="Sin iniciar">
      <formula>NOT(ISERROR(SEARCH("Sin iniciar",BA114)))</formula>
    </cfRule>
    <cfRule type="containsText" dxfId="2017" priority="1474" operator="containsText" text="En gestión">
      <formula>NOT(ISERROR(SEARCH("En gestión",BA114)))</formula>
    </cfRule>
  </conditionalFormatting>
  <conditionalFormatting sqref="BA116">
    <cfRule type="beginsWith" dxfId="2016" priority="1466" operator="beginsWith" text="T">
      <formula>LEFT(BA116,LEN("T"))="T"</formula>
    </cfRule>
    <cfRule type="containsText" dxfId="2015" priority="1467" operator="containsText" text="Sin iniciar">
      <formula>NOT(ISERROR(SEARCH("Sin iniciar",BA116)))</formula>
    </cfRule>
    <cfRule type="containsText" dxfId="2014" priority="1468" operator="containsText" text="En gestión">
      <formula>NOT(ISERROR(SEARCH("En gestión",BA116)))</formula>
    </cfRule>
  </conditionalFormatting>
  <conditionalFormatting sqref="AZ119:BA119">
    <cfRule type="beginsWith" dxfId="2013" priority="1463" operator="beginsWith" text="T">
      <formula>LEFT(AZ119,LEN("T"))="T"</formula>
    </cfRule>
    <cfRule type="containsText" dxfId="2012" priority="1464" operator="containsText" text="Sin iniciar">
      <formula>NOT(ISERROR(SEARCH("Sin iniciar",AZ119)))</formula>
    </cfRule>
    <cfRule type="containsText" dxfId="2011" priority="1465" operator="containsText" text="En gestión">
      <formula>NOT(ISERROR(SEARCH("En gestión",AZ119)))</formula>
    </cfRule>
  </conditionalFormatting>
  <conditionalFormatting sqref="AZ121:BA121">
    <cfRule type="beginsWith" dxfId="2010" priority="1460" operator="beginsWith" text="T">
      <formula>LEFT(AZ121,LEN("T"))="T"</formula>
    </cfRule>
    <cfRule type="containsText" dxfId="2009" priority="1461" operator="containsText" text="Sin iniciar">
      <formula>NOT(ISERROR(SEARCH("Sin iniciar",AZ121)))</formula>
    </cfRule>
    <cfRule type="containsText" dxfId="2008" priority="1462" operator="containsText" text="En gestión">
      <formula>NOT(ISERROR(SEARCH("En gestión",AZ121)))</formula>
    </cfRule>
  </conditionalFormatting>
  <conditionalFormatting sqref="AZ114">
    <cfRule type="beginsWith" dxfId="2007" priority="1475" operator="beginsWith" text="T">
      <formula>LEFT(AZ114,LEN("T"))="T"</formula>
    </cfRule>
    <cfRule type="containsText" dxfId="2006" priority="1476" operator="containsText" text="Sin iniciar">
      <formula>NOT(ISERROR(SEARCH("Sin iniciar",AZ114)))</formula>
    </cfRule>
    <cfRule type="containsText" dxfId="2005" priority="1477" operator="containsText" text="En gestión">
      <formula>NOT(ISERROR(SEARCH("En gestión",AZ114)))</formula>
    </cfRule>
  </conditionalFormatting>
  <conditionalFormatting sqref="BS114:BS122">
    <cfRule type="beginsWith" dxfId="2004" priority="1457" operator="beginsWith" text="T">
      <formula>LEFT(BS114,LEN("T"))="T"</formula>
    </cfRule>
    <cfRule type="containsText" dxfId="2003" priority="1458" operator="containsText" text="Sin iniciar">
      <formula>NOT(ISERROR(SEARCH("Sin iniciar",BS114)))</formula>
    </cfRule>
    <cfRule type="containsText" dxfId="2002" priority="1459" operator="containsText" text="En gestión">
      <formula>NOT(ISERROR(SEARCH("En gestión",BS114)))</formula>
    </cfRule>
  </conditionalFormatting>
  <conditionalFormatting sqref="BR114:BR122">
    <cfRule type="beginsWith" dxfId="2001" priority="1454" operator="beginsWith" text="T">
      <formula>LEFT(BR114,LEN("T"))="T"</formula>
    </cfRule>
    <cfRule type="containsText" dxfId="2000" priority="1455" operator="containsText" text="Sin iniciar">
      <formula>NOT(ISERROR(SEARCH("Sin iniciar",BR114)))</formula>
    </cfRule>
    <cfRule type="containsText" dxfId="1999" priority="1456" operator="containsText" text="En gestión">
      <formula>NOT(ISERROR(SEARCH("En gestión",BR114)))</formula>
    </cfRule>
  </conditionalFormatting>
  <conditionalFormatting sqref="BW116">
    <cfRule type="beginsWith" dxfId="1998" priority="1445" operator="beginsWith" text="T">
      <formula>LEFT(BW116,LEN("T"))="T"</formula>
    </cfRule>
    <cfRule type="containsText" dxfId="1997" priority="1446" operator="containsText" text="Sin iniciar">
      <formula>NOT(ISERROR(SEARCH("Sin iniciar",BW116)))</formula>
    </cfRule>
    <cfRule type="containsText" dxfId="1996" priority="1447" operator="containsText" text="En gestión">
      <formula>NOT(ISERROR(SEARCH("En gestión",BW116)))</formula>
    </cfRule>
  </conditionalFormatting>
  <conditionalFormatting sqref="BX114">
    <cfRule type="beginsWith" dxfId="1995" priority="1448" operator="beginsWith" text="T">
      <formula>LEFT(BX114,LEN("T"))="T"</formula>
    </cfRule>
    <cfRule type="containsText" dxfId="1994" priority="1449" operator="containsText" text="Sin iniciar">
      <formula>NOT(ISERROR(SEARCH("Sin iniciar",BX114)))</formula>
    </cfRule>
    <cfRule type="containsText" dxfId="1993" priority="1450" operator="containsText" text="En gestión">
      <formula>NOT(ISERROR(SEARCH("En gestión",BX114)))</formula>
    </cfRule>
  </conditionalFormatting>
  <conditionalFormatting sqref="BX116">
    <cfRule type="beginsWith" dxfId="1992" priority="1442" operator="beginsWith" text="T">
      <formula>LEFT(BX116,LEN("T"))="T"</formula>
    </cfRule>
    <cfRule type="containsText" dxfId="1991" priority="1443" operator="containsText" text="Sin iniciar">
      <formula>NOT(ISERROR(SEARCH("Sin iniciar",BX116)))</formula>
    </cfRule>
    <cfRule type="containsText" dxfId="1990" priority="1444" operator="containsText" text="En gestión">
      <formula>NOT(ISERROR(SEARCH("En gestión",BX116)))</formula>
    </cfRule>
  </conditionalFormatting>
  <conditionalFormatting sqref="BW119:BX119">
    <cfRule type="beginsWith" dxfId="1989" priority="1439" operator="beginsWith" text="T">
      <formula>LEFT(BW119,LEN("T"))="T"</formula>
    </cfRule>
    <cfRule type="containsText" dxfId="1988" priority="1440" operator="containsText" text="Sin iniciar">
      <formula>NOT(ISERROR(SEARCH("Sin iniciar",BW119)))</formula>
    </cfRule>
    <cfRule type="containsText" dxfId="1987" priority="1441" operator="containsText" text="En gestión">
      <formula>NOT(ISERROR(SEARCH("En gestión",BW119)))</formula>
    </cfRule>
  </conditionalFormatting>
  <conditionalFormatting sqref="BW121:BX121">
    <cfRule type="beginsWith" dxfId="1986" priority="1436" operator="beginsWith" text="T">
      <formula>LEFT(BW121,LEN("T"))="T"</formula>
    </cfRule>
    <cfRule type="containsText" dxfId="1985" priority="1437" operator="containsText" text="Sin iniciar">
      <formula>NOT(ISERROR(SEARCH("Sin iniciar",BW121)))</formula>
    </cfRule>
    <cfRule type="containsText" dxfId="1984" priority="1438" operator="containsText" text="En gestión">
      <formula>NOT(ISERROR(SEARCH("En gestión",BW121)))</formula>
    </cfRule>
  </conditionalFormatting>
  <conditionalFormatting sqref="BW114">
    <cfRule type="beginsWith" dxfId="1983" priority="1451" operator="beginsWith" text="T">
      <formula>LEFT(BW114,LEN("T"))="T"</formula>
    </cfRule>
    <cfRule type="containsText" dxfId="1982" priority="1452" operator="containsText" text="Sin iniciar">
      <formula>NOT(ISERROR(SEARCH("Sin iniciar",BW114)))</formula>
    </cfRule>
    <cfRule type="containsText" dxfId="1981" priority="1453" operator="containsText" text="En gestión">
      <formula>NOT(ISERROR(SEARCH("En gestión",BW114)))</formula>
    </cfRule>
  </conditionalFormatting>
  <conditionalFormatting sqref="Y123:Y152">
    <cfRule type="beginsWith" dxfId="1980" priority="1433" operator="beginsWith" text="T">
      <formula>LEFT(Y123,LEN("T"))="T"</formula>
    </cfRule>
    <cfRule type="containsText" dxfId="1979" priority="1434" operator="containsText" text="Sin iniciar">
      <formula>NOT(ISERROR(SEARCH("Sin iniciar",Y123)))</formula>
    </cfRule>
    <cfRule type="containsText" dxfId="1978" priority="1435" operator="containsText" text="En gestión">
      <formula>NOT(ISERROR(SEARCH("En gestión",Y123)))</formula>
    </cfRule>
  </conditionalFormatting>
  <conditionalFormatting sqref="Z123:Z152">
    <cfRule type="beginsWith" dxfId="1977" priority="1430" operator="beginsWith" text="T">
      <formula>LEFT(Z123,LEN("T"))="T"</formula>
    </cfRule>
    <cfRule type="containsText" dxfId="1976" priority="1431" operator="containsText" text="Sin iniciar">
      <formula>NOT(ISERROR(SEARCH("Sin iniciar",Z123)))</formula>
    </cfRule>
    <cfRule type="containsText" dxfId="1975" priority="1432" operator="containsText" text="En gestión">
      <formula>NOT(ISERROR(SEARCH("En gestión",Z123)))</formula>
    </cfRule>
  </conditionalFormatting>
  <conditionalFormatting sqref="AV123:AV152">
    <cfRule type="beginsWith" dxfId="1974" priority="1427" operator="beginsWith" text="T">
      <formula>LEFT(AV123,LEN("T"))="T"</formula>
    </cfRule>
    <cfRule type="containsText" dxfId="1973" priority="1428" operator="containsText" text="Sin iniciar">
      <formula>NOT(ISERROR(SEARCH("Sin iniciar",AV123)))</formula>
    </cfRule>
    <cfRule type="containsText" dxfId="1972" priority="1429" operator="containsText" text="En gestión">
      <formula>NOT(ISERROR(SEARCH("En gestión",AV123)))</formula>
    </cfRule>
  </conditionalFormatting>
  <conditionalFormatting sqref="AU123:AU152">
    <cfRule type="beginsWith" dxfId="1971" priority="1424" operator="beginsWith" text="T">
      <formula>LEFT(AU123,LEN("T"))="T"</formula>
    </cfRule>
    <cfRule type="containsText" dxfId="1970" priority="1425" operator="containsText" text="Sin iniciar">
      <formula>NOT(ISERROR(SEARCH("Sin iniciar",AU123)))</formula>
    </cfRule>
    <cfRule type="containsText" dxfId="1969" priority="1426" operator="containsText" text="En gestión">
      <formula>NOT(ISERROR(SEARCH("En gestión",AU123)))</formula>
    </cfRule>
  </conditionalFormatting>
  <conditionalFormatting sqref="AE126">
    <cfRule type="beginsWith" dxfId="1968" priority="1406" operator="beginsWith" text="T">
      <formula>LEFT(AE126,LEN("T"))="T"</formula>
    </cfRule>
    <cfRule type="containsText" dxfId="1967" priority="1407" operator="containsText" text="Sin iniciar">
      <formula>NOT(ISERROR(SEARCH("Sin iniciar",AE126)))</formula>
    </cfRule>
    <cfRule type="containsText" dxfId="1966" priority="1408" operator="containsText" text="En gestión">
      <formula>NOT(ISERROR(SEARCH("En gestión",AE126)))</formula>
    </cfRule>
  </conditionalFormatting>
  <conditionalFormatting sqref="AD123">
    <cfRule type="beginsWith" dxfId="1965" priority="1421" operator="beginsWith" text="T">
      <formula>LEFT(AD123,LEN("T"))="T"</formula>
    </cfRule>
    <cfRule type="containsText" dxfId="1964" priority="1422" operator="containsText" text="Sin iniciar">
      <formula>NOT(ISERROR(SEARCH("Sin iniciar",AD123)))</formula>
    </cfRule>
    <cfRule type="containsText" dxfId="1963" priority="1423" operator="containsText" text="En gestión">
      <formula>NOT(ISERROR(SEARCH("En gestión",AD123)))</formula>
    </cfRule>
  </conditionalFormatting>
  <conditionalFormatting sqref="AE123">
    <cfRule type="beginsWith" dxfId="1962" priority="1418" operator="beginsWith" text="T">
      <formula>LEFT(AE123,LEN("T"))="T"</formula>
    </cfRule>
    <cfRule type="containsText" dxfId="1961" priority="1419" operator="containsText" text="Sin iniciar">
      <formula>NOT(ISERROR(SEARCH("Sin iniciar",AE123)))</formula>
    </cfRule>
    <cfRule type="containsText" dxfId="1960" priority="1420" operator="containsText" text="En gestión">
      <formula>NOT(ISERROR(SEARCH("En gestión",AE123)))</formula>
    </cfRule>
  </conditionalFormatting>
  <conditionalFormatting sqref="AZ123">
    <cfRule type="beginsWith" dxfId="1959" priority="1415" operator="beginsWith" text="T">
      <formula>LEFT(AZ123,LEN("T"))="T"</formula>
    </cfRule>
    <cfRule type="containsText" dxfId="1958" priority="1416" operator="containsText" text="Sin iniciar">
      <formula>NOT(ISERROR(SEARCH("Sin iniciar",AZ123)))</formula>
    </cfRule>
    <cfRule type="containsText" dxfId="1957" priority="1417" operator="containsText" text="En gestión">
      <formula>NOT(ISERROR(SEARCH("En gestión",AZ123)))</formula>
    </cfRule>
  </conditionalFormatting>
  <conditionalFormatting sqref="BA123">
    <cfRule type="beginsWith" dxfId="1956" priority="1412" operator="beginsWith" text="T">
      <formula>LEFT(BA123,LEN("T"))="T"</formula>
    </cfRule>
    <cfRule type="containsText" dxfId="1955" priority="1413" operator="containsText" text="Sin iniciar">
      <formula>NOT(ISERROR(SEARCH("Sin iniciar",BA123)))</formula>
    </cfRule>
    <cfRule type="containsText" dxfId="1954" priority="1414" operator="containsText" text="En gestión">
      <formula>NOT(ISERROR(SEARCH("En gestión",BA123)))</formula>
    </cfRule>
  </conditionalFormatting>
  <conditionalFormatting sqref="AE128">
    <cfRule type="beginsWith" dxfId="1953" priority="1394" operator="beginsWith" text="T">
      <formula>LEFT(AE128,LEN("T"))="T"</formula>
    </cfRule>
    <cfRule type="containsText" dxfId="1952" priority="1395" operator="containsText" text="Sin iniciar">
      <formula>NOT(ISERROR(SEARCH("Sin iniciar",AE128)))</formula>
    </cfRule>
    <cfRule type="containsText" dxfId="1951" priority="1396" operator="containsText" text="En gestión">
      <formula>NOT(ISERROR(SEARCH("En gestión",AE128)))</formula>
    </cfRule>
  </conditionalFormatting>
  <conditionalFormatting sqref="AD131">
    <cfRule type="beginsWith" dxfId="1950" priority="1391" operator="beginsWith" text="T">
      <formula>LEFT(AD131,LEN("T"))="T"</formula>
    </cfRule>
    <cfRule type="containsText" dxfId="1949" priority="1392" operator="containsText" text="Sin iniciar">
      <formula>NOT(ISERROR(SEARCH("Sin iniciar",AD131)))</formula>
    </cfRule>
    <cfRule type="containsText" dxfId="1948" priority="1393" operator="containsText" text="En gestión">
      <formula>NOT(ISERROR(SEARCH("En gestión",AD131)))</formula>
    </cfRule>
  </conditionalFormatting>
  <conditionalFormatting sqref="AD126">
    <cfRule type="beginsWith" dxfId="1947" priority="1409" operator="beginsWith" text="T">
      <formula>LEFT(AD126,LEN("T"))="T"</formula>
    </cfRule>
    <cfRule type="containsText" dxfId="1946" priority="1410" operator="containsText" text="Sin iniciar">
      <formula>NOT(ISERROR(SEARCH("Sin iniciar",AD126)))</formula>
    </cfRule>
    <cfRule type="containsText" dxfId="1945" priority="1411" operator="containsText" text="En gestión">
      <formula>NOT(ISERROR(SEARCH("En gestión",AD126)))</formula>
    </cfRule>
  </conditionalFormatting>
  <conditionalFormatting sqref="AZ126">
    <cfRule type="beginsWith" dxfId="1944" priority="1403" operator="beginsWith" text="T">
      <formula>LEFT(AZ126,LEN("T"))="T"</formula>
    </cfRule>
    <cfRule type="containsText" dxfId="1943" priority="1404" operator="containsText" text="Sin iniciar">
      <formula>NOT(ISERROR(SEARCH("Sin iniciar",AZ126)))</formula>
    </cfRule>
    <cfRule type="containsText" dxfId="1942" priority="1405" operator="containsText" text="En gestión">
      <formula>NOT(ISERROR(SEARCH("En gestión",AZ126)))</formula>
    </cfRule>
  </conditionalFormatting>
  <conditionalFormatting sqref="BA126">
    <cfRule type="beginsWith" dxfId="1941" priority="1400" operator="beginsWith" text="T">
      <formula>LEFT(BA126,LEN("T"))="T"</formula>
    </cfRule>
    <cfRule type="containsText" dxfId="1940" priority="1401" operator="containsText" text="Sin iniciar">
      <formula>NOT(ISERROR(SEARCH("Sin iniciar",BA126)))</formula>
    </cfRule>
    <cfRule type="containsText" dxfId="1939" priority="1402" operator="containsText" text="En gestión">
      <formula>NOT(ISERROR(SEARCH("En gestión",BA126)))</formula>
    </cfRule>
  </conditionalFormatting>
  <conditionalFormatting sqref="AE139">
    <cfRule type="beginsWith" dxfId="1938" priority="1376" operator="beginsWith" text="T">
      <formula>LEFT(AE139,LEN("T"))="T"</formula>
    </cfRule>
    <cfRule type="containsText" dxfId="1937" priority="1377" operator="containsText" text="Sin iniciar">
      <formula>NOT(ISERROR(SEARCH("Sin iniciar",AE139)))</formula>
    </cfRule>
    <cfRule type="containsText" dxfId="1936" priority="1378" operator="containsText" text="En gestión">
      <formula>NOT(ISERROR(SEARCH("En gestión",AE139)))</formula>
    </cfRule>
  </conditionalFormatting>
  <conditionalFormatting sqref="AD143">
    <cfRule type="beginsWith" dxfId="1935" priority="1373" operator="beginsWith" text="T">
      <formula>LEFT(AD143,LEN("T"))="T"</formula>
    </cfRule>
    <cfRule type="containsText" dxfId="1934" priority="1374" operator="containsText" text="Sin iniciar">
      <formula>NOT(ISERROR(SEARCH("Sin iniciar",AD143)))</formula>
    </cfRule>
    <cfRule type="containsText" dxfId="1933" priority="1375" operator="containsText" text="En gestión">
      <formula>NOT(ISERROR(SEARCH("En gestión",AD143)))</formula>
    </cfRule>
  </conditionalFormatting>
  <conditionalFormatting sqref="AD128">
    <cfRule type="beginsWith" dxfId="1932" priority="1397" operator="beginsWith" text="T">
      <formula>LEFT(AD128,LEN("T"))="T"</formula>
    </cfRule>
    <cfRule type="containsText" dxfId="1931" priority="1398" operator="containsText" text="Sin iniciar">
      <formula>NOT(ISERROR(SEARCH("Sin iniciar",AD128)))</formula>
    </cfRule>
    <cfRule type="containsText" dxfId="1930" priority="1399" operator="containsText" text="En gestión">
      <formula>NOT(ISERROR(SEARCH("En gestión",AD128)))</formula>
    </cfRule>
  </conditionalFormatting>
  <conditionalFormatting sqref="AE131">
    <cfRule type="beginsWith" dxfId="1929" priority="1388" operator="beginsWith" text="T">
      <formula>LEFT(AE131,LEN("T"))="T"</formula>
    </cfRule>
    <cfRule type="containsText" dxfId="1928" priority="1389" operator="containsText" text="Sin iniciar">
      <formula>NOT(ISERROR(SEARCH("Sin iniciar",AE131)))</formula>
    </cfRule>
    <cfRule type="containsText" dxfId="1927" priority="1390" operator="containsText" text="En gestión">
      <formula>NOT(ISERROR(SEARCH("En gestión",AE131)))</formula>
    </cfRule>
  </conditionalFormatting>
  <conditionalFormatting sqref="AE149">
    <cfRule type="beginsWith" dxfId="1926" priority="1358" operator="beginsWith" text="T">
      <formula>LEFT(AE149,LEN("T"))="T"</formula>
    </cfRule>
    <cfRule type="containsText" dxfId="1925" priority="1359" operator="containsText" text="Sin iniciar">
      <formula>NOT(ISERROR(SEARCH("Sin iniciar",AE149)))</formula>
    </cfRule>
    <cfRule type="containsText" dxfId="1924" priority="1360" operator="containsText" text="En gestión">
      <formula>NOT(ISERROR(SEARCH("En gestión",AE149)))</formula>
    </cfRule>
  </conditionalFormatting>
  <conditionalFormatting sqref="AD136">
    <cfRule type="beginsWith" dxfId="1923" priority="1385" operator="beginsWith" text="T">
      <formula>LEFT(AD136,LEN("T"))="T"</formula>
    </cfRule>
    <cfRule type="containsText" dxfId="1922" priority="1386" operator="containsText" text="Sin iniciar">
      <formula>NOT(ISERROR(SEARCH("Sin iniciar",AD136)))</formula>
    </cfRule>
    <cfRule type="containsText" dxfId="1921" priority="1387" operator="containsText" text="En gestión">
      <formula>NOT(ISERROR(SEARCH("En gestión",AD136)))</formula>
    </cfRule>
  </conditionalFormatting>
  <conditionalFormatting sqref="AE136">
    <cfRule type="beginsWith" dxfId="1920" priority="1382" operator="beginsWith" text="T">
      <formula>LEFT(AE136,LEN("T"))="T"</formula>
    </cfRule>
    <cfRule type="containsText" dxfId="1919" priority="1383" operator="containsText" text="Sin iniciar">
      <formula>NOT(ISERROR(SEARCH("Sin iniciar",AE136)))</formula>
    </cfRule>
    <cfRule type="containsText" dxfId="1918" priority="1384" operator="containsText" text="En gestión">
      <formula>NOT(ISERROR(SEARCH("En gestión",AE136)))</formula>
    </cfRule>
  </conditionalFormatting>
  <conditionalFormatting sqref="AD139">
    <cfRule type="beginsWith" dxfId="1917" priority="1379" operator="beginsWith" text="T">
      <formula>LEFT(AD139,LEN("T"))="T"</formula>
    </cfRule>
    <cfRule type="containsText" dxfId="1916" priority="1380" operator="containsText" text="Sin iniciar">
      <formula>NOT(ISERROR(SEARCH("Sin iniciar",AD139)))</formula>
    </cfRule>
    <cfRule type="containsText" dxfId="1915" priority="1381" operator="containsText" text="En gestión">
      <formula>NOT(ISERROR(SEARCH("En gestión",AD139)))</formula>
    </cfRule>
  </conditionalFormatting>
  <conditionalFormatting sqref="AE143">
    <cfRule type="beginsWith" dxfId="1914" priority="1370" operator="beginsWith" text="T">
      <formula>LEFT(AE143,LEN("T"))="T"</formula>
    </cfRule>
    <cfRule type="containsText" dxfId="1913" priority="1371" operator="containsText" text="Sin iniciar">
      <formula>NOT(ISERROR(SEARCH("Sin iniciar",AE143)))</formula>
    </cfRule>
    <cfRule type="containsText" dxfId="1912" priority="1372" operator="containsText" text="En gestión">
      <formula>NOT(ISERROR(SEARCH("En gestión",AE143)))</formula>
    </cfRule>
  </conditionalFormatting>
  <conditionalFormatting sqref="AD146">
    <cfRule type="beginsWith" dxfId="1911" priority="1367" operator="beginsWith" text="T">
      <formula>LEFT(AD146,LEN("T"))="T"</formula>
    </cfRule>
    <cfRule type="containsText" dxfId="1910" priority="1368" operator="containsText" text="Sin iniciar">
      <formula>NOT(ISERROR(SEARCH("Sin iniciar",AD146)))</formula>
    </cfRule>
    <cfRule type="containsText" dxfId="1909" priority="1369" operator="containsText" text="En gestión">
      <formula>NOT(ISERROR(SEARCH("En gestión",AD146)))</formula>
    </cfRule>
  </conditionalFormatting>
  <conditionalFormatting sqref="AE146">
    <cfRule type="beginsWith" dxfId="1908" priority="1364" operator="beginsWith" text="T">
      <formula>LEFT(AE146,LEN("T"))="T"</formula>
    </cfRule>
    <cfRule type="containsText" dxfId="1907" priority="1365" operator="containsText" text="Sin iniciar">
      <formula>NOT(ISERROR(SEARCH("Sin iniciar",AE146)))</formula>
    </cfRule>
    <cfRule type="containsText" dxfId="1906" priority="1366" operator="containsText" text="En gestión">
      <formula>NOT(ISERROR(SEARCH("En gestión",AE146)))</formula>
    </cfRule>
  </conditionalFormatting>
  <conditionalFormatting sqref="AD149">
    <cfRule type="beginsWith" dxfId="1905" priority="1361" operator="beginsWith" text="T">
      <formula>LEFT(AD149,LEN("T"))="T"</formula>
    </cfRule>
    <cfRule type="containsText" dxfId="1904" priority="1362" operator="containsText" text="Sin iniciar">
      <formula>NOT(ISERROR(SEARCH("Sin iniciar",AD149)))</formula>
    </cfRule>
    <cfRule type="containsText" dxfId="1903" priority="1363" operator="containsText" text="En gestión">
      <formula>NOT(ISERROR(SEARCH("En gestión",AD149)))</formula>
    </cfRule>
  </conditionalFormatting>
  <conditionalFormatting sqref="AZ128">
    <cfRule type="beginsWith" dxfId="1902" priority="1355" operator="beginsWith" text="T">
      <formula>LEFT(AZ128,LEN("T"))="T"</formula>
    </cfRule>
    <cfRule type="containsText" dxfId="1901" priority="1356" operator="containsText" text="Sin iniciar">
      <formula>NOT(ISERROR(SEARCH("Sin iniciar",AZ128)))</formula>
    </cfRule>
    <cfRule type="containsText" dxfId="1900" priority="1357" operator="containsText" text="En gestión">
      <formula>NOT(ISERROR(SEARCH("En gestión",AZ128)))</formula>
    </cfRule>
  </conditionalFormatting>
  <conditionalFormatting sqref="BA128">
    <cfRule type="beginsWith" dxfId="1899" priority="1352" operator="beginsWith" text="T">
      <formula>LEFT(BA128,LEN("T"))="T"</formula>
    </cfRule>
    <cfRule type="containsText" dxfId="1898" priority="1353" operator="containsText" text="Sin iniciar">
      <formula>NOT(ISERROR(SEARCH("Sin iniciar",BA128)))</formula>
    </cfRule>
    <cfRule type="containsText" dxfId="1897" priority="1354" operator="containsText" text="En gestión">
      <formula>NOT(ISERROR(SEARCH("En gestión",BA128)))</formula>
    </cfRule>
  </conditionalFormatting>
  <conditionalFormatting sqref="AZ131">
    <cfRule type="beginsWith" dxfId="1896" priority="1349" operator="beginsWith" text="T">
      <formula>LEFT(AZ131,LEN("T"))="T"</formula>
    </cfRule>
    <cfRule type="containsText" dxfId="1895" priority="1350" operator="containsText" text="Sin iniciar">
      <formula>NOT(ISERROR(SEARCH("Sin iniciar",AZ131)))</formula>
    </cfRule>
    <cfRule type="containsText" dxfId="1894" priority="1351" operator="containsText" text="En gestión">
      <formula>NOT(ISERROR(SEARCH("En gestión",AZ131)))</formula>
    </cfRule>
  </conditionalFormatting>
  <conditionalFormatting sqref="BA131">
    <cfRule type="beginsWith" dxfId="1893" priority="1346" operator="beginsWith" text="T">
      <formula>LEFT(BA131,LEN("T"))="T"</formula>
    </cfRule>
    <cfRule type="containsText" dxfId="1892" priority="1347" operator="containsText" text="Sin iniciar">
      <formula>NOT(ISERROR(SEARCH("Sin iniciar",BA131)))</formula>
    </cfRule>
    <cfRule type="containsText" dxfId="1891" priority="1348" operator="containsText" text="En gestión">
      <formula>NOT(ISERROR(SEARCH("En gestión",BA131)))</formula>
    </cfRule>
  </conditionalFormatting>
  <conditionalFormatting sqref="AZ136">
    <cfRule type="beginsWith" dxfId="1890" priority="1343" operator="beginsWith" text="T">
      <formula>LEFT(AZ136,LEN("T"))="T"</formula>
    </cfRule>
    <cfRule type="containsText" dxfId="1889" priority="1344" operator="containsText" text="Sin iniciar">
      <formula>NOT(ISERROR(SEARCH("Sin iniciar",AZ136)))</formula>
    </cfRule>
    <cfRule type="containsText" dxfId="1888" priority="1345" operator="containsText" text="En gestión">
      <formula>NOT(ISERROR(SEARCH("En gestión",AZ136)))</formula>
    </cfRule>
  </conditionalFormatting>
  <conditionalFormatting sqref="BA136">
    <cfRule type="beginsWith" dxfId="1887" priority="1340" operator="beginsWith" text="T">
      <formula>LEFT(BA136,LEN("T"))="T"</formula>
    </cfRule>
    <cfRule type="containsText" dxfId="1886" priority="1341" operator="containsText" text="Sin iniciar">
      <formula>NOT(ISERROR(SEARCH("Sin iniciar",BA136)))</formula>
    </cfRule>
    <cfRule type="containsText" dxfId="1885" priority="1342" operator="containsText" text="En gestión">
      <formula>NOT(ISERROR(SEARCH("En gestión",BA136)))</formula>
    </cfRule>
  </conditionalFormatting>
  <conditionalFormatting sqref="AZ139">
    <cfRule type="beginsWith" dxfId="1884" priority="1337" operator="beginsWith" text="T">
      <formula>LEFT(AZ139,LEN("T"))="T"</formula>
    </cfRule>
    <cfRule type="containsText" dxfId="1883" priority="1338" operator="containsText" text="Sin iniciar">
      <formula>NOT(ISERROR(SEARCH("Sin iniciar",AZ139)))</formula>
    </cfRule>
    <cfRule type="containsText" dxfId="1882" priority="1339" operator="containsText" text="En gestión">
      <formula>NOT(ISERROR(SEARCH("En gestión",AZ139)))</formula>
    </cfRule>
  </conditionalFormatting>
  <conditionalFormatting sqref="BA139">
    <cfRule type="beginsWith" dxfId="1881" priority="1334" operator="beginsWith" text="T">
      <formula>LEFT(BA139,LEN("T"))="T"</formula>
    </cfRule>
    <cfRule type="containsText" dxfId="1880" priority="1335" operator="containsText" text="Sin iniciar">
      <formula>NOT(ISERROR(SEARCH("Sin iniciar",BA139)))</formula>
    </cfRule>
    <cfRule type="containsText" dxfId="1879" priority="1336" operator="containsText" text="En gestión">
      <formula>NOT(ISERROR(SEARCH("En gestión",BA139)))</formula>
    </cfRule>
  </conditionalFormatting>
  <conditionalFormatting sqref="AZ143">
    <cfRule type="beginsWith" dxfId="1878" priority="1331" operator="beginsWith" text="T">
      <formula>LEFT(AZ143,LEN("T"))="T"</formula>
    </cfRule>
    <cfRule type="containsText" dxfId="1877" priority="1332" operator="containsText" text="Sin iniciar">
      <formula>NOT(ISERROR(SEARCH("Sin iniciar",AZ143)))</formula>
    </cfRule>
    <cfRule type="containsText" dxfId="1876" priority="1333" operator="containsText" text="En gestión">
      <formula>NOT(ISERROR(SEARCH("En gestión",AZ143)))</formula>
    </cfRule>
  </conditionalFormatting>
  <conditionalFormatting sqref="BA143">
    <cfRule type="beginsWith" dxfId="1875" priority="1328" operator="beginsWith" text="T">
      <formula>LEFT(BA143,LEN("T"))="T"</formula>
    </cfRule>
    <cfRule type="containsText" dxfId="1874" priority="1329" operator="containsText" text="Sin iniciar">
      <formula>NOT(ISERROR(SEARCH("Sin iniciar",BA143)))</formula>
    </cfRule>
    <cfRule type="containsText" dxfId="1873" priority="1330" operator="containsText" text="En gestión">
      <formula>NOT(ISERROR(SEARCH("En gestión",BA143)))</formula>
    </cfRule>
  </conditionalFormatting>
  <conditionalFormatting sqref="AZ146">
    <cfRule type="beginsWith" dxfId="1872" priority="1325" operator="beginsWith" text="T">
      <formula>LEFT(AZ146,LEN("T"))="T"</formula>
    </cfRule>
    <cfRule type="containsText" dxfId="1871" priority="1326" operator="containsText" text="Sin iniciar">
      <formula>NOT(ISERROR(SEARCH("Sin iniciar",AZ146)))</formula>
    </cfRule>
    <cfRule type="containsText" dxfId="1870" priority="1327" operator="containsText" text="En gestión">
      <formula>NOT(ISERROR(SEARCH("En gestión",AZ146)))</formula>
    </cfRule>
  </conditionalFormatting>
  <conditionalFormatting sqref="BA146">
    <cfRule type="beginsWith" dxfId="1869" priority="1322" operator="beginsWith" text="T">
      <formula>LEFT(BA146,LEN("T"))="T"</formula>
    </cfRule>
    <cfRule type="containsText" dxfId="1868" priority="1323" operator="containsText" text="Sin iniciar">
      <formula>NOT(ISERROR(SEARCH("Sin iniciar",BA146)))</formula>
    </cfRule>
    <cfRule type="containsText" dxfId="1867" priority="1324" operator="containsText" text="En gestión">
      <formula>NOT(ISERROR(SEARCH("En gestión",BA146)))</formula>
    </cfRule>
  </conditionalFormatting>
  <conditionalFormatting sqref="AZ149">
    <cfRule type="beginsWith" dxfId="1866" priority="1319" operator="beginsWith" text="T">
      <formula>LEFT(AZ149,LEN("T"))="T"</formula>
    </cfRule>
    <cfRule type="containsText" dxfId="1865" priority="1320" operator="containsText" text="Sin iniciar">
      <formula>NOT(ISERROR(SEARCH("Sin iniciar",AZ149)))</formula>
    </cfRule>
    <cfRule type="containsText" dxfId="1864" priority="1321" operator="containsText" text="En gestión">
      <formula>NOT(ISERROR(SEARCH("En gestión",AZ149)))</formula>
    </cfRule>
  </conditionalFormatting>
  <conditionalFormatting sqref="BA149">
    <cfRule type="beginsWith" dxfId="1863" priority="1316" operator="beginsWith" text="T">
      <formula>LEFT(BA149,LEN("T"))="T"</formula>
    </cfRule>
    <cfRule type="containsText" dxfId="1862" priority="1317" operator="containsText" text="Sin iniciar">
      <formula>NOT(ISERROR(SEARCH("Sin iniciar",BA149)))</formula>
    </cfRule>
    <cfRule type="containsText" dxfId="1861" priority="1318" operator="containsText" text="En gestión">
      <formula>NOT(ISERROR(SEARCH("En gestión",BA149)))</formula>
    </cfRule>
  </conditionalFormatting>
  <conditionalFormatting sqref="BS123:BS152">
    <cfRule type="beginsWith" dxfId="1860" priority="1313" operator="beginsWith" text="T">
      <formula>LEFT(BS123,LEN("T"))="T"</formula>
    </cfRule>
    <cfRule type="containsText" dxfId="1859" priority="1314" operator="containsText" text="Sin iniciar">
      <formula>NOT(ISERROR(SEARCH("Sin iniciar",BS123)))</formula>
    </cfRule>
    <cfRule type="containsText" dxfId="1858" priority="1315" operator="containsText" text="En gestión">
      <formula>NOT(ISERROR(SEARCH("En gestión",BS123)))</formula>
    </cfRule>
  </conditionalFormatting>
  <conditionalFormatting sqref="BR123:BR152">
    <cfRule type="beginsWith" dxfId="1857" priority="1310" operator="beginsWith" text="T">
      <formula>LEFT(BR123,LEN("T"))="T"</formula>
    </cfRule>
    <cfRule type="containsText" dxfId="1856" priority="1311" operator="containsText" text="Sin iniciar">
      <formula>NOT(ISERROR(SEARCH("Sin iniciar",BR123)))</formula>
    </cfRule>
    <cfRule type="containsText" dxfId="1855" priority="1312" operator="containsText" text="En gestión">
      <formula>NOT(ISERROR(SEARCH("En gestión",BR123)))</formula>
    </cfRule>
  </conditionalFormatting>
  <conditionalFormatting sqref="BW123">
    <cfRule type="beginsWith" dxfId="1854" priority="1307" operator="beginsWith" text="T">
      <formula>LEFT(BW123,LEN("T"))="T"</formula>
    </cfRule>
    <cfRule type="containsText" dxfId="1853" priority="1308" operator="containsText" text="Sin iniciar">
      <formula>NOT(ISERROR(SEARCH("Sin iniciar",BW123)))</formula>
    </cfRule>
    <cfRule type="containsText" dxfId="1852" priority="1309" operator="containsText" text="En gestión">
      <formula>NOT(ISERROR(SEARCH("En gestión",BW123)))</formula>
    </cfRule>
  </conditionalFormatting>
  <conditionalFormatting sqref="BX123">
    <cfRule type="beginsWith" dxfId="1851" priority="1304" operator="beginsWith" text="T">
      <formula>LEFT(BX123,LEN("T"))="T"</formula>
    </cfRule>
    <cfRule type="containsText" dxfId="1850" priority="1305" operator="containsText" text="Sin iniciar">
      <formula>NOT(ISERROR(SEARCH("Sin iniciar",BX123)))</formula>
    </cfRule>
    <cfRule type="containsText" dxfId="1849" priority="1306" operator="containsText" text="En gestión">
      <formula>NOT(ISERROR(SEARCH("En gestión",BX123)))</formula>
    </cfRule>
  </conditionalFormatting>
  <conditionalFormatting sqref="BW126">
    <cfRule type="beginsWith" dxfId="1848" priority="1301" operator="beginsWith" text="T">
      <formula>LEFT(BW126,LEN("T"))="T"</formula>
    </cfRule>
    <cfRule type="containsText" dxfId="1847" priority="1302" operator="containsText" text="Sin iniciar">
      <formula>NOT(ISERROR(SEARCH("Sin iniciar",BW126)))</formula>
    </cfRule>
    <cfRule type="containsText" dxfId="1846" priority="1303" operator="containsText" text="En gestión">
      <formula>NOT(ISERROR(SEARCH("En gestión",BW126)))</formula>
    </cfRule>
  </conditionalFormatting>
  <conditionalFormatting sqref="BX126">
    <cfRule type="beginsWith" dxfId="1845" priority="1298" operator="beginsWith" text="T">
      <formula>LEFT(BX126,LEN("T"))="T"</formula>
    </cfRule>
    <cfRule type="containsText" dxfId="1844" priority="1299" operator="containsText" text="Sin iniciar">
      <formula>NOT(ISERROR(SEARCH("Sin iniciar",BX126)))</formula>
    </cfRule>
    <cfRule type="containsText" dxfId="1843" priority="1300" operator="containsText" text="En gestión">
      <formula>NOT(ISERROR(SEARCH("En gestión",BX126)))</formula>
    </cfRule>
  </conditionalFormatting>
  <conditionalFormatting sqref="BW128">
    <cfRule type="beginsWith" dxfId="1842" priority="1295" operator="beginsWith" text="T">
      <formula>LEFT(BW128,LEN("T"))="T"</formula>
    </cfRule>
    <cfRule type="containsText" dxfId="1841" priority="1296" operator="containsText" text="Sin iniciar">
      <formula>NOT(ISERROR(SEARCH("Sin iniciar",BW128)))</formula>
    </cfRule>
    <cfRule type="containsText" dxfId="1840" priority="1297" operator="containsText" text="En gestión">
      <formula>NOT(ISERROR(SEARCH("En gestión",BW128)))</formula>
    </cfRule>
  </conditionalFormatting>
  <conditionalFormatting sqref="BX128">
    <cfRule type="beginsWith" dxfId="1839" priority="1292" operator="beginsWith" text="T">
      <formula>LEFT(BX128,LEN("T"))="T"</formula>
    </cfRule>
    <cfRule type="containsText" dxfId="1838" priority="1293" operator="containsText" text="Sin iniciar">
      <formula>NOT(ISERROR(SEARCH("Sin iniciar",BX128)))</formula>
    </cfRule>
    <cfRule type="containsText" dxfId="1837" priority="1294" operator="containsText" text="En gestión">
      <formula>NOT(ISERROR(SEARCH("En gestión",BX128)))</formula>
    </cfRule>
  </conditionalFormatting>
  <conditionalFormatting sqref="BW131">
    <cfRule type="beginsWith" dxfId="1836" priority="1289" operator="beginsWith" text="T">
      <formula>LEFT(BW131,LEN("T"))="T"</formula>
    </cfRule>
    <cfRule type="containsText" dxfId="1835" priority="1290" operator="containsText" text="Sin iniciar">
      <formula>NOT(ISERROR(SEARCH("Sin iniciar",BW131)))</formula>
    </cfRule>
    <cfRule type="containsText" dxfId="1834" priority="1291" operator="containsText" text="En gestión">
      <formula>NOT(ISERROR(SEARCH("En gestión",BW131)))</formula>
    </cfRule>
  </conditionalFormatting>
  <conditionalFormatting sqref="BX131">
    <cfRule type="beginsWith" dxfId="1833" priority="1286" operator="beginsWith" text="T">
      <formula>LEFT(BX131,LEN("T"))="T"</formula>
    </cfRule>
    <cfRule type="containsText" dxfId="1832" priority="1287" operator="containsText" text="Sin iniciar">
      <formula>NOT(ISERROR(SEARCH("Sin iniciar",BX131)))</formula>
    </cfRule>
    <cfRule type="containsText" dxfId="1831" priority="1288" operator="containsText" text="En gestión">
      <formula>NOT(ISERROR(SEARCH("En gestión",BX131)))</formula>
    </cfRule>
  </conditionalFormatting>
  <conditionalFormatting sqref="BW136">
    <cfRule type="beginsWith" dxfId="1830" priority="1283" operator="beginsWith" text="T">
      <formula>LEFT(BW136,LEN("T"))="T"</formula>
    </cfRule>
    <cfRule type="containsText" dxfId="1829" priority="1284" operator="containsText" text="Sin iniciar">
      <formula>NOT(ISERROR(SEARCH("Sin iniciar",BW136)))</formula>
    </cfRule>
    <cfRule type="containsText" dxfId="1828" priority="1285" operator="containsText" text="En gestión">
      <formula>NOT(ISERROR(SEARCH("En gestión",BW136)))</formula>
    </cfRule>
  </conditionalFormatting>
  <conditionalFormatting sqref="BX136">
    <cfRule type="beginsWith" dxfId="1827" priority="1280" operator="beginsWith" text="T">
      <formula>LEFT(BX136,LEN("T"))="T"</formula>
    </cfRule>
    <cfRule type="containsText" dxfId="1826" priority="1281" operator="containsText" text="Sin iniciar">
      <formula>NOT(ISERROR(SEARCH("Sin iniciar",BX136)))</formula>
    </cfRule>
    <cfRule type="containsText" dxfId="1825" priority="1282" operator="containsText" text="En gestión">
      <formula>NOT(ISERROR(SEARCH("En gestión",BX136)))</formula>
    </cfRule>
  </conditionalFormatting>
  <conditionalFormatting sqref="BW139">
    <cfRule type="beginsWith" dxfId="1824" priority="1277" operator="beginsWith" text="T">
      <formula>LEFT(BW139,LEN("T"))="T"</formula>
    </cfRule>
    <cfRule type="containsText" dxfId="1823" priority="1278" operator="containsText" text="Sin iniciar">
      <formula>NOT(ISERROR(SEARCH("Sin iniciar",BW139)))</formula>
    </cfRule>
    <cfRule type="containsText" dxfId="1822" priority="1279" operator="containsText" text="En gestión">
      <formula>NOT(ISERROR(SEARCH("En gestión",BW139)))</formula>
    </cfRule>
  </conditionalFormatting>
  <conditionalFormatting sqref="BX139">
    <cfRule type="beginsWith" dxfId="1821" priority="1274" operator="beginsWith" text="T">
      <formula>LEFT(BX139,LEN("T"))="T"</formula>
    </cfRule>
    <cfRule type="containsText" dxfId="1820" priority="1275" operator="containsText" text="Sin iniciar">
      <formula>NOT(ISERROR(SEARCH("Sin iniciar",BX139)))</formula>
    </cfRule>
    <cfRule type="containsText" dxfId="1819" priority="1276" operator="containsText" text="En gestión">
      <formula>NOT(ISERROR(SEARCH("En gestión",BX139)))</formula>
    </cfRule>
  </conditionalFormatting>
  <conditionalFormatting sqref="BW143">
    <cfRule type="beginsWith" dxfId="1818" priority="1271" operator="beginsWith" text="T">
      <formula>LEFT(BW143,LEN("T"))="T"</formula>
    </cfRule>
    <cfRule type="containsText" dxfId="1817" priority="1272" operator="containsText" text="Sin iniciar">
      <formula>NOT(ISERROR(SEARCH("Sin iniciar",BW143)))</formula>
    </cfRule>
    <cfRule type="containsText" dxfId="1816" priority="1273" operator="containsText" text="En gestión">
      <formula>NOT(ISERROR(SEARCH("En gestión",BW143)))</formula>
    </cfRule>
  </conditionalFormatting>
  <conditionalFormatting sqref="BX143">
    <cfRule type="beginsWith" dxfId="1815" priority="1268" operator="beginsWith" text="T">
      <formula>LEFT(BX143,LEN("T"))="T"</formula>
    </cfRule>
    <cfRule type="containsText" dxfId="1814" priority="1269" operator="containsText" text="Sin iniciar">
      <formula>NOT(ISERROR(SEARCH("Sin iniciar",BX143)))</formula>
    </cfRule>
    <cfRule type="containsText" dxfId="1813" priority="1270" operator="containsText" text="En gestión">
      <formula>NOT(ISERROR(SEARCH("En gestión",BX143)))</formula>
    </cfRule>
  </conditionalFormatting>
  <conditionalFormatting sqref="BW146">
    <cfRule type="beginsWith" dxfId="1812" priority="1265" operator="beginsWith" text="T">
      <formula>LEFT(BW146,LEN("T"))="T"</formula>
    </cfRule>
    <cfRule type="containsText" dxfId="1811" priority="1266" operator="containsText" text="Sin iniciar">
      <formula>NOT(ISERROR(SEARCH("Sin iniciar",BW146)))</formula>
    </cfRule>
    <cfRule type="containsText" dxfId="1810" priority="1267" operator="containsText" text="En gestión">
      <formula>NOT(ISERROR(SEARCH("En gestión",BW146)))</formula>
    </cfRule>
  </conditionalFormatting>
  <conditionalFormatting sqref="BX146">
    <cfRule type="beginsWith" dxfId="1809" priority="1262" operator="beginsWith" text="T">
      <formula>LEFT(BX146,LEN("T"))="T"</formula>
    </cfRule>
    <cfRule type="containsText" dxfId="1808" priority="1263" operator="containsText" text="Sin iniciar">
      <formula>NOT(ISERROR(SEARCH("Sin iniciar",BX146)))</formula>
    </cfRule>
    <cfRule type="containsText" dxfId="1807" priority="1264" operator="containsText" text="En gestión">
      <formula>NOT(ISERROR(SEARCH("En gestión",BX146)))</formula>
    </cfRule>
  </conditionalFormatting>
  <conditionalFormatting sqref="BW149">
    <cfRule type="beginsWith" dxfId="1806" priority="1259" operator="beginsWith" text="T">
      <formula>LEFT(BW149,LEN("T"))="T"</formula>
    </cfRule>
    <cfRule type="containsText" dxfId="1805" priority="1260" operator="containsText" text="Sin iniciar">
      <formula>NOT(ISERROR(SEARCH("Sin iniciar",BW149)))</formula>
    </cfRule>
    <cfRule type="containsText" dxfId="1804" priority="1261" operator="containsText" text="En gestión">
      <formula>NOT(ISERROR(SEARCH("En gestión",BW149)))</formula>
    </cfRule>
  </conditionalFormatting>
  <conditionalFormatting sqref="BX149">
    <cfRule type="beginsWith" dxfId="1803" priority="1256" operator="beginsWith" text="T">
      <formula>LEFT(BX149,LEN("T"))="T"</formula>
    </cfRule>
    <cfRule type="containsText" dxfId="1802" priority="1257" operator="containsText" text="Sin iniciar">
      <formula>NOT(ISERROR(SEARCH("Sin iniciar",BX149)))</formula>
    </cfRule>
    <cfRule type="containsText" dxfId="1801" priority="1258" operator="containsText" text="En gestión">
      <formula>NOT(ISERROR(SEARCH("En gestión",BX149)))</formula>
    </cfRule>
  </conditionalFormatting>
  <conditionalFormatting sqref="Y153:Y157">
    <cfRule type="beginsWith" dxfId="1800" priority="1253" operator="beginsWith" text="T">
      <formula>LEFT(Y153,LEN("T"))="T"</formula>
    </cfRule>
    <cfRule type="containsText" dxfId="1799" priority="1254" operator="containsText" text="Sin iniciar">
      <formula>NOT(ISERROR(SEARCH("Sin iniciar",Y153)))</formula>
    </cfRule>
    <cfRule type="containsText" dxfId="1798" priority="1255" operator="containsText" text="En gestión">
      <formula>NOT(ISERROR(SEARCH("En gestión",Y153)))</formula>
    </cfRule>
  </conditionalFormatting>
  <conditionalFormatting sqref="Z153:Z157">
    <cfRule type="beginsWith" dxfId="1797" priority="1250" operator="beginsWith" text="T">
      <formula>LEFT(Z153,LEN("T"))="T"</formula>
    </cfRule>
    <cfRule type="containsText" dxfId="1796" priority="1251" operator="containsText" text="Sin iniciar">
      <formula>NOT(ISERROR(SEARCH("Sin iniciar",Z153)))</formula>
    </cfRule>
    <cfRule type="containsText" dxfId="1795" priority="1252" operator="containsText" text="En gestión">
      <formula>NOT(ISERROR(SEARCH("En gestión",Z153)))</formula>
    </cfRule>
  </conditionalFormatting>
  <conditionalFormatting sqref="AV153:AV157">
    <cfRule type="beginsWith" dxfId="1794" priority="1247" operator="beginsWith" text="T">
      <formula>LEFT(AV153,LEN("T"))="T"</formula>
    </cfRule>
    <cfRule type="containsText" dxfId="1793" priority="1248" operator="containsText" text="Sin iniciar">
      <formula>NOT(ISERROR(SEARCH("Sin iniciar",AV153)))</formula>
    </cfRule>
    <cfRule type="containsText" dxfId="1792" priority="1249" operator="containsText" text="En gestión">
      <formula>NOT(ISERROR(SEARCH("En gestión",AV153)))</formula>
    </cfRule>
  </conditionalFormatting>
  <conditionalFormatting sqref="AU153:AU157">
    <cfRule type="beginsWith" dxfId="1791" priority="1244" operator="beginsWith" text="T">
      <formula>LEFT(AU153,LEN("T"))="T"</formula>
    </cfRule>
    <cfRule type="containsText" dxfId="1790" priority="1245" operator="containsText" text="Sin iniciar">
      <formula>NOT(ISERROR(SEARCH("Sin iniciar",AU153)))</formula>
    </cfRule>
    <cfRule type="containsText" dxfId="1789" priority="1246" operator="containsText" text="En gestión">
      <formula>NOT(ISERROR(SEARCH("En gestión",AU153)))</formula>
    </cfRule>
  </conditionalFormatting>
  <conditionalFormatting sqref="AE156">
    <cfRule type="beginsWith" dxfId="1788" priority="1232" operator="beginsWith" text="T">
      <formula>LEFT(AE156,LEN("T"))="T"</formula>
    </cfRule>
    <cfRule type="containsText" dxfId="1787" priority="1233" operator="containsText" text="Sin iniciar">
      <formula>NOT(ISERROR(SEARCH("Sin iniciar",AE156)))</formula>
    </cfRule>
    <cfRule type="containsText" dxfId="1786" priority="1234" operator="containsText" text="En gestión">
      <formula>NOT(ISERROR(SEARCH("En gestión",AE156)))</formula>
    </cfRule>
  </conditionalFormatting>
  <conditionalFormatting sqref="AD156">
    <cfRule type="beginsWith" dxfId="1785" priority="1235" operator="beginsWith" text="T">
      <formula>LEFT(AD156,LEN("T"))="T"</formula>
    </cfRule>
    <cfRule type="containsText" dxfId="1784" priority="1236" operator="containsText" text="Sin iniciar">
      <formula>NOT(ISERROR(SEARCH("Sin iniciar",AD156)))</formula>
    </cfRule>
    <cfRule type="containsText" dxfId="1783" priority="1237" operator="containsText" text="En gestión">
      <formula>NOT(ISERROR(SEARCH("En gestión",AD156)))</formula>
    </cfRule>
  </conditionalFormatting>
  <conditionalFormatting sqref="AD153">
    <cfRule type="beginsWith" dxfId="1782" priority="1241" operator="beginsWith" text="T">
      <formula>LEFT(AD153,LEN("T"))="T"</formula>
    </cfRule>
    <cfRule type="containsText" dxfId="1781" priority="1242" operator="containsText" text="Sin iniciar">
      <formula>NOT(ISERROR(SEARCH("Sin iniciar",AD153)))</formula>
    </cfRule>
    <cfRule type="containsText" dxfId="1780" priority="1243" operator="containsText" text="En gestión">
      <formula>NOT(ISERROR(SEARCH("En gestión",AD153)))</formula>
    </cfRule>
  </conditionalFormatting>
  <conditionalFormatting sqref="AE153">
    <cfRule type="beginsWith" dxfId="1779" priority="1238" operator="beginsWith" text="T">
      <formula>LEFT(AE153,LEN("T"))="T"</formula>
    </cfRule>
    <cfRule type="containsText" dxfId="1778" priority="1239" operator="containsText" text="Sin iniciar">
      <formula>NOT(ISERROR(SEARCH("Sin iniciar",AE153)))</formula>
    </cfRule>
    <cfRule type="containsText" dxfId="1777" priority="1240" operator="containsText" text="En gestión">
      <formula>NOT(ISERROR(SEARCH("En gestión",AE153)))</formula>
    </cfRule>
  </conditionalFormatting>
  <conditionalFormatting sqref="BA156">
    <cfRule type="beginsWith" dxfId="1776" priority="1220" operator="beginsWith" text="T">
      <formula>LEFT(BA156,LEN("T"))="T"</formula>
    </cfRule>
    <cfRule type="containsText" dxfId="1775" priority="1221" operator="containsText" text="Sin iniciar">
      <formula>NOT(ISERROR(SEARCH("Sin iniciar",BA156)))</formula>
    </cfRule>
    <cfRule type="containsText" dxfId="1774" priority="1222" operator="containsText" text="En gestión">
      <formula>NOT(ISERROR(SEARCH("En gestión",BA156)))</formula>
    </cfRule>
  </conditionalFormatting>
  <conditionalFormatting sqref="AZ156">
    <cfRule type="beginsWith" dxfId="1773" priority="1223" operator="beginsWith" text="T">
      <formula>LEFT(AZ156,LEN("T"))="T"</formula>
    </cfRule>
    <cfRule type="containsText" dxfId="1772" priority="1224" operator="containsText" text="Sin iniciar">
      <formula>NOT(ISERROR(SEARCH("Sin iniciar",AZ156)))</formula>
    </cfRule>
    <cfRule type="containsText" dxfId="1771" priority="1225" operator="containsText" text="En gestión">
      <formula>NOT(ISERROR(SEARCH("En gestión",AZ156)))</formula>
    </cfRule>
  </conditionalFormatting>
  <conditionalFormatting sqref="AZ153">
    <cfRule type="beginsWith" dxfId="1770" priority="1229" operator="beginsWith" text="T">
      <formula>LEFT(AZ153,LEN("T"))="T"</formula>
    </cfRule>
    <cfRule type="containsText" dxfId="1769" priority="1230" operator="containsText" text="Sin iniciar">
      <formula>NOT(ISERROR(SEARCH("Sin iniciar",AZ153)))</formula>
    </cfRule>
    <cfRule type="containsText" dxfId="1768" priority="1231" operator="containsText" text="En gestión">
      <formula>NOT(ISERROR(SEARCH("En gestión",AZ153)))</formula>
    </cfRule>
  </conditionalFormatting>
  <conditionalFormatting sqref="BA153">
    <cfRule type="beginsWith" dxfId="1767" priority="1226" operator="beginsWith" text="T">
      <formula>LEFT(BA153,LEN("T"))="T"</formula>
    </cfRule>
    <cfRule type="containsText" dxfId="1766" priority="1227" operator="containsText" text="Sin iniciar">
      <formula>NOT(ISERROR(SEARCH("Sin iniciar",BA153)))</formula>
    </cfRule>
    <cfRule type="containsText" dxfId="1765" priority="1228" operator="containsText" text="En gestión">
      <formula>NOT(ISERROR(SEARCH("En gestión",BA153)))</formula>
    </cfRule>
  </conditionalFormatting>
  <conditionalFormatting sqref="BS153:BS157">
    <cfRule type="beginsWith" dxfId="1764" priority="1217" operator="beginsWith" text="T">
      <formula>LEFT(BS153,LEN("T"))="T"</formula>
    </cfRule>
    <cfRule type="containsText" dxfId="1763" priority="1218" operator="containsText" text="Sin iniciar">
      <formula>NOT(ISERROR(SEARCH("Sin iniciar",BS153)))</formula>
    </cfRule>
    <cfRule type="containsText" dxfId="1762" priority="1219" operator="containsText" text="En gestión">
      <formula>NOT(ISERROR(SEARCH("En gestión",BS153)))</formula>
    </cfRule>
  </conditionalFormatting>
  <conditionalFormatting sqref="BR153:BR157">
    <cfRule type="beginsWith" dxfId="1761" priority="1214" operator="beginsWith" text="T">
      <formula>LEFT(BR153,LEN("T"))="T"</formula>
    </cfRule>
    <cfRule type="containsText" dxfId="1760" priority="1215" operator="containsText" text="Sin iniciar">
      <formula>NOT(ISERROR(SEARCH("Sin iniciar",BR153)))</formula>
    </cfRule>
    <cfRule type="containsText" dxfId="1759" priority="1216" operator="containsText" text="En gestión">
      <formula>NOT(ISERROR(SEARCH("En gestión",BR153)))</formula>
    </cfRule>
  </conditionalFormatting>
  <conditionalFormatting sqref="BX156">
    <cfRule type="beginsWith" dxfId="1758" priority="1202" operator="beginsWith" text="T">
      <formula>LEFT(BX156,LEN("T"))="T"</formula>
    </cfRule>
    <cfRule type="containsText" dxfId="1757" priority="1203" operator="containsText" text="Sin iniciar">
      <formula>NOT(ISERROR(SEARCH("Sin iniciar",BX156)))</formula>
    </cfRule>
    <cfRule type="containsText" dxfId="1756" priority="1204" operator="containsText" text="En gestión">
      <formula>NOT(ISERROR(SEARCH("En gestión",BX156)))</formula>
    </cfRule>
  </conditionalFormatting>
  <conditionalFormatting sqref="BW156">
    <cfRule type="beginsWith" dxfId="1755" priority="1205" operator="beginsWith" text="T">
      <formula>LEFT(BW156,LEN("T"))="T"</formula>
    </cfRule>
    <cfRule type="containsText" dxfId="1754" priority="1206" operator="containsText" text="Sin iniciar">
      <formula>NOT(ISERROR(SEARCH("Sin iniciar",BW156)))</formula>
    </cfRule>
    <cfRule type="containsText" dxfId="1753" priority="1207" operator="containsText" text="En gestión">
      <formula>NOT(ISERROR(SEARCH("En gestión",BW156)))</formula>
    </cfRule>
  </conditionalFormatting>
  <conditionalFormatting sqref="BW153">
    <cfRule type="beginsWith" dxfId="1752" priority="1211" operator="beginsWith" text="T">
      <formula>LEFT(BW153,LEN("T"))="T"</formula>
    </cfRule>
    <cfRule type="containsText" dxfId="1751" priority="1212" operator="containsText" text="Sin iniciar">
      <formula>NOT(ISERROR(SEARCH("Sin iniciar",BW153)))</formula>
    </cfRule>
    <cfRule type="containsText" dxfId="1750" priority="1213" operator="containsText" text="En gestión">
      <formula>NOT(ISERROR(SEARCH("En gestión",BW153)))</formula>
    </cfRule>
  </conditionalFormatting>
  <conditionalFormatting sqref="BX153">
    <cfRule type="beginsWith" dxfId="1749" priority="1208" operator="beginsWith" text="T">
      <formula>LEFT(BX153,LEN("T"))="T"</formula>
    </cfRule>
    <cfRule type="containsText" dxfId="1748" priority="1209" operator="containsText" text="Sin iniciar">
      <formula>NOT(ISERROR(SEARCH("Sin iniciar",BX153)))</formula>
    </cfRule>
    <cfRule type="containsText" dxfId="1747" priority="1210" operator="containsText" text="En gestión">
      <formula>NOT(ISERROR(SEARCH("En gestión",BX153)))</formula>
    </cfRule>
  </conditionalFormatting>
  <conditionalFormatting sqref="Y158:Z223 AU158:AV223 BR158:BS223">
    <cfRule type="beginsWith" dxfId="1746" priority="1199" operator="beginsWith" text="T">
      <formula>LEFT(Y158,LEN("T"))="T"</formula>
    </cfRule>
    <cfRule type="containsText" dxfId="1745" priority="1200" operator="containsText" text="Sin iniciar">
      <formula>NOT(ISERROR(SEARCH("Sin iniciar",Y158)))</formula>
    </cfRule>
    <cfRule type="containsText" dxfId="1744" priority="1201" operator="containsText" text="En gestión">
      <formula>NOT(ISERROR(SEARCH("En gestión",Y158)))</formula>
    </cfRule>
  </conditionalFormatting>
  <conditionalFormatting sqref="AD158">
    <cfRule type="beginsWith" dxfId="1743" priority="1196" operator="beginsWith" text="T">
      <formula>LEFT(AD158,LEN("T"))="T"</formula>
    </cfRule>
    <cfRule type="containsText" dxfId="1742" priority="1197" operator="containsText" text="Sin iniciar">
      <formula>NOT(ISERROR(SEARCH("Sin iniciar",AD158)))</formula>
    </cfRule>
    <cfRule type="containsText" dxfId="1741" priority="1198" operator="containsText" text="En gestión">
      <formula>NOT(ISERROR(SEARCH("En gestión",AD158)))</formula>
    </cfRule>
  </conditionalFormatting>
  <conditionalFormatting sqref="AE158">
    <cfRule type="beginsWith" dxfId="1740" priority="1193" operator="beginsWith" text="T">
      <formula>LEFT(AE158,LEN("T"))="T"</formula>
    </cfRule>
    <cfRule type="containsText" dxfId="1739" priority="1194" operator="containsText" text="Sin iniciar">
      <formula>NOT(ISERROR(SEARCH("Sin iniciar",AE158)))</formula>
    </cfRule>
    <cfRule type="containsText" dxfId="1738" priority="1195" operator="containsText" text="En gestión">
      <formula>NOT(ISERROR(SEARCH("En gestión",AE158)))</formula>
    </cfRule>
  </conditionalFormatting>
  <conditionalFormatting sqref="AD162">
    <cfRule type="beginsWith" dxfId="1737" priority="1190" operator="beginsWith" text="T">
      <formula>LEFT(AD162,LEN("T"))="T"</formula>
    </cfRule>
    <cfRule type="containsText" dxfId="1736" priority="1191" operator="containsText" text="Sin iniciar">
      <formula>NOT(ISERROR(SEARCH("Sin iniciar",AD162)))</formula>
    </cfRule>
    <cfRule type="containsText" dxfId="1735" priority="1192" operator="containsText" text="En gestión">
      <formula>NOT(ISERROR(SEARCH("En gestión",AD162)))</formula>
    </cfRule>
  </conditionalFormatting>
  <conditionalFormatting sqref="AE162">
    <cfRule type="beginsWith" dxfId="1734" priority="1187" operator="beginsWith" text="T">
      <formula>LEFT(AE162,LEN("T"))="T"</formula>
    </cfRule>
    <cfRule type="containsText" dxfId="1733" priority="1188" operator="containsText" text="Sin iniciar">
      <formula>NOT(ISERROR(SEARCH("Sin iniciar",AE162)))</formula>
    </cfRule>
    <cfRule type="containsText" dxfId="1732" priority="1189" operator="containsText" text="En gestión">
      <formula>NOT(ISERROR(SEARCH("En gestión",AE162)))</formula>
    </cfRule>
  </conditionalFormatting>
  <conditionalFormatting sqref="AD166">
    <cfRule type="beginsWith" dxfId="1731" priority="1184" operator="beginsWith" text="T">
      <formula>LEFT(AD166,LEN("T"))="T"</formula>
    </cfRule>
    <cfRule type="containsText" dxfId="1730" priority="1185" operator="containsText" text="Sin iniciar">
      <formula>NOT(ISERROR(SEARCH("Sin iniciar",AD166)))</formula>
    </cfRule>
    <cfRule type="containsText" dxfId="1729" priority="1186" operator="containsText" text="En gestión">
      <formula>NOT(ISERROR(SEARCH("En gestión",AD166)))</formula>
    </cfRule>
  </conditionalFormatting>
  <conditionalFormatting sqref="AE166">
    <cfRule type="beginsWith" dxfId="1728" priority="1181" operator="beginsWith" text="T">
      <formula>LEFT(AE166,LEN("T"))="T"</formula>
    </cfRule>
    <cfRule type="containsText" dxfId="1727" priority="1182" operator="containsText" text="Sin iniciar">
      <formula>NOT(ISERROR(SEARCH("Sin iniciar",AE166)))</formula>
    </cfRule>
    <cfRule type="containsText" dxfId="1726" priority="1183" operator="containsText" text="En gestión">
      <formula>NOT(ISERROR(SEARCH("En gestión",AE166)))</formula>
    </cfRule>
  </conditionalFormatting>
  <conditionalFormatting sqref="AD170:AE170">
    <cfRule type="beginsWith" dxfId="1725" priority="1178" operator="beginsWith" text="T">
      <formula>LEFT(AD170,LEN("T"))="T"</formula>
    </cfRule>
    <cfRule type="containsText" dxfId="1724" priority="1179" operator="containsText" text="Sin iniciar">
      <formula>NOT(ISERROR(SEARCH("Sin iniciar",AD170)))</formula>
    </cfRule>
    <cfRule type="containsText" dxfId="1723" priority="1180" operator="containsText" text="En gestión">
      <formula>NOT(ISERROR(SEARCH("En gestión",AD170)))</formula>
    </cfRule>
  </conditionalFormatting>
  <conditionalFormatting sqref="AD172">
    <cfRule type="beginsWith" dxfId="1722" priority="1175" operator="beginsWith" text="T">
      <formula>LEFT(AD172,LEN("T"))="T"</formula>
    </cfRule>
    <cfRule type="containsText" dxfId="1721" priority="1176" operator="containsText" text="Sin iniciar">
      <formula>NOT(ISERROR(SEARCH("Sin iniciar",AD172)))</formula>
    </cfRule>
    <cfRule type="containsText" dxfId="1720" priority="1177" operator="containsText" text="En gestión">
      <formula>NOT(ISERROR(SEARCH("En gestión",AD172)))</formula>
    </cfRule>
  </conditionalFormatting>
  <conditionalFormatting sqref="AE172">
    <cfRule type="beginsWith" dxfId="1719" priority="1172" operator="beginsWith" text="T">
      <formula>LEFT(AE172,LEN("T"))="T"</formula>
    </cfRule>
    <cfRule type="containsText" dxfId="1718" priority="1173" operator="containsText" text="Sin iniciar">
      <formula>NOT(ISERROR(SEARCH("Sin iniciar",AE172)))</formula>
    </cfRule>
    <cfRule type="containsText" dxfId="1717" priority="1174" operator="containsText" text="En gestión">
      <formula>NOT(ISERROR(SEARCH("En gestión",AE172)))</formula>
    </cfRule>
  </conditionalFormatting>
  <conditionalFormatting sqref="AD175:AE175">
    <cfRule type="beginsWith" dxfId="1716" priority="1169" operator="beginsWith" text="T">
      <formula>LEFT(AD175,LEN("T"))="T"</formula>
    </cfRule>
    <cfRule type="containsText" dxfId="1715" priority="1170" operator="containsText" text="Sin iniciar">
      <formula>NOT(ISERROR(SEARCH("Sin iniciar",AD175)))</formula>
    </cfRule>
    <cfRule type="containsText" dxfId="1714" priority="1171" operator="containsText" text="En gestión">
      <formula>NOT(ISERROR(SEARCH("En gestión",AD175)))</formula>
    </cfRule>
  </conditionalFormatting>
  <conditionalFormatting sqref="AD178">
    <cfRule type="beginsWith" dxfId="1713" priority="1166" operator="beginsWith" text="T">
      <formula>LEFT(AD178,LEN("T"))="T"</formula>
    </cfRule>
    <cfRule type="containsText" dxfId="1712" priority="1167" operator="containsText" text="Sin iniciar">
      <formula>NOT(ISERROR(SEARCH("Sin iniciar",AD178)))</formula>
    </cfRule>
    <cfRule type="containsText" dxfId="1711" priority="1168" operator="containsText" text="En gestión">
      <formula>NOT(ISERROR(SEARCH("En gestión",AD178)))</formula>
    </cfRule>
  </conditionalFormatting>
  <conditionalFormatting sqref="AE178">
    <cfRule type="beginsWith" dxfId="1710" priority="1163" operator="beginsWith" text="T">
      <formula>LEFT(AE178,LEN("T"))="T"</formula>
    </cfRule>
    <cfRule type="containsText" dxfId="1709" priority="1164" operator="containsText" text="Sin iniciar">
      <formula>NOT(ISERROR(SEARCH("Sin iniciar",AE178)))</formula>
    </cfRule>
    <cfRule type="containsText" dxfId="1708" priority="1165" operator="containsText" text="En gestión">
      <formula>NOT(ISERROR(SEARCH("En gestión",AE178)))</formula>
    </cfRule>
  </conditionalFormatting>
  <conditionalFormatting sqref="AD182">
    <cfRule type="beginsWith" dxfId="1707" priority="1160" operator="beginsWith" text="T">
      <formula>LEFT(AD182,LEN("T"))="T"</formula>
    </cfRule>
    <cfRule type="containsText" dxfId="1706" priority="1161" operator="containsText" text="Sin iniciar">
      <formula>NOT(ISERROR(SEARCH("Sin iniciar",AD182)))</formula>
    </cfRule>
    <cfRule type="containsText" dxfId="1705" priority="1162" operator="containsText" text="En gestión">
      <formula>NOT(ISERROR(SEARCH("En gestión",AD182)))</formula>
    </cfRule>
  </conditionalFormatting>
  <conditionalFormatting sqref="AE182">
    <cfRule type="beginsWith" dxfId="1704" priority="1157" operator="beginsWith" text="T">
      <formula>LEFT(AE182,LEN("T"))="T"</formula>
    </cfRule>
    <cfRule type="containsText" dxfId="1703" priority="1158" operator="containsText" text="Sin iniciar">
      <formula>NOT(ISERROR(SEARCH("Sin iniciar",AE182)))</formula>
    </cfRule>
    <cfRule type="containsText" dxfId="1702" priority="1159" operator="containsText" text="En gestión">
      <formula>NOT(ISERROR(SEARCH("En gestión",AE182)))</formula>
    </cfRule>
  </conditionalFormatting>
  <conditionalFormatting sqref="BA172">
    <cfRule type="beginsWith" dxfId="1701" priority="1130" operator="beginsWith" text="T">
      <formula>LEFT(BA172,LEN("T"))="T"</formula>
    </cfRule>
    <cfRule type="containsText" dxfId="1700" priority="1131" operator="containsText" text="Sin iniciar">
      <formula>NOT(ISERROR(SEARCH("Sin iniciar",BA172)))</formula>
    </cfRule>
    <cfRule type="containsText" dxfId="1699" priority="1132" operator="containsText" text="En gestión">
      <formula>NOT(ISERROR(SEARCH("En gestión",BA172)))</formula>
    </cfRule>
  </conditionalFormatting>
  <conditionalFormatting sqref="AZ158">
    <cfRule type="beginsWith" dxfId="1698" priority="1154" operator="beginsWith" text="T">
      <formula>LEFT(AZ158,LEN("T"))="T"</formula>
    </cfRule>
    <cfRule type="containsText" dxfId="1697" priority="1155" operator="containsText" text="Sin iniciar">
      <formula>NOT(ISERROR(SEARCH("Sin iniciar",AZ158)))</formula>
    </cfRule>
    <cfRule type="containsText" dxfId="1696" priority="1156" operator="containsText" text="En gestión">
      <formula>NOT(ISERROR(SEARCH("En gestión",AZ158)))</formula>
    </cfRule>
  </conditionalFormatting>
  <conditionalFormatting sqref="BA158">
    <cfRule type="beginsWith" dxfId="1695" priority="1151" operator="beginsWith" text="T">
      <formula>LEFT(BA158,LEN("T"))="T"</formula>
    </cfRule>
    <cfRule type="containsText" dxfId="1694" priority="1152" operator="containsText" text="Sin iniciar">
      <formula>NOT(ISERROR(SEARCH("Sin iniciar",BA158)))</formula>
    </cfRule>
    <cfRule type="containsText" dxfId="1693" priority="1153" operator="containsText" text="En gestión">
      <formula>NOT(ISERROR(SEARCH("En gestión",BA158)))</formula>
    </cfRule>
  </conditionalFormatting>
  <conditionalFormatting sqref="AZ162">
    <cfRule type="beginsWith" dxfId="1692" priority="1148" operator="beginsWith" text="T">
      <formula>LEFT(AZ162,LEN("T"))="T"</formula>
    </cfRule>
    <cfRule type="containsText" dxfId="1691" priority="1149" operator="containsText" text="Sin iniciar">
      <formula>NOT(ISERROR(SEARCH("Sin iniciar",AZ162)))</formula>
    </cfRule>
    <cfRule type="containsText" dxfId="1690" priority="1150" operator="containsText" text="En gestión">
      <formula>NOT(ISERROR(SEARCH("En gestión",AZ162)))</formula>
    </cfRule>
  </conditionalFormatting>
  <conditionalFormatting sqref="BA162">
    <cfRule type="beginsWith" dxfId="1689" priority="1145" operator="beginsWith" text="T">
      <formula>LEFT(BA162,LEN("T"))="T"</formula>
    </cfRule>
    <cfRule type="containsText" dxfId="1688" priority="1146" operator="containsText" text="Sin iniciar">
      <formula>NOT(ISERROR(SEARCH("Sin iniciar",BA162)))</formula>
    </cfRule>
    <cfRule type="containsText" dxfId="1687" priority="1147" operator="containsText" text="En gestión">
      <formula>NOT(ISERROR(SEARCH("En gestión",BA162)))</formula>
    </cfRule>
  </conditionalFormatting>
  <conditionalFormatting sqref="AZ166">
    <cfRule type="beginsWith" dxfId="1686" priority="1142" operator="beginsWith" text="T">
      <formula>LEFT(AZ166,LEN("T"))="T"</formula>
    </cfRule>
    <cfRule type="containsText" dxfId="1685" priority="1143" operator="containsText" text="Sin iniciar">
      <formula>NOT(ISERROR(SEARCH("Sin iniciar",AZ166)))</formula>
    </cfRule>
    <cfRule type="containsText" dxfId="1684" priority="1144" operator="containsText" text="En gestión">
      <formula>NOT(ISERROR(SEARCH("En gestión",AZ166)))</formula>
    </cfRule>
  </conditionalFormatting>
  <conditionalFormatting sqref="BA166">
    <cfRule type="beginsWith" dxfId="1683" priority="1139" operator="beginsWith" text="T">
      <formula>LEFT(BA166,LEN("T"))="T"</formula>
    </cfRule>
    <cfRule type="containsText" dxfId="1682" priority="1140" operator="containsText" text="Sin iniciar">
      <formula>NOT(ISERROR(SEARCH("Sin iniciar",BA166)))</formula>
    </cfRule>
    <cfRule type="containsText" dxfId="1681" priority="1141" operator="containsText" text="En gestión">
      <formula>NOT(ISERROR(SEARCH("En gestión",BA166)))</formula>
    </cfRule>
  </conditionalFormatting>
  <conditionalFormatting sqref="AZ170:BA170">
    <cfRule type="beginsWith" dxfId="1680" priority="1136" operator="beginsWith" text="T">
      <formula>LEFT(AZ170,LEN("T"))="T"</formula>
    </cfRule>
    <cfRule type="containsText" dxfId="1679" priority="1137" operator="containsText" text="Sin iniciar">
      <formula>NOT(ISERROR(SEARCH("Sin iniciar",AZ170)))</formula>
    </cfRule>
    <cfRule type="containsText" dxfId="1678" priority="1138" operator="containsText" text="En gestión">
      <formula>NOT(ISERROR(SEARCH("En gestión",AZ170)))</formula>
    </cfRule>
  </conditionalFormatting>
  <conditionalFormatting sqref="AZ172">
    <cfRule type="beginsWith" dxfId="1677" priority="1133" operator="beginsWith" text="T">
      <formula>LEFT(AZ172,LEN("T"))="T"</formula>
    </cfRule>
    <cfRule type="containsText" dxfId="1676" priority="1134" operator="containsText" text="Sin iniciar">
      <formula>NOT(ISERROR(SEARCH("Sin iniciar",AZ172)))</formula>
    </cfRule>
    <cfRule type="containsText" dxfId="1675" priority="1135" operator="containsText" text="En gestión">
      <formula>NOT(ISERROR(SEARCH("En gestión",AZ172)))</formula>
    </cfRule>
  </conditionalFormatting>
  <conditionalFormatting sqref="AZ175:BA175">
    <cfRule type="beginsWith" dxfId="1674" priority="1127" operator="beginsWith" text="T">
      <formula>LEFT(AZ175,LEN("T"))="T"</formula>
    </cfRule>
    <cfRule type="containsText" dxfId="1673" priority="1128" operator="containsText" text="Sin iniciar">
      <formula>NOT(ISERROR(SEARCH("Sin iniciar",AZ175)))</formula>
    </cfRule>
    <cfRule type="containsText" dxfId="1672" priority="1129" operator="containsText" text="En gestión">
      <formula>NOT(ISERROR(SEARCH("En gestión",AZ175)))</formula>
    </cfRule>
  </conditionalFormatting>
  <conditionalFormatting sqref="AZ178">
    <cfRule type="beginsWith" dxfId="1671" priority="1124" operator="beginsWith" text="T">
      <formula>LEFT(AZ178,LEN("T"))="T"</formula>
    </cfRule>
    <cfRule type="containsText" dxfId="1670" priority="1125" operator="containsText" text="Sin iniciar">
      <formula>NOT(ISERROR(SEARCH("Sin iniciar",AZ178)))</formula>
    </cfRule>
    <cfRule type="containsText" dxfId="1669" priority="1126" operator="containsText" text="En gestión">
      <formula>NOT(ISERROR(SEARCH("En gestión",AZ178)))</formula>
    </cfRule>
  </conditionalFormatting>
  <conditionalFormatting sqref="BA178">
    <cfRule type="beginsWith" dxfId="1668" priority="1121" operator="beginsWith" text="T">
      <formula>LEFT(BA178,LEN("T"))="T"</formula>
    </cfRule>
    <cfRule type="containsText" dxfId="1667" priority="1122" operator="containsText" text="Sin iniciar">
      <formula>NOT(ISERROR(SEARCH("Sin iniciar",BA178)))</formula>
    </cfRule>
    <cfRule type="containsText" dxfId="1666" priority="1123" operator="containsText" text="En gestión">
      <formula>NOT(ISERROR(SEARCH("En gestión",BA178)))</formula>
    </cfRule>
  </conditionalFormatting>
  <conditionalFormatting sqref="AZ182">
    <cfRule type="beginsWith" dxfId="1665" priority="1118" operator="beginsWith" text="T">
      <formula>LEFT(AZ182,LEN("T"))="T"</formula>
    </cfRule>
    <cfRule type="containsText" dxfId="1664" priority="1119" operator="containsText" text="Sin iniciar">
      <formula>NOT(ISERROR(SEARCH("Sin iniciar",AZ182)))</formula>
    </cfRule>
    <cfRule type="containsText" dxfId="1663" priority="1120" operator="containsText" text="En gestión">
      <formula>NOT(ISERROR(SEARCH("En gestión",AZ182)))</formula>
    </cfRule>
  </conditionalFormatting>
  <conditionalFormatting sqref="BA182">
    <cfRule type="beginsWith" dxfId="1662" priority="1115" operator="beginsWith" text="T">
      <formula>LEFT(BA182,LEN("T"))="T"</formula>
    </cfRule>
    <cfRule type="containsText" dxfId="1661" priority="1116" operator="containsText" text="Sin iniciar">
      <formula>NOT(ISERROR(SEARCH("Sin iniciar",BA182)))</formula>
    </cfRule>
    <cfRule type="containsText" dxfId="1660" priority="1117" operator="containsText" text="En gestión">
      <formula>NOT(ISERROR(SEARCH("En gestión",BA182)))</formula>
    </cfRule>
  </conditionalFormatting>
  <conditionalFormatting sqref="AZ191">
    <cfRule type="beginsWith" dxfId="1659" priority="1112" operator="beginsWith" text="T">
      <formula>LEFT(AZ191,LEN("T"))="T"</formula>
    </cfRule>
    <cfRule type="containsText" dxfId="1658" priority="1113" operator="containsText" text="Sin iniciar">
      <formula>NOT(ISERROR(SEARCH("Sin iniciar",AZ191)))</formula>
    </cfRule>
    <cfRule type="containsText" dxfId="1657" priority="1114" operator="containsText" text="En gestión">
      <formula>NOT(ISERROR(SEARCH("En gestión",AZ191)))</formula>
    </cfRule>
  </conditionalFormatting>
  <conditionalFormatting sqref="AZ198">
    <cfRule type="beginsWith" dxfId="1656" priority="1109" operator="beginsWith" text="T">
      <formula>LEFT(AZ198,LEN("T"))="T"</formula>
    </cfRule>
    <cfRule type="containsText" dxfId="1655" priority="1110" operator="containsText" text="Sin iniciar">
      <formula>NOT(ISERROR(SEARCH("Sin iniciar",AZ198)))</formula>
    </cfRule>
    <cfRule type="containsText" dxfId="1654" priority="1111" operator="containsText" text="En gestión">
      <formula>NOT(ISERROR(SEARCH("En gestión",AZ198)))</formula>
    </cfRule>
  </conditionalFormatting>
  <conditionalFormatting sqref="AZ201">
    <cfRule type="beginsWith" dxfId="1653" priority="1106" operator="beginsWith" text="T">
      <formula>LEFT(AZ201,LEN("T"))="T"</formula>
    </cfRule>
    <cfRule type="containsText" dxfId="1652" priority="1107" operator="containsText" text="Sin iniciar">
      <formula>NOT(ISERROR(SEARCH("Sin iniciar",AZ201)))</formula>
    </cfRule>
    <cfRule type="containsText" dxfId="1651" priority="1108" operator="containsText" text="En gestión">
      <formula>NOT(ISERROR(SEARCH("En gestión",AZ201)))</formula>
    </cfRule>
  </conditionalFormatting>
  <conditionalFormatting sqref="AZ204">
    <cfRule type="beginsWith" dxfId="1650" priority="1103" operator="beginsWith" text="T">
      <formula>LEFT(AZ204,LEN("T"))="T"</formula>
    </cfRule>
    <cfRule type="containsText" dxfId="1649" priority="1104" operator="containsText" text="Sin iniciar">
      <formula>NOT(ISERROR(SEARCH("Sin iniciar",AZ204)))</formula>
    </cfRule>
    <cfRule type="containsText" dxfId="1648" priority="1105" operator="containsText" text="En gestión">
      <formula>NOT(ISERROR(SEARCH("En gestión",AZ204)))</formula>
    </cfRule>
  </conditionalFormatting>
  <conditionalFormatting sqref="AZ207">
    <cfRule type="beginsWith" dxfId="1647" priority="1100" operator="beginsWith" text="T">
      <formula>LEFT(AZ207,LEN("T"))="T"</formula>
    </cfRule>
    <cfRule type="containsText" dxfId="1646" priority="1101" operator="containsText" text="Sin iniciar">
      <formula>NOT(ISERROR(SEARCH("Sin iniciar",AZ207)))</formula>
    </cfRule>
    <cfRule type="containsText" dxfId="1645" priority="1102" operator="containsText" text="En gestión">
      <formula>NOT(ISERROR(SEARCH("En gestión",AZ207)))</formula>
    </cfRule>
  </conditionalFormatting>
  <conditionalFormatting sqref="AZ212">
    <cfRule type="beginsWith" dxfId="1644" priority="1097" operator="beginsWith" text="T">
      <formula>LEFT(AZ212,LEN("T"))="T"</formula>
    </cfRule>
    <cfRule type="containsText" dxfId="1643" priority="1098" operator="containsText" text="Sin iniciar">
      <formula>NOT(ISERROR(SEARCH("Sin iniciar",AZ212)))</formula>
    </cfRule>
    <cfRule type="containsText" dxfId="1642" priority="1099" operator="containsText" text="En gestión">
      <formula>NOT(ISERROR(SEARCH("En gestión",AZ212)))</formula>
    </cfRule>
  </conditionalFormatting>
  <conditionalFormatting sqref="AZ215">
    <cfRule type="beginsWith" dxfId="1641" priority="1094" operator="beginsWith" text="T">
      <formula>LEFT(AZ215,LEN("T"))="T"</formula>
    </cfRule>
    <cfRule type="containsText" dxfId="1640" priority="1095" operator="containsText" text="Sin iniciar">
      <formula>NOT(ISERROR(SEARCH("Sin iniciar",AZ215)))</formula>
    </cfRule>
    <cfRule type="containsText" dxfId="1639" priority="1096" operator="containsText" text="En gestión">
      <formula>NOT(ISERROR(SEARCH("En gestión",AZ215)))</formula>
    </cfRule>
  </conditionalFormatting>
  <conditionalFormatting sqref="AZ218">
    <cfRule type="beginsWith" dxfId="1638" priority="1091" operator="beginsWith" text="T">
      <formula>LEFT(AZ218,LEN("T"))="T"</formula>
    </cfRule>
    <cfRule type="containsText" dxfId="1637" priority="1092" operator="containsText" text="Sin iniciar">
      <formula>NOT(ISERROR(SEARCH("Sin iniciar",AZ218)))</formula>
    </cfRule>
    <cfRule type="containsText" dxfId="1636" priority="1093" operator="containsText" text="En gestión">
      <formula>NOT(ISERROR(SEARCH("En gestión",AZ218)))</formula>
    </cfRule>
  </conditionalFormatting>
  <conditionalFormatting sqref="AZ221">
    <cfRule type="beginsWith" dxfId="1635" priority="1088" operator="beginsWith" text="T">
      <formula>LEFT(AZ221,LEN("T"))="T"</formula>
    </cfRule>
    <cfRule type="containsText" dxfId="1634" priority="1089" operator="containsText" text="Sin iniciar">
      <formula>NOT(ISERROR(SEARCH("Sin iniciar",AZ221)))</formula>
    </cfRule>
    <cfRule type="containsText" dxfId="1633" priority="1090" operator="containsText" text="En gestión">
      <formula>NOT(ISERROR(SEARCH("En gestión",AZ221)))</formula>
    </cfRule>
  </conditionalFormatting>
  <conditionalFormatting sqref="BA191">
    <cfRule type="beginsWith" dxfId="1632" priority="1085" operator="beginsWith" text="T">
      <formula>LEFT(BA191,LEN("T"))="T"</formula>
    </cfRule>
    <cfRule type="containsText" dxfId="1631" priority="1086" operator="containsText" text="Sin iniciar">
      <formula>NOT(ISERROR(SEARCH("Sin iniciar",BA191)))</formula>
    </cfRule>
    <cfRule type="containsText" dxfId="1630" priority="1087" operator="containsText" text="En gestión">
      <formula>NOT(ISERROR(SEARCH("En gestión",BA191)))</formula>
    </cfRule>
  </conditionalFormatting>
  <conditionalFormatting sqref="BA198">
    <cfRule type="beginsWith" dxfId="1629" priority="1082" operator="beginsWith" text="T">
      <formula>LEFT(BA198,LEN("T"))="T"</formula>
    </cfRule>
    <cfRule type="containsText" dxfId="1628" priority="1083" operator="containsText" text="Sin iniciar">
      <formula>NOT(ISERROR(SEARCH("Sin iniciar",BA198)))</formula>
    </cfRule>
    <cfRule type="containsText" dxfId="1627" priority="1084" operator="containsText" text="En gestión">
      <formula>NOT(ISERROR(SEARCH("En gestión",BA198)))</formula>
    </cfRule>
  </conditionalFormatting>
  <conditionalFormatting sqref="BA201">
    <cfRule type="beginsWith" dxfId="1626" priority="1079" operator="beginsWith" text="T">
      <formula>LEFT(BA201,LEN("T"))="T"</formula>
    </cfRule>
    <cfRule type="containsText" dxfId="1625" priority="1080" operator="containsText" text="Sin iniciar">
      <formula>NOT(ISERROR(SEARCH("Sin iniciar",BA201)))</formula>
    </cfRule>
    <cfRule type="containsText" dxfId="1624" priority="1081" operator="containsText" text="En gestión">
      <formula>NOT(ISERROR(SEARCH("En gestión",BA201)))</formula>
    </cfRule>
  </conditionalFormatting>
  <conditionalFormatting sqref="BA204">
    <cfRule type="beginsWith" dxfId="1623" priority="1076" operator="beginsWith" text="T">
      <formula>LEFT(BA204,LEN("T"))="T"</formula>
    </cfRule>
    <cfRule type="containsText" dxfId="1622" priority="1077" operator="containsText" text="Sin iniciar">
      <formula>NOT(ISERROR(SEARCH("Sin iniciar",BA204)))</formula>
    </cfRule>
    <cfRule type="containsText" dxfId="1621" priority="1078" operator="containsText" text="En gestión">
      <formula>NOT(ISERROR(SEARCH("En gestión",BA204)))</formula>
    </cfRule>
  </conditionalFormatting>
  <conditionalFormatting sqref="BA207">
    <cfRule type="beginsWith" dxfId="1620" priority="1073" operator="beginsWith" text="T">
      <formula>LEFT(BA207,LEN("T"))="T"</formula>
    </cfRule>
    <cfRule type="containsText" dxfId="1619" priority="1074" operator="containsText" text="Sin iniciar">
      <formula>NOT(ISERROR(SEARCH("Sin iniciar",BA207)))</formula>
    </cfRule>
    <cfRule type="containsText" dxfId="1618" priority="1075" operator="containsText" text="En gestión">
      <formula>NOT(ISERROR(SEARCH("En gestión",BA207)))</formula>
    </cfRule>
  </conditionalFormatting>
  <conditionalFormatting sqref="BA212">
    <cfRule type="beginsWith" dxfId="1617" priority="1070" operator="beginsWith" text="T">
      <formula>LEFT(BA212,LEN("T"))="T"</formula>
    </cfRule>
    <cfRule type="containsText" dxfId="1616" priority="1071" operator="containsText" text="Sin iniciar">
      <formula>NOT(ISERROR(SEARCH("Sin iniciar",BA212)))</formula>
    </cfRule>
    <cfRule type="containsText" dxfId="1615" priority="1072" operator="containsText" text="En gestión">
      <formula>NOT(ISERROR(SEARCH("En gestión",BA212)))</formula>
    </cfRule>
  </conditionalFormatting>
  <conditionalFormatting sqref="BA215">
    <cfRule type="beginsWith" dxfId="1614" priority="1067" operator="beginsWith" text="T">
      <formula>LEFT(BA215,LEN("T"))="T"</formula>
    </cfRule>
    <cfRule type="containsText" dxfId="1613" priority="1068" operator="containsText" text="Sin iniciar">
      <formula>NOT(ISERROR(SEARCH("Sin iniciar",BA215)))</formula>
    </cfRule>
    <cfRule type="containsText" dxfId="1612" priority="1069" operator="containsText" text="En gestión">
      <formula>NOT(ISERROR(SEARCH("En gestión",BA215)))</formula>
    </cfRule>
  </conditionalFormatting>
  <conditionalFormatting sqref="BA218">
    <cfRule type="beginsWith" dxfId="1611" priority="1064" operator="beginsWith" text="T">
      <formula>LEFT(BA218,LEN("T"))="T"</formula>
    </cfRule>
    <cfRule type="containsText" dxfId="1610" priority="1065" operator="containsText" text="Sin iniciar">
      <formula>NOT(ISERROR(SEARCH("Sin iniciar",BA218)))</formula>
    </cfRule>
    <cfRule type="containsText" dxfId="1609" priority="1066" operator="containsText" text="En gestión">
      <formula>NOT(ISERROR(SEARCH("En gestión",BA218)))</formula>
    </cfRule>
  </conditionalFormatting>
  <conditionalFormatting sqref="BA221">
    <cfRule type="beginsWith" dxfId="1608" priority="1061" operator="beginsWith" text="T">
      <formula>LEFT(BA221,LEN("T"))="T"</formula>
    </cfRule>
    <cfRule type="containsText" dxfId="1607" priority="1062" operator="containsText" text="Sin iniciar">
      <formula>NOT(ISERROR(SEARCH("Sin iniciar",BA221)))</formula>
    </cfRule>
    <cfRule type="containsText" dxfId="1606" priority="1063" operator="containsText" text="En gestión">
      <formula>NOT(ISERROR(SEARCH("En gestión",BA221)))</formula>
    </cfRule>
  </conditionalFormatting>
  <conditionalFormatting sqref="AZ185">
    <cfRule type="beginsWith" dxfId="1605" priority="1058" operator="beginsWith" text="T">
      <formula>LEFT(AZ185,LEN("T"))="T"</formula>
    </cfRule>
    <cfRule type="containsText" dxfId="1604" priority="1059" operator="containsText" text="Sin iniciar">
      <formula>NOT(ISERROR(SEARCH("Sin iniciar",AZ185)))</formula>
    </cfRule>
    <cfRule type="containsText" dxfId="1603" priority="1060" operator="containsText" text="En gestión">
      <formula>NOT(ISERROR(SEARCH("En gestión",AZ185)))</formula>
    </cfRule>
  </conditionalFormatting>
  <conditionalFormatting sqref="BA185">
    <cfRule type="beginsWith" dxfId="1602" priority="1055" operator="beginsWith" text="T">
      <formula>LEFT(BA185,LEN("T"))="T"</formula>
    </cfRule>
    <cfRule type="containsText" dxfId="1601" priority="1056" operator="containsText" text="Sin iniciar">
      <formula>NOT(ISERROR(SEARCH("Sin iniciar",BA185)))</formula>
    </cfRule>
    <cfRule type="containsText" dxfId="1600" priority="1057" operator="containsText" text="En gestión">
      <formula>NOT(ISERROR(SEARCH("En gestión",BA185)))</formula>
    </cfRule>
  </conditionalFormatting>
  <conditionalFormatting sqref="AZ189:BA189">
    <cfRule type="beginsWith" dxfId="1599" priority="1052" operator="beginsWith" text="T">
      <formula>LEFT(AZ189,LEN("T"))="T"</formula>
    </cfRule>
    <cfRule type="containsText" dxfId="1598" priority="1053" operator="containsText" text="Sin iniciar">
      <formula>NOT(ISERROR(SEARCH("Sin iniciar",AZ189)))</formula>
    </cfRule>
    <cfRule type="containsText" dxfId="1597" priority="1054" operator="containsText" text="En gestión">
      <formula>NOT(ISERROR(SEARCH("En gestión",AZ189)))</formula>
    </cfRule>
  </conditionalFormatting>
  <conditionalFormatting sqref="AZ194:BA194">
    <cfRule type="beginsWith" dxfId="1596" priority="1049" operator="beginsWith" text="T">
      <formula>LEFT(AZ194,LEN("T"))="T"</formula>
    </cfRule>
    <cfRule type="containsText" dxfId="1595" priority="1050" operator="containsText" text="Sin iniciar">
      <formula>NOT(ISERROR(SEARCH("Sin iniciar",AZ194)))</formula>
    </cfRule>
    <cfRule type="containsText" dxfId="1594" priority="1051" operator="containsText" text="En gestión">
      <formula>NOT(ISERROR(SEARCH("En gestión",AZ194)))</formula>
    </cfRule>
  </conditionalFormatting>
  <conditionalFormatting sqref="AZ196:BA196">
    <cfRule type="beginsWith" dxfId="1593" priority="1046" operator="beginsWith" text="T">
      <formula>LEFT(AZ196,LEN("T"))="T"</formula>
    </cfRule>
    <cfRule type="containsText" dxfId="1592" priority="1047" operator="containsText" text="Sin iniciar">
      <formula>NOT(ISERROR(SEARCH("Sin iniciar",AZ196)))</formula>
    </cfRule>
    <cfRule type="containsText" dxfId="1591" priority="1048" operator="containsText" text="En gestión">
      <formula>NOT(ISERROR(SEARCH("En gestión",AZ196)))</formula>
    </cfRule>
  </conditionalFormatting>
  <conditionalFormatting sqref="AZ210:BA210">
    <cfRule type="beginsWith" dxfId="1590" priority="1043" operator="beginsWith" text="T">
      <formula>LEFT(AZ210,LEN("T"))="T"</formula>
    </cfRule>
    <cfRule type="containsText" dxfId="1589" priority="1044" operator="containsText" text="Sin iniciar">
      <formula>NOT(ISERROR(SEARCH("Sin iniciar",AZ210)))</formula>
    </cfRule>
    <cfRule type="containsText" dxfId="1588" priority="1045" operator="containsText" text="En gestión">
      <formula>NOT(ISERROR(SEARCH("En gestión",AZ210)))</formula>
    </cfRule>
  </conditionalFormatting>
  <conditionalFormatting sqref="AE185">
    <cfRule type="beginsWith" dxfId="1587" priority="1037" operator="beginsWith" text="T">
      <formula>LEFT(AE185,LEN("T"))="T"</formula>
    </cfRule>
    <cfRule type="containsText" dxfId="1586" priority="1038" operator="containsText" text="Sin iniciar">
      <formula>NOT(ISERROR(SEARCH("Sin iniciar",AE185)))</formula>
    </cfRule>
    <cfRule type="containsText" dxfId="1585" priority="1039" operator="containsText" text="En gestión">
      <formula>NOT(ISERROR(SEARCH("En gestión",AE185)))</formula>
    </cfRule>
  </conditionalFormatting>
  <conditionalFormatting sqref="AD395">
    <cfRule type="beginsWith" dxfId="1584" priority="556" operator="beginsWith" text="T">
      <formula>LEFT(AD395,LEN("T"))="T"</formula>
    </cfRule>
    <cfRule type="containsText" dxfId="1583" priority="557" operator="containsText" text="Sin iniciar">
      <formula>NOT(ISERROR(SEARCH("Sin iniciar",AD395)))</formula>
    </cfRule>
    <cfRule type="containsText" dxfId="1582" priority="558" operator="containsText" text="En gestión">
      <formula>NOT(ISERROR(SEARCH("En gestión",AD395)))</formula>
    </cfRule>
  </conditionalFormatting>
  <conditionalFormatting sqref="AD185">
    <cfRule type="beginsWith" dxfId="1581" priority="1040" operator="beginsWith" text="T">
      <formula>LEFT(AD185,LEN("T"))="T"</formula>
    </cfRule>
    <cfRule type="containsText" dxfId="1580" priority="1041" operator="containsText" text="Sin iniciar">
      <formula>NOT(ISERROR(SEARCH("Sin iniciar",AD185)))</formula>
    </cfRule>
    <cfRule type="containsText" dxfId="1579" priority="1042" operator="containsText" text="En gestión">
      <formula>NOT(ISERROR(SEARCH("En gestión",AD185)))</formula>
    </cfRule>
  </conditionalFormatting>
  <conditionalFormatting sqref="AD189:AE189">
    <cfRule type="beginsWith" dxfId="1578" priority="1034" operator="beginsWith" text="T">
      <formula>LEFT(AD189,LEN("T"))="T"</formula>
    </cfRule>
    <cfRule type="containsText" dxfId="1577" priority="1035" operator="containsText" text="Sin iniciar">
      <formula>NOT(ISERROR(SEARCH("Sin iniciar",AD189)))</formula>
    </cfRule>
    <cfRule type="containsText" dxfId="1576" priority="1036" operator="containsText" text="En gestión">
      <formula>NOT(ISERROR(SEARCH("En gestión",AD189)))</formula>
    </cfRule>
  </conditionalFormatting>
  <conditionalFormatting sqref="AE395">
    <cfRule type="beginsWith" dxfId="1575" priority="553" operator="beginsWith" text="T">
      <formula>LEFT(AE395,LEN("T"))="T"</formula>
    </cfRule>
    <cfRule type="containsText" dxfId="1574" priority="554" operator="containsText" text="Sin iniciar">
      <formula>NOT(ISERROR(SEARCH("Sin iniciar",AE395)))</formula>
    </cfRule>
    <cfRule type="containsText" dxfId="1573" priority="555" operator="containsText" text="En gestión">
      <formula>NOT(ISERROR(SEARCH("En gestión",AE395)))</formula>
    </cfRule>
  </conditionalFormatting>
  <conditionalFormatting sqref="AD398">
    <cfRule type="beginsWith" dxfId="1572" priority="550" operator="beginsWith" text="T">
      <formula>LEFT(AD398,LEN("T"))="T"</formula>
    </cfRule>
    <cfRule type="containsText" dxfId="1571" priority="551" operator="containsText" text="Sin iniciar">
      <formula>NOT(ISERROR(SEARCH("Sin iniciar",AD398)))</formula>
    </cfRule>
    <cfRule type="containsText" dxfId="1570" priority="552" operator="containsText" text="En gestión">
      <formula>NOT(ISERROR(SEARCH("En gestión",AD398)))</formula>
    </cfRule>
  </conditionalFormatting>
  <conditionalFormatting sqref="AE398">
    <cfRule type="beginsWith" dxfId="1569" priority="547" operator="beginsWith" text="T">
      <formula>LEFT(AE398,LEN("T"))="T"</formula>
    </cfRule>
    <cfRule type="containsText" dxfId="1568" priority="548" operator="containsText" text="Sin iniciar">
      <formula>NOT(ISERROR(SEARCH("Sin iniciar",AE398)))</formula>
    </cfRule>
    <cfRule type="containsText" dxfId="1567" priority="549" operator="containsText" text="En gestión">
      <formula>NOT(ISERROR(SEARCH("En gestión",AE398)))</formula>
    </cfRule>
  </conditionalFormatting>
  <conditionalFormatting sqref="AZ373">
    <cfRule type="beginsWith" dxfId="1566" priority="544" operator="beginsWith" text="T">
      <formula>LEFT(AZ373,LEN("T"))="T"</formula>
    </cfRule>
    <cfRule type="containsText" dxfId="1565" priority="545" operator="containsText" text="Sin iniciar">
      <formula>NOT(ISERROR(SEARCH("Sin iniciar",AZ373)))</formula>
    </cfRule>
    <cfRule type="containsText" dxfId="1564" priority="546" operator="containsText" text="En gestión">
      <formula>NOT(ISERROR(SEARCH("En gestión",AZ373)))</formula>
    </cfRule>
  </conditionalFormatting>
  <conditionalFormatting sqref="BA373">
    <cfRule type="beginsWith" dxfId="1563" priority="541" operator="beginsWith" text="T">
      <formula>LEFT(BA373,LEN("T"))="T"</formula>
    </cfRule>
    <cfRule type="containsText" dxfId="1562" priority="542" operator="containsText" text="Sin iniciar">
      <formula>NOT(ISERROR(SEARCH("Sin iniciar",BA373)))</formula>
    </cfRule>
    <cfRule type="containsText" dxfId="1561" priority="543" operator="containsText" text="En gestión">
      <formula>NOT(ISERROR(SEARCH("En gestión",BA373)))</formula>
    </cfRule>
  </conditionalFormatting>
  <conditionalFormatting sqref="AZ375">
    <cfRule type="beginsWith" dxfId="1560" priority="538" operator="beginsWith" text="T">
      <formula>LEFT(AZ375,LEN("T"))="T"</formula>
    </cfRule>
    <cfRule type="containsText" dxfId="1559" priority="539" operator="containsText" text="Sin iniciar">
      <formula>NOT(ISERROR(SEARCH("Sin iniciar",AZ375)))</formula>
    </cfRule>
    <cfRule type="containsText" dxfId="1558" priority="540" operator="containsText" text="En gestión">
      <formula>NOT(ISERROR(SEARCH("En gestión",AZ375)))</formula>
    </cfRule>
  </conditionalFormatting>
  <conditionalFormatting sqref="BA375">
    <cfRule type="beginsWith" dxfId="1557" priority="535" operator="beginsWith" text="T">
      <formula>LEFT(BA375,LEN("T"))="T"</formula>
    </cfRule>
    <cfRule type="containsText" dxfId="1556" priority="536" operator="containsText" text="Sin iniciar">
      <formula>NOT(ISERROR(SEARCH("Sin iniciar",BA375)))</formula>
    </cfRule>
    <cfRule type="containsText" dxfId="1555" priority="537" operator="containsText" text="En gestión">
      <formula>NOT(ISERROR(SEARCH("En gestión",BA375)))</formula>
    </cfRule>
  </conditionalFormatting>
  <conditionalFormatting sqref="AZ389">
    <cfRule type="beginsWith" dxfId="1554" priority="508" operator="beginsWith" text="T">
      <formula>LEFT(AZ389,LEN("T"))="T"</formula>
    </cfRule>
    <cfRule type="containsText" dxfId="1553" priority="509" operator="containsText" text="Sin iniciar">
      <formula>NOT(ISERROR(SEARCH("Sin iniciar",AZ389)))</formula>
    </cfRule>
    <cfRule type="containsText" dxfId="1552" priority="510" operator="containsText" text="En gestión">
      <formula>NOT(ISERROR(SEARCH("En gestión",AZ389)))</formula>
    </cfRule>
  </conditionalFormatting>
  <conditionalFormatting sqref="AZ378">
    <cfRule type="beginsWith" dxfId="1551" priority="532" operator="beginsWith" text="T">
      <formula>LEFT(AZ378,LEN("T"))="T"</formula>
    </cfRule>
    <cfRule type="containsText" dxfId="1550" priority="533" operator="containsText" text="Sin iniciar">
      <formula>NOT(ISERROR(SEARCH("Sin iniciar",AZ378)))</formula>
    </cfRule>
    <cfRule type="containsText" dxfId="1549" priority="534" operator="containsText" text="En gestión">
      <formula>NOT(ISERROR(SEARCH("En gestión",AZ378)))</formula>
    </cfRule>
  </conditionalFormatting>
  <conditionalFormatting sqref="BA378">
    <cfRule type="beginsWith" dxfId="1548" priority="529" operator="beginsWith" text="T">
      <formula>LEFT(BA378,LEN("T"))="T"</formula>
    </cfRule>
    <cfRule type="containsText" dxfId="1547" priority="530" operator="containsText" text="Sin iniciar">
      <formula>NOT(ISERROR(SEARCH("Sin iniciar",BA378)))</formula>
    </cfRule>
    <cfRule type="containsText" dxfId="1546" priority="531" operator="containsText" text="En gestión">
      <formula>NOT(ISERROR(SEARCH("En gestión",BA378)))</formula>
    </cfRule>
  </conditionalFormatting>
  <conditionalFormatting sqref="AZ381">
    <cfRule type="beginsWith" dxfId="1545" priority="526" operator="beginsWith" text="T">
      <formula>LEFT(AZ381,LEN("T"))="T"</formula>
    </cfRule>
    <cfRule type="containsText" dxfId="1544" priority="527" operator="containsText" text="Sin iniciar">
      <formula>NOT(ISERROR(SEARCH("Sin iniciar",AZ381)))</formula>
    </cfRule>
    <cfRule type="containsText" dxfId="1543" priority="528" operator="containsText" text="En gestión">
      <formula>NOT(ISERROR(SEARCH("En gestión",AZ381)))</formula>
    </cfRule>
  </conditionalFormatting>
  <conditionalFormatting sqref="BA381">
    <cfRule type="beginsWith" dxfId="1542" priority="523" operator="beginsWith" text="T">
      <formula>LEFT(BA381,LEN("T"))="T"</formula>
    </cfRule>
    <cfRule type="containsText" dxfId="1541" priority="524" operator="containsText" text="Sin iniciar">
      <formula>NOT(ISERROR(SEARCH("Sin iniciar",BA381)))</formula>
    </cfRule>
    <cfRule type="containsText" dxfId="1540" priority="525" operator="containsText" text="En gestión">
      <formula>NOT(ISERROR(SEARCH("En gestión",BA381)))</formula>
    </cfRule>
  </conditionalFormatting>
  <conditionalFormatting sqref="AZ383">
    <cfRule type="beginsWith" dxfId="1539" priority="520" operator="beginsWith" text="T">
      <formula>LEFT(AZ383,LEN("T"))="T"</formula>
    </cfRule>
    <cfRule type="containsText" dxfId="1538" priority="521" operator="containsText" text="Sin iniciar">
      <formula>NOT(ISERROR(SEARCH("Sin iniciar",AZ383)))</formula>
    </cfRule>
    <cfRule type="containsText" dxfId="1537" priority="522" operator="containsText" text="En gestión">
      <formula>NOT(ISERROR(SEARCH("En gestión",AZ383)))</formula>
    </cfRule>
  </conditionalFormatting>
  <conditionalFormatting sqref="BA383">
    <cfRule type="beginsWith" dxfId="1536" priority="517" operator="beginsWith" text="T">
      <formula>LEFT(BA383,LEN("T"))="T"</formula>
    </cfRule>
    <cfRule type="containsText" dxfId="1535" priority="518" operator="containsText" text="Sin iniciar">
      <formula>NOT(ISERROR(SEARCH("Sin iniciar",BA383)))</formula>
    </cfRule>
    <cfRule type="containsText" dxfId="1534" priority="519" operator="containsText" text="En gestión">
      <formula>NOT(ISERROR(SEARCH("En gestión",BA383)))</formula>
    </cfRule>
  </conditionalFormatting>
  <conditionalFormatting sqref="AZ386">
    <cfRule type="beginsWith" dxfId="1533" priority="514" operator="beginsWith" text="T">
      <formula>LEFT(AZ386,LEN("T"))="T"</formula>
    </cfRule>
    <cfRule type="containsText" dxfId="1532" priority="515" operator="containsText" text="Sin iniciar">
      <formula>NOT(ISERROR(SEARCH("Sin iniciar",AZ386)))</formula>
    </cfRule>
    <cfRule type="containsText" dxfId="1531" priority="516" operator="containsText" text="En gestión">
      <formula>NOT(ISERROR(SEARCH("En gestión",AZ386)))</formula>
    </cfRule>
  </conditionalFormatting>
  <conditionalFormatting sqref="BA386">
    <cfRule type="beginsWith" dxfId="1530" priority="511" operator="beginsWith" text="T">
      <formula>LEFT(BA386,LEN("T"))="T"</formula>
    </cfRule>
    <cfRule type="containsText" dxfId="1529" priority="512" operator="containsText" text="Sin iniciar">
      <formula>NOT(ISERROR(SEARCH("Sin iniciar",BA386)))</formula>
    </cfRule>
    <cfRule type="containsText" dxfId="1528" priority="513" operator="containsText" text="En gestión">
      <formula>NOT(ISERROR(SEARCH("En gestión",BA386)))</formula>
    </cfRule>
  </conditionalFormatting>
  <conditionalFormatting sqref="BA389">
    <cfRule type="beginsWith" dxfId="1527" priority="505" operator="beginsWith" text="T">
      <formula>LEFT(BA389,LEN("T"))="T"</formula>
    </cfRule>
    <cfRule type="containsText" dxfId="1526" priority="506" operator="containsText" text="Sin iniciar">
      <formula>NOT(ISERROR(SEARCH("Sin iniciar",BA389)))</formula>
    </cfRule>
    <cfRule type="containsText" dxfId="1525" priority="507" operator="containsText" text="En gestión">
      <formula>NOT(ISERROR(SEARCH("En gestión",BA389)))</formula>
    </cfRule>
  </conditionalFormatting>
  <conditionalFormatting sqref="AZ392">
    <cfRule type="beginsWith" dxfId="1524" priority="502" operator="beginsWith" text="T">
      <formula>LEFT(AZ392,LEN("T"))="T"</formula>
    </cfRule>
    <cfRule type="containsText" dxfId="1523" priority="503" operator="containsText" text="Sin iniciar">
      <formula>NOT(ISERROR(SEARCH("Sin iniciar",AZ392)))</formula>
    </cfRule>
    <cfRule type="containsText" dxfId="1522" priority="504" operator="containsText" text="En gestión">
      <formula>NOT(ISERROR(SEARCH("En gestión",AZ392)))</formula>
    </cfRule>
  </conditionalFormatting>
  <conditionalFormatting sqref="BA392">
    <cfRule type="beginsWith" dxfId="1521" priority="499" operator="beginsWith" text="T">
      <formula>LEFT(BA392,LEN("T"))="T"</formula>
    </cfRule>
    <cfRule type="containsText" dxfId="1520" priority="500" operator="containsText" text="Sin iniciar">
      <formula>NOT(ISERROR(SEARCH("Sin iniciar",BA392)))</formula>
    </cfRule>
    <cfRule type="containsText" dxfId="1519" priority="501" operator="containsText" text="En gestión">
      <formula>NOT(ISERROR(SEARCH("En gestión",BA392)))</formula>
    </cfRule>
  </conditionalFormatting>
  <conditionalFormatting sqref="AZ395">
    <cfRule type="beginsWith" dxfId="1518" priority="496" operator="beginsWith" text="T">
      <formula>LEFT(AZ395,LEN("T"))="T"</formula>
    </cfRule>
    <cfRule type="containsText" dxfId="1517" priority="497" operator="containsText" text="Sin iniciar">
      <formula>NOT(ISERROR(SEARCH("Sin iniciar",AZ395)))</formula>
    </cfRule>
    <cfRule type="containsText" dxfId="1516" priority="498" operator="containsText" text="En gestión">
      <formula>NOT(ISERROR(SEARCH("En gestión",AZ395)))</formula>
    </cfRule>
  </conditionalFormatting>
  <conditionalFormatting sqref="BA395">
    <cfRule type="beginsWith" dxfId="1515" priority="493" operator="beginsWith" text="T">
      <formula>LEFT(BA395,LEN("T"))="T"</formula>
    </cfRule>
    <cfRule type="containsText" dxfId="1514" priority="494" operator="containsText" text="Sin iniciar">
      <formula>NOT(ISERROR(SEARCH("Sin iniciar",BA395)))</formula>
    </cfRule>
    <cfRule type="containsText" dxfId="1513" priority="495" operator="containsText" text="En gestión">
      <formula>NOT(ISERROR(SEARCH("En gestión",BA395)))</formula>
    </cfRule>
  </conditionalFormatting>
  <conditionalFormatting sqref="AZ398">
    <cfRule type="beginsWith" dxfId="1512" priority="490" operator="beginsWith" text="T">
      <formula>LEFT(AZ398,LEN("T"))="T"</formula>
    </cfRule>
    <cfRule type="containsText" dxfId="1511" priority="491" operator="containsText" text="Sin iniciar">
      <formula>NOT(ISERROR(SEARCH("Sin iniciar",AZ398)))</formula>
    </cfRule>
    <cfRule type="containsText" dxfId="1510" priority="492" operator="containsText" text="En gestión">
      <formula>NOT(ISERROR(SEARCH("En gestión",AZ398)))</formula>
    </cfRule>
  </conditionalFormatting>
  <conditionalFormatting sqref="BA398">
    <cfRule type="beginsWith" dxfId="1509" priority="487" operator="beginsWith" text="T">
      <formula>LEFT(BA398,LEN("T"))="T"</formula>
    </cfRule>
    <cfRule type="containsText" dxfId="1508" priority="488" operator="containsText" text="Sin iniciar">
      <formula>NOT(ISERROR(SEARCH("Sin iniciar",BA398)))</formula>
    </cfRule>
    <cfRule type="containsText" dxfId="1507" priority="489" operator="containsText" text="En gestión">
      <formula>NOT(ISERROR(SEARCH("En gestión",BA398)))</formula>
    </cfRule>
  </conditionalFormatting>
  <conditionalFormatting sqref="BS373:BS400">
    <cfRule type="beginsWith" dxfId="1506" priority="484" operator="beginsWith" text="T">
      <formula>LEFT(BS373,LEN("T"))="T"</formula>
    </cfRule>
    <cfRule type="containsText" dxfId="1505" priority="485" operator="containsText" text="Sin iniciar">
      <formula>NOT(ISERROR(SEARCH("Sin iniciar",BS373)))</formula>
    </cfRule>
    <cfRule type="containsText" dxfId="1504" priority="486" operator="containsText" text="En gestión">
      <formula>NOT(ISERROR(SEARCH("En gestión",BS373)))</formula>
    </cfRule>
  </conditionalFormatting>
  <conditionalFormatting sqref="BR373:BR400">
    <cfRule type="beginsWith" dxfId="1503" priority="481" operator="beginsWith" text="T">
      <formula>LEFT(BR373,LEN("T"))="T"</formula>
    </cfRule>
    <cfRule type="containsText" dxfId="1502" priority="482" operator="containsText" text="Sin iniciar">
      <formula>NOT(ISERROR(SEARCH("Sin iniciar",BR373)))</formula>
    </cfRule>
    <cfRule type="containsText" dxfId="1501" priority="483" operator="containsText" text="En gestión">
      <formula>NOT(ISERROR(SEARCH("En gestión",BR373)))</formula>
    </cfRule>
  </conditionalFormatting>
  <conditionalFormatting sqref="BW373">
    <cfRule type="beginsWith" dxfId="1500" priority="478" operator="beginsWith" text="T">
      <formula>LEFT(BW373,LEN("T"))="T"</formula>
    </cfRule>
    <cfRule type="containsText" dxfId="1499" priority="479" operator="containsText" text="Sin iniciar">
      <formula>NOT(ISERROR(SEARCH("Sin iniciar",BW373)))</formula>
    </cfRule>
    <cfRule type="containsText" dxfId="1498" priority="480" operator="containsText" text="En gestión">
      <formula>NOT(ISERROR(SEARCH("En gestión",BW373)))</formula>
    </cfRule>
  </conditionalFormatting>
  <conditionalFormatting sqref="BX373">
    <cfRule type="beginsWith" dxfId="1497" priority="475" operator="beginsWith" text="T">
      <formula>LEFT(BX373,LEN("T"))="T"</formula>
    </cfRule>
    <cfRule type="containsText" dxfId="1496" priority="476" operator="containsText" text="Sin iniciar">
      <formula>NOT(ISERROR(SEARCH("Sin iniciar",BX373)))</formula>
    </cfRule>
    <cfRule type="containsText" dxfId="1495" priority="477" operator="containsText" text="En gestión">
      <formula>NOT(ISERROR(SEARCH("En gestión",BX373)))</formula>
    </cfRule>
  </conditionalFormatting>
  <conditionalFormatting sqref="BW375">
    <cfRule type="beginsWith" dxfId="1494" priority="472" operator="beginsWith" text="T">
      <formula>LEFT(BW375,LEN("T"))="T"</formula>
    </cfRule>
    <cfRule type="containsText" dxfId="1493" priority="473" operator="containsText" text="Sin iniciar">
      <formula>NOT(ISERROR(SEARCH("Sin iniciar",BW375)))</formula>
    </cfRule>
    <cfRule type="containsText" dxfId="1492" priority="474" operator="containsText" text="En gestión">
      <formula>NOT(ISERROR(SEARCH("En gestión",BW375)))</formula>
    </cfRule>
  </conditionalFormatting>
  <conditionalFormatting sqref="BX375">
    <cfRule type="beginsWith" dxfId="1491" priority="469" operator="beginsWith" text="T">
      <formula>LEFT(BX375,LEN("T"))="T"</formula>
    </cfRule>
    <cfRule type="containsText" dxfId="1490" priority="470" operator="containsText" text="Sin iniciar">
      <formula>NOT(ISERROR(SEARCH("Sin iniciar",BX375)))</formula>
    </cfRule>
    <cfRule type="containsText" dxfId="1489" priority="471" operator="containsText" text="En gestión">
      <formula>NOT(ISERROR(SEARCH("En gestión",BX375)))</formula>
    </cfRule>
  </conditionalFormatting>
  <conditionalFormatting sqref="BW378">
    <cfRule type="beginsWith" dxfId="1488" priority="466" operator="beginsWith" text="T">
      <formula>LEFT(BW378,LEN("T"))="T"</formula>
    </cfRule>
    <cfRule type="containsText" dxfId="1487" priority="467" operator="containsText" text="Sin iniciar">
      <formula>NOT(ISERROR(SEARCH("Sin iniciar",BW378)))</formula>
    </cfRule>
    <cfRule type="containsText" dxfId="1486" priority="468" operator="containsText" text="En gestión">
      <formula>NOT(ISERROR(SEARCH("En gestión",BW378)))</formula>
    </cfRule>
  </conditionalFormatting>
  <conditionalFormatting sqref="BX378">
    <cfRule type="beginsWith" dxfId="1485" priority="463" operator="beginsWith" text="T">
      <formula>LEFT(BX378,LEN("T"))="T"</formula>
    </cfRule>
    <cfRule type="containsText" dxfId="1484" priority="464" operator="containsText" text="Sin iniciar">
      <formula>NOT(ISERROR(SEARCH("Sin iniciar",BX378)))</formula>
    </cfRule>
    <cfRule type="containsText" dxfId="1483" priority="465" operator="containsText" text="En gestión">
      <formula>NOT(ISERROR(SEARCH("En gestión",BX378)))</formula>
    </cfRule>
  </conditionalFormatting>
  <conditionalFormatting sqref="BW381">
    <cfRule type="beginsWith" dxfId="1482" priority="460" operator="beginsWith" text="T">
      <formula>LEFT(BW381,LEN("T"))="T"</formula>
    </cfRule>
    <cfRule type="containsText" dxfId="1481" priority="461" operator="containsText" text="Sin iniciar">
      <formula>NOT(ISERROR(SEARCH("Sin iniciar",BW381)))</formula>
    </cfRule>
    <cfRule type="containsText" dxfId="1480" priority="462" operator="containsText" text="En gestión">
      <formula>NOT(ISERROR(SEARCH("En gestión",BW381)))</formula>
    </cfRule>
  </conditionalFormatting>
  <conditionalFormatting sqref="BX381">
    <cfRule type="beginsWith" dxfId="1479" priority="457" operator="beginsWith" text="T">
      <formula>LEFT(BX381,LEN("T"))="T"</formula>
    </cfRule>
    <cfRule type="containsText" dxfId="1478" priority="458" operator="containsText" text="Sin iniciar">
      <formula>NOT(ISERROR(SEARCH("Sin iniciar",BX381)))</formula>
    </cfRule>
    <cfRule type="containsText" dxfId="1477" priority="459" operator="containsText" text="En gestión">
      <formula>NOT(ISERROR(SEARCH("En gestión",BX381)))</formula>
    </cfRule>
  </conditionalFormatting>
  <conditionalFormatting sqref="BW383">
    <cfRule type="beginsWith" dxfId="1476" priority="454" operator="beginsWith" text="T">
      <formula>LEFT(BW383,LEN("T"))="T"</formula>
    </cfRule>
    <cfRule type="containsText" dxfId="1475" priority="455" operator="containsText" text="Sin iniciar">
      <formula>NOT(ISERROR(SEARCH("Sin iniciar",BW383)))</formula>
    </cfRule>
    <cfRule type="containsText" dxfId="1474" priority="456" operator="containsText" text="En gestión">
      <formula>NOT(ISERROR(SEARCH("En gestión",BW383)))</formula>
    </cfRule>
  </conditionalFormatting>
  <conditionalFormatting sqref="BX383">
    <cfRule type="beginsWith" dxfId="1473" priority="451" operator="beginsWith" text="T">
      <formula>LEFT(BX383,LEN("T"))="T"</formula>
    </cfRule>
    <cfRule type="containsText" dxfId="1472" priority="452" operator="containsText" text="Sin iniciar">
      <formula>NOT(ISERROR(SEARCH("Sin iniciar",BX383)))</formula>
    </cfRule>
    <cfRule type="containsText" dxfId="1471" priority="453" operator="containsText" text="En gestión">
      <formula>NOT(ISERROR(SEARCH("En gestión",BX383)))</formula>
    </cfRule>
  </conditionalFormatting>
  <conditionalFormatting sqref="BW386">
    <cfRule type="beginsWith" dxfId="1470" priority="448" operator="beginsWith" text="T">
      <formula>LEFT(BW386,LEN("T"))="T"</formula>
    </cfRule>
    <cfRule type="containsText" dxfId="1469" priority="449" operator="containsText" text="Sin iniciar">
      <formula>NOT(ISERROR(SEARCH("Sin iniciar",BW386)))</formula>
    </cfRule>
    <cfRule type="containsText" dxfId="1468" priority="450" operator="containsText" text="En gestión">
      <formula>NOT(ISERROR(SEARCH("En gestión",BW386)))</formula>
    </cfRule>
  </conditionalFormatting>
  <conditionalFormatting sqref="BX386">
    <cfRule type="beginsWith" dxfId="1467" priority="445" operator="beginsWith" text="T">
      <formula>LEFT(BX386,LEN("T"))="T"</formula>
    </cfRule>
    <cfRule type="containsText" dxfId="1466" priority="446" operator="containsText" text="Sin iniciar">
      <formula>NOT(ISERROR(SEARCH("Sin iniciar",BX386)))</formula>
    </cfRule>
    <cfRule type="containsText" dxfId="1465" priority="447" operator="containsText" text="En gestión">
      <formula>NOT(ISERROR(SEARCH("En gestión",BX386)))</formula>
    </cfRule>
  </conditionalFormatting>
  <conditionalFormatting sqref="BW389">
    <cfRule type="beginsWith" dxfId="1464" priority="442" operator="beginsWith" text="T">
      <formula>LEFT(BW389,LEN("T"))="T"</formula>
    </cfRule>
    <cfRule type="containsText" dxfId="1463" priority="443" operator="containsText" text="Sin iniciar">
      <formula>NOT(ISERROR(SEARCH("Sin iniciar",BW389)))</formula>
    </cfRule>
    <cfRule type="containsText" dxfId="1462" priority="444" operator="containsText" text="En gestión">
      <formula>NOT(ISERROR(SEARCH("En gestión",BW389)))</formula>
    </cfRule>
  </conditionalFormatting>
  <conditionalFormatting sqref="BX389">
    <cfRule type="beginsWith" dxfId="1461" priority="439" operator="beginsWith" text="T">
      <formula>LEFT(BX389,LEN("T"))="T"</formula>
    </cfRule>
    <cfRule type="containsText" dxfId="1460" priority="440" operator="containsText" text="Sin iniciar">
      <formula>NOT(ISERROR(SEARCH("Sin iniciar",BX389)))</formula>
    </cfRule>
    <cfRule type="containsText" dxfId="1459" priority="441" operator="containsText" text="En gestión">
      <formula>NOT(ISERROR(SEARCH("En gestión",BX389)))</formula>
    </cfRule>
  </conditionalFormatting>
  <conditionalFormatting sqref="BW392">
    <cfRule type="beginsWith" dxfId="1458" priority="436" operator="beginsWith" text="T">
      <formula>LEFT(BW392,LEN("T"))="T"</formula>
    </cfRule>
    <cfRule type="containsText" dxfId="1457" priority="437" operator="containsText" text="Sin iniciar">
      <formula>NOT(ISERROR(SEARCH("Sin iniciar",BW392)))</formula>
    </cfRule>
    <cfRule type="containsText" dxfId="1456" priority="438" operator="containsText" text="En gestión">
      <formula>NOT(ISERROR(SEARCH("En gestión",BW392)))</formula>
    </cfRule>
  </conditionalFormatting>
  <conditionalFormatting sqref="BX392">
    <cfRule type="beginsWith" dxfId="1455" priority="433" operator="beginsWith" text="T">
      <formula>LEFT(BX392,LEN("T"))="T"</formula>
    </cfRule>
    <cfRule type="containsText" dxfId="1454" priority="434" operator="containsText" text="Sin iniciar">
      <formula>NOT(ISERROR(SEARCH("Sin iniciar",BX392)))</formula>
    </cfRule>
    <cfRule type="containsText" dxfId="1453" priority="435" operator="containsText" text="En gestión">
      <formula>NOT(ISERROR(SEARCH("En gestión",BX392)))</formula>
    </cfRule>
  </conditionalFormatting>
  <conditionalFormatting sqref="BW395">
    <cfRule type="beginsWith" dxfId="1452" priority="430" operator="beginsWith" text="T">
      <formula>LEFT(BW395,LEN("T"))="T"</formula>
    </cfRule>
    <cfRule type="containsText" dxfId="1451" priority="431" operator="containsText" text="Sin iniciar">
      <formula>NOT(ISERROR(SEARCH("Sin iniciar",BW395)))</formula>
    </cfRule>
    <cfRule type="containsText" dxfId="1450" priority="432" operator="containsText" text="En gestión">
      <formula>NOT(ISERROR(SEARCH("En gestión",BW395)))</formula>
    </cfRule>
  </conditionalFormatting>
  <conditionalFormatting sqref="BX395">
    <cfRule type="beginsWith" dxfId="1449" priority="427" operator="beginsWith" text="T">
      <formula>LEFT(BX395,LEN("T"))="T"</formula>
    </cfRule>
    <cfRule type="containsText" dxfId="1448" priority="428" operator="containsText" text="Sin iniciar">
      <formula>NOT(ISERROR(SEARCH("Sin iniciar",BX395)))</formula>
    </cfRule>
    <cfRule type="containsText" dxfId="1447" priority="429" operator="containsText" text="En gestión">
      <formula>NOT(ISERROR(SEARCH("En gestión",BX395)))</formula>
    </cfRule>
  </conditionalFormatting>
  <conditionalFormatting sqref="BW398">
    <cfRule type="beginsWith" dxfId="1446" priority="424" operator="beginsWith" text="T">
      <formula>LEFT(BW398,LEN("T"))="T"</formula>
    </cfRule>
    <cfRule type="containsText" dxfId="1445" priority="425" operator="containsText" text="Sin iniciar">
      <formula>NOT(ISERROR(SEARCH("Sin iniciar",BW398)))</formula>
    </cfRule>
    <cfRule type="containsText" dxfId="1444" priority="426" operator="containsText" text="En gestión">
      <formula>NOT(ISERROR(SEARCH("En gestión",BW398)))</formula>
    </cfRule>
  </conditionalFormatting>
  <conditionalFormatting sqref="Y224:Y241">
    <cfRule type="beginsWith" dxfId="1443" priority="893" operator="beginsWith" text="T">
      <formula>LEFT(Y224,LEN("T"))="T"</formula>
    </cfRule>
    <cfRule type="containsText" dxfId="1442" priority="894" operator="containsText" text="Sin iniciar">
      <formula>NOT(ISERROR(SEARCH("Sin iniciar",Y224)))</formula>
    </cfRule>
    <cfRule type="containsText" dxfId="1441" priority="895" operator="containsText" text="En gestión">
      <formula>NOT(ISERROR(SEARCH("En gestión",Y224)))</formula>
    </cfRule>
  </conditionalFormatting>
  <conditionalFormatting sqref="Z224:Z241">
    <cfRule type="beginsWith" dxfId="1440" priority="890" operator="beginsWith" text="T">
      <formula>LEFT(Z224,LEN("T"))="T"</formula>
    </cfRule>
    <cfRule type="containsText" dxfId="1439" priority="891" operator="containsText" text="Sin iniciar">
      <formula>NOT(ISERROR(SEARCH("Sin iniciar",Z224)))</formula>
    </cfRule>
    <cfRule type="containsText" dxfId="1438" priority="892" operator="containsText" text="En gestión">
      <formula>NOT(ISERROR(SEARCH("En gestión",Z224)))</formula>
    </cfRule>
  </conditionalFormatting>
  <conditionalFormatting sqref="AE234">
    <cfRule type="beginsWith" dxfId="1437" priority="860" operator="beginsWith" text="T">
      <formula>LEFT(AE234,LEN("T"))="T"</formula>
    </cfRule>
    <cfRule type="containsText" dxfId="1436" priority="861" operator="containsText" text="Sin iniciar">
      <formula>NOT(ISERROR(SEARCH("Sin iniciar",AE234)))</formula>
    </cfRule>
    <cfRule type="containsText" dxfId="1435" priority="862" operator="containsText" text="En gestión">
      <formula>NOT(ISERROR(SEARCH("En gestión",AE234)))</formula>
    </cfRule>
  </conditionalFormatting>
  <conditionalFormatting sqref="AD236">
    <cfRule type="beginsWith" dxfId="1434" priority="857" operator="beginsWith" text="T">
      <formula>LEFT(AD236,LEN("T"))="T"</formula>
    </cfRule>
    <cfRule type="containsText" dxfId="1433" priority="858" operator="containsText" text="Sin iniciar">
      <formula>NOT(ISERROR(SEARCH("Sin iniciar",AD236)))</formula>
    </cfRule>
    <cfRule type="containsText" dxfId="1432" priority="859" operator="containsText" text="En gestión">
      <formula>NOT(ISERROR(SEARCH("En gestión",AD236)))</formula>
    </cfRule>
  </conditionalFormatting>
  <conditionalFormatting sqref="AE240">
    <cfRule type="beginsWith" dxfId="1431" priority="842" operator="beginsWith" text="T">
      <formula>LEFT(AE240,LEN("T"))="T"</formula>
    </cfRule>
    <cfRule type="containsText" dxfId="1430" priority="843" operator="containsText" text="Sin iniciar">
      <formula>NOT(ISERROR(SEARCH("Sin iniciar",AE240)))</formula>
    </cfRule>
    <cfRule type="containsText" dxfId="1429" priority="844" operator="containsText" text="En gestión">
      <formula>NOT(ISERROR(SEARCH("En gestión",AE240)))</formula>
    </cfRule>
  </conditionalFormatting>
  <conditionalFormatting sqref="AD224">
    <cfRule type="beginsWith" dxfId="1428" priority="887" operator="beginsWith" text="T">
      <formula>LEFT(AD224,LEN("T"))="T"</formula>
    </cfRule>
    <cfRule type="containsText" dxfId="1427" priority="888" operator="containsText" text="Sin iniciar">
      <formula>NOT(ISERROR(SEARCH("Sin iniciar",AD224)))</formula>
    </cfRule>
    <cfRule type="containsText" dxfId="1426" priority="889" operator="containsText" text="En gestión">
      <formula>NOT(ISERROR(SEARCH("En gestión",AD224)))</formula>
    </cfRule>
  </conditionalFormatting>
  <conditionalFormatting sqref="AE224">
    <cfRule type="beginsWith" dxfId="1425" priority="884" operator="beginsWith" text="T">
      <formula>LEFT(AE224,LEN("T"))="T"</formula>
    </cfRule>
    <cfRule type="containsText" dxfId="1424" priority="885" operator="containsText" text="Sin iniciar">
      <formula>NOT(ISERROR(SEARCH("Sin iniciar",AE224)))</formula>
    </cfRule>
    <cfRule type="containsText" dxfId="1423" priority="886" operator="containsText" text="En gestión">
      <formula>NOT(ISERROR(SEARCH("En gestión",AE224)))</formula>
    </cfRule>
  </conditionalFormatting>
  <conditionalFormatting sqref="AD227">
    <cfRule type="beginsWith" dxfId="1422" priority="881" operator="beginsWith" text="T">
      <formula>LEFT(AD227,LEN("T"))="T"</formula>
    </cfRule>
    <cfRule type="containsText" dxfId="1421" priority="882" operator="containsText" text="Sin iniciar">
      <formula>NOT(ISERROR(SEARCH("Sin iniciar",AD227)))</formula>
    </cfRule>
    <cfRule type="containsText" dxfId="1420" priority="883" operator="containsText" text="En gestión">
      <formula>NOT(ISERROR(SEARCH("En gestión",AD227)))</formula>
    </cfRule>
  </conditionalFormatting>
  <conditionalFormatting sqref="AE227">
    <cfRule type="beginsWith" dxfId="1419" priority="878" operator="beginsWith" text="T">
      <formula>LEFT(AE227,LEN("T"))="T"</formula>
    </cfRule>
    <cfRule type="containsText" dxfId="1418" priority="879" operator="containsText" text="Sin iniciar">
      <formula>NOT(ISERROR(SEARCH("Sin iniciar",AE227)))</formula>
    </cfRule>
    <cfRule type="containsText" dxfId="1417" priority="880" operator="containsText" text="En gestión">
      <formula>NOT(ISERROR(SEARCH("En gestión",AE227)))</formula>
    </cfRule>
  </conditionalFormatting>
  <conditionalFormatting sqref="AD230">
    <cfRule type="beginsWith" dxfId="1416" priority="875" operator="beginsWith" text="T">
      <formula>LEFT(AD230,LEN("T"))="T"</formula>
    </cfRule>
    <cfRule type="containsText" dxfId="1415" priority="876" operator="containsText" text="Sin iniciar">
      <formula>NOT(ISERROR(SEARCH("Sin iniciar",AD230)))</formula>
    </cfRule>
    <cfRule type="containsText" dxfId="1414" priority="877" operator="containsText" text="En gestión">
      <formula>NOT(ISERROR(SEARCH("En gestión",AD230)))</formula>
    </cfRule>
  </conditionalFormatting>
  <conditionalFormatting sqref="AE230">
    <cfRule type="beginsWith" dxfId="1413" priority="872" operator="beginsWith" text="T">
      <formula>LEFT(AE230,LEN("T"))="T"</formula>
    </cfRule>
    <cfRule type="containsText" dxfId="1412" priority="873" operator="containsText" text="Sin iniciar">
      <formula>NOT(ISERROR(SEARCH("Sin iniciar",AE230)))</formula>
    </cfRule>
    <cfRule type="containsText" dxfId="1411" priority="874" operator="containsText" text="En gestión">
      <formula>NOT(ISERROR(SEARCH("En gestión",AE230)))</formula>
    </cfRule>
  </conditionalFormatting>
  <conditionalFormatting sqref="AD232">
    <cfRule type="beginsWith" dxfId="1410" priority="869" operator="beginsWith" text="T">
      <formula>LEFT(AD232,LEN("T"))="T"</formula>
    </cfRule>
    <cfRule type="containsText" dxfId="1409" priority="870" operator="containsText" text="Sin iniciar">
      <formula>NOT(ISERROR(SEARCH("Sin iniciar",AD232)))</formula>
    </cfRule>
    <cfRule type="containsText" dxfId="1408" priority="871" operator="containsText" text="En gestión">
      <formula>NOT(ISERROR(SEARCH("En gestión",AD232)))</formula>
    </cfRule>
  </conditionalFormatting>
  <conditionalFormatting sqref="AE232">
    <cfRule type="beginsWith" dxfId="1407" priority="866" operator="beginsWith" text="T">
      <formula>LEFT(AE232,LEN("T"))="T"</formula>
    </cfRule>
    <cfRule type="containsText" dxfId="1406" priority="867" operator="containsText" text="Sin iniciar">
      <formula>NOT(ISERROR(SEARCH("Sin iniciar",AE232)))</formula>
    </cfRule>
    <cfRule type="containsText" dxfId="1405" priority="868" operator="containsText" text="En gestión">
      <formula>NOT(ISERROR(SEARCH("En gestión",AE232)))</formula>
    </cfRule>
  </conditionalFormatting>
  <conditionalFormatting sqref="AD234">
    <cfRule type="beginsWith" dxfId="1404" priority="863" operator="beginsWith" text="T">
      <formula>LEFT(AD234,LEN("T"))="T"</formula>
    </cfRule>
    <cfRule type="containsText" dxfId="1403" priority="864" operator="containsText" text="Sin iniciar">
      <formula>NOT(ISERROR(SEARCH("Sin iniciar",AD234)))</formula>
    </cfRule>
    <cfRule type="containsText" dxfId="1402" priority="865" operator="containsText" text="En gestión">
      <formula>NOT(ISERROR(SEARCH("En gestión",AD234)))</formula>
    </cfRule>
  </conditionalFormatting>
  <conditionalFormatting sqref="AE236">
    <cfRule type="beginsWith" dxfId="1401" priority="854" operator="beginsWith" text="T">
      <formula>LEFT(AE236,LEN("T"))="T"</formula>
    </cfRule>
    <cfRule type="containsText" dxfId="1400" priority="855" operator="containsText" text="Sin iniciar">
      <formula>NOT(ISERROR(SEARCH("Sin iniciar",AE236)))</formula>
    </cfRule>
    <cfRule type="containsText" dxfId="1399" priority="856" operator="containsText" text="En gestión">
      <formula>NOT(ISERROR(SEARCH("En gestión",AE236)))</formula>
    </cfRule>
  </conditionalFormatting>
  <conditionalFormatting sqref="AD238">
    <cfRule type="beginsWith" dxfId="1398" priority="851" operator="beginsWith" text="T">
      <formula>LEFT(AD238,LEN("T"))="T"</formula>
    </cfRule>
    <cfRule type="containsText" dxfId="1397" priority="852" operator="containsText" text="Sin iniciar">
      <formula>NOT(ISERROR(SEARCH("Sin iniciar",AD238)))</formula>
    </cfRule>
    <cfRule type="containsText" dxfId="1396" priority="853" operator="containsText" text="En gestión">
      <formula>NOT(ISERROR(SEARCH("En gestión",AD238)))</formula>
    </cfRule>
  </conditionalFormatting>
  <conditionalFormatting sqref="AE238">
    <cfRule type="beginsWith" dxfId="1395" priority="848" operator="beginsWith" text="T">
      <formula>LEFT(AE238,LEN("T"))="T"</formula>
    </cfRule>
    <cfRule type="containsText" dxfId="1394" priority="849" operator="containsText" text="Sin iniciar">
      <formula>NOT(ISERROR(SEARCH("Sin iniciar",AE238)))</formula>
    </cfRule>
    <cfRule type="containsText" dxfId="1393" priority="850" operator="containsText" text="En gestión">
      <formula>NOT(ISERROR(SEARCH("En gestión",AE238)))</formula>
    </cfRule>
  </conditionalFormatting>
  <conditionalFormatting sqref="AD240">
    <cfRule type="beginsWith" dxfId="1392" priority="845" operator="beginsWith" text="T">
      <formula>LEFT(AD240,LEN("T"))="T"</formula>
    </cfRule>
    <cfRule type="containsText" dxfId="1391" priority="846" operator="containsText" text="Sin iniciar">
      <formula>NOT(ISERROR(SEARCH("Sin iniciar",AD240)))</formula>
    </cfRule>
    <cfRule type="containsText" dxfId="1390" priority="847" operator="containsText" text="En gestión">
      <formula>NOT(ISERROR(SEARCH("En gestión",AD240)))</formula>
    </cfRule>
  </conditionalFormatting>
  <conditionalFormatting sqref="AV224:AV241">
    <cfRule type="beginsWith" dxfId="1389" priority="839" operator="beginsWith" text="T">
      <formula>LEFT(AV224,LEN("T"))="T"</formula>
    </cfRule>
    <cfRule type="containsText" dxfId="1388" priority="840" operator="containsText" text="Sin iniciar">
      <formula>NOT(ISERROR(SEARCH("Sin iniciar",AV224)))</formula>
    </cfRule>
    <cfRule type="containsText" dxfId="1387" priority="841" operator="containsText" text="En gestión">
      <formula>NOT(ISERROR(SEARCH("En gestión",AV224)))</formula>
    </cfRule>
  </conditionalFormatting>
  <conditionalFormatting sqref="AU224:AU241">
    <cfRule type="beginsWith" dxfId="1386" priority="836" operator="beginsWith" text="T">
      <formula>LEFT(AU224,LEN("T"))="T"</formula>
    </cfRule>
    <cfRule type="containsText" dxfId="1385" priority="837" operator="containsText" text="Sin iniciar">
      <formula>NOT(ISERROR(SEARCH("Sin iniciar",AU224)))</formula>
    </cfRule>
    <cfRule type="containsText" dxfId="1384" priority="838" operator="containsText" text="En gestión">
      <formula>NOT(ISERROR(SEARCH("En gestión",AU224)))</formula>
    </cfRule>
  </conditionalFormatting>
  <conditionalFormatting sqref="BA240">
    <cfRule type="beginsWith" dxfId="1383" priority="788" operator="beginsWith" text="T">
      <formula>LEFT(BA240,LEN("T"))="T"</formula>
    </cfRule>
    <cfRule type="containsText" dxfId="1382" priority="789" operator="containsText" text="Sin iniciar">
      <formula>NOT(ISERROR(SEARCH("Sin iniciar",BA240)))</formula>
    </cfRule>
    <cfRule type="containsText" dxfId="1381" priority="790" operator="containsText" text="En gestión">
      <formula>NOT(ISERROR(SEARCH("En gestión",BA240)))</formula>
    </cfRule>
  </conditionalFormatting>
  <conditionalFormatting sqref="AZ224">
    <cfRule type="beginsWith" dxfId="1380" priority="833" operator="beginsWith" text="T">
      <formula>LEFT(AZ224,LEN("T"))="T"</formula>
    </cfRule>
    <cfRule type="containsText" dxfId="1379" priority="834" operator="containsText" text="Sin iniciar">
      <formula>NOT(ISERROR(SEARCH("Sin iniciar",AZ224)))</formula>
    </cfRule>
    <cfRule type="containsText" dxfId="1378" priority="835" operator="containsText" text="En gestión">
      <formula>NOT(ISERROR(SEARCH("En gestión",AZ224)))</formula>
    </cfRule>
  </conditionalFormatting>
  <conditionalFormatting sqref="BA224">
    <cfRule type="beginsWith" dxfId="1377" priority="830" operator="beginsWith" text="T">
      <formula>LEFT(BA224,LEN("T"))="T"</formula>
    </cfRule>
    <cfRule type="containsText" dxfId="1376" priority="831" operator="containsText" text="Sin iniciar">
      <formula>NOT(ISERROR(SEARCH("Sin iniciar",BA224)))</formula>
    </cfRule>
    <cfRule type="containsText" dxfId="1375" priority="832" operator="containsText" text="En gestión">
      <formula>NOT(ISERROR(SEARCH("En gestión",BA224)))</formula>
    </cfRule>
  </conditionalFormatting>
  <conditionalFormatting sqref="AZ227">
    <cfRule type="beginsWith" dxfId="1374" priority="827" operator="beginsWith" text="T">
      <formula>LEFT(AZ227,LEN("T"))="T"</formula>
    </cfRule>
    <cfRule type="containsText" dxfId="1373" priority="828" operator="containsText" text="Sin iniciar">
      <formula>NOT(ISERROR(SEARCH("Sin iniciar",AZ227)))</formula>
    </cfRule>
    <cfRule type="containsText" dxfId="1372" priority="829" operator="containsText" text="En gestión">
      <formula>NOT(ISERROR(SEARCH("En gestión",AZ227)))</formula>
    </cfRule>
  </conditionalFormatting>
  <conditionalFormatting sqref="BA227">
    <cfRule type="beginsWith" dxfId="1371" priority="824" operator="beginsWith" text="T">
      <formula>LEFT(BA227,LEN("T"))="T"</formula>
    </cfRule>
    <cfRule type="containsText" dxfId="1370" priority="825" operator="containsText" text="Sin iniciar">
      <formula>NOT(ISERROR(SEARCH("Sin iniciar",BA227)))</formula>
    </cfRule>
    <cfRule type="containsText" dxfId="1369" priority="826" operator="containsText" text="En gestión">
      <formula>NOT(ISERROR(SEARCH("En gestión",BA227)))</formula>
    </cfRule>
  </conditionalFormatting>
  <conditionalFormatting sqref="AZ230">
    <cfRule type="beginsWith" dxfId="1368" priority="821" operator="beginsWith" text="T">
      <formula>LEFT(AZ230,LEN("T"))="T"</formula>
    </cfRule>
    <cfRule type="containsText" dxfId="1367" priority="822" operator="containsText" text="Sin iniciar">
      <formula>NOT(ISERROR(SEARCH("Sin iniciar",AZ230)))</formula>
    </cfRule>
    <cfRule type="containsText" dxfId="1366" priority="823" operator="containsText" text="En gestión">
      <formula>NOT(ISERROR(SEARCH("En gestión",AZ230)))</formula>
    </cfRule>
  </conditionalFormatting>
  <conditionalFormatting sqref="BA230">
    <cfRule type="beginsWith" dxfId="1365" priority="818" operator="beginsWith" text="T">
      <formula>LEFT(BA230,LEN("T"))="T"</formula>
    </cfRule>
    <cfRule type="containsText" dxfId="1364" priority="819" operator="containsText" text="Sin iniciar">
      <formula>NOT(ISERROR(SEARCH("Sin iniciar",BA230)))</formula>
    </cfRule>
    <cfRule type="containsText" dxfId="1363" priority="820" operator="containsText" text="En gestión">
      <formula>NOT(ISERROR(SEARCH("En gestión",BA230)))</formula>
    </cfRule>
  </conditionalFormatting>
  <conditionalFormatting sqref="AZ232">
    <cfRule type="beginsWith" dxfId="1362" priority="815" operator="beginsWith" text="T">
      <formula>LEFT(AZ232,LEN("T"))="T"</formula>
    </cfRule>
    <cfRule type="containsText" dxfId="1361" priority="816" operator="containsText" text="Sin iniciar">
      <formula>NOT(ISERROR(SEARCH("Sin iniciar",AZ232)))</formula>
    </cfRule>
    <cfRule type="containsText" dxfId="1360" priority="817" operator="containsText" text="En gestión">
      <formula>NOT(ISERROR(SEARCH("En gestión",AZ232)))</formula>
    </cfRule>
  </conditionalFormatting>
  <conditionalFormatting sqref="BA232">
    <cfRule type="beginsWith" dxfId="1359" priority="812" operator="beginsWith" text="T">
      <formula>LEFT(BA232,LEN("T"))="T"</formula>
    </cfRule>
    <cfRule type="containsText" dxfId="1358" priority="813" operator="containsText" text="Sin iniciar">
      <formula>NOT(ISERROR(SEARCH("Sin iniciar",BA232)))</formula>
    </cfRule>
    <cfRule type="containsText" dxfId="1357" priority="814" operator="containsText" text="En gestión">
      <formula>NOT(ISERROR(SEARCH("En gestión",BA232)))</formula>
    </cfRule>
  </conditionalFormatting>
  <conditionalFormatting sqref="AZ234">
    <cfRule type="beginsWith" dxfId="1356" priority="809" operator="beginsWith" text="T">
      <formula>LEFT(AZ234,LEN("T"))="T"</formula>
    </cfRule>
    <cfRule type="containsText" dxfId="1355" priority="810" operator="containsText" text="Sin iniciar">
      <formula>NOT(ISERROR(SEARCH("Sin iniciar",AZ234)))</formula>
    </cfRule>
    <cfRule type="containsText" dxfId="1354" priority="811" operator="containsText" text="En gestión">
      <formula>NOT(ISERROR(SEARCH("En gestión",AZ234)))</formula>
    </cfRule>
  </conditionalFormatting>
  <conditionalFormatting sqref="BA234">
    <cfRule type="beginsWith" dxfId="1353" priority="806" operator="beginsWith" text="T">
      <formula>LEFT(BA234,LEN("T"))="T"</formula>
    </cfRule>
    <cfRule type="containsText" dxfId="1352" priority="807" operator="containsText" text="Sin iniciar">
      <formula>NOT(ISERROR(SEARCH("Sin iniciar",BA234)))</formula>
    </cfRule>
    <cfRule type="containsText" dxfId="1351" priority="808" operator="containsText" text="En gestión">
      <formula>NOT(ISERROR(SEARCH("En gestión",BA234)))</formula>
    </cfRule>
  </conditionalFormatting>
  <conditionalFormatting sqref="AZ236">
    <cfRule type="beginsWith" dxfId="1350" priority="803" operator="beginsWith" text="T">
      <formula>LEFT(AZ236,LEN("T"))="T"</formula>
    </cfRule>
    <cfRule type="containsText" dxfId="1349" priority="804" operator="containsText" text="Sin iniciar">
      <formula>NOT(ISERROR(SEARCH("Sin iniciar",AZ236)))</formula>
    </cfRule>
    <cfRule type="containsText" dxfId="1348" priority="805" operator="containsText" text="En gestión">
      <formula>NOT(ISERROR(SEARCH("En gestión",AZ236)))</formula>
    </cfRule>
  </conditionalFormatting>
  <conditionalFormatting sqref="BA236">
    <cfRule type="beginsWith" dxfId="1347" priority="800" operator="beginsWith" text="T">
      <formula>LEFT(BA236,LEN("T"))="T"</formula>
    </cfRule>
    <cfRule type="containsText" dxfId="1346" priority="801" operator="containsText" text="Sin iniciar">
      <formula>NOT(ISERROR(SEARCH("Sin iniciar",BA236)))</formula>
    </cfRule>
    <cfRule type="containsText" dxfId="1345" priority="802" operator="containsText" text="En gestión">
      <formula>NOT(ISERROR(SEARCH("En gestión",BA236)))</formula>
    </cfRule>
  </conditionalFormatting>
  <conditionalFormatting sqref="AZ238">
    <cfRule type="beginsWith" dxfId="1344" priority="797" operator="beginsWith" text="T">
      <formula>LEFT(AZ238,LEN("T"))="T"</formula>
    </cfRule>
    <cfRule type="containsText" dxfId="1343" priority="798" operator="containsText" text="Sin iniciar">
      <formula>NOT(ISERROR(SEARCH("Sin iniciar",AZ238)))</formula>
    </cfRule>
    <cfRule type="containsText" dxfId="1342" priority="799" operator="containsText" text="En gestión">
      <formula>NOT(ISERROR(SEARCH("En gestión",AZ238)))</formula>
    </cfRule>
  </conditionalFormatting>
  <conditionalFormatting sqref="BA238">
    <cfRule type="beginsWith" dxfId="1341" priority="794" operator="beginsWith" text="T">
      <formula>LEFT(BA238,LEN("T"))="T"</formula>
    </cfRule>
    <cfRule type="containsText" dxfId="1340" priority="795" operator="containsText" text="Sin iniciar">
      <formula>NOT(ISERROR(SEARCH("Sin iniciar",BA238)))</formula>
    </cfRule>
    <cfRule type="containsText" dxfId="1339" priority="796" operator="containsText" text="En gestión">
      <formula>NOT(ISERROR(SEARCH("En gestión",BA238)))</formula>
    </cfRule>
  </conditionalFormatting>
  <conditionalFormatting sqref="AZ240">
    <cfRule type="beginsWith" dxfId="1338" priority="791" operator="beginsWith" text="T">
      <formula>LEFT(AZ240,LEN("T"))="T"</formula>
    </cfRule>
    <cfRule type="containsText" dxfId="1337" priority="792" operator="containsText" text="Sin iniciar">
      <formula>NOT(ISERROR(SEARCH("Sin iniciar",AZ240)))</formula>
    </cfRule>
    <cfRule type="containsText" dxfId="1336" priority="793" operator="containsText" text="En gestión">
      <formula>NOT(ISERROR(SEARCH("En gestión",AZ240)))</formula>
    </cfRule>
  </conditionalFormatting>
  <conditionalFormatting sqref="BS224:BS241">
    <cfRule type="beginsWith" dxfId="1335" priority="785" operator="beginsWith" text="T">
      <formula>LEFT(BS224,LEN("T"))="T"</formula>
    </cfRule>
    <cfRule type="containsText" dxfId="1334" priority="786" operator="containsText" text="Sin iniciar">
      <formula>NOT(ISERROR(SEARCH("Sin iniciar",BS224)))</formula>
    </cfRule>
    <cfRule type="containsText" dxfId="1333" priority="787" operator="containsText" text="En gestión">
      <formula>NOT(ISERROR(SEARCH("En gestión",BS224)))</formula>
    </cfRule>
  </conditionalFormatting>
  <conditionalFormatting sqref="BR224:BR241">
    <cfRule type="beginsWith" dxfId="1332" priority="782" operator="beginsWith" text="T">
      <formula>LEFT(BR224,LEN("T"))="T"</formula>
    </cfRule>
    <cfRule type="containsText" dxfId="1331" priority="783" operator="containsText" text="Sin iniciar">
      <formula>NOT(ISERROR(SEARCH("Sin iniciar",BR224)))</formula>
    </cfRule>
    <cfRule type="containsText" dxfId="1330" priority="784" operator="containsText" text="En gestión">
      <formula>NOT(ISERROR(SEARCH("En gestión",BR224)))</formula>
    </cfRule>
  </conditionalFormatting>
  <conditionalFormatting sqref="BX240">
    <cfRule type="beginsWith" dxfId="1329" priority="734" operator="beginsWith" text="T">
      <formula>LEFT(BX240,LEN("T"))="T"</formula>
    </cfRule>
    <cfRule type="containsText" dxfId="1328" priority="735" operator="containsText" text="Sin iniciar">
      <formula>NOT(ISERROR(SEARCH("Sin iniciar",BX240)))</formula>
    </cfRule>
    <cfRule type="containsText" dxfId="1327" priority="736" operator="containsText" text="En gestión">
      <formula>NOT(ISERROR(SEARCH("En gestión",BX240)))</formula>
    </cfRule>
  </conditionalFormatting>
  <conditionalFormatting sqref="BW224">
    <cfRule type="beginsWith" dxfId="1326" priority="779" operator="beginsWith" text="T">
      <formula>LEFT(BW224,LEN("T"))="T"</formula>
    </cfRule>
    <cfRule type="containsText" dxfId="1325" priority="780" operator="containsText" text="Sin iniciar">
      <formula>NOT(ISERROR(SEARCH("Sin iniciar",BW224)))</formula>
    </cfRule>
    <cfRule type="containsText" dxfId="1324" priority="781" operator="containsText" text="En gestión">
      <formula>NOT(ISERROR(SEARCH("En gestión",BW224)))</formula>
    </cfRule>
  </conditionalFormatting>
  <conditionalFormatting sqref="BX224">
    <cfRule type="beginsWith" dxfId="1323" priority="776" operator="beginsWith" text="T">
      <formula>LEFT(BX224,LEN("T"))="T"</formula>
    </cfRule>
    <cfRule type="containsText" dxfId="1322" priority="777" operator="containsText" text="Sin iniciar">
      <formula>NOT(ISERROR(SEARCH("Sin iniciar",BX224)))</formula>
    </cfRule>
    <cfRule type="containsText" dxfId="1321" priority="778" operator="containsText" text="En gestión">
      <formula>NOT(ISERROR(SEARCH("En gestión",BX224)))</formula>
    </cfRule>
  </conditionalFormatting>
  <conditionalFormatting sqref="BW227">
    <cfRule type="beginsWith" dxfId="1320" priority="773" operator="beginsWith" text="T">
      <formula>LEFT(BW227,LEN("T"))="T"</formula>
    </cfRule>
    <cfRule type="containsText" dxfId="1319" priority="774" operator="containsText" text="Sin iniciar">
      <formula>NOT(ISERROR(SEARCH("Sin iniciar",BW227)))</formula>
    </cfRule>
    <cfRule type="containsText" dxfId="1318" priority="775" operator="containsText" text="En gestión">
      <formula>NOT(ISERROR(SEARCH("En gestión",BW227)))</formula>
    </cfRule>
  </conditionalFormatting>
  <conditionalFormatting sqref="BX227">
    <cfRule type="beginsWith" dxfId="1317" priority="770" operator="beginsWith" text="T">
      <formula>LEFT(BX227,LEN("T"))="T"</formula>
    </cfRule>
    <cfRule type="containsText" dxfId="1316" priority="771" operator="containsText" text="Sin iniciar">
      <formula>NOT(ISERROR(SEARCH("Sin iniciar",BX227)))</formula>
    </cfRule>
    <cfRule type="containsText" dxfId="1315" priority="772" operator="containsText" text="En gestión">
      <formula>NOT(ISERROR(SEARCH("En gestión",BX227)))</formula>
    </cfRule>
  </conditionalFormatting>
  <conditionalFormatting sqref="BW230">
    <cfRule type="beginsWith" dxfId="1314" priority="767" operator="beginsWith" text="T">
      <formula>LEFT(BW230,LEN("T"))="T"</formula>
    </cfRule>
    <cfRule type="containsText" dxfId="1313" priority="768" operator="containsText" text="Sin iniciar">
      <formula>NOT(ISERROR(SEARCH("Sin iniciar",BW230)))</formula>
    </cfRule>
    <cfRule type="containsText" dxfId="1312" priority="769" operator="containsText" text="En gestión">
      <formula>NOT(ISERROR(SEARCH("En gestión",BW230)))</formula>
    </cfRule>
  </conditionalFormatting>
  <conditionalFormatting sqref="BX230">
    <cfRule type="beginsWith" dxfId="1311" priority="764" operator="beginsWith" text="T">
      <formula>LEFT(BX230,LEN("T"))="T"</formula>
    </cfRule>
    <cfRule type="containsText" dxfId="1310" priority="765" operator="containsText" text="Sin iniciar">
      <formula>NOT(ISERROR(SEARCH("Sin iniciar",BX230)))</formula>
    </cfRule>
    <cfRule type="containsText" dxfId="1309" priority="766" operator="containsText" text="En gestión">
      <formula>NOT(ISERROR(SEARCH("En gestión",BX230)))</formula>
    </cfRule>
  </conditionalFormatting>
  <conditionalFormatting sqref="BW232">
    <cfRule type="beginsWith" dxfId="1308" priority="761" operator="beginsWith" text="T">
      <formula>LEFT(BW232,LEN("T"))="T"</formula>
    </cfRule>
    <cfRule type="containsText" dxfId="1307" priority="762" operator="containsText" text="Sin iniciar">
      <formula>NOT(ISERROR(SEARCH("Sin iniciar",BW232)))</formula>
    </cfRule>
    <cfRule type="containsText" dxfId="1306" priority="763" operator="containsText" text="En gestión">
      <formula>NOT(ISERROR(SEARCH("En gestión",BW232)))</formula>
    </cfRule>
  </conditionalFormatting>
  <conditionalFormatting sqref="BX232">
    <cfRule type="beginsWith" dxfId="1305" priority="758" operator="beginsWith" text="T">
      <formula>LEFT(BX232,LEN("T"))="T"</formula>
    </cfRule>
    <cfRule type="containsText" dxfId="1304" priority="759" operator="containsText" text="Sin iniciar">
      <formula>NOT(ISERROR(SEARCH("Sin iniciar",BX232)))</formula>
    </cfRule>
    <cfRule type="containsText" dxfId="1303" priority="760" operator="containsText" text="En gestión">
      <formula>NOT(ISERROR(SEARCH("En gestión",BX232)))</formula>
    </cfRule>
  </conditionalFormatting>
  <conditionalFormatting sqref="BW234">
    <cfRule type="beginsWith" dxfId="1302" priority="755" operator="beginsWith" text="T">
      <formula>LEFT(BW234,LEN("T"))="T"</formula>
    </cfRule>
    <cfRule type="containsText" dxfId="1301" priority="756" operator="containsText" text="Sin iniciar">
      <formula>NOT(ISERROR(SEARCH("Sin iniciar",BW234)))</formula>
    </cfRule>
    <cfRule type="containsText" dxfId="1300" priority="757" operator="containsText" text="En gestión">
      <formula>NOT(ISERROR(SEARCH("En gestión",BW234)))</formula>
    </cfRule>
  </conditionalFormatting>
  <conditionalFormatting sqref="BX234">
    <cfRule type="beginsWith" dxfId="1299" priority="752" operator="beginsWith" text="T">
      <formula>LEFT(BX234,LEN("T"))="T"</formula>
    </cfRule>
    <cfRule type="containsText" dxfId="1298" priority="753" operator="containsText" text="Sin iniciar">
      <formula>NOT(ISERROR(SEARCH("Sin iniciar",BX234)))</formula>
    </cfRule>
    <cfRule type="containsText" dxfId="1297" priority="754" operator="containsText" text="En gestión">
      <formula>NOT(ISERROR(SEARCH("En gestión",BX234)))</formula>
    </cfRule>
  </conditionalFormatting>
  <conditionalFormatting sqref="BW236">
    <cfRule type="beginsWith" dxfId="1296" priority="749" operator="beginsWith" text="T">
      <formula>LEFT(BW236,LEN("T"))="T"</formula>
    </cfRule>
    <cfRule type="containsText" dxfId="1295" priority="750" operator="containsText" text="Sin iniciar">
      <formula>NOT(ISERROR(SEARCH("Sin iniciar",BW236)))</formula>
    </cfRule>
    <cfRule type="containsText" dxfId="1294" priority="751" operator="containsText" text="En gestión">
      <formula>NOT(ISERROR(SEARCH("En gestión",BW236)))</formula>
    </cfRule>
  </conditionalFormatting>
  <conditionalFormatting sqref="BX236">
    <cfRule type="beginsWith" dxfId="1293" priority="746" operator="beginsWith" text="T">
      <formula>LEFT(BX236,LEN("T"))="T"</formula>
    </cfRule>
    <cfRule type="containsText" dxfId="1292" priority="747" operator="containsText" text="Sin iniciar">
      <formula>NOT(ISERROR(SEARCH("Sin iniciar",BX236)))</formula>
    </cfRule>
    <cfRule type="containsText" dxfId="1291" priority="748" operator="containsText" text="En gestión">
      <formula>NOT(ISERROR(SEARCH("En gestión",BX236)))</formula>
    </cfRule>
  </conditionalFormatting>
  <conditionalFormatting sqref="BW238">
    <cfRule type="beginsWith" dxfId="1290" priority="743" operator="beginsWith" text="T">
      <formula>LEFT(BW238,LEN("T"))="T"</formula>
    </cfRule>
    <cfRule type="containsText" dxfId="1289" priority="744" operator="containsText" text="Sin iniciar">
      <formula>NOT(ISERROR(SEARCH("Sin iniciar",BW238)))</formula>
    </cfRule>
    <cfRule type="containsText" dxfId="1288" priority="745" operator="containsText" text="En gestión">
      <formula>NOT(ISERROR(SEARCH("En gestión",BW238)))</formula>
    </cfRule>
  </conditionalFormatting>
  <conditionalFormatting sqref="BX238">
    <cfRule type="beginsWith" dxfId="1287" priority="740" operator="beginsWith" text="T">
      <formula>LEFT(BX238,LEN("T"))="T"</formula>
    </cfRule>
    <cfRule type="containsText" dxfId="1286" priority="741" operator="containsText" text="Sin iniciar">
      <formula>NOT(ISERROR(SEARCH("Sin iniciar",BX238)))</formula>
    </cfRule>
    <cfRule type="containsText" dxfId="1285" priority="742" operator="containsText" text="En gestión">
      <formula>NOT(ISERROR(SEARCH("En gestión",BX238)))</formula>
    </cfRule>
  </conditionalFormatting>
  <conditionalFormatting sqref="BW240">
    <cfRule type="beginsWith" dxfId="1284" priority="737" operator="beginsWith" text="T">
      <formula>LEFT(BW240,LEN("T"))="T"</formula>
    </cfRule>
    <cfRule type="containsText" dxfId="1283" priority="738" operator="containsText" text="Sin iniciar">
      <formula>NOT(ISERROR(SEARCH("Sin iniciar",BW240)))</formula>
    </cfRule>
    <cfRule type="containsText" dxfId="1282" priority="739" operator="containsText" text="En gestión">
      <formula>NOT(ISERROR(SEARCH("En gestión",BW240)))</formula>
    </cfRule>
  </conditionalFormatting>
  <conditionalFormatting sqref="Y325:Y372">
    <cfRule type="beginsWith" dxfId="1281" priority="731" operator="beginsWith" text="T">
      <formula>LEFT(Y325,LEN("T"))="T"</formula>
    </cfRule>
    <cfRule type="containsText" dxfId="1280" priority="732" operator="containsText" text="Sin iniciar">
      <formula>NOT(ISERROR(SEARCH("Sin iniciar",Y325)))</formula>
    </cfRule>
    <cfRule type="containsText" dxfId="1279" priority="733" operator="containsText" text="En gestión">
      <formula>NOT(ISERROR(SEARCH("En gestión",Y325)))</formula>
    </cfRule>
  </conditionalFormatting>
  <conditionalFormatting sqref="Z325:Z372">
    <cfRule type="beginsWith" dxfId="1278" priority="728" operator="beginsWith" text="T">
      <formula>LEFT(Z325,LEN("T"))="T"</formula>
    </cfRule>
    <cfRule type="containsText" dxfId="1277" priority="729" operator="containsText" text="Sin iniciar">
      <formula>NOT(ISERROR(SEARCH("Sin iniciar",Z325)))</formula>
    </cfRule>
    <cfRule type="containsText" dxfId="1276" priority="730" operator="containsText" text="En gestión">
      <formula>NOT(ISERROR(SEARCH("En gestión",Z325)))</formula>
    </cfRule>
  </conditionalFormatting>
  <conditionalFormatting sqref="AV325:AV372">
    <cfRule type="beginsWith" dxfId="1275" priority="725" operator="beginsWith" text="T">
      <formula>LEFT(AV325,LEN("T"))="T"</formula>
    </cfRule>
    <cfRule type="containsText" dxfId="1274" priority="726" operator="containsText" text="Sin iniciar">
      <formula>NOT(ISERROR(SEARCH("Sin iniciar",AV325)))</formula>
    </cfRule>
    <cfRule type="containsText" dxfId="1273" priority="727" operator="containsText" text="En gestión">
      <formula>NOT(ISERROR(SEARCH("En gestión",AV325)))</formula>
    </cfRule>
  </conditionalFormatting>
  <conditionalFormatting sqref="AU325:AU372">
    <cfRule type="beginsWith" dxfId="1272" priority="722" operator="beginsWith" text="T">
      <formula>LEFT(AU325,LEN("T"))="T"</formula>
    </cfRule>
    <cfRule type="containsText" dxfId="1271" priority="723" operator="containsText" text="Sin iniciar">
      <formula>NOT(ISERROR(SEARCH("Sin iniciar",AU325)))</formula>
    </cfRule>
    <cfRule type="containsText" dxfId="1270" priority="724" operator="containsText" text="En gestión">
      <formula>NOT(ISERROR(SEARCH("En gestión",AU325)))</formula>
    </cfRule>
  </conditionalFormatting>
  <conditionalFormatting sqref="H357">
    <cfRule type="cellIs" dxfId="1269" priority="715" operator="equal">
      <formula>"Otro"</formula>
    </cfRule>
  </conditionalFormatting>
  <conditionalFormatting sqref="J357">
    <cfRule type="cellIs" dxfId="1268" priority="716" operator="equal">
      <formula>"Otro"</formula>
    </cfRule>
  </conditionalFormatting>
  <conditionalFormatting sqref="H358:H372">
    <cfRule type="cellIs" dxfId="1267" priority="717" operator="equal">
      <formula>"Otro"</formula>
    </cfRule>
  </conditionalFormatting>
  <conditionalFormatting sqref="I358">
    <cfRule type="cellIs" dxfId="1266" priority="718" operator="equal">
      <formula>"Otro"</formula>
    </cfRule>
  </conditionalFormatting>
  <conditionalFormatting sqref="J358:J372">
    <cfRule type="cellIs" dxfId="1265" priority="719" operator="equal">
      <formula>"Otro"</formula>
    </cfRule>
  </conditionalFormatting>
  <conditionalFormatting sqref="J359:J372">
    <cfRule type="cellIs" dxfId="1264" priority="720" operator="equal">
      <formula>"Otro"</formula>
    </cfRule>
  </conditionalFormatting>
  <conditionalFormatting sqref="J359:J372">
    <cfRule type="cellIs" dxfId="1263" priority="721" operator="equal">
      <formula>"Otro"</formula>
    </cfRule>
  </conditionalFormatting>
  <conditionalFormatting sqref="AD325:AE334">
    <cfRule type="beginsWith" dxfId="1262" priority="685" operator="beginsWith" text="E">
      <formula>LEFT(AD325,LEN("E"))="E"</formula>
    </cfRule>
    <cfRule type="beginsWith" dxfId="1261" priority="686" operator="beginsWith" text="T">
      <formula>LEFT(AD325,LEN("T"))="T"</formula>
    </cfRule>
    <cfRule type="beginsWith" dxfId="1260" priority="687" operator="beginsWith" text="S">
      <formula>LEFT(AD325,LEN("S"))="S"</formula>
    </cfRule>
  </conditionalFormatting>
  <conditionalFormatting sqref="AD335:AE341">
    <cfRule type="beginsWith" dxfId="1259" priority="688" operator="beginsWith" text="E">
      <formula>LEFT(AD335,LEN("E"))="E"</formula>
    </cfRule>
    <cfRule type="beginsWith" dxfId="1258" priority="689" operator="beginsWith" text="T">
      <formula>LEFT(AD335,LEN("T"))="T"</formula>
    </cfRule>
    <cfRule type="beginsWith" dxfId="1257" priority="690" operator="beginsWith" text="S">
      <formula>LEFT(AD335,LEN("S"))="S"</formula>
    </cfRule>
  </conditionalFormatting>
  <conditionalFormatting sqref="AD342:AE346">
    <cfRule type="beginsWith" dxfId="1256" priority="691" operator="beginsWith" text="E">
      <formula>LEFT(AD342,LEN("E"))="E"</formula>
    </cfRule>
    <cfRule type="beginsWith" dxfId="1255" priority="692" operator="beginsWith" text="T">
      <formula>LEFT(AD342,LEN("T"))="T"</formula>
    </cfRule>
    <cfRule type="beginsWith" dxfId="1254" priority="693" operator="beginsWith" text="S">
      <formula>LEFT(AD342,LEN("S"))="S"</formula>
    </cfRule>
  </conditionalFormatting>
  <conditionalFormatting sqref="AD347:AE348">
    <cfRule type="beginsWith" dxfId="1253" priority="694" operator="beginsWith" text="E">
      <formula>LEFT(AD347,LEN("E"))="E"</formula>
    </cfRule>
    <cfRule type="beginsWith" dxfId="1252" priority="695" operator="beginsWith" text="T">
      <formula>LEFT(AD347,LEN("T"))="T"</formula>
    </cfRule>
    <cfRule type="beginsWith" dxfId="1251" priority="696" operator="beginsWith" text="S">
      <formula>LEFT(AD347,LEN("S"))="S"</formula>
    </cfRule>
  </conditionalFormatting>
  <conditionalFormatting sqref="AD349:AE356">
    <cfRule type="beginsWith" dxfId="1250" priority="697" operator="beginsWith" text="E">
      <formula>LEFT(AD349,LEN("E"))="E"</formula>
    </cfRule>
    <cfRule type="beginsWith" dxfId="1249" priority="698" operator="beginsWith" text="T">
      <formula>LEFT(AD349,LEN("T"))="T"</formula>
    </cfRule>
    <cfRule type="beginsWith" dxfId="1248" priority="699" operator="beginsWith" text="S">
      <formula>LEFT(AD349,LEN("S"))="S"</formula>
    </cfRule>
  </conditionalFormatting>
  <conditionalFormatting sqref="AD357:AE357">
    <cfRule type="beginsWith" dxfId="1247" priority="700" operator="beginsWith" text="E">
      <formula>LEFT(AD357,LEN("E"))="E"</formula>
    </cfRule>
    <cfRule type="beginsWith" dxfId="1246" priority="701" operator="beginsWith" text="T">
      <formula>LEFT(AD357,LEN("T"))="T"</formula>
    </cfRule>
    <cfRule type="beginsWith" dxfId="1245" priority="702" operator="beginsWith" text="S">
      <formula>LEFT(AD357,LEN("S"))="S"</formula>
    </cfRule>
  </conditionalFormatting>
  <conditionalFormatting sqref="AD358:AE358">
    <cfRule type="beginsWith" dxfId="1244" priority="703" operator="beginsWith" text="E">
      <formula>LEFT(AD358,LEN("E"))="E"</formula>
    </cfRule>
    <cfRule type="beginsWith" dxfId="1243" priority="704" operator="beginsWith" text="T">
      <formula>LEFT(AD358,LEN("T"))="T"</formula>
    </cfRule>
    <cfRule type="beginsWith" dxfId="1242" priority="705" operator="beginsWith" text="S">
      <formula>LEFT(AD358,LEN("S"))="S"</formula>
    </cfRule>
  </conditionalFormatting>
  <conditionalFormatting sqref="AD359:AE363">
    <cfRule type="beginsWith" dxfId="1241" priority="706" operator="beginsWith" text="E">
      <formula>LEFT(AD359,LEN("E"))="E"</formula>
    </cfRule>
    <cfRule type="beginsWith" dxfId="1240" priority="707" operator="beginsWith" text="T">
      <formula>LEFT(AD359,LEN("T"))="T"</formula>
    </cfRule>
    <cfRule type="beginsWith" dxfId="1239" priority="708" operator="beginsWith" text="S">
      <formula>LEFT(AD359,LEN("S"))="S"</formula>
    </cfRule>
  </conditionalFormatting>
  <conditionalFormatting sqref="AD364:AE368">
    <cfRule type="beginsWith" dxfId="1238" priority="709" operator="beginsWith" text="E">
      <formula>LEFT(AD364,LEN("E"))="E"</formula>
    </cfRule>
    <cfRule type="beginsWith" dxfId="1237" priority="710" operator="beginsWith" text="T">
      <formula>LEFT(AD364,LEN("T"))="T"</formula>
    </cfRule>
    <cfRule type="beginsWith" dxfId="1236" priority="711" operator="beginsWith" text="S">
      <formula>LEFT(AD364,LEN("S"))="S"</formula>
    </cfRule>
  </conditionalFormatting>
  <conditionalFormatting sqref="AD369:AE372">
    <cfRule type="beginsWith" dxfId="1235" priority="712" operator="beginsWith" text="E">
      <formula>LEFT(AD369,LEN("E"))="E"</formula>
    </cfRule>
    <cfRule type="beginsWith" dxfId="1234" priority="713" operator="beginsWith" text="T">
      <formula>LEFT(AD369,LEN("T"))="T"</formula>
    </cfRule>
    <cfRule type="beginsWith" dxfId="1233" priority="714" operator="beginsWith" text="S">
      <formula>LEFT(AD369,LEN("S"))="S"</formula>
    </cfRule>
  </conditionalFormatting>
  <conditionalFormatting sqref="AZ325:BA334">
    <cfRule type="beginsWith" dxfId="1232" priority="655" operator="beginsWith" text="E">
      <formula>LEFT(AZ325,LEN("E"))="E"</formula>
    </cfRule>
    <cfRule type="beginsWith" dxfId="1231" priority="656" operator="beginsWith" text="T">
      <formula>LEFT(AZ325,LEN("T"))="T"</formula>
    </cfRule>
    <cfRule type="beginsWith" dxfId="1230" priority="657" operator="beginsWith" text="S">
      <formula>LEFT(AZ325,LEN("S"))="S"</formula>
    </cfRule>
  </conditionalFormatting>
  <conditionalFormatting sqref="AZ335:BA341">
    <cfRule type="beginsWith" dxfId="1229" priority="658" operator="beginsWith" text="E">
      <formula>LEFT(AZ335,LEN("E"))="E"</formula>
    </cfRule>
    <cfRule type="beginsWith" dxfId="1228" priority="659" operator="beginsWith" text="T">
      <formula>LEFT(AZ335,LEN("T"))="T"</formula>
    </cfRule>
    <cfRule type="beginsWith" dxfId="1227" priority="660" operator="beginsWith" text="S">
      <formula>LEFT(AZ335,LEN("S"))="S"</formula>
    </cfRule>
  </conditionalFormatting>
  <conditionalFormatting sqref="AZ342:BA346">
    <cfRule type="beginsWith" dxfId="1226" priority="661" operator="beginsWith" text="E">
      <formula>LEFT(AZ342,LEN("E"))="E"</formula>
    </cfRule>
    <cfRule type="beginsWith" dxfId="1225" priority="662" operator="beginsWith" text="T">
      <formula>LEFT(AZ342,LEN("T"))="T"</formula>
    </cfRule>
    <cfRule type="beginsWith" dxfId="1224" priority="663" operator="beginsWith" text="S">
      <formula>LEFT(AZ342,LEN("S"))="S"</formula>
    </cfRule>
  </conditionalFormatting>
  <conditionalFormatting sqref="AZ347:BA348">
    <cfRule type="beginsWith" dxfId="1223" priority="664" operator="beginsWith" text="E">
      <formula>LEFT(AZ347,LEN("E"))="E"</formula>
    </cfRule>
    <cfRule type="beginsWith" dxfId="1222" priority="665" operator="beginsWith" text="T">
      <formula>LEFT(AZ347,LEN("T"))="T"</formula>
    </cfRule>
    <cfRule type="beginsWith" dxfId="1221" priority="666" operator="beginsWith" text="S">
      <formula>LEFT(AZ347,LEN("S"))="S"</formula>
    </cfRule>
  </conditionalFormatting>
  <conditionalFormatting sqref="AZ349:BA356">
    <cfRule type="beginsWith" dxfId="1220" priority="667" operator="beginsWith" text="E">
      <formula>LEFT(AZ349,LEN("E"))="E"</formula>
    </cfRule>
    <cfRule type="beginsWith" dxfId="1219" priority="668" operator="beginsWith" text="T">
      <formula>LEFT(AZ349,LEN("T"))="T"</formula>
    </cfRule>
    <cfRule type="beginsWith" dxfId="1218" priority="669" operator="beginsWith" text="S">
      <formula>LEFT(AZ349,LEN("S"))="S"</formula>
    </cfRule>
  </conditionalFormatting>
  <conditionalFormatting sqref="AZ357:BA357">
    <cfRule type="beginsWith" dxfId="1217" priority="670" operator="beginsWith" text="E">
      <formula>LEFT(AZ357,LEN("E"))="E"</formula>
    </cfRule>
    <cfRule type="beginsWith" dxfId="1216" priority="671" operator="beginsWith" text="T">
      <formula>LEFT(AZ357,LEN("T"))="T"</formula>
    </cfRule>
    <cfRule type="beginsWith" dxfId="1215" priority="672" operator="beginsWith" text="S">
      <formula>LEFT(AZ357,LEN("S"))="S"</formula>
    </cfRule>
  </conditionalFormatting>
  <conditionalFormatting sqref="AZ358:BA358">
    <cfRule type="beginsWith" dxfId="1214" priority="673" operator="beginsWith" text="E">
      <formula>LEFT(AZ358,LEN("E"))="E"</formula>
    </cfRule>
    <cfRule type="beginsWith" dxfId="1213" priority="674" operator="beginsWith" text="T">
      <formula>LEFT(AZ358,LEN("T"))="T"</formula>
    </cfRule>
    <cfRule type="beginsWith" dxfId="1212" priority="675" operator="beginsWith" text="S">
      <formula>LEFT(AZ358,LEN("S"))="S"</formula>
    </cfRule>
  </conditionalFormatting>
  <conditionalFormatting sqref="AZ359:BA363">
    <cfRule type="beginsWith" dxfId="1211" priority="676" operator="beginsWith" text="E">
      <formula>LEFT(AZ359,LEN("E"))="E"</formula>
    </cfRule>
    <cfRule type="beginsWith" dxfId="1210" priority="677" operator="beginsWith" text="T">
      <formula>LEFT(AZ359,LEN("T"))="T"</formula>
    </cfRule>
    <cfRule type="beginsWith" dxfId="1209" priority="678" operator="beginsWith" text="S">
      <formula>LEFT(AZ359,LEN("S"))="S"</formula>
    </cfRule>
  </conditionalFormatting>
  <conditionalFormatting sqref="AZ364:BA368">
    <cfRule type="beginsWith" dxfId="1208" priority="679" operator="beginsWith" text="E">
      <formula>LEFT(AZ364,LEN("E"))="E"</formula>
    </cfRule>
    <cfRule type="beginsWith" dxfId="1207" priority="680" operator="beginsWith" text="T">
      <formula>LEFT(AZ364,LEN("T"))="T"</formula>
    </cfRule>
    <cfRule type="beginsWith" dxfId="1206" priority="681" operator="beginsWith" text="S">
      <formula>LEFT(AZ364,LEN("S"))="S"</formula>
    </cfRule>
  </conditionalFormatting>
  <conditionalFormatting sqref="AZ369:BA372">
    <cfRule type="beginsWith" dxfId="1205" priority="682" operator="beginsWith" text="E">
      <formula>LEFT(AZ369,LEN("E"))="E"</formula>
    </cfRule>
    <cfRule type="beginsWith" dxfId="1204" priority="683" operator="beginsWith" text="T">
      <formula>LEFT(AZ369,LEN("T"))="T"</formula>
    </cfRule>
    <cfRule type="beginsWith" dxfId="1203" priority="684" operator="beginsWith" text="S">
      <formula>LEFT(AZ369,LEN("S"))="S"</formula>
    </cfRule>
  </conditionalFormatting>
  <conditionalFormatting sqref="BS325:BS372">
    <cfRule type="beginsWith" dxfId="1202" priority="652" operator="beginsWith" text="T">
      <formula>LEFT(BS325,LEN("T"))="T"</formula>
    </cfRule>
    <cfRule type="containsText" dxfId="1201" priority="653" operator="containsText" text="Sin iniciar">
      <formula>NOT(ISERROR(SEARCH("Sin iniciar",BS325)))</formula>
    </cfRule>
    <cfRule type="containsText" dxfId="1200" priority="654" operator="containsText" text="En gestión">
      <formula>NOT(ISERROR(SEARCH("En gestión",BS325)))</formula>
    </cfRule>
  </conditionalFormatting>
  <conditionalFormatting sqref="BR325:BR372">
    <cfRule type="beginsWith" dxfId="1199" priority="649" operator="beginsWith" text="T">
      <formula>LEFT(BR325,LEN("T"))="T"</formula>
    </cfRule>
    <cfRule type="containsText" dxfId="1198" priority="650" operator="containsText" text="Sin iniciar">
      <formula>NOT(ISERROR(SEARCH("Sin iniciar",BR325)))</formula>
    </cfRule>
    <cfRule type="containsText" dxfId="1197" priority="651" operator="containsText" text="En gestión">
      <formula>NOT(ISERROR(SEARCH("En gestión",BR325)))</formula>
    </cfRule>
  </conditionalFormatting>
  <conditionalFormatting sqref="BW325:BX334">
    <cfRule type="beginsWith" dxfId="1196" priority="619" operator="beginsWith" text="E">
      <formula>LEFT(BW325,LEN("E"))="E"</formula>
    </cfRule>
    <cfRule type="beginsWith" dxfId="1195" priority="620" operator="beginsWith" text="T">
      <formula>LEFT(BW325,LEN("T"))="T"</formula>
    </cfRule>
    <cfRule type="beginsWith" dxfId="1194" priority="621" operator="beginsWith" text="S">
      <formula>LEFT(BW325,LEN("S"))="S"</formula>
    </cfRule>
  </conditionalFormatting>
  <conditionalFormatting sqref="BW335:BX341">
    <cfRule type="beginsWith" dxfId="1193" priority="622" operator="beginsWith" text="E">
      <formula>LEFT(BW335,LEN("E"))="E"</formula>
    </cfRule>
    <cfRule type="beginsWith" dxfId="1192" priority="623" operator="beginsWith" text="T">
      <formula>LEFT(BW335,LEN("T"))="T"</formula>
    </cfRule>
    <cfRule type="beginsWith" dxfId="1191" priority="624" operator="beginsWith" text="S">
      <formula>LEFT(BW335,LEN("S"))="S"</formula>
    </cfRule>
  </conditionalFormatting>
  <conditionalFormatting sqref="BW342:BX346">
    <cfRule type="beginsWith" dxfId="1190" priority="625" operator="beginsWith" text="E">
      <formula>LEFT(BW342,LEN("E"))="E"</formula>
    </cfRule>
    <cfRule type="beginsWith" dxfId="1189" priority="626" operator="beginsWith" text="T">
      <formula>LEFT(BW342,LEN("T"))="T"</formula>
    </cfRule>
    <cfRule type="beginsWith" dxfId="1188" priority="627" operator="beginsWith" text="S">
      <formula>LEFT(BW342,LEN("S"))="S"</formula>
    </cfRule>
  </conditionalFormatting>
  <conditionalFormatting sqref="BW347:BX348">
    <cfRule type="beginsWith" dxfId="1187" priority="628" operator="beginsWith" text="E">
      <formula>LEFT(BW347,LEN("E"))="E"</formula>
    </cfRule>
    <cfRule type="beginsWith" dxfId="1186" priority="629" operator="beginsWith" text="T">
      <formula>LEFT(BW347,LEN("T"))="T"</formula>
    </cfRule>
    <cfRule type="beginsWith" dxfId="1185" priority="630" operator="beginsWith" text="S">
      <formula>LEFT(BW347,LEN("S"))="S"</formula>
    </cfRule>
  </conditionalFormatting>
  <conditionalFormatting sqref="BW349:BX356">
    <cfRule type="beginsWith" dxfId="1184" priority="631" operator="beginsWith" text="E">
      <formula>LEFT(BW349,LEN("E"))="E"</formula>
    </cfRule>
    <cfRule type="beginsWith" dxfId="1183" priority="632" operator="beginsWith" text="T">
      <formula>LEFT(BW349,LEN("T"))="T"</formula>
    </cfRule>
    <cfRule type="beginsWith" dxfId="1182" priority="633" operator="beginsWith" text="S">
      <formula>LEFT(BW349,LEN("S"))="S"</formula>
    </cfRule>
  </conditionalFormatting>
  <conditionalFormatting sqref="BW357:BX357">
    <cfRule type="beginsWith" dxfId="1181" priority="634" operator="beginsWith" text="E">
      <formula>LEFT(BW357,LEN("E"))="E"</formula>
    </cfRule>
    <cfRule type="beginsWith" dxfId="1180" priority="635" operator="beginsWith" text="T">
      <formula>LEFT(BW357,LEN("T"))="T"</formula>
    </cfRule>
    <cfRule type="beginsWith" dxfId="1179" priority="636" operator="beginsWith" text="S">
      <formula>LEFT(BW357,LEN("S"))="S"</formula>
    </cfRule>
  </conditionalFormatting>
  <conditionalFormatting sqref="BW358:BX358">
    <cfRule type="beginsWith" dxfId="1178" priority="637" operator="beginsWith" text="E">
      <formula>LEFT(BW358,LEN("E"))="E"</formula>
    </cfRule>
    <cfRule type="beginsWith" dxfId="1177" priority="638" operator="beginsWith" text="T">
      <formula>LEFT(BW358,LEN("T"))="T"</formula>
    </cfRule>
    <cfRule type="beginsWith" dxfId="1176" priority="639" operator="beginsWith" text="S">
      <formula>LEFT(BW358,LEN("S"))="S"</formula>
    </cfRule>
  </conditionalFormatting>
  <conditionalFormatting sqref="BW359:BX363">
    <cfRule type="beginsWith" dxfId="1175" priority="640" operator="beginsWith" text="E">
      <formula>LEFT(BW359,LEN("E"))="E"</formula>
    </cfRule>
    <cfRule type="beginsWith" dxfId="1174" priority="641" operator="beginsWith" text="T">
      <formula>LEFT(BW359,LEN("T"))="T"</formula>
    </cfRule>
    <cfRule type="beginsWith" dxfId="1173" priority="642" operator="beginsWith" text="S">
      <formula>LEFT(BW359,LEN("S"))="S"</formula>
    </cfRule>
  </conditionalFormatting>
  <conditionalFormatting sqref="BW364:BX368">
    <cfRule type="beginsWith" dxfId="1172" priority="643" operator="beginsWith" text="E">
      <formula>LEFT(BW364,LEN("E"))="E"</formula>
    </cfRule>
    <cfRule type="beginsWith" dxfId="1171" priority="644" operator="beginsWith" text="T">
      <formula>LEFT(BW364,LEN("T"))="T"</formula>
    </cfRule>
    <cfRule type="beginsWith" dxfId="1170" priority="645" operator="beginsWith" text="S">
      <formula>LEFT(BW364,LEN("S"))="S"</formula>
    </cfRule>
  </conditionalFormatting>
  <conditionalFormatting sqref="BW369:BX372">
    <cfRule type="beginsWith" dxfId="1169" priority="646" operator="beginsWith" text="E">
      <formula>LEFT(BW369,LEN("E"))="E"</formula>
    </cfRule>
    <cfRule type="beginsWith" dxfId="1168" priority="647" operator="beginsWith" text="T">
      <formula>LEFT(BW369,LEN("T"))="T"</formula>
    </cfRule>
    <cfRule type="beginsWith" dxfId="1167" priority="648" operator="beginsWith" text="S">
      <formula>LEFT(BW369,LEN("S"))="S"</formula>
    </cfRule>
  </conditionalFormatting>
  <conditionalFormatting sqref="Y373:Y400">
    <cfRule type="beginsWith" dxfId="1166" priority="616" operator="beginsWith" text="T">
      <formula>LEFT(Y373,LEN("T"))="T"</formula>
    </cfRule>
    <cfRule type="containsText" dxfId="1165" priority="617" operator="containsText" text="Sin iniciar">
      <formula>NOT(ISERROR(SEARCH("Sin iniciar",Y373)))</formula>
    </cfRule>
    <cfRule type="containsText" dxfId="1164" priority="618" operator="containsText" text="En gestión">
      <formula>NOT(ISERROR(SEARCH("En gestión",Y373)))</formula>
    </cfRule>
  </conditionalFormatting>
  <conditionalFormatting sqref="Z373:Z400">
    <cfRule type="beginsWith" dxfId="1163" priority="613" operator="beginsWith" text="T">
      <formula>LEFT(Z373,LEN("T"))="T"</formula>
    </cfRule>
    <cfRule type="containsText" dxfId="1162" priority="614" operator="containsText" text="Sin iniciar">
      <formula>NOT(ISERROR(SEARCH("Sin iniciar",Z373)))</formula>
    </cfRule>
    <cfRule type="containsText" dxfId="1161" priority="615" operator="containsText" text="En gestión">
      <formula>NOT(ISERROR(SEARCH("En gestión",Z373)))</formula>
    </cfRule>
  </conditionalFormatting>
  <conditionalFormatting sqref="AV373:AV400">
    <cfRule type="beginsWith" dxfId="1160" priority="610" operator="beginsWith" text="T">
      <formula>LEFT(AV373,LEN("T"))="T"</formula>
    </cfRule>
    <cfRule type="containsText" dxfId="1159" priority="611" operator="containsText" text="Sin iniciar">
      <formula>NOT(ISERROR(SEARCH("Sin iniciar",AV373)))</formula>
    </cfRule>
    <cfRule type="containsText" dxfId="1158" priority="612" operator="containsText" text="En gestión">
      <formula>NOT(ISERROR(SEARCH("En gestión",AV373)))</formula>
    </cfRule>
  </conditionalFormatting>
  <conditionalFormatting sqref="AU373:AU400">
    <cfRule type="beginsWith" dxfId="1157" priority="607" operator="beginsWith" text="T">
      <formula>LEFT(AU373,LEN("T"))="T"</formula>
    </cfRule>
    <cfRule type="containsText" dxfId="1156" priority="608" operator="containsText" text="Sin iniciar">
      <formula>NOT(ISERROR(SEARCH("Sin iniciar",AU373)))</formula>
    </cfRule>
    <cfRule type="containsText" dxfId="1155" priority="609" operator="containsText" text="En gestión">
      <formula>NOT(ISERROR(SEARCH("En gestión",AU373)))</formula>
    </cfRule>
  </conditionalFormatting>
  <conditionalFormatting sqref="AE381">
    <cfRule type="beginsWith" dxfId="1154" priority="583" operator="beginsWith" text="T">
      <formula>LEFT(AE381,LEN("T"))="T"</formula>
    </cfRule>
    <cfRule type="containsText" dxfId="1153" priority="584" operator="containsText" text="Sin iniciar">
      <formula>NOT(ISERROR(SEARCH("Sin iniciar",AE381)))</formula>
    </cfRule>
    <cfRule type="containsText" dxfId="1152" priority="585" operator="containsText" text="En gestión">
      <formula>NOT(ISERROR(SEARCH("En gestión",AE381)))</formula>
    </cfRule>
  </conditionalFormatting>
  <conditionalFormatting sqref="AE383">
    <cfRule type="beginsWith" dxfId="1151" priority="577" operator="beginsWith" text="T">
      <formula>LEFT(AE383,LEN("T"))="T"</formula>
    </cfRule>
    <cfRule type="containsText" dxfId="1150" priority="578" operator="containsText" text="Sin iniciar">
      <formula>NOT(ISERROR(SEARCH("Sin iniciar",AE383)))</formula>
    </cfRule>
    <cfRule type="containsText" dxfId="1149" priority="579" operator="containsText" text="En gestión">
      <formula>NOT(ISERROR(SEARCH("En gestión",AE383)))</formula>
    </cfRule>
  </conditionalFormatting>
  <conditionalFormatting sqref="AD373">
    <cfRule type="beginsWith" dxfId="1148" priority="604" operator="beginsWith" text="T">
      <formula>LEFT(AD373,LEN("T"))="T"</formula>
    </cfRule>
    <cfRule type="containsText" dxfId="1147" priority="605" operator="containsText" text="Sin iniciar">
      <formula>NOT(ISERROR(SEARCH("Sin iniciar",AD373)))</formula>
    </cfRule>
    <cfRule type="containsText" dxfId="1146" priority="606" operator="containsText" text="En gestión">
      <formula>NOT(ISERROR(SEARCH("En gestión",AD373)))</formula>
    </cfRule>
  </conditionalFormatting>
  <conditionalFormatting sqref="AE373">
    <cfRule type="beginsWith" dxfId="1145" priority="601" operator="beginsWith" text="T">
      <formula>LEFT(AE373,LEN("T"))="T"</formula>
    </cfRule>
    <cfRule type="containsText" dxfId="1144" priority="602" operator="containsText" text="Sin iniciar">
      <formula>NOT(ISERROR(SEARCH("Sin iniciar",AE373)))</formula>
    </cfRule>
    <cfRule type="containsText" dxfId="1143" priority="603" operator="containsText" text="En gestión">
      <formula>NOT(ISERROR(SEARCH("En gestión",AE373)))</formula>
    </cfRule>
  </conditionalFormatting>
  <conditionalFormatting sqref="AD375">
    <cfRule type="beginsWith" dxfId="1142" priority="598" operator="beginsWith" text="T">
      <formula>LEFT(AD375,LEN("T"))="T"</formula>
    </cfRule>
    <cfRule type="containsText" dxfId="1141" priority="599" operator="containsText" text="Sin iniciar">
      <formula>NOT(ISERROR(SEARCH("Sin iniciar",AD375)))</formula>
    </cfRule>
    <cfRule type="containsText" dxfId="1140" priority="600" operator="containsText" text="En gestión">
      <formula>NOT(ISERROR(SEARCH("En gestión",AD375)))</formula>
    </cfRule>
  </conditionalFormatting>
  <conditionalFormatting sqref="AE375">
    <cfRule type="beginsWith" dxfId="1139" priority="595" operator="beginsWith" text="T">
      <formula>LEFT(AE375,LEN("T"))="T"</formula>
    </cfRule>
    <cfRule type="containsText" dxfId="1138" priority="596" operator="containsText" text="Sin iniciar">
      <formula>NOT(ISERROR(SEARCH("Sin iniciar",AE375)))</formula>
    </cfRule>
    <cfRule type="containsText" dxfId="1137" priority="597" operator="containsText" text="En gestión">
      <formula>NOT(ISERROR(SEARCH("En gestión",AE375)))</formula>
    </cfRule>
  </conditionalFormatting>
  <conditionalFormatting sqref="AD378">
    <cfRule type="beginsWith" dxfId="1136" priority="592" operator="beginsWith" text="T">
      <formula>LEFT(AD378,LEN("T"))="T"</formula>
    </cfRule>
    <cfRule type="containsText" dxfId="1135" priority="593" operator="containsText" text="Sin iniciar">
      <formula>NOT(ISERROR(SEARCH("Sin iniciar",AD378)))</formula>
    </cfRule>
    <cfRule type="containsText" dxfId="1134" priority="594" operator="containsText" text="En gestión">
      <formula>NOT(ISERROR(SEARCH("En gestión",AD378)))</formula>
    </cfRule>
  </conditionalFormatting>
  <conditionalFormatting sqref="AE378">
    <cfRule type="beginsWith" dxfId="1133" priority="589" operator="beginsWith" text="T">
      <formula>LEFT(AE378,LEN("T"))="T"</formula>
    </cfRule>
    <cfRule type="containsText" dxfId="1132" priority="590" operator="containsText" text="Sin iniciar">
      <formula>NOT(ISERROR(SEARCH("Sin iniciar",AE378)))</formula>
    </cfRule>
    <cfRule type="containsText" dxfId="1131" priority="591" operator="containsText" text="En gestión">
      <formula>NOT(ISERROR(SEARCH("En gestión",AE378)))</formula>
    </cfRule>
  </conditionalFormatting>
  <conditionalFormatting sqref="AD381">
    <cfRule type="beginsWith" dxfId="1130" priority="586" operator="beginsWith" text="T">
      <formula>LEFT(AD381,LEN("T"))="T"</formula>
    </cfRule>
    <cfRule type="containsText" dxfId="1129" priority="587" operator="containsText" text="Sin iniciar">
      <formula>NOT(ISERROR(SEARCH("Sin iniciar",AD381)))</formula>
    </cfRule>
    <cfRule type="containsText" dxfId="1128" priority="588" operator="containsText" text="En gestión">
      <formula>NOT(ISERROR(SEARCH("En gestión",AD381)))</formula>
    </cfRule>
  </conditionalFormatting>
  <conditionalFormatting sqref="AD383">
    <cfRule type="beginsWith" dxfId="1127" priority="580" operator="beginsWith" text="T">
      <formula>LEFT(AD383,LEN("T"))="T"</formula>
    </cfRule>
    <cfRule type="containsText" dxfId="1126" priority="581" operator="containsText" text="Sin iniciar">
      <formula>NOT(ISERROR(SEARCH("Sin iniciar",AD383)))</formula>
    </cfRule>
    <cfRule type="containsText" dxfId="1125" priority="582" operator="containsText" text="En gestión">
      <formula>NOT(ISERROR(SEARCH("En gestión",AD383)))</formula>
    </cfRule>
  </conditionalFormatting>
  <conditionalFormatting sqref="AD386">
    <cfRule type="beginsWith" dxfId="1124" priority="574" operator="beginsWith" text="T">
      <formula>LEFT(AD386,LEN("T"))="T"</formula>
    </cfRule>
    <cfRule type="containsText" dxfId="1123" priority="575" operator="containsText" text="Sin iniciar">
      <formula>NOT(ISERROR(SEARCH("Sin iniciar",AD386)))</formula>
    </cfRule>
    <cfRule type="containsText" dxfId="1122" priority="576" operator="containsText" text="En gestión">
      <formula>NOT(ISERROR(SEARCH("En gestión",AD386)))</formula>
    </cfRule>
  </conditionalFormatting>
  <conditionalFormatting sqref="AE386">
    <cfRule type="beginsWith" dxfId="1121" priority="571" operator="beginsWith" text="T">
      <formula>LEFT(AE386,LEN("T"))="T"</formula>
    </cfRule>
    <cfRule type="containsText" dxfId="1120" priority="572" operator="containsText" text="Sin iniciar">
      <formula>NOT(ISERROR(SEARCH("Sin iniciar",AE386)))</formula>
    </cfRule>
    <cfRule type="containsText" dxfId="1119" priority="573" operator="containsText" text="En gestión">
      <formula>NOT(ISERROR(SEARCH("En gestión",AE386)))</formula>
    </cfRule>
  </conditionalFormatting>
  <conditionalFormatting sqref="AD389">
    <cfRule type="beginsWith" dxfId="1118" priority="568" operator="beginsWith" text="T">
      <formula>LEFT(AD389,LEN("T"))="T"</formula>
    </cfRule>
    <cfRule type="containsText" dxfId="1117" priority="569" operator="containsText" text="Sin iniciar">
      <formula>NOT(ISERROR(SEARCH("Sin iniciar",AD389)))</formula>
    </cfRule>
    <cfRule type="containsText" dxfId="1116" priority="570" operator="containsText" text="En gestión">
      <formula>NOT(ISERROR(SEARCH("En gestión",AD389)))</formula>
    </cfRule>
  </conditionalFormatting>
  <conditionalFormatting sqref="AE389">
    <cfRule type="beginsWith" dxfId="1115" priority="565" operator="beginsWith" text="T">
      <formula>LEFT(AE389,LEN("T"))="T"</formula>
    </cfRule>
    <cfRule type="containsText" dxfId="1114" priority="566" operator="containsText" text="Sin iniciar">
      <formula>NOT(ISERROR(SEARCH("Sin iniciar",AE389)))</formula>
    </cfRule>
    <cfRule type="containsText" dxfId="1113" priority="567" operator="containsText" text="En gestión">
      <formula>NOT(ISERROR(SEARCH("En gestión",AE389)))</formula>
    </cfRule>
  </conditionalFormatting>
  <conditionalFormatting sqref="AD392">
    <cfRule type="beginsWith" dxfId="1112" priority="562" operator="beginsWith" text="T">
      <formula>LEFT(AD392,LEN("T"))="T"</formula>
    </cfRule>
    <cfRule type="containsText" dxfId="1111" priority="563" operator="containsText" text="Sin iniciar">
      <formula>NOT(ISERROR(SEARCH("Sin iniciar",AD392)))</formula>
    </cfRule>
    <cfRule type="containsText" dxfId="1110" priority="564" operator="containsText" text="En gestión">
      <formula>NOT(ISERROR(SEARCH("En gestión",AD392)))</formula>
    </cfRule>
  </conditionalFormatting>
  <conditionalFormatting sqref="AE392">
    <cfRule type="beginsWith" dxfId="1109" priority="559" operator="beginsWith" text="T">
      <formula>LEFT(AE392,LEN("T"))="T"</formula>
    </cfRule>
    <cfRule type="containsText" dxfId="1108" priority="560" operator="containsText" text="Sin iniciar">
      <formula>NOT(ISERROR(SEARCH("Sin iniciar",AE392)))</formula>
    </cfRule>
    <cfRule type="containsText" dxfId="1107" priority="561" operator="containsText" text="En gestión">
      <formula>NOT(ISERROR(SEARCH("En gestión",AE392)))</formula>
    </cfRule>
  </conditionalFormatting>
  <conditionalFormatting sqref="BX422">
    <cfRule type="beginsWith" dxfId="1106" priority="343" operator="beginsWith" text="T">
      <formula>LEFT(BX422,LEN("T"))="T"</formula>
    </cfRule>
    <cfRule type="containsText" dxfId="1105" priority="344" operator="containsText" text="Sin iniciar">
      <formula>NOT(ISERROR(SEARCH("Sin iniciar",BX422)))</formula>
    </cfRule>
    <cfRule type="containsText" dxfId="1104" priority="345" operator="containsText" text="En gestión">
      <formula>NOT(ISERROR(SEARCH("En gestión",BX422)))</formula>
    </cfRule>
  </conditionalFormatting>
  <conditionalFormatting sqref="BW423">
    <cfRule type="beginsWith" dxfId="1103" priority="340" operator="beginsWith" text="T">
      <formula>LEFT(BW423,LEN("T"))="T"</formula>
    </cfRule>
    <cfRule type="containsText" dxfId="1102" priority="341" operator="containsText" text="Sin iniciar">
      <formula>NOT(ISERROR(SEARCH("Sin iniciar",BW423)))</formula>
    </cfRule>
    <cfRule type="containsText" dxfId="1101" priority="342" operator="containsText" text="En gestión">
      <formula>NOT(ISERROR(SEARCH("En gestión",BW423)))</formula>
    </cfRule>
  </conditionalFormatting>
  <conditionalFormatting sqref="BX423">
    <cfRule type="beginsWith" dxfId="1100" priority="337" operator="beginsWith" text="T">
      <formula>LEFT(BX423,LEN("T"))="T"</formula>
    </cfRule>
    <cfRule type="containsText" dxfId="1099" priority="338" operator="containsText" text="Sin iniciar">
      <formula>NOT(ISERROR(SEARCH("Sin iniciar",BX423)))</formula>
    </cfRule>
    <cfRule type="containsText" dxfId="1098" priority="339" operator="containsText" text="En gestión">
      <formula>NOT(ISERROR(SEARCH("En gestión",BX423)))</formula>
    </cfRule>
  </conditionalFormatting>
  <conditionalFormatting sqref="Y429:Y443">
    <cfRule type="beginsWith" dxfId="1097" priority="331" operator="beginsWith" text="T">
      <formula>LEFT(Y429,LEN("T"))="T"</formula>
    </cfRule>
    <cfRule type="containsText" dxfId="1096" priority="332" operator="containsText" text="Sin iniciar">
      <formula>NOT(ISERROR(SEARCH("Sin iniciar",Y429)))</formula>
    </cfRule>
    <cfRule type="containsText" dxfId="1095" priority="333" operator="containsText" text="En gestión">
      <formula>NOT(ISERROR(SEARCH("En gestión",Y429)))</formula>
    </cfRule>
  </conditionalFormatting>
  <conditionalFormatting sqref="Z429:Z443">
    <cfRule type="beginsWith" dxfId="1094" priority="328" operator="beginsWith" text="T">
      <formula>LEFT(Z429,LEN("T"))="T"</formula>
    </cfRule>
    <cfRule type="containsText" dxfId="1093" priority="329" operator="containsText" text="Sin iniciar">
      <formula>NOT(ISERROR(SEARCH("Sin iniciar",Z429)))</formula>
    </cfRule>
    <cfRule type="containsText" dxfId="1092" priority="330" operator="containsText" text="En gestión">
      <formula>NOT(ISERROR(SEARCH("En gestión",Z429)))</formula>
    </cfRule>
  </conditionalFormatting>
  <conditionalFormatting sqref="AV429:AV443">
    <cfRule type="beginsWith" dxfId="1091" priority="325" operator="beginsWith" text="T">
      <formula>LEFT(AV429,LEN("T"))="T"</formula>
    </cfRule>
    <cfRule type="containsText" dxfId="1090" priority="326" operator="containsText" text="Sin iniciar">
      <formula>NOT(ISERROR(SEARCH("Sin iniciar",AV429)))</formula>
    </cfRule>
    <cfRule type="containsText" dxfId="1089" priority="327" operator="containsText" text="En gestión">
      <formula>NOT(ISERROR(SEARCH("En gestión",AV429)))</formula>
    </cfRule>
  </conditionalFormatting>
  <conditionalFormatting sqref="AU429:AU443">
    <cfRule type="beginsWith" dxfId="1088" priority="322" operator="beginsWith" text="T">
      <formula>LEFT(AU429,LEN("T"))="T"</formula>
    </cfRule>
    <cfRule type="containsText" dxfId="1087" priority="323" operator="containsText" text="Sin iniciar">
      <formula>NOT(ISERROR(SEARCH("Sin iniciar",AU429)))</formula>
    </cfRule>
    <cfRule type="containsText" dxfId="1086" priority="324" operator="containsText" text="En gestión">
      <formula>NOT(ISERROR(SEARCH("En gestión",AU429)))</formula>
    </cfRule>
  </conditionalFormatting>
  <conditionalFormatting sqref="AD429">
    <cfRule type="beginsWith" dxfId="1085" priority="319" operator="beginsWith" text="T">
      <formula>LEFT(AD429,LEN("T"))="T"</formula>
    </cfRule>
    <cfRule type="containsText" dxfId="1084" priority="320" operator="containsText" text="Sin iniciar">
      <formula>NOT(ISERROR(SEARCH("Sin iniciar",AD429)))</formula>
    </cfRule>
    <cfRule type="containsText" dxfId="1083" priority="321" operator="containsText" text="En gestión">
      <formula>NOT(ISERROR(SEARCH("En gestión",AD429)))</formula>
    </cfRule>
  </conditionalFormatting>
  <conditionalFormatting sqref="AE429">
    <cfRule type="beginsWith" dxfId="1082" priority="316" operator="beginsWith" text="T">
      <formula>LEFT(AE429,LEN("T"))="T"</formula>
    </cfRule>
    <cfRule type="containsText" dxfId="1081" priority="317" operator="containsText" text="Sin iniciar">
      <formula>NOT(ISERROR(SEARCH("Sin iniciar",AE429)))</formula>
    </cfRule>
    <cfRule type="containsText" dxfId="1080" priority="318" operator="containsText" text="En gestión">
      <formula>NOT(ISERROR(SEARCH("En gestión",AE429)))</formula>
    </cfRule>
  </conditionalFormatting>
  <conditionalFormatting sqref="AD432:AE432">
    <cfRule type="beginsWith" dxfId="1079" priority="313" operator="beginsWith" text="T">
      <formula>LEFT(AD432,LEN("T"))="T"</formula>
    </cfRule>
    <cfRule type="containsText" dxfId="1078" priority="314" operator="containsText" text="Sin iniciar">
      <formula>NOT(ISERROR(SEARCH("Sin iniciar",AD432)))</formula>
    </cfRule>
    <cfRule type="containsText" dxfId="1077" priority="315" operator="containsText" text="En gestión">
      <formula>NOT(ISERROR(SEARCH("En gestión",AD432)))</formula>
    </cfRule>
  </conditionalFormatting>
  <conditionalFormatting sqref="AD441:AE441">
    <cfRule type="beginsWith" dxfId="1076" priority="310" operator="beginsWith" text="T">
      <formula>LEFT(AD441,LEN("T"))="T"</formula>
    </cfRule>
    <cfRule type="containsText" dxfId="1075" priority="311" operator="containsText" text="Sin iniciar">
      <formula>NOT(ISERROR(SEARCH("Sin iniciar",AD441)))</formula>
    </cfRule>
    <cfRule type="containsText" dxfId="1074" priority="312" operator="containsText" text="En gestión">
      <formula>NOT(ISERROR(SEARCH("En gestión",AD441)))</formula>
    </cfRule>
  </conditionalFormatting>
  <conditionalFormatting sqref="AD435">
    <cfRule type="beginsWith" dxfId="1073" priority="307" operator="beginsWith" text="T">
      <formula>LEFT(AD435,LEN("T"))="T"</formula>
    </cfRule>
    <cfRule type="containsText" dxfId="1072" priority="308" operator="containsText" text="Sin iniciar">
      <formula>NOT(ISERROR(SEARCH("Sin iniciar",AD435)))</formula>
    </cfRule>
    <cfRule type="containsText" dxfId="1071" priority="309" operator="containsText" text="En gestión">
      <formula>NOT(ISERROR(SEARCH("En gestión",AD435)))</formula>
    </cfRule>
  </conditionalFormatting>
  <conditionalFormatting sqref="AE435">
    <cfRule type="beginsWith" dxfId="1070" priority="304" operator="beginsWith" text="T">
      <formula>LEFT(AE435,LEN("T"))="T"</formula>
    </cfRule>
    <cfRule type="containsText" dxfId="1069" priority="305" operator="containsText" text="Sin iniciar">
      <formula>NOT(ISERROR(SEARCH("Sin iniciar",AE435)))</formula>
    </cfRule>
    <cfRule type="containsText" dxfId="1068" priority="306" operator="containsText" text="En gestión">
      <formula>NOT(ISERROR(SEARCH("En gestión",AE435)))</formula>
    </cfRule>
  </conditionalFormatting>
  <conditionalFormatting sqref="AZ429">
    <cfRule type="beginsWith" dxfId="1067" priority="301" operator="beginsWith" text="T">
      <formula>LEFT(AZ429,LEN("T"))="T"</formula>
    </cfRule>
    <cfRule type="containsText" dxfId="1066" priority="302" operator="containsText" text="Sin iniciar">
      <formula>NOT(ISERROR(SEARCH("Sin iniciar",AZ429)))</formula>
    </cfRule>
    <cfRule type="containsText" dxfId="1065" priority="303" operator="containsText" text="En gestión">
      <formula>NOT(ISERROR(SEARCH("En gestión",AZ429)))</formula>
    </cfRule>
  </conditionalFormatting>
  <conditionalFormatting sqref="BA429">
    <cfRule type="beginsWith" dxfId="1064" priority="298" operator="beginsWith" text="T">
      <formula>LEFT(BA429,LEN("T"))="T"</formula>
    </cfRule>
    <cfRule type="containsText" dxfId="1063" priority="299" operator="containsText" text="Sin iniciar">
      <formula>NOT(ISERROR(SEARCH("Sin iniciar",BA429)))</formula>
    </cfRule>
    <cfRule type="containsText" dxfId="1062" priority="300" operator="containsText" text="En gestión">
      <formula>NOT(ISERROR(SEARCH("En gestión",BA429)))</formula>
    </cfRule>
  </conditionalFormatting>
  <conditionalFormatting sqref="AZ432:BA432">
    <cfRule type="beginsWith" dxfId="1061" priority="295" operator="beginsWith" text="T">
      <formula>LEFT(AZ432,LEN("T"))="T"</formula>
    </cfRule>
    <cfRule type="containsText" dxfId="1060" priority="296" operator="containsText" text="Sin iniciar">
      <formula>NOT(ISERROR(SEARCH("Sin iniciar",AZ432)))</formula>
    </cfRule>
    <cfRule type="containsText" dxfId="1059" priority="297" operator="containsText" text="En gestión">
      <formula>NOT(ISERROR(SEARCH("En gestión",AZ432)))</formula>
    </cfRule>
  </conditionalFormatting>
  <conditionalFormatting sqref="Y401:Z428 AU401:AV428 BS401:BS428">
    <cfRule type="beginsWith" dxfId="1058" priority="418" operator="beginsWith" text="T">
      <formula>LEFT(Y401,LEN("T"))="T"</formula>
    </cfRule>
    <cfRule type="containsText" dxfId="1057" priority="419" operator="containsText" text="Sin iniciar">
      <formula>NOT(ISERROR(SEARCH("Sin iniciar",Y401)))</formula>
    </cfRule>
    <cfRule type="containsText" dxfId="1056" priority="420" operator="containsText" text="En gestión">
      <formula>NOT(ISERROR(SEARCH("En gestión",Y401)))</formula>
    </cfRule>
  </conditionalFormatting>
  <conditionalFormatting sqref="AD406:AE406">
    <cfRule type="beginsWith" dxfId="1055" priority="415" operator="beginsWith" text="T">
      <formula>LEFT(AD406,LEN("T"))="T"</formula>
    </cfRule>
    <cfRule type="containsText" dxfId="1054" priority="416" operator="containsText" text="Sin iniciar">
      <formula>NOT(ISERROR(SEARCH("Sin iniciar",AD406)))</formula>
    </cfRule>
    <cfRule type="containsText" dxfId="1053" priority="417" operator="containsText" text="En gestión">
      <formula>NOT(ISERROR(SEARCH("En gestión",AD406)))</formula>
    </cfRule>
  </conditionalFormatting>
  <conditionalFormatting sqref="AD401 AD409 AD412 AD417 AD420 AD425">
    <cfRule type="beginsWith" dxfId="1052" priority="412" operator="beginsWith" text="T">
      <formula>LEFT(AD401,LEN("T"))="T"</formula>
    </cfRule>
    <cfRule type="containsText" dxfId="1051" priority="413" operator="containsText" text="Sin iniciar">
      <formula>NOT(ISERROR(SEARCH("Sin iniciar",AD401)))</formula>
    </cfRule>
    <cfRule type="containsText" dxfId="1050" priority="414" operator="containsText" text="En gestión">
      <formula>NOT(ISERROR(SEARCH("En gestión",AD401)))</formula>
    </cfRule>
  </conditionalFormatting>
  <conditionalFormatting sqref="AE401 AE409 AE412 AE417 AE420 AE425">
    <cfRule type="beginsWith" dxfId="1049" priority="409" operator="beginsWith" text="T">
      <formula>LEFT(AE401,LEN("T"))="T"</formula>
    </cfRule>
    <cfRule type="containsText" dxfId="1048" priority="410" operator="containsText" text="Sin iniciar">
      <formula>NOT(ISERROR(SEARCH("Sin iniciar",AE401)))</formula>
    </cfRule>
    <cfRule type="containsText" dxfId="1047" priority="411" operator="containsText" text="En gestión">
      <formula>NOT(ISERROR(SEARCH("En gestión",AE401)))</formula>
    </cfRule>
  </conditionalFormatting>
  <conditionalFormatting sqref="AD408">
    <cfRule type="beginsWith" dxfId="1046" priority="406" operator="beginsWith" text="T">
      <formula>LEFT(AD408,LEN("T"))="T"</formula>
    </cfRule>
    <cfRule type="containsText" dxfId="1045" priority="407" operator="containsText" text="Sin iniciar">
      <formula>NOT(ISERROR(SEARCH("Sin iniciar",AD408)))</formula>
    </cfRule>
    <cfRule type="containsText" dxfId="1044" priority="408" operator="containsText" text="En gestión">
      <formula>NOT(ISERROR(SEARCH("En gestión",AD408)))</formula>
    </cfRule>
  </conditionalFormatting>
  <conditionalFormatting sqref="AE408">
    <cfRule type="beginsWith" dxfId="1043" priority="403" operator="beginsWith" text="T">
      <formula>LEFT(AE408,LEN("T"))="T"</formula>
    </cfRule>
    <cfRule type="containsText" dxfId="1042" priority="404" operator="containsText" text="Sin iniciar">
      <formula>NOT(ISERROR(SEARCH("Sin iniciar",AE408)))</formula>
    </cfRule>
    <cfRule type="containsText" dxfId="1041" priority="405" operator="containsText" text="En gestión">
      <formula>NOT(ISERROR(SEARCH("En gestión",AE408)))</formula>
    </cfRule>
  </conditionalFormatting>
  <conditionalFormatting sqref="AD422">
    <cfRule type="beginsWith" dxfId="1040" priority="400" operator="beginsWith" text="T">
      <formula>LEFT(AD422,LEN("T"))="T"</formula>
    </cfRule>
    <cfRule type="containsText" dxfId="1039" priority="401" operator="containsText" text="Sin iniciar">
      <formula>NOT(ISERROR(SEARCH("Sin iniciar",AD422)))</formula>
    </cfRule>
    <cfRule type="containsText" dxfId="1038" priority="402" operator="containsText" text="En gestión">
      <formula>NOT(ISERROR(SEARCH("En gestión",AD422)))</formula>
    </cfRule>
  </conditionalFormatting>
  <conditionalFormatting sqref="AE422">
    <cfRule type="beginsWith" dxfId="1037" priority="397" operator="beginsWith" text="T">
      <formula>LEFT(AE422,LEN("T"))="T"</formula>
    </cfRule>
    <cfRule type="containsText" dxfId="1036" priority="398" operator="containsText" text="Sin iniciar">
      <formula>NOT(ISERROR(SEARCH("Sin iniciar",AE422)))</formula>
    </cfRule>
    <cfRule type="containsText" dxfId="1035" priority="399" operator="containsText" text="En gestión">
      <formula>NOT(ISERROR(SEARCH("En gestión",AE422)))</formula>
    </cfRule>
  </conditionalFormatting>
  <conditionalFormatting sqref="AD423">
    <cfRule type="beginsWith" dxfId="1034" priority="394" operator="beginsWith" text="T">
      <formula>LEFT(AD423,LEN("T"))="T"</formula>
    </cfRule>
    <cfRule type="containsText" dxfId="1033" priority="395" operator="containsText" text="Sin iniciar">
      <formula>NOT(ISERROR(SEARCH("Sin iniciar",AD423)))</formula>
    </cfRule>
    <cfRule type="containsText" dxfId="1032" priority="396" operator="containsText" text="En gestión">
      <formula>NOT(ISERROR(SEARCH("En gestión",AD423)))</formula>
    </cfRule>
  </conditionalFormatting>
  <conditionalFormatting sqref="AE423">
    <cfRule type="beginsWith" dxfId="1031" priority="391" operator="beginsWith" text="T">
      <formula>LEFT(AE423,LEN("T"))="T"</formula>
    </cfRule>
    <cfRule type="containsText" dxfId="1030" priority="392" operator="containsText" text="Sin iniciar">
      <formula>NOT(ISERROR(SEARCH("Sin iniciar",AE423)))</formula>
    </cfRule>
    <cfRule type="containsText" dxfId="1029" priority="393" operator="containsText" text="En gestión">
      <formula>NOT(ISERROR(SEARCH("En gestión",AE423)))</formula>
    </cfRule>
  </conditionalFormatting>
  <conditionalFormatting sqref="AZ406:BA406">
    <cfRule type="beginsWith" dxfId="1028" priority="388" operator="beginsWith" text="T">
      <formula>LEFT(AZ406,LEN("T"))="T"</formula>
    </cfRule>
    <cfRule type="containsText" dxfId="1027" priority="389" operator="containsText" text="Sin iniciar">
      <formula>NOT(ISERROR(SEARCH("Sin iniciar",AZ406)))</formula>
    </cfRule>
    <cfRule type="containsText" dxfId="1026" priority="390" operator="containsText" text="En gestión">
      <formula>NOT(ISERROR(SEARCH("En gestión",AZ406)))</formula>
    </cfRule>
  </conditionalFormatting>
  <conditionalFormatting sqref="AZ401 AZ409 AZ412 AZ417 AZ420 AZ425">
    <cfRule type="beginsWith" dxfId="1025" priority="385" operator="beginsWith" text="T">
      <formula>LEFT(AZ401,LEN("T"))="T"</formula>
    </cfRule>
    <cfRule type="containsText" dxfId="1024" priority="386" operator="containsText" text="Sin iniciar">
      <formula>NOT(ISERROR(SEARCH("Sin iniciar",AZ401)))</formula>
    </cfRule>
    <cfRule type="containsText" dxfId="1023" priority="387" operator="containsText" text="En gestión">
      <formula>NOT(ISERROR(SEARCH("En gestión",AZ401)))</formula>
    </cfRule>
  </conditionalFormatting>
  <conditionalFormatting sqref="BA401 BA409 BA412 BA417 BA420 BA425">
    <cfRule type="beginsWith" dxfId="1022" priority="382" operator="beginsWith" text="T">
      <formula>LEFT(BA401,LEN("T"))="T"</formula>
    </cfRule>
    <cfRule type="containsText" dxfId="1021" priority="383" operator="containsText" text="Sin iniciar">
      <formula>NOT(ISERROR(SEARCH("Sin iniciar",BA401)))</formula>
    </cfRule>
    <cfRule type="containsText" dxfId="1020" priority="384" operator="containsText" text="En gestión">
      <formula>NOT(ISERROR(SEARCH("En gestión",BA401)))</formula>
    </cfRule>
  </conditionalFormatting>
  <conditionalFormatting sqref="AZ408">
    <cfRule type="beginsWith" dxfId="1019" priority="379" operator="beginsWith" text="T">
      <formula>LEFT(AZ408,LEN("T"))="T"</formula>
    </cfRule>
    <cfRule type="containsText" dxfId="1018" priority="380" operator="containsText" text="Sin iniciar">
      <formula>NOT(ISERROR(SEARCH("Sin iniciar",AZ408)))</formula>
    </cfRule>
    <cfRule type="containsText" dxfId="1017" priority="381" operator="containsText" text="En gestión">
      <formula>NOT(ISERROR(SEARCH("En gestión",AZ408)))</formula>
    </cfRule>
  </conditionalFormatting>
  <conditionalFormatting sqref="BA408">
    <cfRule type="beginsWith" dxfId="1016" priority="376" operator="beginsWith" text="T">
      <formula>LEFT(BA408,LEN("T"))="T"</formula>
    </cfRule>
    <cfRule type="containsText" dxfId="1015" priority="377" operator="containsText" text="Sin iniciar">
      <formula>NOT(ISERROR(SEARCH("Sin iniciar",BA408)))</formula>
    </cfRule>
    <cfRule type="containsText" dxfId="1014" priority="378" operator="containsText" text="En gestión">
      <formula>NOT(ISERROR(SEARCH("En gestión",BA408)))</formula>
    </cfRule>
  </conditionalFormatting>
  <conditionalFormatting sqref="AZ422">
    <cfRule type="beginsWith" dxfId="1013" priority="373" operator="beginsWith" text="T">
      <formula>LEFT(AZ422,LEN("T"))="T"</formula>
    </cfRule>
    <cfRule type="containsText" dxfId="1012" priority="374" operator="containsText" text="Sin iniciar">
      <formula>NOT(ISERROR(SEARCH("Sin iniciar",AZ422)))</formula>
    </cfRule>
    <cfRule type="containsText" dxfId="1011" priority="375" operator="containsText" text="En gestión">
      <formula>NOT(ISERROR(SEARCH("En gestión",AZ422)))</formula>
    </cfRule>
  </conditionalFormatting>
  <conditionalFormatting sqref="BA422">
    <cfRule type="beginsWith" dxfId="1010" priority="370" operator="beginsWith" text="T">
      <formula>LEFT(BA422,LEN("T"))="T"</formula>
    </cfRule>
    <cfRule type="containsText" dxfId="1009" priority="371" operator="containsText" text="Sin iniciar">
      <formula>NOT(ISERROR(SEARCH("Sin iniciar",BA422)))</formula>
    </cfRule>
    <cfRule type="containsText" dxfId="1008" priority="372" operator="containsText" text="En gestión">
      <formula>NOT(ISERROR(SEARCH("En gestión",BA422)))</formula>
    </cfRule>
  </conditionalFormatting>
  <conditionalFormatting sqref="AZ423">
    <cfRule type="beginsWith" dxfId="1007" priority="367" operator="beginsWith" text="T">
      <formula>LEFT(AZ423,LEN("T"))="T"</formula>
    </cfRule>
    <cfRule type="containsText" dxfId="1006" priority="368" operator="containsText" text="Sin iniciar">
      <formula>NOT(ISERROR(SEARCH("Sin iniciar",AZ423)))</formula>
    </cfRule>
    <cfRule type="containsText" dxfId="1005" priority="369" operator="containsText" text="En gestión">
      <formula>NOT(ISERROR(SEARCH("En gestión",AZ423)))</formula>
    </cfRule>
  </conditionalFormatting>
  <conditionalFormatting sqref="BA423">
    <cfRule type="beginsWith" dxfId="1004" priority="364" operator="beginsWith" text="T">
      <formula>LEFT(BA423,LEN("T"))="T"</formula>
    </cfRule>
    <cfRule type="containsText" dxfId="1003" priority="365" operator="containsText" text="Sin iniciar">
      <formula>NOT(ISERROR(SEARCH("Sin iniciar",BA423)))</formula>
    </cfRule>
    <cfRule type="containsText" dxfId="1002" priority="366" operator="containsText" text="En gestión">
      <formula>NOT(ISERROR(SEARCH("En gestión",BA423)))</formula>
    </cfRule>
  </conditionalFormatting>
  <conditionalFormatting sqref="BW406:BX406">
    <cfRule type="beginsWith" dxfId="1001" priority="361" operator="beginsWith" text="T">
      <formula>LEFT(BW406,LEN("T"))="T"</formula>
    </cfRule>
    <cfRule type="containsText" dxfId="1000" priority="362" operator="containsText" text="Sin iniciar">
      <formula>NOT(ISERROR(SEARCH("Sin iniciar",BW406)))</formula>
    </cfRule>
    <cfRule type="containsText" dxfId="999" priority="363" operator="containsText" text="En gestión">
      <formula>NOT(ISERROR(SEARCH("En gestión",BW406)))</formula>
    </cfRule>
  </conditionalFormatting>
  <conditionalFormatting sqref="BW401 BW409 BW412 BW417 BW420 BW425">
    <cfRule type="beginsWith" dxfId="998" priority="358" operator="beginsWith" text="T">
      <formula>LEFT(BW401,LEN("T"))="T"</formula>
    </cfRule>
    <cfRule type="containsText" dxfId="997" priority="359" operator="containsText" text="Sin iniciar">
      <formula>NOT(ISERROR(SEARCH("Sin iniciar",BW401)))</formula>
    </cfRule>
    <cfRule type="containsText" dxfId="996" priority="360" operator="containsText" text="En gestión">
      <formula>NOT(ISERROR(SEARCH("En gestión",BW401)))</formula>
    </cfRule>
  </conditionalFormatting>
  <conditionalFormatting sqref="BX401 BX409 BX412 BX417 BX420 BX425">
    <cfRule type="beginsWith" dxfId="995" priority="355" operator="beginsWith" text="T">
      <formula>LEFT(BX401,LEN("T"))="T"</formula>
    </cfRule>
    <cfRule type="containsText" dxfId="994" priority="356" operator="containsText" text="Sin iniciar">
      <formula>NOT(ISERROR(SEARCH("Sin iniciar",BX401)))</formula>
    </cfRule>
    <cfRule type="containsText" dxfId="993" priority="357" operator="containsText" text="En gestión">
      <formula>NOT(ISERROR(SEARCH("En gestión",BX401)))</formula>
    </cfRule>
  </conditionalFormatting>
  <conditionalFormatting sqref="BW408">
    <cfRule type="beginsWith" dxfId="992" priority="352" operator="beginsWith" text="T">
      <formula>LEFT(BW408,LEN("T"))="T"</formula>
    </cfRule>
    <cfRule type="containsText" dxfId="991" priority="353" operator="containsText" text="Sin iniciar">
      <formula>NOT(ISERROR(SEARCH("Sin iniciar",BW408)))</formula>
    </cfRule>
    <cfRule type="containsText" dxfId="990" priority="354" operator="containsText" text="En gestión">
      <formula>NOT(ISERROR(SEARCH("En gestión",BW408)))</formula>
    </cfRule>
  </conditionalFormatting>
  <conditionalFormatting sqref="BX408">
    <cfRule type="beginsWith" dxfId="989" priority="349" operator="beginsWith" text="T">
      <formula>LEFT(BX408,LEN("T"))="T"</formula>
    </cfRule>
    <cfRule type="containsText" dxfId="988" priority="350" operator="containsText" text="Sin iniciar">
      <formula>NOT(ISERROR(SEARCH("Sin iniciar",BX408)))</formula>
    </cfRule>
    <cfRule type="containsText" dxfId="987" priority="351" operator="containsText" text="En gestión">
      <formula>NOT(ISERROR(SEARCH("En gestión",BX408)))</formula>
    </cfRule>
  </conditionalFormatting>
  <conditionalFormatting sqref="BW422">
    <cfRule type="beginsWith" dxfId="986" priority="346" operator="beginsWith" text="T">
      <formula>LEFT(BW422,LEN("T"))="T"</formula>
    </cfRule>
    <cfRule type="containsText" dxfId="985" priority="347" operator="containsText" text="Sin iniciar">
      <formula>NOT(ISERROR(SEARCH("Sin iniciar",BW422)))</formula>
    </cfRule>
    <cfRule type="containsText" dxfId="984" priority="348" operator="containsText" text="En gestión">
      <formula>NOT(ISERROR(SEARCH("En gestión",BW422)))</formula>
    </cfRule>
  </conditionalFormatting>
  <conditionalFormatting sqref="AZ441:BA441">
    <cfRule type="beginsWith" dxfId="983" priority="292" operator="beginsWith" text="T">
      <formula>LEFT(AZ441,LEN("T"))="T"</formula>
    </cfRule>
    <cfRule type="containsText" dxfId="982" priority="293" operator="containsText" text="Sin iniciar">
      <formula>NOT(ISERROR(SEARCH("Sin iniciar",AZ441)))</formula>
    </cfRule>
    <cfRule type="containsText" dxfId="981" priority="294" operator="containsText" text="En gestión">
      <formula>NOT(ISERROR(SEARCH("En gestión",AZ441)))</formula>
    </cfRule>
  </conditionalFormatting>
  <conditionalFormatting sqref="AZ435">
    <cfRule type="beginsWith" dxfId="980" priority="289" operator="beginsWith" text="T">
      <formula>LEFT(AZ435,LEN("T"))="T"</formula>
    </cfRule>
    <cfRule type="containsText" dxfId="979" priority="290" operator="containsText" text="Sin iniciar">
      <formula>NOT(ISERROR(SEARCH("Sin iniciar",AZ435)))</formula>
    </cfRule>
    <cfRule type="containsText" dxfId="978" priority="291" operator="containsText" text="En gestión">
      <formula>NOT(ISERROR(SEARCH("En gestión",AZ435)))</formula>
    </cfRule>
  </conditionalFormatting>
  <conditionalFormatting sqref="BA435">
    <cfRule type="beginsWith" dxfId="977" priority="286" operator="beginsWith" text="T">
      <formula>LEFT(BA435,LEN("T"))="T"</formula>
    </cfRule>
    <cfRule type="containsText" dxfId="976" priority="287" operator="containsText" text="Sin iniciar">
      <formula>NOT(ISERROR(SEARCH("Sin iniciar",BA435)))</formula>
    </cfRule>
    <cfRule type="containsText" dxfId="975" priority="288" operator="containsText" text="En gestión">
      <formula>NOT(ISERROR(SEARCH("En gestión",BA435)))</formula>
    </cfRule>
  </conditionalFormatting>
  <conditionalFormatting sqref="BS429:BS443">
    <cfRule type="beginsWith" dxfId="974" priority="283" operator="beginsWith" text="T">
      <formula>LEFT(BS429,LEN("T"))="T"</formula>
    </cfRule>
    <cfRule type="containsText" dxfId="973" priority="284" operator="containsText" text="Sin iniciar">
      <formula>NOT(ISERROR(SEARCH("Sin iniciar",BS429)))</formula>
    </cfRule>
    <cfRule type="containsText" dxfId="972" priority="285" operator="containsText" text="En gestión">
      <formula>NOT(ISERROR(SEARCH("En gestión",BS429)))</formula>
    </cfRule>
  </conditionalFormatting>
  <conditionalFormatting sqref="BR429:BR443">
    <cfRule type="beginsWith" dxfId="971" priority="280" operator="beginsWith" text="T">
      <formula>LEFT(BR429,LEN("T"))="T"</formula>
    </cfRule>
    <cfRule type="containsText" dxfId="970" priority="281" operator="containsText" text="Sin iniciar">
      <formula>NOT(ISERROR(SEARCH("Sin iniciar",BR429)))</formula>
    </cfRule>
    <cfRule type="containsText" dxfId="969" priority="282" operator="containsText" text="En gestión">
      <formula>NOT(ISERROR(SEARCH("En gestión",BR429)))</formula>
    </cfRule>
  </conditionalFormatting>
  <conditionalFormatting sqref="BW429">
    <cfRule type="beginsWith" dxfId="968" priority="277" operator="beginsWith" text="T">
      <formula>LEFT(BW429,LEN("T"))="T"</formula>
    </cfRule>
    <cfRule type="containsText" dxfId="967" priority="278" operator="containsText" text="Sin iniciar">
      <formula>NOT(ISERROR(SEARCH("Sin iniciar",BW429)))</formula>
    </cfRule>
    <cfRule type="containsText" dxfId="966" priority="279" operator="containsText" text="En gestión">
      <formula>NOT(ISERROR(SEARCH("En gestión",BW429)))</formula>
    </cfRule>
  </conditionalFormatting>
  <conditionalFormatting sqref="BX429">
    <cfRule type="beginsWith" dxfId="965" priority="274" operator="beginsWith" text="T">
      <formula>LEFT(BX429,LEN("T"))="T"</formula>
    </cfRule>
    <cfRule type="containsText" dxfId="964" priority="275" operator="containsText" text="Sin iniciar">
      <formula>NOT(ISERROR(SEARCH("Sin iniciar",BX429)))</formula>
    </cfRule>
    <cfRule type="containsText" dxfId="963" priority="276" operator="containsText" text="En gestión">
      <formula>NOT(ISERROR(SEARCH("En gestión",BX429)))</formula>
    </cfRule>
  </conditionalFormatting>
  <conditionalFormatting sqref="BW432:BX432">
    <cfRule type="beginsWith" dxfId="962" priority="271" operator="beginsWith" text="T">
      <formula>LEFT(BW432,LEN("T"))="T"</formula>
    </cfRule>
    <cfRule type="containsText" dxfId="961" priority="272" operator="containsText" text="Sin iniciar">
      <formula>NOT(ISERROR(SEARCH("Sin iniciar",BW432)))</formula>
    </cfRule>
    <cfRule type="containsText" dxfId="960" priority="273" operator="containsText" text="En gestión">
      <formula>NOT(ISERROR(SEARCH("En gestión",BW432)))</formula>
    </cfRule>
  </conditionalFormatting>
  <conditionalFormatting sqref="BW441:BX441">
    <cfRule type="beginsWith" dxfId="959" priority="268" operator="beginsWith" text="T">
      <formula>LEFT(BW441,LEN("T"))="T"</formula>
    </cfRule>
    <cfRule type="containsText" dxfId="958" priority="269" operator="containsText" text="Sin iniciar">
      <formula>NOT(ISERROR(SEARCH("Sin iniciar",BW441)))</formula>
    </cfRule>
    <cfRule type="containsText" dxfId="957" priority="270" operator="containsText" text="En gestión">
      <formula>NOT(ISERROR(SEARCH("En gestión",BW441)))</formula>
    </cfRule>
  </conditionalFormatting>
  <conditionalFormatting sqref="BW435">
    <cfRule type="beginsWith" dxfId="956" priority="265" operator="beginsWith" text="T">
      <formula>LEFT(BW435,LEN("T"))="T"</formula>
    </cfRule>
    <cfRule type="containsText" dxfId="955" priority="266" operator="containsText" text="Sin iniciar">
      <formula>NOT(ISERROR(SEARCH("Sin iniciar",BW435)))</formula>
    </cfRule>
    <cfRule type="containsText" dxfId="954" priority="267" operator="containsText" text="En gestión">
      <formula>NOT(ISERROR(SEARCH("En gestión",BW435)))</formula>
    </cfRule>
  </conditionalFormatting>
  <conditionalFormatting sqref="BX435">
    <cfRule type="beginsWith" dxfId="953" priority="262" operator="beginsWith" text="T">
      <formula>LEFT(BX435,LEN("T"))="T"</formula>
    </cfRule>
    <cfRule type="containsText" dxfId="952" priority="263" operator="containsText" text="Sin iniciar">
      <formula>NOT(ISERROR(SEARCH("Sin iniciar",BX435)))</formula>
    </cfRule>
    <cfRule type="containsText" dxfId="951" priority="264" operator="containsText" text="En gestión">
      <formula>NOT(ISERROR(SEARCH("En gestión",BX435)))</formula>
    </cfRule>
  </conditionalFormatting>
  <conditionalFormatting sqref="Y444:Y454">
    <cfRule type="beginsWith" dxfId="950" priority="259" operator="beginsWith" text="T">
      <formula>LEFT(Y444,LEN("T"))="T"</formula>
    </cfRule>
    <cfRule type="containsText" dxfId="949" priority="260" operator="containsText" text="Sin iniciar">
      <formula>NOT(ISERROR(SEARCH("Sin iniciar",Y444)))</formula>
    </cfRule>
    <cfRule type="containsText" dxfId="948" priority="261" operator="containsText" text="En gestión">
      <formula>NOT(ISERROR(SEARCH("En gestión",Y444)))</formula>
    </cfRule>
  </conditionalFormatting>
  <conditionalFormatting sqref="Z444:Z454">
    <cfRule type="beginsWith" dxfId="947" priority="256" operator="beginsWith" text="T">
      <formula>LEFT(Z444,LEN("T"))="T"</formula>
    </cfRule>
    <cfRule type="containsText" dxfId="946" priority="257" operator="containsText" text="Sin iniciar">
      <formula>NOT(ISERROR(SEARCH("Sin iniciar",Z444)))</formula>
    </cfRule>
    <cfRule type="containsText" dxfId="945" priority="258" operator="containsText" text="En gestión">
      <formula>NOT(ISERROR(SEARCH("En gestión",Z444)))</formula>
    </cfRule>
  </conditionalFormatting>
  <conditionalFormatting sqref="AV444:AV454">
    <cfRule type="beginsWith" dxfId="944" priority="253" operator="beginsWith" text="T">
      <formula>LEFT(AV444,LEN("T"))="T"</formula>
    </cfRule>
    <cfRule type="containsText" dxfId="943" priority="254" operator="containsText" text="Sin iniciar">
      <formula>NOT(ISERROR(SEARCH("Sin iniciar",AV444)))</formula>
    </cfRule>
    <cfRule type="containsText" dxfId="942" priority="255" operator="containsText" text="En gestión">
      <formula>NOT(ISERROR(SEARCH("En gestión",AV444)))</formula>
    </cfRule>
  </conditionalFormatting>
  <conditionalFormatting sqref="AU444:AU454">
    <cfRule type="beginsWith" dxfId="941" priority="250" operator="beginsWith" text="T">
      <formula>LEFT(AU444,LEN("T"))="T"</formula>
    </cfRule>
    <cfRule type="containsText" dxfId="940" priority="251" operator="containsText" text="Sin iniciar">
      <formula>NOT(ISERROR(SEARCH("Sin iniciar",AU444)))</formula>
    </cfRule>
    <cfRule type="containsText" dxfId="939" priority="252" operator="containsText" text="En gestión">
      <formula>NOT(ISERROR(SEARCH("En gestión",AU444)))</formula>
    </cfRule>
  </conditionalFormatting>
  <conditionalFormatting sqref="AD444">
    <cfRule type="beginsWith" dxfId="938" priority="247" operator="beginsWith" text="T">
      <formula>LEFT(AD444,LEN("T"))="T"</formula>
    </cfRule>
    <cfRule type="containsText" dxfId="937" priority="248" operator="containsText" text="Sin iniciar">
      <formula>NOT(ISERROR(SEARCH("Sin iniciar",AD444)))</formula>
    </cfRule>
    <cfRule type="containsText" dxfId="936" priority="249" operator="containsText" text="En gestión">
      <formula>NOT(ISERROR(SEARCH("En gestión",AD444)))</formula>
    </cfRule>
  </conditionalFormatting>
  <conditionalFormatting sqref="AE444">
    <cfRule type="beginsWith" dxfId="935" priority="244" operator="beginsWith" text="T">
      <formula>LEFT(AE444,LEN("T"))="T"</formula>
    </cfRule>
    <cfRule type="containsText" dxfId="934" priority="245" operator="containsText" text="Sin iniciar">
      <formula>NOT(ISERROR(SEARCH("Sin iniciar",AE444)))</formula>
    </cfRule>
    <cfRule type="containsText" dxfId="933" priority="246" operator="containsText" text="En gestión">
      <formula>NOT(ISERROR(SEARCH("En gestión",AE444)))</formula>
    </cfRule>
  </conditionalFormatting>
  <conditionalFormatting sqref="AD449">
    <cfRule type="beginsWith" dxfId="932" priority="241" operator="beginsWith" text="T">
      <formula>LEFT(AD449,LEN("T"))="T"</formula>
    </cfRule>
    <cfRule type="containsText" dxfId="931" priority="242" operator="containsText" text="Sin iniciar">
      <formula>NOT(ISERROR(SEARCH("Sin iniciar",AD449)))</formula>
    </cfRule>
    <cfRule type="containsText" dxfId="930" priority="243" operator="containsText" text="En gestión">
      <formula>NOT(ISERROR(SEARCH("En gestión",AD449)))</formula>
    </cfRule>
  </conditionalFormatting>
  <conditionalFormatting sqref="AE449">
    <cfRule type="beginsWith" dxfId="929" priority="238" operator="beginsWith" text="T">
      <formula>LEFT(AE449,LEN("T"))="T"</formula>
    </cfRule>
    <cfRule type="containsText" dxfId="928" priority="239" operator="containsText" text="Sin iniciar">
      <formula>NOT(ISERROR(SEARCH("Sin iniciar",AE449)))</formula>
    </cfRule>
    <cfRule type="containsText" dxfId="927" priority="240" operator="containsText" text="En gestión">
      <formula>NOT(ISERROR(SEARCH("En gestión",AE449)))</formula>
    </cfRule>
  </conditionalFormatting>
  <conditionalFormatting sqref="AZ444">
    <cfRule type="beginsWith" dxfId="926" priority="235" operator="beginsWith" text="T">
      <formula>LEFT(AZ444,LEN("T"))="T"</formula>
    </cfRule>
    <cfRule type="containsText" dxfId="925" priority="236" operator="containsText" text="Sin iniciar">
      <formula>NOT(ISERROR(SEARCH("Sin iniciar",AZ444)))</formula>
    </cfRule>
    <cfRule type="containsText" dxfId="924" priority="237" operator="containsText" text="En gestión">
      <formula>NOT(ISERROR(SEARCH("En gestión",AZ444)))</formula>
    </cfRule>
  </conditionalFormatting>
  <conditionalFormatting sqref="BA444">
    <cfRule type="beginsWith" dxfId="923" priority="232" operator="beginsWith" text="T">
      <formula>LEFT(BA444,LEN("T"))="T"</formula>
    </cfRule>
    <cfRule type="containsText" dxfId="922" priority="233" operator="containsText" text="Sin iniciar">
      <formula>NOT(ISERROR(SEARCH("Sin iniciar",BA444)))</formula>
    </cfRule>
    <cfRule type="containsText" dxfId="921" priority="234" operator="containsText" text="En gestión">
      <formula>NOT(ISERROR(SEARCH("En gestión",BA444)))</formula>
    </cfRule>
  </conditionalFormatting>
  <conditionalFormatting sqref="AZ449">
    <cfRule type="beginsWith" dxfId="920" priority="229" operator="beginsWith" text="T">
      <formula>LEFT(AZ449,LEN("T"))="T"</formula>
    </cfRule>
    <cfRule type="containsText" dxfId="919" priority="230" operator="containsText" text="Sin iniciar">
      <formula>NOT(ISERROR(SEARCH("Sin iniciar",AZ449)))</formula>
    </cfRule>
    <cfRule type="containsText" dxfId="918" priority="231" operator="containsText" text="En gestión">
      <formula>NOT(ISERROR(SEARCH("En gestión",AZ449)))</formula>
    </cfRule>
  </conditionalFormatting>
  <conditionalFormatting sqref="BA449">
    <cfRule type="beginsWith" dxfId="917" priority="226" operator="beginsWith" text="T">
      <formula>LEFT(BA449,LEN("T"))="T"</formula>
    </cfRule>
    <cfRule type="containsText" dxfId="916" priority="227" operator="containsText" text="Sin iniciar">
      <formula>NOT(ISERROR(SEARCH("Sin iniciar",BA449)))</formula>
    </cfRule>
    <cfRule type="containsText" dxfId="915" priority="228" operator="containsText" text="En gestión">
      <formula>NOT(ISERROR(SEARCH("En gestión",BA449)))</formula>
    </cfRule>
  </conditionalFormatting>
  <conditionalFormatting sqref="BS444:BS454">
    <cfRule type="beginsWith" dxfId="914" priority="223" operator="beginsWith" text="T">
      <formula>LEFT(BS444,LEN("T"))="T"</formula>
    </cfRule>
    <cfRule type="containsText" dxfId="913" priority="224" operator="containsText" text="Sin iniciar">
      <formula>NOT(ISERROR(SEARCH("Sin iniciar",BS444)))</formula>
    </cfRule>
    <cfRule type="containsText" dxfId="912" priority="225" operator="containsText" text="En gestión">
      <formula>NOT(ISERROR(SEARCH("En gestión",BS444)))</formula>
    </cfRule>
  </conditionalFormatting>
  <conditionalFormatting sqref="BR444:BR454">
    <cfRule type="beginsWith" dxfId="911" priority="220" operator="beginsWith" text="T">
      <formula>LEFT(BR444,LEN("T"))="T"</formula>
    </cfRule>
    <cfRule type="containsText" dxfId="910" priority="221" operator="containsText" text="Sin iniciar">
      <formula>NOT(ISERROR(SEARCH("Sin iniciar",BR444)))</formula>
    </cfRule>
    <cfRule type="containsText" dxfId="909" priority="222" operator="containsText" text="En gestión">
      <formula>NOT(ISERROR(SEARCH("En gestión",BR444)))</formula>
    </cfRule>
  </conditionalFormatting>
  <conditionalFormatting sqref="BW444">
    <cfRule type="beginsWith" dxfId="908" priority="217" operator="beginsWith" text="T">
      <formula>LEFT(BW444,LEN("T"))="T"</formula>
    </cfRule>
    <cfRule type="containsText" dxfId="907" priority="218" operator="containsText" text="Sin iniciar">
      <formula>NOT(ISERROR(SEARCH("Sin iniciar",BW444)))</formula>
    </cfRule>
    <cfRule type="containsText" dxfId="906" priority="219" operator="containsText" text="En gestión">
      <formula>NOT(ISERROR(SEARCH("En gestión",BW444)))</formula>
    </cfRule>
  </conditionalFormatting>
  <conditionalFormatting sqref="BX444">
    <cfRule type="beginsWith" dxfId="905" priority="214" operator="beginsWith" text="T">
      <formula>LEFT(BX444,LEN("T"))="T"</formula>
    </cfRule>
    <cfRule type="containsText" dxfId="904" priority="215" operator="containsText" text="Sin iniciar">
      <formula>NOT(ISERROR(SEARCH("Sin iniciar",BX444)))</formula>
    </cfRule>
    <cfRule type="containsText" dxfId="903" priority="216" operator="containsText" text="En gestión">
      <formula>NOT(ISERROR(SEARCH("En gestión",BX444)))</formula>
    </cfRule>
  </conditionalFormatting>
  <conditionalFormatting sqref="BW449">
    <cfRule type="beginsWith" dxfId="902" priority="211" operator="beginsWith" text="T">
      <formula>LEFT(BW449,LEN("T"))="T"</formula>
    </cfRule>
    <cfRule type="containsText" dxfId="901" priority="212" operator="containsText" text="Sin iniciar">
      <formula>NOT(ISERROR(SEARCH("Sin iniciar",BW449)))</formula>
    </cfRule>
    <cfRule type="containsText" dxfId="900" priority="213" operator="containsText" text="En gestión">
      <formula>NOT(ISERROR(SEARCH("En gestión",BW449)))</formula>
    </cfRule>
  </conditionalFormatting>
  <conditionalFormatting sqref="Y242:Y304">
    <cfRule type="beginsWith" dxfId="899" priority="205" operator="beginsWith" text="T">
      <formula>LEFT(Y242,LEN("T"))="T"</formula>
    </cfRule>
    <cfRule type="containsText" dxfId="898" priority="206" operator="containsText" text="Sin iniciar">
      <formula>NOT(ISERROR(SEARCH("Sin iniciar",Y242)))</formula>
    </cfRule>
    <cfRule type="containsText" dxfId="897" priority="207" operator="containsText" text="En gestión">
      <formula>NOT(ISERROR(SEARCH("En gestión",Y242)))</formula>
    </cfRule>
  </conditionalFormatting>
  <conditionalFormatting sqref="Z242:Z304">
    <cfRule type="beginsWith" dxfId="896" priority="202" operator="beginsWith" text="T">
      <formula>LEFT(Z242,LEN("T"))="T"</formula>
    </cfRule>
    <cfRule type="containsText" dxfId="895" priority="203" operator="containsText" text="Sin iniciar">
      <formula>NOT(ISERROR(SEARCH("Sin iniciar",Z242)))</formula>
    </cfRule>
    <cfRule type="containsText" dxfId="894" priority="204" operator="containsText" text="En gestión">
      <formula>NOT(ISERROR(SEARCH("En gestión",Z242)))</formula>
    </cfRule>
  </conditionalFormatting>
  <conditionalFormatting sqref="AV242:AV304">
    <cfRule type="beginsWith" dxfId="893" priority="199" operator="beginsWith" text="T">
      <formula>LEFT(AV242,LEN("T"))="T"</formula>
    </cfRule>
    <cfRule type="containsText" dxfId="892" priority="200" operator="containsText" text="Sin iniciar">
      <formula>NOT(ISERROR(SEARCH("Sin iniciar",AV242)))</formula>
    </cfRule>
    <cfRule type="containsText" dxfId="891" priority="201" operator="containsText" text="En gestión">
      <formula>NOT(ISERROR(SEARCH("En gestión",AV242)))</formula>
    </cfRule>
  </conditionalFormatting>
  <conditionalFormatting sqref="AU242:AU304">
    <cfRule type="beginsWith" dxfId="890" priority="196" operator="beginsWith" text="T">
      <formula>LEFT(AU242,LEN("T"))="T"</formula>
    </cfRule>
    <cfRule type="containsText" dxfId="889" priority="197" operator="containsText" text="Sin iniciar">
      <formula>NOT(ISERROR(SEARCH("Sin iniciar",AU242)))</formula>
    </cfRule>
    <cfRule type="containsText" dxfId="888" priority="198" operator="containsText" text="En gestión">
      <formula>NOT(ISERROR(SEARCH("En gestión",AU242)))</formula>
    </cfRule>
  </conditionalFormatting>
  <conditionalFormatting sqref="AD242:AE304">
    <cfRule type="beginsWith" dxfId="887" priority="193" operator="beginsWith" text="E">
      <formula>LEFT(AD242,LEN("E"))="E"</formula>
    </cfRule>
    <cfRule type="beginsWith" dxfId="886" priority="194" operator="beginsWith" text="T">
      <formula>LEFT(AD242,LEN("T"))="T"</formula>
    </cfRule>
    <cfRule type="beginsWith" dxfId="885" priority="195" operator="beginsWith" text="S">
      <formula>LEFT(AD242,LEN("S"))="S"</formula>
    </cfRule>
  </conditionalFormatting>
  <conditionalFormatting sqref="AZ242:BA304">
    <cfRule type="beginsWith" dxfId="884" priority="190" operator="beginsWith" text="E">
      <formula>LEFT(AZ242,LEN("E"))="E"</formula>
    </cfRule>
    <cfRule type="beginsWith" dxfId="883" priority="191" operator="beginsWith" text="T">
      <formula>LEFT(AZ242,LEN("T"))="T"</formula>
    </cfRule>
    <cfRule type="beginsWith" dxfId="882" priority="192" operator="beginsWith" text="S">
      <formula>LEFT(AZ242,LEN("S"))="S"</formula>
    </cfRule>
  </conditionalFormatting>
  <conditionalFormatting sqref="BS257:BS271 BS281:BS304 BS276:BS277">
    <cfRule type="beginsWith" dxfId="881" priority="187" operator="beginsWith" text="T">
      <formula>LEFT(BS257,LEN("T"))="T"</formula>
    </cfRule>
    <cfRule type="containsText" dxfId="880" priority="188" operator="containsText" text="Sin iniciar">
      <formula>NOT(ISERROR(SEARCH("Sin iniciar",BS257)))</formula>
    </cfRule>
    <cfRule type="containsText" dxfId="879" priority="189" operator="containsText" text="En gestión">
      <formula>NOT(ISERROR(SEARCH("En gestión",BS257)))</formula>
    </cfRule>
  </conditionalFormatting>
  <conditionalFormatting sqref="BR257:BR271 BR276:BR277 BR281:BR304">
    <cfRule type="beginsWith" dxfId="878" priority="184" operator="beginsWith" text="T">
      <formula>LEFT(BR257,LEN("T"))="T"</formula>
    </cfRule>
    <cfRule type="containsText" dxfId="877" priority="185" operator="containsText" text="Sin iniciar">
      <formula>NOT(ISERROR(SEARCH("Sin iniciar",BR257)))</formula>
    </cfRule>
    <cfRule type="containsText" dxfId="876" priority="186" operator="containsText" text="En gestión">
      <formula>NOT(ISERROR(SEARCH("En gestión",BR257)))</formula>
    </cfRule>
  </conditionalFormatting>
  <conditionalFormatting sqref="BW257:BX304">
    <cfRule type="beginsWith" dxfId="875" priority="181" operator="beginsWith" text="E">
      <formula>LEFT(BW257,LEN("E"))="E"</formula>
    </cfRule>
    <cfRule type="beginsWith" dxfId="874" priority="182" operator="beginsWith" text="T">
      <formula>LEFT(BW257,LEN("T"))="T"</formula>
    </cfRule>
    <cfRule type="beginsWith" dxfId="873" priority="183" operator="beginsWith" text="S">
      <formula>LEFT(BW257,LEN("S"))="S"</formula>
    </cfRule>
  </conditionalFormatting>
  <conditionalFormatting sqref="BS242:BS256">
    <cfRule type="beginsWith" dxfId="872" priority="178" operator="beginsWith" text="T">
      <formula>LEFT(BS242,LEN("T"))="T"</formula>
    </cfRule>
    <cfRule type="containsText" dxfId="871" priority="179" operator="containsText" text="Sin iniciar">
      <formula>NOT(ISERROR(SEARCH("Sin iniciar",BS242)))</formula>
    </cfRule>
    <cfRule type="containsText" dxfId="870" priority="180" operator="containsText" text="En gestión">
      <formula>NOT(ISERROR(SEARCH("En gestión",BS242)))</formula>
    </cfRule>
  </conditionalFormatting>
  <conditionalFormatting sqref="BR242:BR256">
    <cfRule type="beginsWith" dxfId="869" priority="175" operator="beginsWith" text="T">
      <formula>LEFT(BR242,LEN("T"))="T"</formula>
    </cfRule>
    <cfRule type="containsText" dxfId="868" priority="176" operator="containsText" text="Sin iniciar">
      <formula>NOT(ISERROR(SEARCH("Sin iniciar",BR242)))</formula>
    </cfRule>
    <cfRule type="containsText" dxfId="867" priority="177" operator="containsText" text="En gestión">
      <formula>NOT(ISERROR(SEARCH("En gestión",BR242)))</formula>
    </cfRule>
  </conditionalFormatting>
  <conditionalFormatting sqref="BW242:BX242 BW249:BX256 BW243:BW248">
    <cfRule type="beginsWith" dxfId="866" priority="172" operator="beginsWith" text="E">
      <formula>LEFT(BW242,LEN("E"))="E"</formula>
    </cfRule>
    <cfRule type="beginsWith" dxfId="865" priority="173" operator="beginsWith" text="T">
      <formula>LEFT(BW242,LEN("T"))="T"</formula>
    </cfRule>
    <cfRule type="beginsWith" dxfId="864" priority="174" operator="beginsWith" text="S">
      <formula>LEFT(BW242,LEN("S"))="S"</formula>
    </cfRule>
  </conditionalFormatting>
  <conditionalFormatting sqref="BS278:BS280">
    <cfRule type="beginsWith" dxfId="863" priority="169" operator="beginsWith" text="T">
      <formula>LEFT(BS278,LEN("T"))="T"</formula>
    </cfRule>
    <cfRule type="containsText" dxfId="862" priority="170" operator="containsText" text="Sin iniciar">
      <formula>NOT(ISERROR(SEARCH("Sin iniciar",BS278)))</formula>
    </cfRule>
    <cfRule type="containsText" dxfId="861" priority="171" operator="containsText" text="En gestión">
      <formula>NOT(ISERROR(SEARCH("En gestión",BS278)))</formula>
    </cfRule>
  </conditionalFormatting>
  <conditionalFormatting sqref="BR278:BR280">
    <cfRule type="beginsWith" dxfId="860" priority="166" operator="beginsWith" text="T">
      <formula>LEFT(BR278,LEN("T"))="T"</formula>
    </cfRule>
    <cfRule type="containsText" dxfId="859" priority="167" operator="containsText" text="Sin iniciar">
      <formula>NOT(ISERROR(SEARCH("Sin iniciar",BR278)))</formula>
    </cfRule>
    <cfRule type="containsText" dxfId="858" priority="168" operator="containsText" text="En gestión">
      <formula>NOT(ISERROR(SEARCH("En gestión",BR278)))</formula>
    </cfRule>
  </conditionalFormatting>
  <conditionalFormatting sqref="BS272:BS275">
    <cfRule type="beginsWith" dxfId="857" priority="163" operator="beginsWith" text="T">
      <formula>LEFT(BS272,LEN("T"))="T"</formula>
    </cfRule>
    <cfRule type="containsText" dxfId="856" priority="164" operator="containsText" text="Sin iniciar">
      <formula>NOT(ISERROR(SEARCH("Sin iniciar",BS272)))</formula>
    </cfRule>
    <cfRule type="containsText" dxfId="855" priority="165" operator="containsText" text="En gestión">
      <formula>NOT(ISERROR(SEARCH("En gestión",BS272)))</formula>
    </cfRule>
  </conditionalFormatting>
  <conditionalFormatting sqref="BR272:BR275">
    <cfRule type="beginsWith" dxfId="854" priority="160" operator="beginsWith" text="T">
      <formula>LEFT(BR272,LEN("T"))="T"</formula>
    </cfRule>
    <cfRule type="containsText" dxfId="853" priority="161" operator="containsText" text="Sin iniciar">
      <formula>NOT(ISERROR(SEARCH("Sin iniciar",BR272)))</formula>
    </cfRule>
    <cfRule type="containsText" dxfId="852" priority="162" operator="containsText" text="En gestión">
      <formula>NOT(ISERROR(SEARCH("En gestión",BR272)))</formula>
    </cfRule>
  </conditionalFormatting>
  <conditionalFormatting sqref="Y305:Y324">
    <cfRule type="beginsWith" dxfId="851" priority="157" operator="beginsWith" text="T">
      <formula>LEFT(Y305,LEN("T"))="T"</formula>
    </cfRule>
    <cfRule type="containsText" dxfId="850" priority="158" operator="containsText" text="Sin iniciar">
      <formula>NOT(ISERROR(SEARCH("Sin iniciar",Y305)))</formula>
    </cfRule>
    <cfRule type="containsText" dxfId="849" priority="159" operator="containsText" text="En gestión">
      <formula>NOT(ISERROR(SEARCH("En gestión",Y305)))</formula>
    </cfRule>
  </conditionalFormatting>
  <conditionalFormatting sqref="Z305:Z324">
    <cfRule type="beginsWith" dxfId="848" priority="154" operator="beginsWith" text="T">
      <formula>LEFT(Z305,LEN("T"))="T"</formula>
    </cfRule>
    <cfRule type="containsText" dxfId="847" priority="155" operator="containsText" text="Sin iniciar">
      <formula>NOT(ISERROR(SEARCH("Sin iniciar",Z305)))</formula>
    </cfRule>
    <cfRule type="containsText" dxfId="846" priority="156" operator="containsText" text="En gestión">
      <formula>NOT(ISERROR(SEARCH("En gestión",Z305)))</formula>
    </cfRule>
  </conditionalFormatting>
  <conditionalFormatting sqref="AV305:AV324">
    <cfRule type="beginsWith" dxfId="845" priority="151" operator="beginsWith" text="T">
      <formula>LEFT(AV305,LEN("T"))="T"</formula>
    </cfRule>
    <cfRule type="containsText" dxfId="844" priority="152" operator="containsText" text="Sin iniciar">
      <formula>NOT(ISERROR(SEARCH("Sin iniciar",AV305)))</formula>
    </cfRule>
    <cfRule type="containsText" dxfId="843" priority="153" operator="containsText" text="En gestión">
      <formula>NOT(ISERROR(SEARCH("En gestión",AV305)))</formula>
    </cfRule>
  </conditionalFormatting>
  <conditionalFormatting sqref="AU305:AU324">
    <cfRule type="beginsWith" dxfId="842" priority="148" operator="beginsWith" text="T">
      <formula>LEFT(AU305,LEN("T"))="T"</formula>
    </cfRule>
    <cfRule type="containsText" dxfId="841" priority="149" operator="containsText" text="Sin iniciar">
      <formula>NOT(ISERROR(SEARCH("Sin iniciar",AU305)))</formula>
    </cfRule>
    <cfRule type="containsText" dxfId="840" priority="150" operator="containsText" text="En gestión">
      <formula>NOT(ISERROR(SEARCH("En gestión",AU305)))</formula>
    </cfRule>
  </conditionalFormatting>
  <conditionalFormatting sqref="AD307">
    <cfRule type="beginsWith" dxfId="839" priority="139" operator="beginsWith" text="T">
      <formula>LEFT(AD307,LEN("T"))="T"</formula>
    </cfRule>
    <cfRule type="containsText" dxfId="838" priority="140" operator="containsText" text="Sin iniciar">
      <formula>NOT(ISERROR(SEARCH("Sin iniciar",AD307)))</formula>
    </cfRule>
    <cfRule type="containsText" dxfId="837" priority="141" operator="containsText" text="En gestión">
      <formula>NOT(ISERROR(SEARCH("En gestión",AD307)))</formula>
    </cfRule>
  </conditionalFormatting>
  <conditionalFormatting sqref="AE307">
    <cfRule type="beginsWith" dxfId="836" priority="136" operator="beginsWith" text="T">
      <formula>LEFT(AE307,LEN("T"))="T"</formula>
    </cfRule>
    <cfRule type="containsText" dxfId="835" priority="137" operator="containsText" text="Sin iniciar">
      <formula>NOT(ISERROR(SEARCH("Sin iniciar",AE307)))</formula>
    </cfRule>
    <cfRule type="containsText" dxfId="834" priority="138" operator="containsText" text="En gestión">
      <formula>NOT(ISERROR(SEARCH("En gestión",AE307)))</formula>
    </cfRule>
  </conditionalFormatting>
  <conditionalFormatting sqref="AD314">
    <cfRule type="beginsWith" dxfId="833" priority="121" operator="beginsWith" text="T">
      <formula>LEFT(AD314,LEN("T"))="T"</formula>
    </cfRule>
    <cfRule type="containsText" dxfId="832" priority="122" operator="containsText" text="Sin iniciar">
      <formula>NOT(ISERROR(SEARCH("Sin iniciar",AD314)))</formula>
    </cfRule>
    <cfRule type="containsText" dxfId="831" priority="123" operator="containsText" text="En gestión">
      <formula>NOT(ISERROR(SEARCH("En gestión",AD314)))</formula>
    </cfRule>
  </conditionalFormatting>
  <conditionalFormatting sqref="AE314">
    <cfRule type="beginsWith" dxfId="830" priority="118" operator="beginsWith" text="T">
      <formula>LEFT(AE314,LEN("T"))="T"</formula>
    </cfRule>
    <cfRule type="containsText" dxfId="829" priority="119" operator="containsText" text="Sin iniciar">
      <formula>NOT(ISERROR(SEARCH("Sin iniciar",AE314)))</formula>
    </cfRule>
    <cfRule type="containsText" dxfId="828" priority="120" operator="containsText" text="En gestión">
      <formula>NOT(ISERROR(SEARCH("En gestión",AE314)))</formula>
    </cfRule>
  </conditionalFormatting>
  <conditionalFormatting sqref="AD317:AE317">
    <cfRule type="beginsWith" dxfId="827" priority="115" operator="beginsWith" text="T">
      <formula>LEFT(AD317,LEN("T"))="T"</formula>
    </cfRule>
    <cfRule type="containsText" dxfId="826" priority="116" operator="containsText" text="Sin iniciar">
      <formula>NOT(ISERROR(SEARCH("Sin iniciar",AD317)))</formula>
    </cfRule>
    <cfRule type="containsText" dxfId="825" priority="117" operator="containsText" text="En gestión">
      <formula>NOT(ISERROR(SEARCH("En gestión",AD317)))</formula>
    </cfRule>
  </conditionalFormatting>
  <conditionalFormatting sqref="AD305">
    <cfRule type="beginsWith" dxfId="824" priority="145" operator="beginsWith" text="T">
      <formula>LEFT(AD305,LEN("T"))="T"</formula>
    </cfRule>
    <cfRule type="containsText" dxfId="823" priority="146" operator="containsText" text="Sin iniciar">
      <formula>NOT(ISERROR(SEARCH("Sin iniciar",AD305)))</formula>
    </cfRule>
    <cfRule type="containsText" dxfId="822" priority="147" operator="containsText" text="En gestión">
      <formula>NOT(ISERROR(SEARCH("En gestión",AD305)))</formula>
    </cfRule>
  </conditionalFormatting>
  <conditionalFormatting sqref="AE305">
    <cfRule type="beginsWith" dxfId="821" priority="142" operator="beginsWith" text="T">
      <formula>LEFT(AE305,LEN("T"))="T"</formula>
    </cfRule>
    <cfRule type="containsText" dxfId="820" priority="143" operator="containsText" text="Sin iniciar">
      <formula>NOT(ISERROR(SEARCH("Sin iniciar",AE305)))</formula>
    </cfRule>
    <cfRule type="containsText" dxfId="819" priority="144" operator="containsText" text="En gestión">
      <formula>NOT(ISERROR(SEARCH("En gestión",AE305)))</formula>
    </cfRule>
  </conditionalFormatting>
  <conditionalFormatting sqref="AD309">
    <cfRule type="beginsWith" dxfId="818" priority="133" operator="beginsWith" text="T">
      <formula>LEFT(AD309,LEN("T"))="T"</formula>
    </cfRule>
    <cfRule type="containsText" dxfId="817" priority="134" operator="containsText" text="Sin iniciar">
      <formula>NOT(ISERROR(SEARCH("Sin iniciar",AD309)))</formula>
    </cfRule>
    <cfRule type="containsText" dxfId="816" priority="135" operator="containsText" text="En gestión">
      <formula>NOT(ISERROR(SEARCH("En gestión",AD309)))</formula>
    </cfRule>
  </conditionalFormatting>
  <conditionalFormatting sqref="AE309">
    <cfRule type="beginsWith" dxfId="815" priority="130" operator="beginsWith" text="T">
      <formula>LEFT(AE309,LEN("T"))="T"</formula>
    </cfRule>
    <cfRule type="containsText" dxfId="814" priority="131" operator="containsText" text="Sin iniciar">
      <formula>NOT(ISERROR(SEARCH("Sin iniciar",AE309)))</formula>
    </cfRule>
    <cfRule type="containsText" dxfId="813" priority="132" operator="containsText" text="En gestión">
      <formula>NOT(ISERROR(SEARCH("En gestión",AE309)))</formula>
    </cfRule>
  </conditionalFormatting>
  <conditionalFormatting sqref="AD310">
    <cfRule type="beginsWith" dxfId="812" priority="127" operator="beginsWith" text="T">
      <formula>LEFT(AD310,LEN("T"))="T"</formula>
    </cfRule>
    <cfRule type="containsText" dxfId="811" priority="128" operator="containsText" text="Sin iniciar">
      <formula>NOT(ISERROR(SEARCH("Sin iniciar",AD310)))</formula>
    </cfRule>
    <cfRule type="containsText" dxfId="810" priority="129" operator="containsText" text="En gestión">
      <formula>NOT(ISERROR(SEARCH("En gestión",AD310)))</formula>
    </cfRule>
  </conditionalFormatting>
  <conditionalFormatting sqref="AE310">
    <cfRule type="beginsWith" dxfId="809" priority="124" operator="beginsWith" text="T">
      <formula>LEFT(AE310,LEN("T"))="T"</formula>
    </cfRule>
    <cfRule type="containsText" dxfId="808" priority="125" operator="containsText" text="Sin iniciar">
      <formula>NOT(ISERROR(SEARCH("Sin iniciar",AE310)))</formula>
    </cfRule>
    <cfRule type="containsText" dxfId="807" priority="126" operator="containsText" text="En gestión">
      <formula>NOT(ISERROR(SEARCH("En gestión",AE310)))</formula>
    </cfRule>
  </conditionalFormatting>
  <conditionalFormatting sqref="AD320:AE320">
    <cfRule type="beginsWith" dxfId="806" priority="112" operator="beginsWith" text="T">
      <formula>LEFT(AD320,LEN("T"))="T"</formula>
    </cfRule>
    <cfRule type="containsText" dxfId="805" priority="113" operator="containsText" text="Sin iniciar">
      <formula>NOT(ISERROR(SEARCH("Sin iniciar",AD320)))</formula>
    </cfRule>
    <cfRule type="containsText" dxfId="804" priority="114" operator="containsText" text="En gestión">
      <formula>NOT(ISERROR(SEARCH("En gestión",AD320)))</formula>
    </cfRule>
  </conditionalFormatting>
  <conditionalFormatting sqref="AD323">
    <cfRule type="beginsWith" dxfId="803" priority="109" operator="beginsWith" text="T">
      <formula>LEFT(AD323,LEN("T"))="T"</formula>
    </cfRule>
    <cfRule type="containsText" dxfId="802" priority="110" operator="containsText" text="Sin iniciar">
      <formula>NOT(ISERROR(SEARCH("Sin iniciar",AD323)))</formula>
    </cfRule>
    <cfRule type="containsText" dxfId="801" priority="111" operator="containsText" text="En gestión">
      <formula>NOT(ISERROR(SEARCH("En gestión",AD323)))</formula>
    </cfRule>
  </conditionalFormatting>
  <conditionalFormatting sqref="AE323">
    <cfRule type="beginsWith" dxfId="800" priority="106" operator="beginsWith" text="T">
      <formula>LEFT(AE323,LEN("T"))="T"</formula>
    </cfRule>
    <cfRule type="containsText" dxfId="799" priority="107" operator="containsText" text="Sin iniciar">
      <formula>NOT(ISERROR(SEARCH("Sin iniciar",AE323)))</formula>
    </cfRule>
    <cfRule type="containsText" dxfId="798" priority="108" operator="containsText" text="En gestión">
      <formula>NOT(ISERROR(SEARCH("En gestión",AE323)))</formula>
    </cfRule>
  </conditionalFormatting>
  <conditionalFormatting sqref="AZ305">
    <cfRule type="beginsWith" dxfId="797" priority="103" operator="beginsWith" text="T">
      <formula>LEFT(AZ305,LEN("T"))="T"</formula>
    </cfRule>
    <cfRule type="containsText" dxfId="796" priority="104" operator="containsText" text="Sin iniciar">
      <formula>NOT(ISERROR(SEARCH("Sin iniciar",AZ305)))</formula>
    </cfRule>
    <cfRule type="containsText" dxfId="795" priority="105" operator="containsText" text="En gestión">
      <formula>NOT(ISERROR(SEARCH("En gestión",AZ305)))</formula>
    </cfRule>
  </conditionalFormatting>
  <conditionalFormatting sqref="BA305">
    <cfRule type="beginsWith" dxfId="794" priority="100" operator="beginsWith" text="T">
      <formula>LEFT(BA305,LEN("T"))="T"</formula>
    </cfRule>
    <cfRule type="containsText" dxfId="793" priority="101" operator="containsText" text="Sin iniciar">
      <formula>NOT(ISERROR(SEARCH("Sin iniciar",BA305)))</formula>
    </cfRule>
    <cfRule type="containsText" dxfId="792" priority="102" operator="containsText" text="En gestión">
      <formula>NOT(ISERROR(SEARCH("En gestión",BA305)))</formula>
    </cfRule>
  </conditionalFormatting>
  <conditionalFormatting sqref="AZ307">
    <cfRule type="beginsWith" dxfId="791" priority="97" operator="beginsWith" text="T">
      <formula>LEFT(AZ307,LEN("T"))="T"</formula>
    </cfRule>
    <cfRule type="containsText" dxfId="790" priority="98" operator="containsText" text="Sin iniciar">
      <formula>NOT(ISERROR(SEARCH("Sin iniciar",AZ307)))</formula>
    </cfRule>
    <cfRule type="containsText" dxfId="789" priority="99" operator="containsText" text="En gestión">
      <formula>NOT(ISERROR(SEARCH("En gestión",AZ307)))</formula>
    </cfRule>
  </conditionalFormatting>
  <conditionalFormatting sqref="BA307">
    <cfRule type="beginsWith" dxfId="788" priority="94" operator="beginsWith" text="T">
      <formula>LEFT(BA307,LEN("T"))="T"</formula>
    </cfRule>
    <cfRule type="containsText" dxfId="787" priority="95" operator="containsText" text="Sin iniciar">
      <formula>NOT(ISERROR(SEARCH("Sin iniciar",BA307)))</formula>
    </cfRule>
    <cfRule type="containsText" dxfId="786" priority="96" operator="containsText" text="En gestión">
      <formula>NOT(ISERROR(SEARCH("En gestión",BA307)))</formula>
    </cfRule>
  </conditionalFormatting>
  <conditionalFormatting sqref="AZ309">
    <cfRule type="beginsWith" dxfId="785" priority="91" operator="beginsWith" text="T">
      <formula>LEFT(AZ309,LEN("T"))="T"</formula>
    </cfRule>
    <cfRule type="containsText" dxfId="784" priority="92" operator="containsText" text="Sin iniciar">
      <formula>NOT(ISERROR(SEARCH("Sin iniciar",AZ309)))</formula>
    </cfRule>
    <cfRule type="containsText" dxfId="783" priority="93" operator="containsText" text="En gestión">
      <formula>NOT(ISERROR(SEARCH("En gestión",AZ309)))</formula>
    </cfRule>
  </conditionalFormatting>
  <conditionalFormatting sqref="BA309">
    <cfRule type="beginsWith" dxfId="782" priority="88" operator="beginsWith" text="T">
      <formula>LEFT(BA309,LEN("T"))="T"</formula>
    </cfRule>
    <cfRule type="containsText" dxfId="781" priority="89" operator="containsText" text="Sin iniciar">
      <formula>NOT(ISERROR(SEARCH("Sin iniciar",BA309)))</formula>
    </cfRule>
    <cfRule type="containsText" dxfId="780" priority="90" operator="containsText" text="En gestión">
      <formula>NOT(ISERROR(SEARCH("En gestión",BA309)))</formula>
    </cfRule>
  </conditionalFormatting>
  <conditionalFormatting sqref="AZ310">
    <cfRule type="beginsWith" dxfId="779" priority="85" operator="beginsWith" text="T">
      <formula>LEFT(AZ310,LEN("T"))="T"</formula>
    </cfRule>
    <cfRule type="containsText" dxfId="778" priority="86" operator="containsText" text="Sin iniciar">
      <formula>NOT(ISERROR(SEARCH("Sin iniciar",AZ310)))</formula>
    </cfRule>
    <cfRule type="containsText" dxfId="777" priority="87" operator="containsText" text="En gestión">
      <formula>NOT(ISERROR(SEARCH("En gestión",AZ310)))</formula>
    </cfRule>
  </conditionalFormatting>
  <conditionalFormatting sqref="BA310">
    <cfRule type="beginsWith" dxfId="776" priority="82" operator="beginsWith" text="T">
      <formula>LEFT(BA310,LEN("T"))="T"</formula>
    </cfRule>
    <cfRule type="containsText" dxfId="775" priority="83" operator="containsText" text="Sin iniciar">
      <formula>NOT(ISERROR(SEARCH("Sin iniciar",BA310)))</formula>
    </cfRule>
    <cfRule type="containsText" dxfId="774" priority="84" operator="containsText" text="En gestión">
      <formula>NOT(ISERROR(SEARCH("En gestión",BA310)))</formula>
    </cfRule>
  </conditionalFormatting>
  <conditionalFormatting sqref="AZ314">
    <cfRule type="beginsWith" dxfId="773" priority="79" operator="beginsWith" text="T">
      <formula>LEFT(AZ314,LEN("T"))="T"</formula>
    </cfRule>
    <cfRule type="containsText" dxfId="772" priority="80" operator="containsText" text="Sin iniciar">
      <formula>NOT(ISERROR(SEARCH("Sin iniciar",AZ314)))</formula>
    </cfRule>
    <cfRule type="containsText" dxfId="771" priority="81" operator="containsText" text="En gestión">
      <formula>NOT(ISERROR(SEARCH("En gestión",AZ314)))</formula>
    </cfRule>
  </conditionalFormatting>
  <conditionalFormatting sqref="BA314">
    <cfRule type="beginsWith" dxfId="770" priority="76" operator="beginsWith" text="T">
      <formula>LEFT(BA314,LEN("T"))="T"</formula>
    </cfRule>
    <cfRule type="containsText" dxfId="769" priority="77" operator="containsText" text="Sin iniciar">
      <formula>NOT(ISERROR(SEARCH("Sin iniciar",BA314)))</formula>
    </cfRule>
    <cfRule type="containsText" dxfId="768" priority="78" operator="containsText" text="En gestión">
      <formula>NOT(ISERROR(SEARCH("En gestión",BA314)))</formula>
    </cfRule>
  </conditionalFormatting>
  <conditionalFormatting sqref="AZ317:BA317">
    <cfRule type="beginsWith" dxfId="767" priority="73" operator="beginsWith" text="T">
      <formula>LEFT(AZ317,LEN("T"))="T"</formula>
    </cfRule>
    <cfRule type="containsText" dxfId="766" priority="74" operator="containsText" text="Sin iniciar">
      <formula>NOT(ISERROR(SEARCH("Sin iniciar",AZ317)))</formula>
    </cfRule>
    <cfRule type="containsText" dxfId="765" priority="75" operator="containsText" text="En gestión">
      <formula>NOT(ISERROR(SEARCH("En gestión",AZ317)))</formula>
    </cfRule>
  </conditionalFormatting>
  <conditionalFormatting sqref="AZ320:BA320">
    <cfRule type="beginsWith" dxfId="764" priority="70" operator="beginsWith" text="T">
      <formula>LEFT(AZ320,LEN("T"))="T"</formula>
    </cfRule>
    <cfRule type="containsText" dxfId="763" priority="71" operator="containsText" text="Sin iniciar">
      <formula>NOT(ISERROR(SEARCH("Sin iniciar",AZ320)))</formula>
    </cfRule>
    <cfRule type="containsText" dxfId="762" priority="72" operator="containsText" text="En gestión">
      <formula>NOT(ISERROR(SEARCH("En gestión",AZ320)))</formula>
    </cfRule>
  </conditionalFormatting>
  <conditionalFormatting sqref="AZ323">
    <cfRule type="beginsWith" dxfId="761" priority="67" operator="beginsWith" text="T">
      <formula>LEFT(AZ323,LEN("T"))="T"</formula>
    </cfRule>
    <cfRule type="containsText" dxfId="760" priority="68" operator="containsText" text="Sin iniciar">
      <formula>NOT(ISERROR(SEARCH("Sin iniciar",AZ323)))</formula>
    </cfRule>
    <cfRule type="containsText" dxfId="759" priority="69" operator="containsText" text="En gestión">
      <formula>NOT(ISERROR(SEARCH("En gestión",AZ323)))</formula>
    </cfRule>
  </conditionalFormatting>
  <conditionalFormatting sqref="BA323">
    <cfRule type="beginsWith" dxfId="758" priority="64" operator="beginsWith" text="T">
      <formula>LEFT(BA323,LEN("T"))="T"</formula>
    </cfRule>
    <cfRule type="containsText" dxfId="757" priority="65" operator="containsText" text="Sin iniciar">
      <formula>NOT(ISERROR(SEARCH("Sin iniciar",BA323)))</formula>
    </cfRule>
    <cfRule type="containsText" dxfId="756" priority="66" operator="containsText" text="En gestión">
      <formula>NOT(ISERROR(SEARCH("En gestión",BA323)))</formula>
    </cfRule>
  </conditionalFormatting>
  <conditionalFormatting sqref="BS305:BS324">
    <cfRule type="beginsWith" dxfId="755" priority="61" operator="beginsWith" text="T">
      <formula>LEFT(BS305,LEN("T"))="T"</formula>
    </cfRule>
    <cfRule type="containsText" dxfId="754" priority="62" operator="containsText" text="Sin iniciar">
      <formula>NOT(ISERROR(SEARCH("Sin iniciar",BS305)))</formula>
    </cfRule>
    <cfRule type="containsText" dxfId="753" priority="63" operator="containsText" text="En gestión">
      <formula>NOT(ISERROR(SEARCH("En gestión",BS305)))</formula>
    </cfRule>
  </conditionalFormatting>
  <conditionalFormatting sqref="BR305:BR324">
    <cfRule type="beginsWith" dxfId="752" priority="58" operator="beginsWith" text="T">
      <formula>LEFT(BR305,LEN("T"))="T"</formula>
    </cfRule>
    <cfRule type="containsText" dxfId="751" priority="59" operator="containsText" text="Sin iniciar">
      <formula>NOT(ISERROR(SEARCH("Sin iniciar",BR305)))</formula>
    </cfRule>
    <cfRule type="containsText" dxfId="750" priority="60" operator="containsText" text="En gestión">
      <formula>NOT(ISERROR(SEARCH("En gestión",BR305)))</formula>
    </cfRule>
  </conditionalFormatting>
  <conditionalFormatting sqref="BW305">
    <cfRule type="beginsWith" dxfId="749" priority="55" operator="beginsWith" text="T">
      <formula>LEFT(BW305,LEN("T"))="T"</formula>
    </cfRule>
    <cfRule type="containsText" dxfId="748" priority="56" operator="containsText" text="Sin iniciar">
      <formula>NOT(ISERROR(SEARCH("Sin iniciar",BW305)))</formula>
    </cfRule>
    <cfRule type="containsText" dxfId="747" priority="57" operator="containsText" text="En gestión">
      <formula>NOT(ISERROR(SEARCH("En gestión",BW305)))</formula>
    </cfRule>
  </conditionalFormatting>
  <conditionalFormatting sqref="BX305">
    <cfRule type="beginsWith" dxfId="746" priority="52" operator="beginsWith" text="T">
      <formula>LEFT(BX305,LEN("T"))="T"</formula>
    </cfRule>
    <cfRule type="containsText" dxfId="745" priority="53" operator="containsText" text="Sin iniciar">
      <formula>NOT(ISERROR(SEARCH("Sin iniciar",BX305)))</formula>
    </cfRule>
    <cfRule type="containsText" dxfId="744" priority="54" operator="containsText" text="En gestión">
      <formula>NOT(ISERROR(SEARCH("En gestión",BX305)))</formula>
    </cfRule>
  </conditionalFormatting>
  <conditionalFormatting sqref="BW307">
    <cfRule type="beginsWith" dxfId="743" priority="49" operator="beginsWith" text="T">
      <formula>LEFT(BW307,LEN("T"))="T"</formula>
    </cfRule>
    <cfRule type="containsText" dxfId="742" priority="50" operator="containsText" text="Sin iniciar">
      <formula>NOT(ISERROR(SEARCH("Sin iniciar",BW307)))</formula>
    </cfRule>
    <cfRule type="containsText" dxfId="741" priority="51" operator="containsText" text="En gestión">
      <formula>NOT(ISERROR(SEARCH("En gestión",BW307)))</formula>
    </cfRule>
  </conditionalFormatting>
  <conditionalFormatting sqref="BX307">
    <cfRule type="beginsWith" dxfId="740" priority="46" operator="beginsWith" text="T">
      <formula>LEFT(BX307,LEN("T"))="T"</formula>
    </cfRule>
    <cfRule type="containsText" dxfId="739" priority="47" operator="containsText" text="Sin iniciar">
      <formula>NOT(ISERROR(SEARCH("Sin iniciar",BX307)))</formula>
    </cfRule>
    <cfRule type="containsText" dxfId="738" priority="48" operator="containsText" text="En gestión">
      <formula>NOT(ISERROR(SEARCH("En gestión",BX307)))</formula>
    </cfRule>
  </conditionalFormatting>
  <conditionalFormatting sqref="BW309">
    <cfRule type="beginsWith" dxfId="737" priority="43" operator="beginsWith" text="T">
      <formula>LEFT(BW309,LEN("T"))="T"</formula>
    </cfRule>
    <cfRule type="containsText" dxfId="736" priority="44" operator="containsText" text="Sin iniciar">
      <formula>NOT(ISERROR(SEARCH("Sin iniciar",BW309)))</formula>
    </cfRule>
    <cfRule type="containsText" dxfId="735" priority="45" operator="containsText" text="En gestión">
      <formula>NOT(ISERROR(SEARCH("En gestión",BW309)))</formula>
    </cfRule>
  </conditionalFormatting>
  <conditionalFormatting sqref="BX309">
    <cfRule type="beginsWith" dxfId="734" priority="40" operator="beginsWith" text="T">
      <formula>LEFT(BX309,LEN("T"))="T"</formula>
    </cfRule>
    <cfRule type="containsText" dxfId="733" priority="41" operator="containsText" text="Sin iniciar">
      <formula>NOT(ISERROR(SEARCH("Sin iniciar",BX309)))</formula>
    </cfRule>
    <cfRule type="containsText" dxfId="732" priority="42" operator="containsText" text="En gestión">
      <formula>NOT(ISERROR(SEARCH("En gestión",BX309)))</formula>
    </cfRule>
  </conditionalFormatting>
  <conditionalFormatting sqref="BW310">
    <cfRule type="beginsWith" dxfId="731" priority="37" operator="beginsWith" text="T">
      <formula>LEFT(BW310,LEN("T"))="T"</formula>
    </cfRule>
    <cfRule type="containsText" dxfId="730" priority="38" operator="containsText" text="Sin iniciar">
      <formula>NOT(ISERROR(SEARCH("Sin iniciar",BW310)))</formula>
    </cfRule>
    <cfRule type="containsText" dxfId="729" priority="39" operator="containsText" text="En gestión">
      <formula>NOT(ISERROR(SEARCH("En gestión",BW310)))</formula>
    </cfRule>
  </conditionalFormatting>
  <conditionalFormatting sqref="BX310">
    <cfRule type="beginsWith" dxfId="728" priority="34" operator="beginsWith" text="T">
      <formula>LEFT(BX310,LEN("T"))="T"</formula>
    </cfRule>
    <cfRule type="containsText" dxfId="727" priority="35" operator="containsText" text="Sin iniciar">
      <formula>NOT(ISERROR(SEARCH("Sin iniciar",BX310)))</formula>
    </cfRule>
    <cfRule type="containsText" dxfId="726" priority="36" operator="containsText" text="En gestión">
      <formula>NOT(ISERROR(SEARCH("En gestión",BX310)))</formula>
    </cfRule>
  </conditionalFormatting>
  <conditionalFormatting sqref="BW314">
    <cfRule type="beginsWith" dxfId="725" priority="31" operator="beginsWith" text="T">
      <formula>LEFT(BW314,LEN("T"))="T"</formula>
    </cfRule>
    <cfRule type="containsText" dxfId="724" priority="32" operator="containsText" text="Sin iniciar">
      <formula>NOT(ISERROR(SEARCH("Sin iniciar",BW314)))</formula>
    </cfRule>
    <cfRule type="containsText" dxfId="723" priority="33" operator="containsText" text="En gestión">
      <formula>NOT(ISERROR(SEARCH("En gestión",BW314)))</formula>
    </cfRule>
  </conditionalFormatting>
  <conditionalFormatting sqref="BX314">
    <cfRule type="beginsWith" dxfId="722" priority="28" operator="beginsWith" text="T">
      <formula>LEFT(BX314,LEN("T"))="T"</formula>
    </cfRule>
    <cfRule type="containsText" dxfId="721" priority="29" operator="containsText" text="Sin iniciar">
      <formula>NOT(ISERROR(SEARCH("Sin iniciar",BX314)))</formula>
    </cfRule>
    <cfRule type="containsText" dxfId="720" priority="30" operator="containsText" text="En gestión">
      <formula>NOT(ISERROR(SEARCH("En gestión",BX314)))</formula>
    </cfRule>
  </conditionalFormatting>
  <conditionalFormatting sqref="BW317:BX317">
    <cfRule type="beginsWith" dxfId="719" priority="25" operator="beginsWith" text="T">
      <formula>LEFT(BW317,LEN("T"))="T"</formula>
    </cfRule>
    <cfRule type="containsText" dxfId="718" priority="26" operator="containsText" text="Sin iniciar">
      <formula>NOT(ISERROR(SEARCH("Sin iniciar",BW317)))</formula>
    </cfRule>
    <cfRule type="containsText" dxfId="717" priority="27" operator="containsText" text="En gestión">
      <formula>NOT(ISERROR(SEARCH("En gestión",BW317)))</formula>
    </cfRule>
  </conditionalFormatting>
  <conditionalFormatting sqref="BW320:BX320">
    <cfRule type="beginsWith" dxfId="716" priority="22" operator="beginsWith" text="T">
      <formula>LEFT(BW320,LEN("T"))="T"</formula>
    </cfRule>
    <cfRule type="containsText" dxfId="715" priority="23" operator="containsText" text="Sin iniciar">
      <formula>NOT(ISERROR(SEARCH("Sin iniciar",BW320)))</formula>
    </cfRule>
    <cfRule type="containsText" dxfId="714" priority="24" operator="containsText" text="En gestión">
      <formula>NOT(ISERROR(SEARCH("En gestión",BW320)))</formula>
    </cfRule>
  </conditionalFormatting>
  <conditionalFormatting sqref="BW323">
    <cfRule type="beginsWith" dxfId="713" priority="19" operator="beginsWith" text="T">
      <formula>LEFT(BW323,LEN("T"))="T"</formula>
    </cfRule>
    <cfRule type="containsText" dxfId="712" priority="20" operator="containsText" text="Sin iniciar">
      <formula>NOT(ISERROR(SEARCH("Sin iniciar",BW323)))</formula>
    </cfRule>
    <cfRule type="containsText" dxfId="711" priority="21" operator="containsText" text="En gestión">
      <formula>NOT(ISERROR(SEARCH("En gestión",BW323)))</formula>
    </cfRule>
  </conditionalFormatting>
  <conditionalFormatting sqref="BX323">
    <cfRule type="beginsWith" dxfId="710" priority="16" operator="beginsWith" text="T">
      <formula>LEFT(BX323,LEN("T"))="T"</formula>
    </cfRule>
    <cfRule type="containsText" dxfId="709" priority="17" operator="containsText" text="Sin iniciar">
      <formula>NOT(ISERROR(SEARCH("Sin iniciar",BX323)))</formula>
    </cfRule>
    <cfRule type="containsText" dxfId="708" priority="18" operator="containsText" text="En gestión">
      <formula>NOT(ISERROR(SEARCH("En gestión",BX323)))</formula>
    </cfRule>
  </conditionalFormatting>
  <conditionalFormatting sqref="AD453:AE453">
    <cfRule type="beginsWith" dxfId="707" priority="13" operator="beginsWith" text="T">
      <formula>LEFT(AD453,LEN("T"))="T"</formula>
    </cfRule>
    <cfRule type="containsText" dxfId="706" priority="14" operator="containsText" text="Sin iniciar">
      <formula>NOT(ISERROR(SEARCH("Sin iniciar",AD453)))</formula>
    </cfRule>
    <cfRule type="containsText" dxfId="705" priority="15" operator="containsText" text="En gestión">
      <formula>NOT(ISERROR(SEARCH("En gestión",AD453)))</formula>
    </cfRule>
  </conditionalFormatting>
  <conditionalFormatting sqref="AZ453">
    <cfRule type="beginsWith" dxfId="704" priority="10" operator="beginsWith" text="T">
      <formula>LEFT(AZ453,LEN("T"))="T"</formula>
    </cfRule>
    <cfRule type="containsText" dxfId="703" priority="11" operator="containsText" text="Sin iniciar">
      <formula>NOT(ISERROR(SEARCH("Sin iniciar",AZ453)))</formula>
    </cfRule>
    <cfRule type="containsText" dxfId="702" priority="12" operator="containsText" text="En gestión">
      <formula>NOT(ISERROR(SEARCH("En gestión",AZ453)))</formula>
    </cfRule>
  </conditionalFormatting>
  <conditionalFormatting sqref="BA453">
    <cfRule type="beginsWith" dxfId="701" priority="7" operator="beginsWith" text="T">
      <formula>LEFT(BA453,LEN("T"))="T"</formula>
    </cfRule>
    <cfRule type="containsText" dxfId="700" priority="8" operator="containsText" text="Sin iniciar">
      <formula>NOT(ISERROR(SEARCH("Sin iniciar",BA453)))</formula>
    </cfRule>
    <cfRule type="containsText" dxfId="699" priority="9" operator="containsText" text="En gestión">
      <formula>NOT(ISERROR(SEARCH("En gestión",BA453)))</formula>
    </cfRule>
  </conditionalFormatting>
  <conditionalFormatting sqref="BW453">
    <cfRule type="beginsWith" dxfId="698" priority="4" operator="beginsWith" text="T">
      <formula>LEFT(BW453,LEN("T"))="T"</formula>
    </cfRule>
    <cfRule type="containsText" dxfId="697" priority="5" operator="containsText" text="Sin iniciar">
      <formula>NOT(ISERROR(SEARCH("Sin iniciar",BW453)))</formula>
    </cfRule>
    <cfRule type="containsText" dxfId="696" priority="6" operator="containsText" text="En gestión">
      <formula>NOT(ISERROR(SEARCH("En gestión",BW453)))</formula>
    </cfRule>
  </conditionalFormatting>
  <conditionalFormatting sqref="BX453">
    <cfRule type="beginsWith" dxfId="695" priority="1" operator="beginsWith" text="T">
      <formula>LEFT(BX453,LEN("T"))="T"</formula>
    </cfRule>
    <cfRule type="containsText" dxfId="694" priority="2" operator="containsText" text="Sin iniciar">
      <formula>NOT(ISERROR(SEARCH("Sin iniciar",BX453)))</formula>
    </cfRule>
    <cfRule type="containsText" dxfId="693" priority="3" operator="containsText" text="En gestión">
      <formula>NOT(ISERROR(SEARCH("En gestión",BX453)))</formula>
    </cfRule>
  </conditionalFormatting>
  <dataValidations count="3">
    <dataValidation type="list" allowBlank="1" showInputMessage="1" showErrorMessage="1" sqref="D47:D91 G47:J91 J116:J118" xr:uid="{00000000-0002-0000-0000-000000000000}">
      <formula1>#REF!</formula1>
    </dataValidation>
    <dataValidation type="list" allowBlank="1" showInputMessage="1" showErrorMessage="1" sqref="AO121 AO119 AO116 AO114 AO123 AO128 AO131 AO149 AO146 AO143 AO139 AO136 AO156 AO153 BK153 BK156 CH153 CH156 AO395:AO397 BL395:BL397 AO401 AO303:AO304 AO264 AO300 AO298 AO295 AO291 AO269 AO266:AO267 AO281 AO289 AO287 AO272 AO293 AO253 AO276 BL303:BL304 BL300 BL298 BL295 BL293 BL291 BL289 BL287 BL281 BL276 BL272 BL269 BL264 BL266:BL267 BL253 AO323" xr:uid="{00000000-0002-0000-0000-000001000000}">
      <formula1>INDIRECT($H114)</formula1>
    </dataValidation>
    <dataValidation type="list" allowBlank="1" showInputMessage="1" showErrorMessage="1" sqref="AO126 CH253 CH266:CH267 CH264 CH269 CH272 CH276 CH281 CH287 CH289 CH291 CH293 CH295 CH298 CH300 CH303:CH304" xr:uid="{00000000-0002-0000-0000-000002000000}">
      <formula1>INDIRECT($G126)</formula1>
    </dataValidation>
  </dataValidations>
  <hyperlinks>
    <hyperlink ref="AT24" r:id="rId1" xr:uid="{00000000-0004-0000-0000-000000000000}"/>
    <hyperlink ref="AT26" r:id="rId2" xr:uid="{00000000-0004-0000-0000-000001000000}"/>
    <hyperlink ref="BQ85" r:id="rId3" display="http://isolucionpro.dane.gov.co/Isolucion40Dane/Homes/HomeSistemas.aspx?CodSistemaGestion=112" xr:uid="{00000000-0004-0000-0000-000002000000}"/>
    <hyperlink ref="BQ82" r:id="rId4" display="http://isolucionpro.dane.gov.co/Isolucion40Dane/Documentacion/frmArticuloMenu.aspx?DocumentCreationType=_x000a_SIO-040-GUI-001" xr:uid="{00000000-0004-0000-0000-000003000000}"/>
    <hyperlink ref="BQ75" r:id="rId5" display="http://isolucionpro.dane.gov.co/Isolucion40Dane/Documentacion/frmEditarArticulo.aspx?CodArticulo=MTAzMDk=" xr:uid="{00000000-0004-0000-0000-000004000000}"/>
    <hyperlink ref="AT75" r:id="rId6" xr:uid="{00000000-0004-0000-0000-000005000000}"/>
    <hyperlink ref="AT74" r:id="rId7" xr:uid="{00000000-0004-0000-0000-000006000000}"/>
    <hyperlink ref="X75" r:id="rId8" xr:uid="{00000000-0004-0000-0000-000007000000}"/>
    <hyperlink ref="X73" r:id="rId9" xr:uid="{00000000-0004-0000-0000-000008000000}"/>
    <hyperlink ref="X74" r:id="rId10" xr:uid="{00000000-0004-0000-0000-000009000000}"/>
    <hyperlink ref="X157" r:id="rId11" xr:uid="{00000000-0004-0000-0000-00000A000000}"/>
    <hyperlink ref="X224" r:id="rId12" xr:uid="{00000000-0004-0000-0000-00000B000000}"/>
    <hyperlink ref="AT225" r:id="rId13" xr:uid="{00000000-0004-0000-0000-00000C000000}"/>
    <hyperlink ref="AT230" r:id="rId14" xr:uid="{00000000-0004-0000-0000-00000D000000}"/>
    <hyperlink ref="AT233" r:id="rId15" xr:uid="{00000000-0004-0000-0000-00000E000000}"/>
    <hyperlink ref="AT236" r:id="rId16" xr:uid="{00000000-0004-0000-0000-00000F000000}"/>
    <hyperlink ref="AT241" r:id="rId17" xr:uid="{00000000-0004-0000-0000-000010000000}"/>
    <hyperlink ref="AT239" r:id="rId18" xr:uid="{00000000-0004-0000-0000-000011000000}"/>
    <hyperlink ref="BQ228" r:id="rId19" display="\\systema20\Seg_Planes_institucionales\02_DICE\Plan de Acción 2021\PAI_DICE_2\PAI_DICE_2.2\III trimestre" xr:uid="{00000000-0004-0000-0000-000012000000}"/>
    <hyperlink ref="BQ230" r:id="rId20" display="\\systema20\Seg_Planes_institucionales\02_DICE\Plan de Acción 2021\PAI_DICE_3\PAI_DICE_3.1\III TRIMESTRE" xr:uid="{00000000-0004-0000-0000-000013000000}"/>
    <hyperlink ref="BQ241" r:id="rId21" display="\\systema20\Seg_Planes_institucionales\02_DICE\Plan de Acción 2021\PAI_DICE_8\PAI_DICE_8.2\III TRIMESTRE" xr:uid="{00000000-0004-0000-0000-000014000000}"/>
    <hyperlink ref="BQ234" r:id="rId22" display="\\systema20\Seg_Planes_institucionales\02_DICE\Plan de Acción 2021\PAI_DICE_5\PAI_DICE_5.1\III TRIMESTRE" xr:uid="{00000000-0004-0000-0000-000015000000}"/>
    <hyperlink ref="AT227" r:id="rId23" xr:uid="{00000000-0004-0000-0000-000016000000}"/>
    <hyperlink ref="X232" r:id="rId24" xr:uid="{00000000-0004-0000-0000-000017000000}"/>
    <hyperlink ref="X327" r:id="rId25" xr:uid="{00000000-0004-0000-0000-000018000000}"/>
    <hyperlink ref="AT346" r:id="rId26" display="\\systema78\dcd3\Victimas_Rafael\" xr:uid="{00000000-0004-0000-0000-000019000000}"/>
    <hyperlink ref="BQ325" display="En el siguiente enlace se encuentra la grabación de la reunión:_x000a__x000a_https://nam10.safelinks.protection.outlook.com/?url=https%3A%2F%2Fweb.microsoftstream.com%2Fvideo%2F05b074dd-7193-4124-abcc-80c9ecf436bd&amp;data=04%7C01%7Cmnreyesr%40dane.gov.co%7Cf0230d96c4ae4" xr:uid="{00000000-0004-0000-0000-00001A000000}"/>
    <hyperlink ref="BQ349" r:id="rId27" display="https://danegovco-my.sharepoint.com/personal/jaalmanzas_dane_gov_co/_layouts/15/onedrive.aspx?id=%2Fpersonal%2Fjaalmanzas%5Fdane%5Fgov%5Fco%2FDocuments%2FSEGUIMIENTO%20CM%2F%C3%81rbol%20documental%20CM" xr:uid="{00000000-0004-0000-0000-00001B000000}"/>
    <hyperlink ref="BQ350" r:id="rId28" display="https://danegovco-my.sharepoint.com/personal/jaalmanzas_dane_gov_co/_layouts/15/onedrive.aspx?id=%2Fpersonal%2Fjaalmanzas%5Fdane%5Fgov%5Fco%2FDocuments%2FSEGUIMIENTO%20CM%2F%C3%81rbol%20documental%20CM" xr:uid="{00000000-0004-0000-0000-00001C000000}"/>
    <hyperlink ref="BQ351" r:id="rId29" display="https://danegovco-my.sharepoint.com/personal/jaalmanzas_dane_gov_co/_layouts/15/onedrive.aspx?id=%2Fpersonal%2Fjaalmanzas%5Fdane%5Fgov%5Fco%2FDocuments%2FSEGUIMIENTO%20CM%2F%C3%81rbol%20documental%20CM" xr:uid="{00000000-0004-0000-0000-00001D000000}"/>
    <hyperlink ref="BQ346" r:id="rId30" display="\\systema78\dcd3\Victimas_Rafael\" xr:uid="{00000000-0004-0000-0000-00001E000000}"/>
    <hyperlink ref="BQ332" r:id="rId31" display="https://www.dane.gov.co/files/investigaciones/poblacion/informes-estadisticas-sociodemograficas/2021-10-01-caracterizacion-migrantes-y-retornados-desde-venezuela-CNPV.2018.pdf" xr:uid="{00000000-0004-0000-0000-00001F000000}"/>
    <hyperlink ref="BQ331" r:id="rId32" display="https://www.dane.gov.co/files/investigaciones/poblacion/informes-estadisticas-sociodemograficas/2021-09-24-Registro-Estadistico-Pueblo-Wayuu.pdf" xr:uid="{00000000-0004-0000-0000-000020000000}"/>
    <hyperlink ref="BQ352" r:id="rId33" display="https://danegovco-my.sharepoint.com/personal/jaalmanzas_dane_gov_co/_layouts/15/onedrive.aspx?id=%2Fpersonal%2Fjaalmanzas%5Fdane%5Fgov%5Fco%2FDocuments%2FSEGUIMIENTO%20CM%2F%C3%81rbol%20documental%20CM" xr:uid="{00000000-0004-0000-0000-000021000000}"/>
    <hyperlink ref="AT373" r:id="rId34" xr:uid="{00000000-0004-0000-0000-000022000000}"/>
    <hyperlink ref="X246" r:id="rId35" xr:uid="{00000000-0004-0000-0000-000023000000}"/>
    <hyperlink ref="X247" r:id="rId36" xr:uid="{00000000-0004-0000-0000-000024000000}"/>
    <hyperlink ref="X242" r:id="rId37" xr:uid="{00000000-0004-0000-0000-000025000000}"/>
    <hyperlink ref="BQ247" r:id="rId38" xr:uid="{00000000-0004-0000-0000-000026000000}"/>
    <hyperlink ref="BQ245" r:id="rId39" xr:uid="{00000000-0004-0000-0000-000027000000}"/>
  </hyperlinks>
  <pageMargins left="0.7" right="0.7" top="0.75" bottom="0.75" header="0.3" footer="0.3"/>
  <pageSetup orientation="portrait" r:id="rId40"/>
  <drawing r:id="rId41"/>
  <legacyDrawing r:id="rId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H222"/>
  <sheetViews>
    <sheetView showGridLines="0" zoomScale="60" zoomScaleNormal="60" workbookViewId="0"/>
  </sheetViews>
  <sheetFormatPr baseColWidth="10" defaultColWidth="10.85546875" defaultRowHeight="20.25" x14ac:dyDescent="0.25"/>
  <cols>
    <col min="1" max="1" width="10.85546875" style="3"/>
    <col min="2" max="2" width="27.140625" style="3" customWidth="1"/>
    <col min="3" max="3" width="23.7109375" style="3" customWidth="1"/>
    <col min="4" max="4" width="36.140625" style="3" customWidth="1"/>
    <col min="5" max="5" width="64.28515625" style="3" customWidth="1"/>
    <col min="6" max="7" width="43.7109375" style="3" customWidth="1"/>
    <col min="8" max="9" width="41.7109375" style="3" customWidth="1"/>
    <col min="10" max="10" width="69.28515625" style="1" customWidth="1"/>
    <col min="11" max="11" width="24.85546875" style="3" customWidth="1"/>
    <col min="12" max="12" width="26.42578125" style="3" customWidth="1"/>
    <col min="13" max="13" width="61" style="3" customWidth="1"/>
    <col min="14" max="16" width="32" style="3" customWidth="1"/>
    <col min="17" max="20" width="21.85546875" style="3" customWidth="1"/>
    <col min="21" max="21" width="29.85546875" style="1" customWidth="1"/>
    <col min="22" max="22" width="172.85546875" style="3" customWidth="1"/>
    <col min="23" max="23" width="73.85546875" style="3" customWidth="1"/>
    <col min="24" max="25" width="31.28515625" style="3" customWidth="1"/>
    <col min="26" max="26" width="85.7109375" style="3" customWidth="1"/>
    <col min="27" max="30" width="33.7109375" style="3" customWidth="1"/>
    <col min="31" max="42" width="53.85546875" style="3" customWidth="1"/>
    <col min="43" max="43" width="31.140625" style="3" customWidth="1"/>
    <col min="44" max="45" width="87.42578125" style="3" customWidth="1"/>
    <col min="46" max="47" width="36.42578125" style="3" customWidth="1"/>
    <col min="48" max="48" width="117.140625" style="3" customWidth="1"/>
    <col min="49" max="50" width="37.85546875" style="3" customWidth="1"/>
    <col min="51" max="53" width="53.85546875" style="3" customWidth="1"/>
    <col min="54" max="64" width="53.85546875" style="383" customWidth="1"/>
    <col min="65" max="65" width="39.140625" style="3" customWidth="1"/>
    <col min="66" max="67" width="100.7109375" style="3" customWidth="1"/>
    <col min="68" max="69" width="42.42578125" style="3" customWidth="1"/>
    <col min="70" max="70" width="110.28515625" style="383" customWidth="1"/>
    <col min="71" max="72" width="53.85546875" style="3" customWidth="1"/>
    <col min="73" max="74" width="53.85546875" style="1" customWidth="1"/>
    <col min="75" max="75" width="83.85546875" style="3" customWidth="1"/>
    <col min="76" max="86" width="53.85546875" style="3" customWidth="1"/>
    <col min="87" max="16384" width="10.85546875" style="3"/>
  </cols>
  <sheetData>
    <row r="1" spans="2:86" ht="59.1" customHeight="1" x14ac:dyDescent="0.25">
      <c r="B1" s="1218" t="s">
        <v>5276</v>
      </c>
      <c r="C1" s="1218"/>
      <c r="D1" s="1218"/>
      <c r="E1" s="1218"/>
      <c r="F1" s="1218"/>
      <c r="G1" s="1218"/>
      <c r="H1" s="1218"/>
      <c r="I1" s="1218"/>
      <c r="J1" s="1216"/>
      <c r="K1" s="1216"/>
      <c r="L1" s="1216"/>
      <c r="M1" s="1216"/>
      <c r="N1" s="1216"/>
      <c r="O1" s="1216"/>
      <c r="P1" s="1216"/>
      <c r="Q1" s="1216"/>
      <c r="R1" s="1216"/>
      <c r="S1" s="1216"/>
      <c r="T1" s="1216"/>
    </row>
    <row r="2" spans="2:86" ht="63" customHeight="1" x14ac:dyDescent="0.25">
      <c r="B2" s="1219"/>
      <c r="C2" s="1219"/>
      <c r="D2" s="1219"/>
      <c r="E2" s="1219"/>
      <c r="F2" s="1219"/>
      <c r="G2" s="1219"/>
      <c r="H2" s="1219"/>
      <c r="I2" s="1219"/>
      <c r="J2" s="1217"/>
      <c r="K2" s="1217"/>
      <c r="L2" s="1217"/>
      <c r="M2" s="1217"/>
      <c r="N2" s="1217"/>
      <c r="O2" s="1217"/>
      <c r="P2" s="1217"/>
      <c r="Q2" s="1217"/>
      <c r="R2" s="1217"/>
      <c r="S2" s="1217"/>
      <c r="T2" s="1217"/>
      <c r="U2" s="1137" t="s">
        <v>5266</v>
      </c>
      <c r="V2" s="1138"/>
      <c r="W2" s="1138"/>
      <c r="X2" s="1138"/>
      <c r="Y2" s="1138"/>
      <c r="Z2" s="1138"/>
      <c r="AA2" s="1138"/>
      <c r="AB2" s="1138"/>
      <c r="AC2" s="1138"/>
      <c r="AD2" s="1138"/>
      <c r="AE2" s="1138"/>
      <c r="AF2" s="1138"/>
      <c r="AG2" s="1138"/>
      <c r="AH2" s="1138"/>
      <c r="AI2" s="1138"/>
      <c r="AJ2" s="1138"/>
      <c r="AK2" s="1138"/>
      <c r="AL2" s="1138"/>
      <c r="AM2" s="1138"/>
      <c r="AN2" s="1138"/>
      <c r="AO2" s="1138"/>
      <c r="AP2" s="1138"/>
      <c r="AQ2" s="1203" t="s">
        <v>5196</v>
      </c>
      <c r="AR2" s="1203"/>
      <c r="AS2" s="1203"/>
      <c r="AT2" s="1203"/>
      <c r="AU2" s="1203"/>
      <c r="AV2" s="1203"/>
      <c r="AW2" s="1203"/>
      <c r="AX2" s="1203"/>
      <c r="AY2" s="1203"/>
      <c r="AZ2" s="1203"/>
      <c r="BA2" s="1203"/>
      <c r="BB2" s="1203"/>
      <c r="BC2" s="1203"/>
      <c r="BD2" s="1203"/>
      <c r="BE2" s="1203"/>
      <c r="BF2" s="1203"/>
      <c r="BG2" s="1203"/>
      <c r="BH2" s="1203"/>
      <c r="BI2" s="1203"/>
      <c r="BJ2" s="1203"/>
      <c r="BK2" s="1203"/>
      <c r="BL2" s="1203"/>
      <c r="BM2" s="1139" t="s">
        <v>5267</v>
      </c>
      <c r="BN2" s="1139"/>
      <c r="BO2" s="1139"/>
      <c r="BP2" s="1139"/>
      <c r="BQ2" s="1139"/>
      <c r="BR2" s="1139"/>
      <c r="BS2" s="1139"/>
      <c r="BT2" s="1139"/>
      <c r="BU2" s="1139"/>
      <c r="BV2" s="1139"/>
      <c r="BW2" s="1139"/>
      <c r="BX2" s="1139"/>
      <c r="BY2" s="1139"/>
      <c r="BZ2" s="1139"/>
      <c r="CA2" s="1139"/>
      <c r="CB2" s="1139"/>
      <c r="CC2" s="1139"/>
      <c r="CD2" s="1139"/>
      <c r="CE2" s="1139"/>
      <c r="CF2" s="1139"/>
      <c r="CG2" s="1139"/>
      <c r="CH2" s="1140"/>
    </row>
    <row r="3" spans="2:86" ht="87" customHeight="1" x14ac:dyDescent="0.25">
      <c r="B3" s="1180" t="s">
        <v>5269</v>
      </c>
      <c r="C3" s="1180" t="s">
        <v>5270</v>
      </c>
      <c r="D3" s="1178" t="s">
        <v>0</v>
      </c>
      <c r="E3" s="1178"/>
      <c r="F3" s="1178"/>
      <c r="G3" s="1178"/>
      <c r="H3" s="1178"/>
      <c r="I3" s="1178"/>
      <c r="J3" s="1179" t="s">
        <v>1</v>
      </c>
      <c r="K3" s="1179"/>
      <c r="L3" s="1179"/>
      <c r="M3" s="1179"/>
      <c r="N3" s="1179"/>
      <c r="O3" s="1179"/>
      <c r="P3" s="1179"/>
      <c r="Q3" s="1179" t="s">
        <v>2</v>
      </c>
      <c r="R3" s="1179"/>
      <c r="S3" s="1179"/>
      <c r="T3" s="1179"/>
      <c r="U3" s="1028" t="s">
        <v>5194</v>
      </c>
      <c r="V3" s="1029"/>
      <c r="W3" s="1029"/>
      <c r="X3" s="1029"/>
      <c r="Y3" s="1029"/>
      <c r="Z3" s="1029"/>
      <c r="AA3" s="1029"/>
      <c r="AB3" s="1029"/>
      <c r="AC3" s="1029"/>
      <c r="AD3" s="1029"/>
      <c r="AE3" s="1029"/>
      <c r="AF3" s="1028" t="s">
        <v>5195</v>
      </c>
      <c r="AG3" s="1029"/>
      <c r="AH3" s="1029"/>
      <c r="AI3" s="1029"/>
      <c r="AJ3" s="1029"/>
      <c r="AK3" s="1029"/>
      <c r="AL3" s="1029"/>
      <c r="AM3" s="1029"/>
      <c r="AN3" s="1029"/>
      <c r="AO3" s="1029"/>
      <c r="AP3" s="1029"/>
      <c r="AQ3" s="1204" t="s">
        <v>5194</v>
      </c>
      <c r="AR3" s="1205"/>
      <c r="AS3" s="1205"/>
      <c r="AT3" s="1205"/>
      <c r="AU3" s="1205"/>
      <c r="AV3" s="1205"/>
      <c r="AW3" s="1205"/>
      <c r="AX3" s="1205"/>
      <c r="AY3" s="1205"/>
      <c r="AZ3" s="1205"/>
      <c r="BA3" s="1205"/>
      <c r="BB3" s="1205"/>
      <c r="BC3" s="1206" t="s">
        <v>5195</v>
      </c>
      <c r="BD3" s="1206"/>
      <c r="BE3" s="1206"/>
      <c r="BF3" s="1206"/>
      <c r="BG3" s="1206"/>
      <c r="BH3" s="1206"/>
      <c r="BI3" s="1206"/>
      <c r="BJ3" s="1206"/>
      <c r="BK3" s="1206"/>
      <c r="BL3" s="1206"/>
      <c r="BM3" s="1022" t="s">
        <v>5194</v>
      </c>
      <c r="BN3" s="1023"/>
      <c r="BO3" s="1023"/>
      <c r="BP3" s="1023"/>
      <c r="BQ3" s="1023"/>
      <c r="BR3" s="1023"/>
      <c r="BS3" s="1023"/>
      <c r="BT3" s="1023"/>
      <c r="BU3" s="1023"/>
      <c r="BV3" s="1023"/>
      <c r="BW3" s="1023"/>
      <c r="BX3" s="1023"/>
      <c r="BY3" s="1022" t="s">
        <v>5195</v>
      </c>
      <c r="BZ3" s="1023"/>
      <c r="CA3" s="1023"/>
      <c r="CB3" s="1023"/>
      <c r="CC3" s="1023"/>
      <c r="CD3" s="1023"/>
      <c r="CE3" s="1023"/>
      <c r="CF3" s="1023"/>
      <c r="CG3" s="1023"/>
      <c r="CH3" s="1023"/>
    </row>
    <row r="4" spans="2:86" ht="120" customHeight="1" x14ac:dyDescent="0.25">
      <c r="B4" s="1181" t="s">
        <v>5271</v>
      </c>
      <c r="C4" s="1181" t="s">
        <v>3</v>
      </c>
      <c r="D4" s="2" t="s">
        <v>4</v>
      </c>
      <c r="E4" s="2" t="s">
        <v>6</v>
      </c>
      <c r="F4" s="2" t="s">
        <v>7</v>
      </c>
      <c r="G4" s="2" t="s">
        <v>8</v>
      </c>
      <c r="H4" s="2" t="s">
        <v>9</v>
      </c>
      <c r="I4" s="2" t="s">
        <v>10</v>
      </c>
      <c r="J4" s="1182" t="s">
        <v>11</v>
      </c>
      <c r="K4" s="2" t="s">
        <v>12</v>
      </c>
      <c r="L4" s="2" t="s">
        <v>13</v>
      </c>
      <c r="M4" s="1183" t="s">
        <v>14</v>
      </c>
      <c r="N4" s="1183" t="s">
        <v>15</v>
      </c>
      <c r="O4" s="1184" t="s">
        <v>16</v>
      </c>
      <c r="P4" s="1184" t="s">
        <v>17</v>
      </c>
      <c r="Q4" s="1183" t="s">
        <v>18</v>
      </c>
      <c r="R4" s="1183" t="s">
        <v>19</v>
      </c>
      <c r="S4" s="1183" t="s">
        <v>20</v>
      </c>
      <c r="T4" s="1183" t="s">
        <v>21</v>
      </c>
      <c r="U4" s="2" t="s">
        <v>2799</v>
      </c>
      <c r="V4" s="2" t="s">
        <v>2800</v>
      </c>
      <c r="W4" s="2" t="s">
        <v>2801</v>
      </c>
      <c r="X4" s="2" t="s">
        <v>2802</v>
      </c>
      <c r="Y4" s="2" t="s">
        <v>2803</v>
      </c>
      <c r="Z4" s="2" t="s">
        <v>2804</v>
      </c>
      <c r="AA4" s="2" t="s">
        <v>2806</v>
      </c>
      <c r="AB4" s="2" t="s">
        <v>2805</v>
      </c>
      <c r="AC4" s="2" t="s">
        <v>2807</v>
      </c>
      <c r="AD4" s="2" t="s">
        <v>2808</v>
      </c>
      <c r="AE4" s="2" t="s">
        <v>2809</v>
      </c>
      <c r="AF4" s="2" t="s">
        <v>2449</v>
      </c>
      <c r="AG4" s="2" t="s">
        <v>2450</v>
      </c>
      <c r="AH4" s="2" t="s">
        <v>2451</v>
      </c>
      <c r="AI4" s="2" t="s">
        <v>2452</v>
      </c>
      <c r="AJ4" s="2" t="s">
        <v>2453</v>
      </c>
      <c r="AK4" s="2" t="s">
        <v>2454</v>
      </c>
      <c r="AL4" s="2" t="s">
        <v>2455</v>
      </c>
      <c r="AM4" s="2" t="s">
        <v>2456</v>
      </c>
      <c r="AN4" s="2" t="s">
        <v>2457</v>
      </c>
      <c r="AO4" s="2" t="s">
        <v>2458</v>
      </c>
      <c r="AP4" s="2" t="s">
        <v>2459</v>
      </c>
      <c r="AQ4" s="1207" t="s">
        <v>3779</v>
      </c>
      <c r="AR4" s="1207" t="s">
        <v>3780</v>
      </c>
      <c r="AS4" s="1207" t="s">
        <v>2801</v>
      </c>
      <c r="AT4" s="1207" t="s">
        <v>2802</v>
      </c>
      <c r="AU4" s="1207" t="s">
        <v>2803</v>
      </c>
      <c r="AV4" s="1207" t="s">
        <v>3781</v>
      </c>
      <c r="AW4" s="1207" t="s">
        <v>3777</v>
      </c>
      <c r="AX4" s="1207" t="s">
        <v>2805</v>
      </c>
      <c r="AY4" s="1207" t="s">
        <v>2807</v>
      </c>
      <c r="AZ4" s="1207" t="s">
        <v>2808</v>
      </c>
      <c r="BA4" s="1207" t="s">
        <v>2809</v>
      </c>
      <c r="BB4" s="1208" t="s">
        <v>23</v>
      </c>
      <c r="BC4" s="1208" t="s">
        <v>2449</v>
      </c>
      <c r="BD4" s="1208" t="s">
        <v>2553</v>
      </c>
      <c r="BE4" s="1208" t="s">
        <v>2636</v>
      </c>
      <c r="BF4" s="1208" t="s">
        <v>2452</v>
      </c>
      <c r="BG4" s="1208" t="s">
        <v>2554</v>
      </c>
      <c r="BH4" s="1208" t="s">
        <v>2637</v>
      </c>
      <c r="BI4" s="1208" t="s">
        <v>2455</v>
      </c>
      <c r="BJ4" s="1208" t="s">
        <v>2457</v>
      </c>
      <c r="BK4" s="1208" t="s">
        <v>2458</v>
      </c>
      <c r="BL4" s="1208" t="s">
        <v>2555</v>
      </c>
      <c r="BM4" s="504" t="s">
        <v>3782</v>
      </c>
      <c r="BN4" s="504" t="s">
        <v>3783</v>
      </c>
      <c r="BO4" s="504" t="s">
        <v>2801</v>
      </c>
      <c r="BP4" s="504" t="s">
        <v>2802</v>
      </c>
      <c r="BQ4" s="504" t="s">
        <v>2803</v>
      </c>
      <c r="BR4" s="504" t="s">
        <v>3784</v>
      </c>
      <c r="BS4" s="504" t="s">
        <v>3777</v>
      </c>
      <c r="BT4" s="504" t="s">
        <v>2805</v>
      </c>
      <c r="BU4" s="504" t="s">
        <v>2807</v>
      </c>
      <c r="BV4" s="504" t="s">
        <v>2808</v>
      </c>
      <c r="BW4" s="505" t="s">
        <v>22</v>
      </c>
      <c r="BX4" s="505" t="s">
        <v>23</v>
      </c>
      <c r="BY4" s="505" t="s">
        <v>2449</v>
      </c>
      <c r="BZ4" s="505" t="s">
        <v>2553</v>
      </c>
      <c r="CA4" s="505" t="s">
        <v>2768</v>
      </c>
      <c r="CB4" s="505" t="s">
        <v>2452</v>
      </c>
      <c r="CC4" s="505" t="s">
        <v>2554</v>
      </c>
      <c r="CD4" s="505" t="s">
        <v>2769</v>
      </c>
      <c r="CE4" s="505" t="s">
        <v>2455</v>
      </c>
      <c r="CF4" s="505" t="s">
        <v>2457</v>
      </c>
      <c r="CG4" s="505" t="s">
        <v>2458</v>
      </c>
      <c r="CH4" s="505" t="s">
        <v>2555</v>
      </c>
    </row>
    <row r="5" spans="2:86" ht="171.95" customHeight="1" x14ac:dyDescent="0.25">
      <c r="B5" s="1194" t="s">
        <v>5218</v>
      </c>
      <c r="C5" s="1030" t="s">
        <v>1557</v>
      </c>
      <c r="D5" s="384" t="s">
        <v>159</v>
      </c>
      <c r="E5" s="1024" t="s">
        <v>1558</v>
      </c>
      <c r="F5" s="384" t="s">
        <v>28</v>
      </c>
      <c r="G5" s="384" t="s">
        <v>28</v>
      </c>
      <c r="H5" s="384" t="s">
        <v>1559</v>
      </c>
      <c r="I5" s="384" t="s">
        <v>47</v>
      </c>
      <c r="J5" s="1025" t="s">
        <v>1560</v>
      </c>
      <c r="K5" s="385" t="s">
        <v>187</v>
      </c>
      <c r="L5" s="386" t="s">
        <v>1561</v>
      </c>
      <c r="M5" s="387" t="s">
        <v>1562</v>
      </c>
      <c r="N5" s="384">
        <v>0.4</v>
      </c>
      <c r="O5" s="388">
        <v>44200</v>
      </c>
      <c r="P5" s="388">
        <v>44561</v>
      </c>
      <c r="Q5" s="384">
        <v>0.25</v>
      </c>
      <c r="R5" s="384">
        <v>0.42</v>
      </c>
      <c r="S5" s="382">
        <v>0.67</v>
      </c>
      <c r="T5" s="384">
        <v>1</v>
      </c>
      <c r="U5" s="377">
        <v>0.25</v>
      </c>
      <c r="V5" s="389" t="s">
        <v>2420</v>
      </c>
      <c r="W5" s="389" t="s">
        <v>3787</v>
      </c>
      <c r="X5" s="379" t="str">
        <f t="shared" ref="X5:X11" si="0">IF(Q5&lt;1%,"Sin iniciar",IF(Q5=100%,"Terminado","En gestión"))</f>
        <v>En gestión</v>
      </c>
      <c r="Y5" s="379" t="str">
        <f t="shared" ref="Y5:Y11" si="1">IF(U5&lt;1%,"Sin iniciar",IF(U5=100%,"Terminado","En gestión"))</f>
        <v>En gestión</v>
      </c>
      <c r="Z5" s="1006" t="s">
        <v>1563</v>
      </c>
      <c r="AA5" s="1026">
        <f>SUMPRODUCT(N5:N6,U5:U6)</f>
        <v>0.25</v>
      </c>
      <c r="AB5" s="1004">
        <f>SUMPRODUCT(N5:N6,Q5:Q6)</f>
        <v>0.25</v>
      </c>
      <c r="AC5" s="1027" t="str">
        <f>IF(AB5&lt;1%,"Sin iniciar",IF(AB5=100%,"Terminado","En gestión"))</f>
        <v>En gestión</v>
      </c>
      <c r="AD5" s="1027" t="str">
        <f>IF(AA5&lt;1%,"Sin iniciar",IF(AA5=100%,"Terminado","En gestión"))</f>
        <v>En gestión</v>
      </c>
      <c r="AE5" s="390"/>
      <c r="AF5" s="1014">
        <v>67386722.400000006</v>
      </c>
      <c r="AG5" s="1014">
        <v>42189300.000000007</v>
      </c>
      <c r="AH5" s="1014">
        <v>10547325.000000002</v>
      </c>
      <c r="AI5" s="391">
        <v>154542400</v>
      </c>
      <c r="AJ5" s="391">
        <v>154542400</v>
      </c>
      <c r="AK5" s="391"/>
      <c r="AL5" s="1006" t="s">
        <v>2460</v>
      </c>
      <c r="AM5" s="1016" t="s">
        <v>2461</v>
      </c>
      <c r="AN5" s="389" t="s">
        <v>2462</v>
      </c>
      <c r="AO5" s="392" t="s">
        <v>2463</v>
      </c>
      <c r="AP5" s="392">
        <f>+AJ5</f>
        <v>154542400</v>
      </c>
      <c r="AQ5" s="1209">
        <v>0.42</v>
      </c>
      <c r="AR5" s="389" t="s">
        <v>2421</v>
      </c>
      <c r="AS5" s="389" t="s">
        <v>3788</v>
      </c>
      <c r="AT5" s="379" t="str">
        <f t="shared" ref="AT5:AT11" si="2">IF(R5&lt;1%,"Sin iniciar",IF(R5=100%,"Terminado","En gestión"))</f>
        <v>En gestión</v>
      </c>
      <c r="AU5" s="379" t="str">
        <f t="shared" ref="AU5:AU11" si="3">IF(AQ5&lt;1%,"Sin iniciar",IF(AQ5=100%,"Terminado","En gestión"))</f>
        <v>En gestión</v>
      </c>
      <c r="AV5" s="1006" t="s">
        <v>2422</v>
      </c>
      <c r="AW5" s="998">
        <f>SUMPRODUCT(N5:N6,AQ5:AQ6)</f>
        <v>0.46799999999999997</v>
      </c>
      <c r="AX5" s="999">
        <f>SUMPRODUCT(N5:N6,R5:R6)</f>
        <v>0.46799999999999997</v>
      </c>
      <c r="AY5" s="1027" t="str">
        <f>IF(AX5&lt;1%,"Sin iniciar",IF(AX5=100%,"Terminado","En gestión"))</f>
        <v>En gestión</v>
      </c>
      <c r="AZ5" s="1027" t="str">
        <f>IF(AW5&lt;1%,"Sin iniciar",IF(AW5=100%,"Terminado","En gestión"))</f>
        <v>En gestión</v>
      </c>
      <c r="BA5" s="390"/>
      <c r="BB5" s="1006" t="s">
        <v>358</v>
      </c>
      <c r="BC5" s="1033">
        <v>67386722.400000006</v>
      </c>
      <c r="BD5" s="1034">
        <v>47910904.800000004</v>
      </c>
      <c r="BE5" s="1033">
        <v>23955452.400000002</v>
      </c>
      <c r="BF5" s="393">
        <v>154542400</v>
      </c>
      <c r="BG5" s="394">
        <v>115882440</v>
      </c>
      <c r="BH5" s="394">
        <v>57941220</v>
      </c>
      <c r="BI5" s="1006" t="s">
        <v>2460</v>
      </c>
      <c r="BJ5" s="389" t="s">
        <v>2462</v>
      </c>
      <c r="BK5" s="394" t="s">
        <v>2463</v>
      </c>
      <c r="BL5" s="389" t="s">
        <v>2530</v>
      </c>
      <c r="BM5" s="506">
        <v>0.67</v>
      </c>
      <c r="BN5" s="389" t="s">
        <v>3789</v>
      </c>
      <c r="BO5" s="389" t="s">
        <v>3790</v>
      </c>
      <c r="BP5" s="379" t="str">
        <f t="shared" ref="BP5:BP11" si="4">IF(S5&lt;1%,"Sin iniciar",IF(S5=100%,"Terminado","En gestión"))</f>
        <v>En gestión</v>
      </c>
      <c r="BQ5" s="379" t="str">
        <f t="shared" ref="BQ5:BQ11" si="5">IF(BM5&lt;1%,"Sin iniciar",IF(BM5=100%,"Terminado","En gestión"))</f>
        <v>En gestión</v>
      </c>
      <c r="BR5" s="1006" t="s">
        <v>3791</v>
      </c>
      <c r="BS5" s="996">
        <f>SUMPRODUCT(N5:N6,BM5:BM6)</f>
        <v>0.71799999999999997</v>
      </c>
      <c r="BT5" s="997">
        <f>SUMPRODUCT(N5:N6,S5:S6)</f>
        <v>0.71799999999999997</v>
      </c>
      <c r="BU5" s="1027" t="str">
        <f>IF(BT5&lt;1%,"Sin iniciar",IF(BT5=100%,"Terminado","En gestión"))</f>
        <v>En gestión</v>
      </c>
      <c r="BV5" s="1027" t="str">
        <f>IF(BS5&lt;1%,"Sin iniciar",IF(BS5=100%,"Terminado","En gestión"))</f>
        <v>En gestión</v>
      </c>
      <c r="BW5" s="1016" t="s">
        <v>28</v>
      </c>
      <c r="BX5" s="1016" t="s">
        <v>358</v>
      </c>
      <c r="BY5" s="1014">
        <v>67386722.400000006</v>
      </c>
      <c r="BZ5" s="1031">
        <v>87411947</v>
      </c>
      <c r="CA5" s="1014">
        <v>65558960</v>
      </c>
      <c r="CB5" s="391">
        <v>154542400</v>
      </c>
      <c r="CC5" s="392">
        <v>109604400</v>
      </c>
      <c r="CD5" s="392">
        <v>94520010</v>
      </c>
      <c r="CE5" s="1006" t="s">
        <v>2460</v>
      </c>
      <c r="CF5" s="389" t="s">
        <v>2462</v>
      </c>
      <c r="CG5" s="394" t="s">
        <v>2463</v>
      </c>
      <c r="CH5" s="390" t="s">
        <v>2530</v>
      </c>
    </row>
    <row r="6" spans="2:86" ht="171.95" customHeight="1" x14ac:dyDescent="0.25">
      <c r="B6" s="1195"/>
      <c r="C6" s="1030"/>
      <c r="D6" s="384" t="s">
        <v>159</v>
      </c>
      <c r="E6" s="1024"/>
      <c r="F6" s="384" t="s">
        <v>28</v>
      </c>
      <c r="G6" s="384" t="s">
        <v>28</v>
      </c>
      <c r="H6" s="384" t="s">
        <v>1559</v>
      </c>
      <c r="I6" s="384" t="s">
        <v>47</v>
      </c>
      <c r="J6" s="1025"/>
      <c r="K6" s="385" t="s">
        <v>187</v>
      </c>
      <c r="L6" s="386" t="s">
        <v>1564</v>
      </c>
      <c r="M6" s="387" t="s">
        <v>1565</v>
      </c>
      <c r="N6" s="384">
        <v>0.6</v>
      </c>
      <c r="O6" s="388">
        <v>44206</v>
      </c>
      <c r="P6" s="388">
        <v>44561</v>
      </c>
      <c r="Q6" s="384">
        <v>0.25</v>
      </c>
      <c r="R6" s="384">
        <v>0.5</v>
      </c>
      <c r="S6" s="382">
        <v>0.75</v>
      </c>
      <c r="T6" s="384">
        <v>1</v>
      </c>
      <c r="U6" s="377">
        <v>0.25</v>
      </c>
      <c r="V6" s="389" t="s">
        <v>1566</v>
      </c>
      <c r="W6" s="389" t="s">
        <v>3792</v>
      </c>
      <c r="X6" s="379" t="str">
        <f t="shared" si="0"/>
        <v>En gestión</v>
      </c>
      <c r="Y6" s="379" t="str">
        <f t="shared" si="1"/>
        <v>En gestión</v>
      </c>
      <c r="Z6" s="1006"/>
      <c r="AA6" s="1026"/>
      <c r="AB6" s="1004"/>
      <c r="AC6" s="1027"/>
      <c r="AD6" s="1027"/>
      <c r="AE6" s="390"/>
      <c r="AF6" s="1014"/>
      <c r="AG6" s="1014"/>
      <c r="AH6" s="1014"/>
      <c r="AI6" s="391">
        <v>64000000</v>
      </c>
      <c r="AJ6" s="391">
        <v>64000000</v>
      </c>
      <c r="AK6" s="391">
        <v>19200000</v>
      </c>
      <c r="AL6" s="1006"/>
      <c r="AM6" s="1016"/>
      <c r="AN6" s="389" t="s">
        <v>2464</v>
      </c>
      <c r="AO6" s="392" t="s">
        <v>2465</v>
      </c>
      <c r="AP6" s="390" t="s">
        <v>2466</v>
      </c>
      <c r="AQ6" s="1209">
        <v>0.5</v>
      </c>
      <c r="AR6" s="389" t="s">
        <v>1567</v>
      </c>
      <c r="AS6" s="389" t="s">
        <v>3793</v>
      </c>
      <c r="AT6" s="379" t="str">
        <f t="shared" si="2"/>
        <v>En gestión</v>
      </c>
      <c r="AU6" s="379" t="str">
        <f t="shared" si="3"/>
        <v>En gestión</v>
      </c>
      <c r="AV6" s="1006"/>
      <c r="AW6" s="998"/>
      <c r="AX6" s="999"/>
      <c r="AY6" s="1027"/>
      <c r="AZ6" s="1027"/>
      <c r="BA6" s="390"/>
      <c r="BB6" s="1006"/>
      <c r="BC6" s="1033"/>
      <c r="BD6" s="1034"/>
      <c r="BE6" s="1033"/>
      <c r="BF6" s="393">
        <v>64000000</v>
      </c>
      <c r="BG6" s="394">
        <v>59225000</v>
      </c>
      <c r="BH6" s="393">
        <v>29612500</v>
      </c>
      <c r="BI6" s="1006"/>
      <c r="BJ6" s="389" t="s">
        <v>2464</v>
      </c>
      <c r="BK6" s="394" t="s">
        <v>2465</v>
      </c>
      <c r="BL6" s="389" t="s">
        <v>2531</v>
      </c>
      <c r="BM6" s="506">
        <v>0.75</v>
      </c>
      <c r="BN6" s="389" t="s">
        <v>3794</v>
      </c>
      <c r="BO6" s="389" t="s">
        <v>3795</v>
      </c>
      <c r="BP6" s="379" t="str">
        <f t="shared" si="4"/>
        <v>En gestión</v>
      </c>
      <c r="BQ6" s="379" t="str">
        <f t="shared" si="5"/>
        <v>En gestión</v>
      </c>
      <c r="BR6" s="1006"/>
      <c r="BS6" s="996"/>
      <c r="BT6" s="997"/>
      <c r="BU6" s="1027"/>
      <c r="BV6" s="1027"/>
      <c r="BW6" s="1016"/>
      <c r="BX6" s="1016"/>
      <c r="BY6" s="1014"/>
      <c r="BZ6" s="1031"/>
      <c r="CA6" s="1014"/>
      <c r="CB6" s="391">
        <v>64000000</v>
      </c>
      <c r="CC6" s="392">
        <v>59225000</v>
      </c>
      <c r="CD6" s="391">
        <v>44418750</v>
      </c>
      <c r="CE6" s="1006"/>
      <c r="CF6" s="389" t="s">
        <v>2464</v>
      </c>
      <c r="CG6" s="394" t="s">
        <v>2465</v>
      </c>
      <c r="CH6" s="389" t="s">
        <v>2531</v>
      </c>
    </row>
    <row r="7" spans="2:86" ht="171.95" customHeight="1" x14ac:dyDescent="0.25">
      <c r="B7" s="1195"/>
      <c r="C7" s="1000" t="s">
        <v>1568</v>
      </c>
      <c r="D7" s="448" t="s">
        <v>159</v>
      </c>
      <c r="E7" s="1001" t="s">
        <v>1569</v>
      </c>
      <c r="F7" s="448" t="s">
        <v>28</v>
      </c>
      <c r="G7" s="448" t="s">
        <v>28</v>
      </c>
      <c r="H7" s="448" t="s">
        <v>222</v>
      </c>
      <c r="I7" s="448" t="s">
        <v>47</v>
      </c>
      <c r="J7" s="1032" t="s">
        <v>1570</v>
      </c>
      <c r="K7" s="449" t="s">
        <v>187</v>
      </c>
      <c r="L7" s="450" t="s">
        <v>1571</v>
      </c>
      <c r="M7" s="451" t="s">
        <v>1572</v>
      </c>
      <c r="N7" s="448">
        <v>0.25</v>
      </c>
      <c r="O7" s="452" t="s">
        <v>1573</v>
      </c>
      <c r="P7" s="452">
        <v>44253</v>
      </c>
      <c r="Q7" s="448">
        <v>1</v>
      </c>
      <c r="R7" s="448">
        <v>1</v>
      </c>
      <c r="S7" s="453">
        <v>1</v>
      </c>
      <c r="T7" s="448">
        <v>1</v>
      </c>
      <c r="U7" s="377">
        <v>1</v>
      </c>
      <c r="V7" s="454" t="s">
        <v>1574</v>
      </c>
      <c r="W7" s="454" t="s">
        <v>3796</v>
      </c>
      <c r="X7" s="455" t="str">
        <f t="shared" si="0"/>
        <v>Terminado</v>
      </c>
      <c r="Y7" s="455" t="str">
        <f t="shared" si="1"/>
        <v>Terminado</v>
      </c>
      <c r="Z7" s="990" t="s">
        <v>2423</v>
      </c>
      <c r="AA7" s="1026">
        <f>SUMPRODUCT(N7:N9,U7:U9)</f>
        <v>0.4375</v>
      </c>
      <c r="AB7" s="1004">
        <f>SUMPRODUCT(N7:N9,Q7:Q9)</f>
        <v>0.4375</v>
      </c>
      <c r="AC7" s="1037" t="str">
        <f>IF(AB7&lt;1%,"Sin iniciar",IF(AB7=100%,"Terminado","En gestión"))</f>
        <v>En gestión</v>
      </c>
      <c r="AD7" s="1037" t="str">
        <f>IF(AA7&lt;1%,"Sin iniciar",IF(AA7=100%,"Terminado","En gestión"))</f>
        <v>En gestión</v>
      </c>
      <c r="AE7" s="456"/>
      <c r="AF7" s="992">
        <v>22455770.399999999</v>
      </c>
      <c r="AG7" s="992">
        <v>22455770.399999999</v>
      </c>
      <c r="AH7" s="992">
        <v>22455770.399999999</v>
      </c>
      <c r="AI7" s="992">
        <v>69116200</v>
      </c>
      <c r="AJ7" s="992">
        <v>69424960</v>
      </c>
      <c r="AK7" s="992">
        <v>24190670</v>
      </c>
      <c r="AL7" s="990" t="s">
        <v>2460</v>
      </c>
      <c r="AM7" s="991" t="s">
        <v>2461</v>
      </c>
      <c r="AN7" s="991" t="s">
        <v>2462</v>
      </c>
      <c r="AO7" s="991" t="s">
        <v>2463</v>
      </c>
      <c r="AP7" s="1036">
        <f>+AJ7</f>
        <v>69424960</v>
      </c>
      <c r="AQ7" s="1209">
        <v>1</v>
      </c>
      <c r="AR7" s="454" t="s">
        <v>2434</v>
      </c>
      <c r="AS7" s="454" t="s">
        <v>3797</v>
      </c>
      <c r="AT7" s="455" t="str">
        <f t="shared" si="2"/>
        <v>Terminado</v>
      </c>
      <c r="AU7" s="455" t="str">
        <f t="shared" si="3"/>
        <v>Terminado</v>
      </c>
      <c r="AV7" s="990" t="s">
        <v>2433</v>
      </c>
      <c r="AW7" s="998">
        <f>SUMPRODUCT(N7:N9,AQ7:AQ9)</f>
        <v>0.625</v>
      </c>
      <c r="AX7" s="999">
        <f>SUMPRODUCT(N7:N9,R7:R9)</f>
        <v>0.625</v>
      </c>
      <c r="AY7" s="1037" t="str">
        <f>IF(AX7&lt;1%,"Sin iniciar",IF(AX7=100%,"Terminado","En gestión"))</f>
        <v>En gestión</v>
      </c>
      <c r="AZ7" s="1037" t="str">
        <f>IF(AW7&lt;1%,"Sin iniciar",IF(AW7=100%,"Terminado","En gestión"))</f>
        <v>En gestión</v>
      </c>
      <c r="BA7" s="456"/>
      <c r="BB7" s="990" t="s">
        <v>358</v>
      </c>
      <c r="BC7" s="1035">
        <v>22455770.399999999</v>
      </c>
      <c r="BD7" s="1035">
        <v>18191080.800000001</v>
      </c>
      <c r="BE7" s="1035">
        <v>9095540.4000000004</v>
      </c>
      <c r="BF7" s="1035">
        <v>69116200</v>
      </c>
      <c r="BG7" s="1035">
        <v>67668720</v>
      </c>
      <c r="BH7" s="1035">
        <v>33834360</v>
      </c>
      <c r="BI7" s="990" t="s">
        <v>2460</v>
      </c>
      <c r="BJ7" s="990" t="s">
        <v>2462</v>
      </c>
      <c r="BK7" s="1013" t="s">
        <v>2463</v>
      </c>
      <c r="BL7" s="990" t="s">
        <v>2530</v>
      </c>
      <c r="BM7" s="506">
        <v>1</v>
      </c>
      <c r="BN7" s="454" t="s">
        <v>2434</v>
      </c>
      <c r="BO7" s="454" t="s">
        <v>2434</v>
      </c>
      <c r="BP7" s="455" t="str">
        <f t="shared" si="4"/>
        <v>Terminado</v>
      </c>
      <c r="BQ7" s="455" t="str">
        <f t="shared" si="5"/>
        <v>Terminado</v>
      </c>
      <c r="BR7" s="990" t="s">
        <v>3798</v>
      </c>
      <c r="BS7" s="996">
        <f>SUMPRODUCT(N7:N9,BM7:BM9)</f>
        <v>0.8125</v>
      </c>
      <c r="BT7" s="997">
        <f>SUMPRODUCT(N7:N9,S7:S9)</f>
        <v>0.8125</v>
      </c>
      <c r="BU7" s="1037" t="str">
        <f>IF(BT7&lt;1%,"Sin iniciar",IF(BT7=100%,"Terminado","En gestión"))</f>
        <v>En gestión</v>
      </c>
      <c r="BV7" s="1037" t="str">
        <f>IF(BS7&lt;1%,"Sin iniciar",IF(BS7=100%,"Terminado","En gestión"))</f>
        <v>En gestión</v>
      </c>
      <c r="BW7" s="991" t="s">
        <v>28</v>
      </c>
      <c r="BX7" s="991" t="s">
        <v>358</v>
      </c>
      <c r="BY7" s="992">
        <v>22455770.399999999</v>
      </c>
      <c r="BZ7" s="992">
        <v>18191080.800000001</v>
      </c>
      <c r="CA7" s="992">
        <v>13643311</v>
      </c>
      <c r="CB7" s="992">
        <v>69116200</v>
      </c>
      <c r="CC7" s="992">
        <v>59783560</v>
      </c>
      <c r="CD7" s="992">
        <v>50940630</v>
      </c>
      <c r="CE7" s="990" t="s">
        <v>2460</v>
      </c>
      <c r="CF7" s="990" t="s">
        <v>2462</v>
      </c>
      <c r="CG7" s="1013" t="s">
        <v>2463</v>
      </c>
      <c r="CH7" s="991" t="s">
        <v>2530</v>
      </c>
    </row>
    <row r="8" spans="2:86" ht="171.95" customHeight="1" x14ac:dyDescent="0.25">
      <c r="B8" s="1195"/>
      <c r="C8" s="1000"/>
      <c r="D8" s="448" t="s">
        <v>159</v>
      </c>
      <c r="E8" s="1001"/>
      <c r="F8" s="448" t="s">
        <v>28</v>
      </c>
      <c r="G8" s="448" t="s">
        <v>28</v>
      </c>
      <c r="H8" s="448" t="s">
        <v>222</v>
      </c>
      <c r="I8" s="448" t="s">
        <v>47</v>
      </c>
      <c r="J8" s="1032"/>
      <c r="K8" s="449" t="s">
        <v>187</v>
      </c>
      <c r="L8" s="450" t="s">
        <v>1575</v>
      </c>
      <c r="M8" s="451" t="s">
        <v>1576</v>
      </c>
      <c r="N8" s="448">
        <v>0.35</v>
      </c>
      <c r="O8" s="452">
        <v>44227</v>
      </c>
      <c r="P8" s="452">
        <v>44561</v>
      </c>
      <c r="Q8" s="448">
        <v>0.25</v>
      </c>
      <c r="R8" s="448">
        <v>0.5</v>
      </c>
      <c r="S8" s="453">
        <v>0.75</v>
      </c>
      <c r="T8" s="448">
        <v>1</v>
      </c>
      <c r="U8" s="377">
        <v>0.25</v>
      </c>
      <c r="V8" s="454" t="s">
        <v>1577</v>
      </c>
      <c r="W8" s="454" t="s">
        <v>3799</v>
      </c>
      <c r="X8" s="455" t="str">
        <f t="shared" si="0"/>
        <v>En gestión</v>
      </c>
      <c r="Y8" s="455" t="str">
        <f t="shared" si="1"/>
        <v>En gestión</v>
      </c>
      <c r="Z8" s="990"/>
      <c r="AA8" s="1026"/>
      <c r="AB8" s="1004"/>
      <c r="AC8" s="1037"/>
      <c r="AD8" s="1037"/>
      <c r="AE8" s="456"/>
      <c r="AF8" s="992"/>
      <c r="AG8" s="992"/>
      <c r="AH8" s="992"/>
      <c r="AI8" s="992"/>
      <c r="AJ8" s="992"/>
      <c r="AK8" s="992"/>
      <c r="AL8" s="990"/>
      <c r="AM8" s="991"/>
      <c r="AN8" s="991"/>
      <c r="AO8" s="991"/>
      <c r="AP8" s="991"/>
      <c r="AQ8" s="1209">
        <v>0.5</v>
      </c>
      <c r="AR8" s="454" t="s">
        <v>1577</v>
      </c>
      <c r="AS8" s="454" t="s">
        <v>3800</v>
      </c>
      <c r="AT8" s="455" t="str">
        <f t="shared" si="2"/>
        <v>En gestión</v>
      </c>
      <c r="AU8" s="455" t="str">
        <f t="shared" si="3"/>
        <v>En gestión</v>
      </c>
      <c r="AV8" s="990"/>
      <c r="AW8" s="998"/>
      <c r="AX8" s="999"/>
      <c r="AY8" s="1037"/>
      <c r="AZ8" s="1037"/>
      <c r="BA8" s="456"/>
      <c r="BB8" s="990"/>
      <c r="BC8" s="1035"/>
      <c r="BD8" s="1035"/>
      <c r="BE8" s="1035"/>
      <c r="BF8" s="1035"/>
      <c r="BG8" s="1035"/>
      <c r="BH8" s="1035"/>
      <c r="BI8" s="990"/>
      <c r="BJ8" s="990"/>
      <c r="BK8" s="1013"/>
      <c r="BL8" s="990"/>
      <c r="BM8" s="506">
        <v>0.75</v>
      </c>
      <c r="BN8" s="454" t="s">
        <v>1577</v>
      </c>
      <c r="BO8" s="454" t="s">
        <v>3801</v>
      </c>
      <c r="BP8" s="455" t="str">
        <f t="shared" si="4"/>
        <v>En gestión</v>
      </c>
      <c r="BQ8" s="455" t="str">
        <f t="shared" si="5"/>
        <v>En gestión</v>
      </c>
      <c r="BR8" s="990"/>
      <c r="BS8" s="996"/>
      <c r="BT8" s="997"/>
      <c r="BU8" s="1037"/>
      <c r="BV8" s="1037"/>
      <c r="BW8" s="991"/>
      <c r="BX8" s="991"/>
      <c r="BY8" s="992"/>
      <c r="BZ8" s="992"/>
      <c r="CA8" s="992"/>
      <c r="CB8" s="992"/>
      <c r="CC8" s="992"/>
      <c r="CD8" s="992"/>
      <c r="CE8" s="990"/>
      <c r="CF8" s="990"/>
      <c r="CG8" s="1013"/>
      <c r="CH8" s="991"/>
    </row>
    <row r="9" spans="2:86" ht="171.95" customHeight="1" x14ac:dyDescent="0.25">
      <c r="B9" s="1195"/>
      <c r="C9" s="1000"/>
      <c r="D9" s="448" t="s">
        <v>159</v>
      </c>
      <c r="E9" s="1001"/>
      <c r="F9" s="448" t="s">
        <v>28</v>
      </c>
      <c r="G9" s="448" t="s">
        <v>28</v>
      </c>
      <c r="H9" s="448" t="s">
        <v>222</v>
      </c>
      <c r="I9" s="448" t="s">
        <v>47</v>
      </c>
      <c r="J9" s="1032"/>
      <c r="K9" s="449" t="s">
        <v>187</v>
      </c>
      <c r="L9" s="450" t="s">
        <v>1578</v>
      </c>
      <c r="M9" s="451" t="s">
        <v>1579</v>
      </c>
      <c r="N9" s="448">
        <v>0.4</v>
      </c>
      <c r="O9" s="452">
        <v>44198</v>
      </c>
      <c r="P9" s="452">
        <v>44561</v>
      </c>
      <c r="Q9" s="448">
        <v>0.25</v>
      </c>
      <c r="R9" s="448">
        <v>0.5</v>
      </c>
      <c r="S9" s="453">
        <v>0.75</v>
      </c>
      <c r="T9" s="448">
        <v>1</v>
      </c>
      <c r="U9" s="377">
        <v>0.25</v>
      </c>
      <c r="V9" s="454" t="s">
        <v>1580</v>
      </c>
      <c r="W9" s="454" t="s">
        <v>3802</v>
      </c>
      <c r="X9" s="455" t="str">
        <f t="shared" si="0"/>
        <v>En gestión</v>
      </c>
      <c r="Y9" s="455" t="str">
        <f t="shared" si="1"/>
        <v>En gestión</v>
      </c>
      <c r="Z9" s="990"/>
      <c r="AA9" s="1026"/>
      <c r="AB9" s="1004"/>
      <c r="AC9" s="1037"/>
      <c r="AD9" s="1037"/>
      <c r="AE9" s="456"/>
      <c r="AF9" s="992"/>
      <c r="AG9" s="992"/>
      <c r="AH9" s="992"/>
      <c r="AI9" s="992"/>
      <c r="AJ9" s="992"/>
      <c r="AK9" s="992"/>
      <c r="AL9" s="990"/>
      <c r="AM9" s="991"/>
      <c r="AN9" s="991"/>
      <c r="AO9" s="991"/>
      <c r="AP9" s="991"/>
      <c r="AQ9" s="1209">
        <v>0.5</v>
      </c>
      <c r="AR9" s="454" t="s">
        <v>1581</v>
      </c>
      <c r="AS9" s="454" t="s">
        <v>3803</v>
      </c>
      <c r="AT9" s="455" t="str">
        <f t="shared" si="2"/>
        <v>En gestión</v>
      </c>
      <c r="AU9" s="455" t="str">
        <f t="shared" si="3"/>
        <v>En gestión</v>
      </c>
      <c r="AV9" s="990"/>
      <c r="AW9" s="998"/>
      <c r="AX9" s="999"/>
      <c r="AY9" s="1037"/>
      <c r="AZ9" s="1037"/>
      <c r="BA9" s="456"/>
      <c r="BB9" s="990"/>
      <c r="BC9" s="1035"/>
      <c r="BD9" s="1035"/>
      <c r="BE9" s="1035"/>
      <c r="BF9" s="1035"/>
      <c r="BG9" s="1035"/>
      <c r="BH9" s="1035"/>
      <c r="BI9" s="990"/>
      <c r="BJ9" s="990"/>
      <c r="BK9" s="1013"/>
      <c r="BL9" s="990"/>
      <c r="BM9" s="506">
        <v>0.75</v>
      </c>
      <c r="BN9" s="454" t="s">
        <v>3804</v>
      </c>
      <c r="BO9" s="454" t="s">
        <v>3805</v>
      </c>
      <c r="BP9" s="455" t="str">
        <f t="shared" si="4"/>
        <v>En gestión</v>
      </c>
      <c r="BQ9" s="455" t="str">
        <f t="shared" si="5"/>
        <v>En gestión</v>
      </c>
      <c r="BR9" s="990"/>
      <c r="BS9" s="996"/>
      <c r="BT9" s="997"/>
      <c r="BU9" s="1037"/>
      <c r="BV9" s="1037"/>
      <c r="BW9" s="991"/>
      <c r="BX9" s="991"/>
      <c r="BY9" s="992"/>
      <c r="BZ9" s="992"/>
      <c r="CA9" s="992"/>
      <c r="CB9" s="992"/>
      <c r="CC9" s="992"/>
      <c r="CD9" s="992"/>
      <c r="CE9" s="990"/>
      <c r="CF9" s="990"/>
      <c r="CG9" s="1013"/>
      <c r="CH9" s="991"/>
    </row>
    <row r="10" spans="2:86" ht="171.95" customHeight="1" x14ac:dyDescent="0.25">
      <c r="B10" s="1195"/>
      <c r="C10" s="1030" t="s">
        <v>1582</v>
      </c>
      <c r="D10" s="384" t="s">
        <v>267</v>
      </c>
      <c r="E10" s="1024" t="s">
        <v>1583</v>
      </c>
      <c r="F10" s="384" t="s">
        <v>473</v>
      </c>
      <c r="G10" s="384" t="s">
        <v>28</v>
      </c>
      <c r="H10" s="384" t="s">
        <v>269</v>
      </c>
      <c r="I10" s="384" t="s">
        <v>47</v>
      </c>
      <c r="J10" s="1025" t="s">
        <v>1584</v>
      </c>
      <c r="K10" s="385" t="s">
        <v>187</v>
      </c>
      <c r="L10" s="386" t="s">
        <v>1585</v>
      </c>
      <c r="M10" s="387" t="s">
        <v>1586</v>
      </c>
      <c r="N10" s="384">
        <v>0.5</v>
      </c>
      <c r="O10" s="388">
        <v>44202</v>
      </c>
      <c r="P10" s="388">
        <v>44560</v>
      </c>
      <c r="Q10" s="384">
        <v>0.2</v>
      </c>
      <c r="R10" s="384">
        <v>0.8</v>
      </c>
      <c r="S10" s="382">
        <v>0.9</v>
      </c>
      <c r="T10" s="384">
        <v>1</v>
      </c>
      <c r="U10" s="377">
        <v>0.2</v>
      </c>
      <c r="V10" s="389" t="s">
        <v>2424</v>
      </c>
      <c r="W10" s="390" t="s">
        <v>3806</v>
      </c>
      <c r="X10" s="379" t="str">
        <f t="shared" si="0"/>
        <v>En gestión</v>
      </c>
      <c r="Y10" s="379" t="str">
        <f t="shared" si="1"/>
        <v>En gestión</v>
      </c>
      <c r="Z10" s="1006" t="s">
        <v>2425</v>
      </c>
      <c r="AA10" s="1026">
        <f>SUMPRODUCT(N10:N11,U10:U11)</f>
        <v>0.2</v>
      </c>
      <c r="AB10" s="1004">
        <f>SUMPRODUCT(N10:N11,Q10:Q11)</f>
        <v>0.2</v>
      </c>
      <c r="AC10" s="1027" t="str">
        <f>IF(AB10&lt;1%,"Sin iniciar",IF(AB10=100%,"Terminado","En gestión"))</f>
        <v>En gestión</v>
      </c>
      <c r="AD10" s="1027" t="str">
        <f>IF(AA10&lt;1%,"Sin iniciar",IF(AA10=100%,"Terminado","En gestión"))</f>
        <v>En gestión</v>
      </c>
      <c r="AE10" s="390"/>
      <c r="AF10" s="1014">
        <v>2620766.4</v>
      </c>
      <c r="AG10" s="1014">
        <v>2620766.4000000004</v>
      </c>
      <c r="AH10" s="1014">
        <v>655191.60000000009</v>
      </c>
      <c r="AI10" s="1014">
        <v>50000000</v>
      </c>
      <c r="AJ10" s="1014"/>
      <c r="AK10" s="1014"/>
      <c r="AL10" s="1006" t="s">
        <v>2460</v>
      </c>
      <c r="AM10" s="1016" t="s">
        <v>2461</v>
      </c>
      <c r="AN10" s="1006" t="s">
        <v>2467</v>
      </c>
      <c r="AO10" s="1031" t="s">
        <v>2468</v>
      </c>
      <c r="AP10" s="1031">
        <f>+AK10</f>
        <v>0</v>
      </c>
      <c r="AQ10" s="1210">
        <v>0.8</v>
      </c>
      <c r="AR10" s="389" t="s">
        <v>2426</v>
      </c>
      <c r="AS10" s="390" t="s">
        <v>3807</v>
      </c>
      <c r="AT10" s="379" t="str">
        <f t="shared" si="2"/>
        <v>En gestión</v>
      </c>
      <c r="AU10" s="379" t="str">
        <f t="shared" si="3"/>
        <v>En gestión</v>
      </c>
      <c r="AV10" s="1006" t="s">
        <v>2356</v>
      </c>
      <c r="AW10" s="998">
        <f>SUMPRODUCT(N10:N11,AQ10:AQ11)</f>
        <v>0.60000000000000009</v>
      </c>
      <c r="AX10" s="999">
        <f>SUMPRODUCT(N10:N11,R10:R11)</f>
        <v>0.60000000000000009</v>
      </c>
      <c r="AY10" s="1027" t="str">
        <f>IF(AX10&lt;1%,"Sin iniciar",IF(AX10=100%,"Terminado","En gestión"))</f>
        <v>En gestión</v>
      </c>
      <c r="AZ10" s="1027" t="str">
        <f>IF(AW10&lt;1%,"Sin iniciar",IF(AW10=100%,"Terminado","En gestión"))</f>
        <v>En gestión</v>
      </c>
      <c r="BA10" s="390"/>
      <c r="BB10" s="1006" t="s">
        <v>364</v>
      </c>
      <c r="BC10" s="1033">
        <v>2620766.4</v>
      </c>
      <c r="BD10" s="1033">
        <v>2620766.4000000004</v>
      </c>
      <c r="BE10" s="1033">
        <v>1310383.2000000002</v>
      </c>
      <c r="BF10" s="1033">
        <v>50000000</v>
      </c>
      <c r="BG10" s="1033">
        <v>39000000</v>
      </c>
      <c r="BH10" s="1033">
        <v>0</v>
      </c>
      <c r="BI10" s="1006" t="s">
        <v>2460</v>
      </c>
      <c r="BJ10" s="1006" t="s">
        <v>2462</v>
      </c>
      <c r="BK10" s="1034" t="s">
        <v>2468</v>
      </c>
      <c r="BL10" s="1006" t="s">
        <v>2532</v>
      </c>
      <c r="BM10" s="506">
        <v>0.9</v>
      </c>
      <c r="BN10" s="389" t="s">
        <v>3808</v>
      </c>
      <c r="BO10" s="389" t="s">
        <v>3809</v>
      </c>
      <c r="BP10" s="379" t="str">
        <f t="shared" si="4"/>
        <v>En gestión</v>
      </c>
      <c r="BQ10" s="379" t="str">
        <f t="shared" si="5"/>
        <v>En gestión</v>
      </c>
      <c r="BR10" s="1006" t="s">
        <v>3810</v>
      </c>
      <c r="BS10" s="996">
        <f>SUMPRODUCT(N10:N11,BM10:BM11)</f>
        <v>0.7</v>
      </c>
      <c r="BT10" s="997">
        <f>SUMPRODUCT(N10:N11,S10:S11)</f>
        <v>0.7</v>
      </c>
      <c r="BU10" s="1027" t="str">
        <f>IF(BT10&lt;1%,"Sin iniciar",IF(BT10=100%,"Terminado","En gestión"))</f>
        <v>En gestión</v>
      </c>
      <c r="BV10" s="1027" t="str">
        <f>IF(BS10&lt;1%,"Sin iniciar",IF(BS10=100%,"Terminado","En gestión"))</f>
        <v>En gestión</v>
      </c>
      <c r="BW10" s="1006" t="s">
        <v>28</v>
      </c>
      <c r="BX10" s="1016" t="s">
        <v>364</v>
      </c>
      <c r="BY10" s="1014">
        <v>2620766.4</v>
      </c>
      <c r="BZ10" s="1014">
        <v>2689169</v>
      </c>
      <c r="CA10" s="1014">
        <v>2016877</v>
      </c>
      <c r="CB10" s="1014">
        <v>50000000</v>
      </c>
      <c r="CC10" s="1014">
        <v>37917947</v>
      </c>
      <c r="CD10" s="1014">
        <v>37917947</v>
      </c>
      <c r="CE10" s="1006" t="s">
        <v>2460</v>
      </c>
      <c r="CF10" s="1006" t="s">
        <v>2462</v>
      </c>
      <c r="CG10" s="1034" t="s">
        <v>2468</v>
      </c>
      <c r="CH10" s="1016" t="s">
        <v>2532</v>
      </c>
    </row>
    <row r="11" spans="2:86" ht="171.95" customHeight="1" x14ac:dyDescent="0.25">
      <c r="B11" s="1196"/>
      <c r="C11" s="1030"/>
      <c r="D11" s="384" t="s">
        <v>267</v>
      </c>
      <c r="E11" s="1024"/>
      <c r="F11" s="384" t="s">
        <v>473</v>
      </c>
      <c r="G11" s="384" t="s">
        <v>28</v>
      </c>
      <c r="H11" s="384" t="s">
        <v>269</v>
      </c>
      <c r="I11" s="384" t="s">
        <v>47</v>
      </c>
      <c r="J11" s="1025"/>
      <c r="K11" s="385" t="s">
        <v>187</v>
      </c>
      <c r="L11" s="386" t="s">
        <v>1587</v>
      </c>
      <c r="M11" s="387" t="s">
        <v>1588</v>
      </c>
      <c r="N11" s="384">
        <v>0.5</v>
      </c>
      <c r="O11" s="388">
        <v>44235</v>
      </c>
      <c r="P11" s="388">
        <v>44560</v>
      </c>
      <c r="Q11" s="384">
        <v>0.2</v>
      </c>
      <c r="R11" s="384">
        <v>0.4</v>
      </c>
      <c r="S11" s="382">
        <v>0.5</v>
      </c>
      <c r="T11" s="384">
        <v>1</v>
      </c>
      <c r="U11" s="377">
        <v>0.2</v>
      </c>
      <c r="V11" s="389" t="s">
        <v>1589</v>
      </c>
      <c r="W11" s="390" t="s">
        <v>3806</v>
      </c>
      <c r="X11" s="379" t="str">
        <f t="shared" si="0"/>
        <v>En gestión</v>
      </c>
      <c r="Y11" s="379" t="str">
        <f t="shared" si="1"/>
        <v>En gestión</v>
      </c>
      <c r="Z11" s="1006"/>
      <c r="AA11" s="1026"/>
      <c r="AB11" s="1004"/>
      <c r="AC11" s="1027"/>
      <c r="AD11" s="1027"/>
      <c r="AE11" s="390"/>
      <c r="AF11" s="1014"/>
      <c r="AG11" s="1014"/>
      <c r="AH11" s="1014"/>
      <c r="AI11" s="1014"/>
      <c r="AJ11" s="1014"/>
      <c r="AK11" s="1014"/>
      <c r="AL11" s="1006"/>
      <c r="AM11" s="1016"/>
      <c r="AN11" s="1006"/>
      <c r="AO11" s="1016" t="s">
        <v>2466</v>
      </c>
      <c r="AP11" s="1016"/>
      <c r="AQ11" s="1210">
        <v>0.4</v>
      </c>
      <c r="AR11" s="389" t="s">
        <v>1589</v>
      </c>
      <c r="AS11" s="390" t="s">
        <v>3811</v>
      </c>
      <c r="AT11" s="379" t="str">
        <f t="shared" si="2"/>
        <v>En gestión</v>
      </c>
      <c r="AU11" s="379" t="str">
        <f t="shared" si="3"/>
        <v>En gestión</v>
      </c>
      <c r="AV11" s="1006"/>
      <c r="AW11" s="998"/>
      <c r="AX11" s="999"/>
      <c r="AY11" s="1027"/>
      <c r="AZ11" s="1027"/>
      <c r="BA11" s="390"/>
      <c r="BB11" s="1006"/>
      <c r="BC11" s="1033"/>
      <c r="BD11" s="1033"/>
      <c r="BE11" s="1033"/>
      <c r="BF11" s="1033"/>
      <c r="BG11" s="1033"/>
      <c r="BH11" s="1033"/>
      <c r="BI11" s="1006"/>
      <c r="BJ11" s="1006"/>
      <c r="BK11" s="1006"/>
      <c r="BL11" s="1006"/>
      <c r="BM11" s="506">
        <v>0.5</v>
      </c>
      <c r="BN11" s="389" t="s">
        <v>1589</v>
      </c>
      <c r="BO11" s="389" t="s">
        <v>3812</v>
      </c>
      <c r="BP11" s="379" t="str">
        <f t="shared" si="4"/>
        <v>En gestión</v>
      </c>
      <c r="BQ11" s="379" t="str">
        <f t="shared" si="5"/>
        <v>En gestión</v>
      </c>
      <c r="BR11" s="1006"/>
      <c r="BS11" s="996"/>
      <c r="BT11" s="997"/>
      <c r="BU11" s="1027"/>
      <c r="BV11" s="1027"/>
      <c r="BW11" s="1006"/>
      <c r="BX11" s="1016"/>
      <c r="BY11" s="1014"/>
      <c r="BZ11" s="1014"/>
      <c r="CA11" s="1014"/>
      <c r="CB11" s="1014"/>
      <c r="CC11" s="1014"/>
      <c r="CD11" s="1014"/>
      <c r="CE11" s="1006"/>
      <c r="CF11" s="1006"/>
      <c r="CG11" s="1006"/>
      <c r="CH11" s="1016"/>
    </row>
    <row r="12" spans="2:86" ht="171.95" customHeight="1" x14ac:dyDescent="0.25">
      <c r="B12" s="1197" t="s">
        <v>5221</v>
      </c>
      <c r="C12" s="1058" t="s">
        <v>1590</v>
      </c>
      <c r="D12" s="448" t="s">
        <v>25</v>
      </c>
      <c r="E12" s="1059" t="s">
        <v>494</v>
      </c>
      <c r="F12" s="448" t="s">
        <v>473</v>
      </c>
      <c r="G12" s="448" t="s">
        <v>28</v>
      </c>
      <c r="H12" s="448" t="s">
        <v>474</v>
      </c>
      <c r="I12" s="448" t="s">
        <v>47</v>
      </c>
      <c r="J12" s="1032" t="s">
        <v>1591</v>
      </c>
      <c r="K12" s="449" t="s">
        <v>1592</v>
      </c>
      <c r="L12" s="457" t="s">
        <v>1593</v>
      </c>
      <c r="M12" s="451" t="s">
        <v>1594</v>
      </c>
      <c r="N12" s="458">
        <v>0.25</v>
      </c>
      <c r="O12" s="452">
        <v>44197</v>
      </c>
      <c r="P12" s="452" t="s">
        <v>477</v>
      </c>
      <c r="Q12" s="459">
        <v>0.25</v>
      </c>
      <c r="R12" s="459">
        <v>0.7</v>
      </c>
      <c r="S12" s="448">
        <v>0.85</v>
      </c>
      <c r="T12" s="448">
        <v>1</v>
      </c>
      <c r="U12" s="378">
        <v>0.25</v>
      </c>
      <c r="V12" s="460" t="s">
        <v>1595</v>
      </c>
      <c r="W12" s="460" t="s">
        <v>3875</v>
      </c>
      <c r="X12" s="455" t="str">
        <f>IF(Q12&lt;1%,"Sin iniciar",IF(Q12=100%,"Terminado","En gestión"))</f>
        <v>En gestión</v>
      </c>
      <c r="Y12" s="455" t="str">
        <f>IF(U12&lt;1%,"Sin iniciar",IF(U12=100%,"Terminado","En gestión"))</f>
        <v>En gestión</v>
      </c>
      <c r="Z12" s="1054" t="s">
        <v>1608</v>
      </c>
      <c r="AA12" s="1026">
        <f>SUMPRODUCT(N12:N15,U12:U15)</f>
        <v>0.25</v>
      </c>
      <c r="AB12" s="1004">
        <f>SUMPRODUCT(N12:N15,Q12:Q15)</f>
        <v>0.25</v>
      </c>
      <c r="AC12" s="1037" t="str">
        <f>IF(AB12&lt;1%,"Sin iniciar",IF(AB12=100%,"Terminado","En gestión"))</f>
        <v>En gestión</v>
      </c>
      <c r="AD12" s="1037" t="str">
        <f>IF(AA12&lt;1%,"Sin iniciar",IF(AA12=100%,"Terminado","En gestión"))</f>
        <v>En gestión</v>
      </c>
      <c r="AE12" s="461"/>
      <c r="AF12" s="1060">
        <v>1023893652</v>
      </c>
      <c r="AG12" s="1065">
        <v>980384490</v>
      </c>
      <c r="AH12" s="1065">
        <v>245096122</v>
      </c>
      <c r="AI12" s="1060">
        <v>1182387500</v>
      </c>
      <c r="AJ12" s="1065">
        <v>1182387500</v>
      </c>
      <c r="AK12" s="1065">
        <v>295596875</v>
      </c>
      <c r="AL12" s="1054" t="s">
        <v>2469</v>
      </c>
      <c r="AM12" s="1054" t="s">
        <v>2470</v>
      </c>
      <c r="AN12" s="1054" t="s">
        <v>2471</v>
      </c>
      <c r="AO12" s="1060"/>
      <c r="AP12" s="1063">
        <f>+AJ12</f>
        <v>1182387500</v>
      </c>
      <c r="AQ12" s="1211">
        <v>0.7</v>
      </c>
      <c r="AR12" s="460" t="s">
        <v>1610</v>
      </c>
      <c r="AS12" s="460" t="s">
        <v>3876</v>
      </c>
      <c r="AT12" s="455" t="str">
        <f>IF(R12&lt;1%,"Sin iniciar",IF(R12=100%,"Terminado","En gestión"))</f>
        <v>En gestión</v>
      </c>
      <c r="AU12" s="455" t="str">
        <f>IF(AQ12&lt;1%,"Sin iniciar",IF(AQ12=100%,"Terminado","En gestión"))</f>
        <v>En gestión</v>
      </c>
      <c r="AV12" s="1054" t="s">
        <v>1612</v>
      </c>
      <c r="AW12" s="1048">
        <f>SUMPRODUCT(N12:N15,AQ12:AQ15)</f>
        <v>0.55000000000000004</v>
      </c>
      <c r="AX12" s="1049">
        <f>SUMPRODUCT(N12:N15,R12:R15)</f>
        <v>0.55000000000000004</v>
      </c>
      <c r="AY12" s="1037" t="str">
        <f>IF(AX12&lt;1%,"Sin iniciar",IF(AX12=100%,"Terminado","En gestión"))</f>
        <v>En gestión</v>
      </c>
      <c r="AZ12" s="1037" t="str">
        <f>IF(AW12&lt;1%,"Sin iniciar",IF(AW12=100%,"Terminado","En gestión"))</f>
        <v>En gestión</v>
      </c>
      <c r="BA12" s="456"/>
      <c r="BB12" s="1054"/>
      <c r="BC12" s="1047">
        <v>1023893652</v>
      </c>
      <c r="BD12" s="1047">
        <v>980384490</v>
      </c>
      <c r="BE12" s="1047">
        <v>490192245</v>
      </c>
      <c r="BF12" s="1047">
        <v>1182387500</v>
      </c>
      <c r="BG12" s="1047">
        <v>1182387500</v>
      </c>
      <c r="BH12" s="1047">
        <v>591193750</v>
      </c>
      <c r="BI12" s="1054" t="s">
        <v>2469</v>
      </c>
      <c r="BJ12" s="1054" t="s">
        <v>2471</v>
      </c>
      <c r="BK12" s="1054" t="s">
        <v>2652</v>
      </c>
      <c r="BL12" s="1072" t="s">
        <v>2529</v>
      </c>
      <c r="BM12" s="506">
        <v>0.85</v>
      </c>
      <c r="BN12" s="460" t="s">
        <v>3877</v>
      </c>
      <c r="BO12" s="460" t="s">
        <v>3878</v>
      </c>
      <c r="BP12" s="455" t="str">
        <f>IF(S12&lt;1%,"Sin iniciar",IF(S12=100%,"Terminado","En gestión"))</f>
        <v>En gestión</v>
      </c>
      <c r="BQ12" s="455" t="str">
        <f>IF(BM12&lt;1%,"Sin iniciar",IF(BM12=100%,"Terminado","En gestión"))</f>
        <v>En gestión</v>
      </c>
      <c r="BR12" s="990" t="s">
        <v>3879</v>
      </c>
      <c r="BS12" s="1052">
        <f>SUMPRODUCT(N12:N15,BM12:BM15)</f>
        <v>0.77500000000000002</v>
      </c>
      <c r="BT12" s="1053">
        <f>SUMPRODUCT(N12:N15,S12:S15)</f>
        <v>0.77500000000000002</v>
      </c>
      <c r="BU12" s="1037" t="str">
        <f>IF(BT12&lt;1%,"Sin iniciar",IF(BT12=100%,"Terminado","En gestión"))</f>
        <v>En gestión</v>
      </c>
      <c r="BV12" s="1037" t="str">
        <f>IF(BS12&lt;1%,"Sin iniciar",IF(BS12=100%,"Terminado","En gestión"))</f>
        <v>En gestión</v>
      </c>
      <c r="BW12" s="991" t="s">
        <v>28</v>
      </c>
      <c r="BX12" s="991" t="s">
        <v>3016</v>
      </c>
      <c r="BY12" s="1065">
        <v>980384490</v>
      </c>
      <c r="BZ12" s="1065">
        <v>980384490</v>
      </c>
      <c r="CA12" s="1065">
        <v>735288367</v>
      </c>
      <c r="CB12" s="1065">
        <v>1182387500</v>
      </c>
      <c r="CC12" s="1065">
        <v>1182387500</v>
      </c>
      <c r="CD12" s="1065">
        <v>886790625</v>
      </c>
      <c r="CE12" s="1054" t="s">
        <v>2469</v>
      </c>
      <c r="CF12" s="1054" t="s">
        <v>2471</v>
      </c>
      <c r="CG12" s="1054" t="s">
        <v>2652</v>
      </c>
      <c r="CH12" s="1063" t="s">
        <v>2529</v>
      </c>
    </row>
    <row r="13" spans="2:86" ht="171.95" customHeight="1" x14ac:dyDescent="0.25">
      <c r="B13" s="1198"/>
      <c r="C13" s="1058"/>
      <c r="D13" s="448" t="s">
        <v>25</v>
      </c>
      <c r="E13" s="1059"/>
      <c r="F13" s="448" t="s">
        <v>473</v>
      </c>
      <c r="G13" s="448" t="s">
        <v>28</v>
      </c>
      <c r="H13" s="448" t="s">
        <v>474</v>
      </c>
      <c r="I13" s="448" t="s">
        <v>47</v>
      </c>
      <c r="J13" s="1032"/>
      <c r="K13" s="449" t="s">
        <v>1592</v>
      </c>
      <c r="L13" s="457" t="s">
        <v>1596</v>
      </c>
      <c r="M13" s="451" t="s">
        <v>1597</v>
      </c>
      <c r="N13" s="458">
        <v>0.25</v>
      </c>
      <c r="O13" s="452">
        <v>44197</v>
      </c>
      <c r="P13" s="452" t="s">
        <v>477</v>
      </c>
      <c r="Q13" s="459">
        <v>0.25</v>
      </c>
      <c r="R13" s="459">
        <v>0.5</v>
      </c>
      <c r="S13" s="448">
        <v>0.75</v>
      </c>
      <c r="T13" s="448">
        <v>1</v>
      </c>
      <c r="U13" s="378">
        <v>0.25</v>
      </c>
      <c r="V13" s="460" t="s">
        <v>1598</v>
      </c>
      <c r="W13" s="460" t="s">
        <v>3880</v>
      </c>
      <c r="X13" s="455" t="str">
        <f>IF(Q13&lt;1%,"Sin iniciar",IF(Q13=100%,"Terminado","En gestión"))</f>
        <v>En gestión</v>
      </c>
      <c r="Y13" s="455" t="str">
        <f>IF(U13&lt;1%,"Sin iniciar",IF(U13=100%,"Terminado","En gestión"))</f>
        <v>En gestión</v>
      </c>
      <c r="Z13" s="1054"/>
      <c r="AA13" s="1026"/>
      <c r="AB13" s="1004"/>
      <c r="AC13" s="1037"/>
      <c r="AD13" s="1037"/>
      <c r="AE13" s="461"/>
      <c r="AF13" s="1060"/>
      <c r="AG13" s="1065"/>
      <c r="AH13" s="1065"/>
      <c r="AI13" s="1060"/>
      <c r="AJ13" s="1065"/>
      <c r="AK13" s="1065"/>
      <c r="AL13" s="1054"/>
      <c r="AM13" s="1054"/>
      <c r="AN13" s="1054"/>
      <c r="AO13" s="1060"/>
      <c r="AP13" s="1064"/>
      <c r="AQ13" s="1211">
        <v>0.5</v>
      </c>
      <c r="AR13" s="460" t="s">
        <v>1611</v>
      </c>
      <c r="AS13" s="460" t="s">
        <v>3881</v>
      </c>
      <c r="AT13" s="455" t="str">
        <f>IF(R13&lt;1%,"Sin iniciar",IF(R13=100%,"Terminado","En gestión"))</f>
        <v>En gestión</v>
      </c>
      <c r="AU13" s="455" t="str">
        <f>IF(AQ13&lt;1%,"Sin iniciar",IF(AQ13=100%,"Terminado","En gestión"))</f>
        <v>En gestión</v>
      </c>
      <c r="AV13" s="1054"/>
      <c r="AW13" s="1048"/>
      <c r="AX13" s="1049"/>
      <c r="AY13" s="1037"/>
      <c r="AZ13" s="1037"/>
      <c r="BA13" s="456"/>
      <c r="BB13" s="1054"/>
      <c r="BC13" s="1047"/>
      <c r="BD13" s="1047"/>
      <c r="BE13" s="1047"/>
      <c r="BF13" s="1047"/>
      <c r="BG13" s="1047"/>
      <c r="BH13" s="1047"/>
      <c r="BI13" s="1054"/>
      <c r="BJ13" s="1054"/>
      <c r="BK13" s="1054"/>
      <c r="BL13" s="1054"/>
      <c r="BM13" s="506">
        <v>0.75</v>
      </c>
      <c r="BN13" s="460" t="s">
        <v>3882</v>
      </c>
      <c r="BO13" s="460" t="s">
        <v>3881</v>
      </c>
      <c r="BP13" s="455" t="str">
        <f>IF(S13&lt;1%,"Sin iniciar",IF(S13=100%,"Terminado","En gestión"))</f>
        <v>En gestión</v>
      </c>
      <c r="BQ13" s="455" t="str">
        <f>IF(BM13&lt;1%,"Sin iniciar",IF(BM13=100%,"Terminado","En gestión"))</f>
        <v>En gestión</v>
      </c>
      <c r="BR13" s="990"/>
      <c r="BS13" s="1052"/>
      <c r="BT13" s="1053"/>
      <c r="BU13" s="1037"/>
      <c r="BV13" s="1037"/>
      <c r="BW13" s="991"/>
      <c r="BX13" s="991"/>
      <c r="BY13" s="1065"/>
      <c r="BZ13" s="1065"/>
      <c r="CA13" s="1065"/>
      <c r="CB13" s="1065"/>
      <c r="CC13" s="1065"/>
      <c r="CD13" s="1065"/>
      <c r="CE13" s="1054"/>
      <c r="CF13" s="1054"/>
      <c r="CG13" s="1054"/>
      <c r="CH13" s="1064"/>
    </row>
    <row r="14" spans="2:86" ht="171.95" customHeight="1" x14ac:dyDescent="0.25">
      <c r="B14" s="1198"/>
      <c r="C14" s="1058"/>
      <c r="D14" s="448" t="s">
        <v>25</v>
      </c>
      <c r="E14" s="1059"/>
      <c r="F14" s="448" t="s">
        <v>473</v>
      </c>
      <c r="G14" s="448" t="s">
        <v>28</v>
      </c>
      <c r="H14" s="448" t="s">
        <v>474</v>
      </c>
      <c r="I14" s="448" t="s">
        <v>47</v>
      </c>
      <c r="J14" s="1032"/>
      <c r="K14" s="449" t="s">
        <v>1592</v>
      </c>
      <c r="L14" s="457" t="s">
        <v>1599</v>
      </c>
      <c r="M14" s="451" t="s">
        <v>2431</v>
      </c>
      <c r="N14" s="458">
        <v>0.25</v>
      </c>
      <c r="O14" s="452">
        <v>44197</v>
      </c>
      <c r="P14" s="452" t="s">
        <v>477</v>
      </c>
      <c r="Q14" s="459">
        <v>0.25</v>
      </c>
      <c r="R14" s="459">
        <v>0.5</v>
      </c>
      <c r="S14" s="448">
        <v>0.75</v>
      </c>
      <c r="T14" s="448">
        <v>1</v>
      </c>
      <c r="U14" s="378">
        <v>0.25</v>
      </c>
      <c r="V14" s="460" t="s">
        <v>1600</v>
      </c>
      <c r="W14" s="460" t="s">
        <v>3883</v>
      </c>
      <c r="X14" s="455" t="str">
        <f>IF(Q14&lt;1%,"Sin iniciar",IF(Q14=100%,"Terminado","En gestión"))</f>
        <v>En gestión</v>
      </c>
      <c r="Y14" s="455" t="str">
        <f>IF(U14&lt;1%,"Sin iniciar",IF(U14=100%,"Terminado","En gestión"))</f>
        <v>En gestión</v>
      </c>
      <c r="Z14" s="1054"/>
      <c r="AA14" s="1026"/>
      <c r="AB14" s="1004"/>
      <c r="AC14" s="1037"/>
      <c r="AD14" s="1037"/>
      <c r="AE14" s="461"/>
      <c r="AF14" s="1060"/>
      <c r="AG14" s="1065"/>
      <c r="AH14" s="1065"/>
      <c r="AI14" s="1060"/>
      <c r="AJ14" s="1065"/>
      <c r="AK14" s="1065"/>
      <c r="AL14" s="1054"/>
      <c r="AM14" s="1054"/>
      <c r="AN14" s="1054"/>
      <c r="AO14" s="1060"/>
      <c r="AP14" s="1064"/>
      <c r="AQ14" s="1211">
        <v>0.5</v>
      </c>
      <c r="AR14" s="462" t="s">
        <v>2357</v>
      </c>
      <c r="AS14" s="462" t="s">
        <v>3884</v>
      </c>
      <c r="AT14" s="455" t="str">
        <f>IF(R14&lt;1%,"Sin iniciar",IF(R14=100%,"Terminado","En gestión"))</f>
        <v>En gestión</v>
      </c>
      <c r="AU14" s="455" t="str">
        <f>IF(AQ14&lt;1%,"Sin iniciar",IF(AQ14=100%,"Terminado","En gestión"))</f>
        <v>En gestión</v>
      </c>
      <c r="AV14" s="1054"/>
      <c r="AW14" s="1048"/>
      <c r="AX14" s="1049"/>
      <c r="AY14" s="1037"/>
      <c r="AZ14" s="1037"/>
      <c r="BA14" s="456"/>
      <c r="BB14" s="1054"/>
      <c r="BC14" s="1047"/>
      <c r="BD14" s="1047"/>
      <c r="BE14" s="1047"/>
      <c r="BF14" s="1047"/>
      <c r="BG14" s="1047"/>
      <c r="BH14" s="1047"/>
      <c r="BI14" s="1054"/>
      <c r="BJ14" s="1054"/>
      <c r="BK14" s="1054"/>
      <c r="BL14" s="1054"/>
      <c r="BM14" s="506">
        <v>0.75</v>
      </c>
      <c r="BN14" s="462" t="s">
        <v>3885</v>
      </c>
      <c r="BO14" s="462" t="s">
        <v>3886</v>
      </c>
      <c r="BP14" s="455" t="str">
        <f>IF(S14&lt;1%,"Sin iniciar",IF(S14=100%,"Terminado","En gestión"))</f>
        <v>En gestión</v>
      </c>
      <c r="BQ14" s="455" t="str">
        <f>IF(BM14&lt;1%,"Sin iniciar",IF(BM14=100%,"Terminado","En gestión"))</f>
        <v>En gestión</v>
      </c>
      <c r="BR14" s="990"/>
      <c r="BS14" s="1052"/>
      <c r="BT14" s="1053"/>
      <c r="BU14" s="1037"/>
      <c r="BV14" s="1037"/>
      <c r="BW14" s="991"/>
      <c r="BX14" s="991"/>
      <c r="BY14" s="1065"/>
      <c r="BZ14" s="1065"/>
      <c r="CA14" s="1065"/>
      <c r="CB14" s="1065"/>
      <c r="CC14" s="1065"/>
      <c r="CD14" s="1065"/>
      <c r="CE14" s="1054"/>
      <c r="CF14" s="1054"/>
      <c r="CG14" s="1054"/>
      <c r="CH14" s="1064"/>
    </row>
    <row r="15" spans="2:86" ht="171.95" customHeight="1" x14ac:dyDescent="0.25">
      <c r="B15" s="1198"/>
      <c r="C15" s="1058"/>
      <c r="D15" s="448" t="s">
        <v>25</v>
      </c>
      <c r="E15" s="1059"/>
      <c r="F15" s="448" t="s">
        <v>473</v>
      </c>
      <c r="G15" s="448" t="s">
        <v>28</v>
      </c>
      <c r="H15" s="448" t="s">
        <v>474</v>
      </c>
      <c r="I15" s="448" t="s">
        <v>47</v>
      </c>
      <c r="J15" s="1032"/>
      <c r="K15" s="449" t="s">
        <v>1592</v>
      </c>
      <c r="L15" s="457" t="s">
        <v>1601</v>
      </c>
      <c r="M15" s="451" t="s">
        <v>2358</v>
      </c>
      <c r="N15" s="458">
        <v>0.25</v>
      </c>
      <c r="O15" s="452">
        <v>44197</v>
      </c>
      <c r="P15" s="452" t="s">
        <v>477</v>
      </c>
      <c r="Q15" s="459">
        <v>0.25</v>
      </c>
      <c r="R15" s="459">
        <v>0.5</v>
      </c>
      <c r="S15" s="448">
        <v>0.75</v>
      </c>
      <c r="T15" s="448">
        <v>1</v>
      </c>
      <c r="U15" s="378">
        <v>0.25</v>
      </c>
      <c r="V15" s="460" t="s">
        <v>1602</v>
      </c>
      <c r="W15" s="460" t="s">
        <v>3887</v>
      </c>
      <c r="X15" s="455" t="str">
        <f>IF(Q15&lt;1%,"Sin iniciar",IF(Q15=100%,"Terminado","En gestión"))</f>
        <v>En gestión</v>
      </c>
      <c r="Y15" s="455" t="str">
        <f>IF(U15&lt;1%,"Sin iniciar",IF(U15=100%,"Terminado","En gestión"))</f>
        <v>En gestión</v>
      </c>
      <c r="Z15" s="1054"/>
      <c r="AA15" s="1026"/>
      <c r="AB15" s="1004"/>
      <c r="AC15" s="1037"/>
      <c r="AD15" s="1037"/>
      <c r="AE15" s="461"/>
      <c r="AF15" s="1060"/>
      <c r="AG15" s="1065"/>
      <c r="AH15" s="1065"/>
      <c r="AI15" s="1060"/>
      <c r="AJ15" s="1065"/>
      <c r="AK15" s="1065"/>
      <c r="AL15" s="1054"/>
      <c r="AM15" s="1054"/>
      <c r="AN15" s="1054"/>
      <c r="AO15" s="1060"/>
      <c r="AP15" s="1064"/>
      <c r="AQ15" s="1211">
        <v>0.5</v>
      </c>
      <c r="AR15" s="460" t="s">
        <v>2435</v>
      </c>
      <c r="AS15" s="462" t="s">
        <v>3888</v>
      </c>
      <c r="AT15" s="455" t="str">
        <f>IF(R15&lt;1%,"Sin iniciar",IF(R15=100%,"Terminado","En gestión"))</f>
        <v>En gestión</v>
      </c>
      <c r="AU15" s="455" t="str">
        <f>IF(AQ15&lt;1%,"Sin iniciar",IF(AQ15=100%,"Terminado","En gestión"))</f>
        <v>En gestión</v>
      </c>
      <c r="AV15" s="1054"/>
      <c r="AW15" s="1048"/>
      <c r="AX15" s="1049"/>
      <c r="AY15" s="1037"/>
      <c r="AZ15" s="1037"/>
      <c r="BA15" s="456"/>
      <c r="BB15" s="1054"/>
      <c r="BC15" s="1047"/>
      <c r="BD15" s="1047"/>
      <c r="BE15" s="1047"/>
      <c r="BF15" s="1047"/>
      <c r="BG15" s="1047"/>
      <c r="BH15" s="1047"/>
      <c r="BI15" s="1054"/>
      <c r="BJ15" s="1054"/>
      <c r="BK15" s="1054"/>
      <c r="BL15" s="1054"/>
      <c r="BM15" s="506">
        <v>0.75</v>
      </c>
      <c r="BN15" s="462" t="s">
        <v>3889</v>
      </c>
      <c r="BO15" s="462" t="s">
        <v>3888</v>
      </c>
      <c r="BP15" s="455" t="str">
        <f>IF(S15&lt;1%,"Sin iniciar",IF(S15=100%,"Terminado","En gestión"))</f>
        <v>En gestión</v>
      </c>
      <c r="BQ15" s="455" t="str">
        <f>IF(BM15&lt;1%,"Sin iniciar",IF(BM15=100%,"Terminado","En gestión"))</f>
        <v>En gestión</v>
      </c>
      <c r="BR15" s="990"/>
      <c r="BS15" s="1052"/>
      <c r="BT15" s="1053"/>
      <c r="BU15" s="1037"/>
      <c r="BV15" s="1037"/>
      <c r="BW15" s="991"/>
      <c r="BX15" s="991"/>
      <c r="BY15" s="1065"/>
      <c r="BZ15" s="1065"/>
      <c r="CA15" s="1065"/>
      <c r="CB15" s="1065"/>
      <c r="CC15" s="1065"/>
      <c r="CD15" s="1065"/>
      <c r="CE15" s="1054"/>
      <c r="CF15" s="1054"/>
      <c r="CG15" s="1054"/>
      <c r="CH15" s="1064"/>
    </row>
    <row r="16" spans="2:86" ht="171.95" customHeight="1" x14ac:dyDescent="0.25">
      <c r="B16" s="1199"/>
      <c r="C16" s="395" t="s">
        <v>1603</v>
      </c>
      <c r="D16" s="384" t="s">
        <v>25</v>
      </c>
      <c r="E16" s="387" t="s">
        <v>494</v>
      </c>
      <c r="F16" s="384" t="s">
        <v>473</v>
      </c>
      <c r="G16" s="384" t="s">
        <v>28</v>
      </c>
      <c r="H16" s="384" t="s">
        <v>474</v>
      </c>
      <c r="I16" s="384" t="s">
        <v>47</v>
      </c>
      <c r="J16" s="401" t="s">
        <v>1604</v>
      </c>
      <c r="K16" s="385" t="s">
        <v>1592</v>
      </c>
      <c r="L16" s="395" t="s">
        <v>1605</v>
      </c>
      <c r="M16" s="387" t="s">
        <v>1606</v>
      </c>
      <c r="N16" s="396">
        <v>1</v>
      </c>
      <c r="O16" s="388">
        <v>44197</v>
      </c>
      <c r="P16" s="388" t="s">
        <v>477</v>
      </c>
      <c r="Q16" s="397">
        <v>0.25</v>
      </c>
      <c r="R16" s="397">
        <v>0.5</v>
      </c>
      <c r="S16" s="384">
        <v>0.75</v>
      </c>
      <c r="T16" s="384">
        <v>1</v>
      </c>
      <c r="U16" s="378">
        <v>0.25</v>
      </c>
      <c r="V16" s="398" t="s">
        <v>1607</v>
      </c>
      <c r="W16" s="398" t="s">
        <v>3890</v>
      </c>
      <c r="X16" s="379" t="str">
        <f>IF(Q16&lt;1%,"Sin iniciar",IF(Q16=100%,"Terminado","En gestión"))</f>
        <v>En gestión</v>
      </c>
      <c r="Y16" s="379" t="str">
        <f>IF(U16&lt;1%,"Sin iniciar",IF(U16=100%,"Terminado","En gestión"))</f>
        <v>En gestión</v>
      </c>
      <c r="Z16" s="398" t="s">
        <v>1609</v>
      </c>
      <c r="AA16" s="377">
        <f>N16*U16</f>
        <v>0.25</v>
      </c>
      <c r="AB16" s="502">
        <f>N16*Q16</f>
        <v>0.25</v>
      </c>
      <c r="AC16" s="379" t="str">
        <f>IF(AB16&lt;1%,"Sin iniciar",IF(AB16=100%,"Terminado","En gestión"))</f>
        <v>En gestión</v>
      </c>
      <c r="AD16" s="379" t="str">
        <f>IF(AA16&lt;1%,"Sin iniciar",IF(AA16=100%,"Terminado","En gestión"))</f>
        <v>En gestión</v>
      </c>
      <c r="AE16" s="399"/>
      <c r="AF16" s="402">
        <v>171416880</v>
      </c>
      <c r="AG16" s="402">
        <v>171416880</v>
      </c>
      <c r="AH16" s="402">
        <v>42854220</v>
      </c>
      <c r="AI16" s="402">
        <v>1376325000</v>
      </c>
      <c r="AJ16" s="402">
        <v>1376325000</v>
      </c>
      <c r="AK16" s="402">
        <v>344081250</v>
      </c>
      <c r="AL16" s="398" t="s">
        <v>2469</v>
      </c>
      <c r="AM16" s="398" t="s">
        <v>2470</v>
      </c>
      <c r="AN16" s="398" t="s">
        <v>2471</v>
      </c>
      <c r="AO16" s="403">
        <f>AJ16</f>
        <v>1376325000</v>
      </c>
      <c r="AP16" s="399"/>
      <c r="AQ16" s="1211">
        <v>0.5</v>
      </c>
      <c r="AR16" s="400" t="s">
        <v>2436</v>
      </c>
      <c r="AS16" s="400" t="s">
        <v>3891</v>
      </c>
      <c r="AT16" s="379" t="str">
        <f>IF(R16&lt;1%,"Sin iniciar",IF(R16=100%,"Terminado","En gestión"))</f>
        <v>En gestión</v>
      </c>
      <c r="AU16" s="379" t="str">
        <f>IF(AQ16&lt;1%,"Sin iniciar",IF(AQ16=100%,"Terminado","En gestión"))</f>
        <v>En gestión</v>
      </c>
      <c r="AV16" s="400" t="s">
        <v>1613</v>
      </c>
      <c r="AW16" s="447">
        <f>SUMPRODUCT(N16,AQ16)</f>
        <v>0.5</v>
      </c>
      <c r="AX16" s="503">
        <f>SUMPRODUCT(N16,R16)</f>
        <v>0.5</v>
      </c>
      <c r="AY16" s="379" t="str">
        <f>IF(AX16&lt;1%,"Sin iniciar",IF(AX16=100%,"Terminado","En gestión"))</f>
        <v>En gestión</v>
      </c>
      <c r="AZ16" s="379" t="str">
        <f>IF(AW16&lt;1%,"Sin iniciar",IF(AW16=100%,"Terminado","En gestión"))</f>
        <v>En gestión</v>
      </c>
      <c r="BA16" s="390"/>
      <c r="BB16" s="389"/>
      <c r="BC16" s="404">
        <v>171416880</v>
      </c>
      <c r="BD16" s="393">
        <v>171416880</v>
      </c>
      <c r="BE16" s="393">
        <v>85708440</v>
      </c>
      <c r="BF16" s="404">
        <v>1376325000</v>
      </c>
      <c r="BG16" s="393">
        <v>1376325000</v>
      </c>
      <c r="BH16" s="404">
        <v>688162500</v>
      </c>
      <c r="BI16" s="404" t="s">
        <v>2469</v>
      </c>
      <c r="BJ16" s="404" t="s">
        <v>2471</v>
      </c>
      <c r="BK16" s="404" t="s">
        <v>2652</v>
      </c>
      <c r="BL16" s="404" t="s">
        <v>2529</v>
      </c>
      <c r="BM16" s="506">
        <v>0.75</v>
      </c>
      <c r="BN16" s="400" t="s">
        <v>3892</v>
      </c>
      <c r="BO16" s="400" t="s">
        <v>3891</v>
      </c>
      <c r="BP16" s="379" t="str">
        <f>IF(S16&lt;1%,"Sin iniciar",IF(S16=100%,"Terminado","En gestión"))</f>
        <v>En gestión</v>
      </c>
      <c r="BQ16" s="379" t="str">
        <f>IF(BM16&lt;1%,"Sin iniciar",IF(BM16=100%,"Terminado","En gestión"))</f>
        <v>En gestión</v>
      </c>
      <c r="BR16" s="400" t="s">
        <v>3893</v>
      </c>
      <c r="BS16" s="511">
        <f>(N16*BM16)</f>
        <v>0.75</v>
      </c>
      <c r="BT16" s="513">
        <f>(N16*S16)</f>
        <v>0.75</v>
      </c>
      <c r="BU16" s="379" t="str">
        <f>IF(BT16&lt;1%,"Sin iniciar",IF(BT16=100%,"Terminado","En gestión"))</f>
        <v>En gestión</v>
      </c>
      <c r="BV16" s="379" t="str">
        <f>IF(BS16&lt;1%,"Sin iniciar",IF(BS16=100%,"Terminado","En gestión"))</f>
        <v>En gestión</v>
      </c>
      <c r="BW16" s="390" t="s">
        <v>28</v>
      </c>
      <c r="BX16" s="390" t="s">
        <v>3016</v>
      </c>
      <c r="BY16" s="402">
        <v>171416880</v>
      </c>
      <c r="BZ16" s="402">
        <v>171416880</v>
      </c>
      <c r="CA16" s="391">
        <v>128562660</v>
      </c>
      <c r="CB16" s="391">
        <v>1376325000</v>
      </c>
      <c r="CC16" s="402">
        <v>1376325000</v>
      </c>
      <c r="CD16" s="391">
        <v>1032243750</v>
      </c>
      <c r="CE16" s="404" t="s">
        <v>2469</v>
      </c>
      <c r="CF16" s="404" t="s">
        <v>2471</v>
      </c>
      <c r="CG16" s="404" t="s">
        <v>2652</v>
      </c>
      <c r="CH16" s="402" t="s">
        <v>2529</v>
      </c>
    </row>
    <row r="17" spans="2:86" ht="171.95" customHeight="1" x14ac:dyDescent="0.25">
      <c r="B17" s="1200" t="s">
        <v>5272</v>
      </c>
      <c r="C17" s="1000" t="s">
        <v>1614</v>
      </c>
      <c r="D17" s="1001" t="s">
        <v>45</v>
      </c>
      <c r="E17" s="1001" t="s">
        <v>1615</v>
      </c>
      <c r="F17" s="1001" t="s">
        <v>529</v>
      </c>
      <c r="G17" s="1001" t="s">
        <v>373</v>
      </c>
      <c r="H17" s="1001" t="s">
        <v>269</v>
      </c>
      <c r="I17" s="1001" t="s">
        <v>47</v>
      </c>
      <c r="J17" s="1032" t="s">
        <v>1616</v>
      </c>
      <c r="K17" s="993" t="s">
        <v>1617</v>
      </c>
      <c r="L17" s="450" t="s">
        <v>1618</v>
      </c>
      <c r="M17" s="451" t="s">
        <v>1619</v>
      </c>
      <c r="N17" s="448">
        <v>0.15</v>
      </c>
      <c r="O17" s="452">
        <v>44200</v>
      </c>
      <c r="P17" s="452">
        <v>44377</v>
      </c>
      <c r="Q17" s="448">
        <v>0.5</v>
      </c>
      <c r="R17" s="448">
        <v>1</v>
      </c>
      <c r="S17" s="453">
        <v>1</v>
      </c>
      <c r="T17" s="448">
        <v>1</v>
      </c>
      <c r="U17" s="377">
        <v>0.5</v>
      </c>
      <c r="V17" s="454" t="s">
        <v>2359</v>
      </c>
      <c r="W17" s="454" t="s">
        <v>3813</v>
      </c>
      <c r="X17" s="455" t="str">
        <f t="shared" ref="X17:X31" si="6">IF(Q17&lt;1%,"Sin iniciar",IF(Q17=100%,"Terminado","En gestión"))</f>
        <v>En gestión</v>
      </c>
      <c r="Y17" s="455" t="str">
        <f t="shared" ref="Y17:Y31" si="7">IF(U17&lt;1%,"Sin iniciar",IF(U17=100%,"Terminado","En gestión"))</f>
        <v>En gestión</v>
      </c>
      <c r="Z17" s="990" t="s">
        <v>2360</v>
      </c>
      <c r="AA17" s="1026">
        <f>SUMPRODUCT(N17:N21,U17:U21)</f>
        <v>0.27500000000000002</v>
      </c>
      <c r="AB17" s="1004">
        <f>SUMPRODUCT(N17:N21,Q17:Q21)</f>
        <v>0.27500000000000002</v>
      </c>
      <c r="AC17" s="1037" t="str">
        <f>IF(AB17&lt;1%,"Sin iniciar",IF(AB17=100%,"Terminado","En gestión"))</f>
        <v>En gestión</v>
      </c>
      <c r="AD17" s="1037" t="str">
        <f>IF(AA17&lt;1%,"Sin iniciar",IF(AA17=100%,"Terminado","En gestión"))</f>
        <v>En gestión</v>
      </c>
      <c r="AE17" s="456"/>
      <c r="AF17" s="992">
        <v>0</v>
      </c>
      <c r="AG17" s="992">
        <v>0</v>
      </c>
      <c r="AH17" s="992">
        <v>0</v>
      </c>
      <c r="AI17" s="992">
        <f>AP17</f>
        <v>438807878.66250002</v>
      </c>
      <c r="AJ17" s="992">
        <v>0</v>
      </c>
      <c r="AK17" s="1038">
        <v>61694940</v>
      </c>
      <c r="AL17" s="993" t="s">
        <v>2460</v>
      </c>
      <c r="AM17" s="993" t="s">
        <v>2461</v>
      </c>
      <c r="AN17" s="994" t="s">
        <v>2462</v>
      </c>
      <c r="AO17" s="990" t="s">
        <v>2463</v>
      </c>
      <c r="AP17" s="995">
        <f>351882405+14806250+63277020+8842203.6625</f>
        <v>438807878.66250002</v>
      </c>
      <c r="AQ17" s="1209">
        <v>1</v>
      </c>
      <c r="AR17" s="454" t="s">
        <v>1635</v>
      </c>
      <c r="AS17" s="454" t="s">
        <v>1619</v>
      </c>
      <c r="AT17" s="455" t="str">
        <f t="shared" ref="AT17:AT31" si="8">IF(R17&lt;1%,"Sin iniciar",IF(R17=100%,"Terminado","En gestión"))</f>
        <v>Terminado</v>
      </c>
      <c r="AU17" s="455" t="str">
        <f t="shared" ref="AU17:AU31" si="9">IF(AQ17&lt;1%,"Sin iniciar",IF(AQ17=100%,"Terminado","En gestión"))</f>
        <v>Terminado</v>
      </c>
      <c r="AV17" s="990" t="s">
        <v>2361</v>
      </c>
      <c r="AW17" s="998">
        <f>SUMPRODUCT(N17:N21,AQ17:AQ21)</f>
        <v>0.502</v>
      </c>
      <c r="AX17" s="999">
        <f>SUMPRODUCT(N17:N21,R17:R21)</f>
        <v>0.5</v>
      </c>
      <c r="AY17" s="1037" t="str">
        <f>IF(AX17&lt;1%,"Sin iniciar",IF(AX17=100%,"Terminado","En gestión"))</f>
        <v>En gestión</v>
      </c>
      <c r="AZ17" s="1037" t="str">
        <f>IF(AW17&lt;1%,"Sin iniciar",IF(AW17=100%,"Terminado","En gestión"))</f>
        <v>En gestión</v>
      </c>
      <c r="BA17" s="456"/>
      <c r="BB17" s="990"/>
      <c r="BC17" s="1035"/>
      <c r="BD17" s="1035"/>
      <c r="BE17" s="1035"/>
      <c r="BF17" s="1035">
        <v>438807878.66250002</v>
      </c>
      <c r="BG17" s="1035">
        <v>438807878.66250002</v>
      </c>
      <c r="BH17" s="1035">
        <v>123389880</v>
      </c>
      <c r="BI17" s="1035" t="s">
        <v>2460</v>
      </c>
      <c r="BJ17" s="1035" t="s">
        <v>2462</v>
      </c>
      <c r="BK17" s="1035" t="s">
        <v>2463</v>
      </c>
      <c r="BL17" s="993" t="s">
        <v>2698</v>
      </c>
      <c r="BM17" s="506">
        <v>1</v>
      </c>
      <c r="BN17" s="454" t="s">
        <v>541</v>
      </c>
      <c r="BO17" s="454" t="s">
        <v>541</v>
      </c>
      <c r="BP17" s="455" t="str">
        <f t="shared" ref="BP17:BP31" si="10">IF(S17&lt;1%,"Sin iniciar",IF(S17=100%,"Terminado","En gestión"))</f>
        <v>Terminado</v>
      </c>
      <c r="BQ17" s="455" t="str">
        <f t="shared" ref="BQ17:BQ31" si="11">IF(BM17&lt;1%,"Sin iniciar",IF(BM17=100%,"Terminado","En gestión"))</f>
        <v>Terminado</v>
      </c>
      <c r="BR17" s="990" t="s">
        <v>3814</v>
      </c>
      <c r="BS17" s="996">
        <f>SUMPRODUCT(N17:N21,BM17:BM21)</f>
        <v>0.79800000000000004</v>
      </c>
      <c r="BT17" s="997">
        <f>SUMPRODUCT(N17:N21,S17:S21)</f>
        <v>0.8</v>
      </c>
      <c r="BU17" s="1037" t="str">
        <f>IF(BT17&lt;1%,"Sin iniciar",IF(BT17=100%,"Terminado","En gestión"))</f>
        <v>En gestión</v>
      </c>
      <c r="BV17" s="1037" t="str">
        <f>IF(BS17&lt;1%,"Sin iniciar",IF(BS17=100%,"Terminado","En gestión"))</f>
        <v>En gestión</v>
      </c>
      <c r="BW17" s="991" t="s">
        <v>28</v>
      </c>
      <c r="BX17" s="990" t="s">
        <v>3815</v>
      </c>
      <c r="BY17" s="991"/>
      <c r="BZ17" s="991"/>
      <c r="CA17" s="991"/>
      <c r="CB17" s="1040">
        <v>438807878.66000003</v>
      </c>
      <c r="CC17" s="1040">
        <v>438807878.66000003</v>
      </c>
      <c r="CD17" s="1040">
        <v>337905973</v>
      </c>
      <c r="CE17" s="990" t="s">
        <v>2460</v>
      </c>
      <c r="CF17" s="990" t="s">
        <v>2462</v>
      </c>
      <c r="CG17" s="990" t="s">
        <v>2463</v>
      </c>
      <c r="CH17" s="990" t="s">
        <v>2698</v>
      </c>
    </row>
    <row r="18" spans="2:86" ht="171.95" customHeight="1" x14ac:dyDescent="0.25">
      <c r="B18" s="1201"/>
      <c r="C18" s="1000"/>
      <c r="D18" s="1001"/>
      <c r="E18" s="1001"/>
      <c r="F18" s="1001"/>
      <c r="G18" s="1001"/>
      <c r="H18" s="1001"/>
      <c r="I18" s="1001"/>
      <c r="J18" s="1032"/>
      <c r="K18" s="993"/>
      <c r="L18" s="450" t="s">
        <v>1620</v>
      </c>
      <c r="M18" s="451" t="s">
        <v>1621</v>
      </c>
      <c r="N18" s="448">
        <v>0.25</v>
      </c>
      <c r="O18" s="452">
        <v>44378</v>
      </c>
      <c r="P18" s="452">
        <v>44530</v>
      </c>
      <c r="Q18" s="448">
        <v>0</v>
      </c>
      <c r="R18" s="448">
        <v>0</v>
      </c>
      <c r="S18" s="453">
        <v>0.6</v>
      </c>
      <c r="T18" s="448">
        <v>1</v>
      </c>
      <c r="U18" s="377">
        <v>0</v>
      </c>
      <c r="V18" s="456" t="s">
        <v>37</v>
      </c>
      <c r="W18" s="456" t="s">
        <v>37</v>
      </c>
      <c r="X18" s="455" t="str">
        <f t="shared" si="6"/>
        <v>Sin iniciar</v>
      </c>
      <c r="Y18" s="455" t="str">
        <f t="shared" si="7"/>
        <v>Sin iniciar</v>
      </c>
      <c r="Z18" s="990"/>
      <c r="AA18" s="1026"/>
      <c r="AB18" s="1004"/>
      <c r="AC18" s="1037"/>
      <c r="AD18" s="1037"/>
      <c r="AE18" s="456"/>
      <c r="AF18" s="992"/>
      <c r="AG18" s="992"/>
      <c r="AH18" s="992"/>
      <c r="AI18" s="992"/>
      <c r="AJ18" s="992"/>
      <c r="AK18" s="1038"/>
      <c r="AL18" s="993"/>
      <c r="AM18" s="993"/>
      <c r="AN18" s="994"/>
      <c r="AO18" s="990"/>
      <c r="AP18" s="995"/>
      <c r="AQ18" s="1209">
        <v>0</v>
      </c>
      <c r="AR18" s="454" t="s">
        <v>2437</v>
      </c>
      <c r="AS18" s="454" t="s">
        <v>541</v>
      </c>
      <c r="AT18" s="455" t="str">
        <f t="shared" si="8"/>
        <v>Sin iniciar</v>
      </c>
      <c r="AU18" s="455" t="str">
        <f t="shared" si="9"/>
        <v>Sin iniciar</v>
      </c>
      <c r="AV18" s="990"/>
      <c r="AW18" s="998"/>
      <c r="AX18" s="999"/>
      <c r="AY18" s="1037"/>
      <c r="AZ18" s="1037"/>
      <c r="BA18" s="456"/>
      <c r="BB18" s="990"/>
      <c r="BC18" s="1035"/>
      <c r="BD18" s="1035"/>
      <c r="BE18" s="1035"/>
      <c r="BF18" s="1035"/>
      <c r="BG18" s="1035"/>
      <c r="BH18" s="1035"/>
      <c r="BI18" s="1035"/>
      <c r="BJ18" s="1035"/>
      <c r="BK18" s="1035"/>
      <c r="BL18" s="993"/>
      <c r="BM18" s="506">
        <v>0.6</v>
      </c>
      <c r="BN18" s="454" t="s">
        <v>3816</v>
      </c>
      <c r="BO18" s="454" t="s">
        <v>3817</v>
      </c>
      <c r="BP18" s="455" t="str">
        <f t="shared" si="10"/>
        <v>En gestión</v>
      </c>
      <c r="BQ18" s="455" t="str">
        <f t="shared" si="11"/>
        <v>En gestión</v>
      </c>
      <c r="BR18" s="990"/>
      <c r="BS18" s="996"/>
      <c r="BT18" s="997"/>
      <c r="BU18" s="1037"/>
      <c r="BV18" s="1037"/>
      <c r="BW18" s="991"/>
      <c r="BX18" s="990"/>
      <c r="BY18" s="991"/>
      <c r="BZ18" s="991"/>
      <c r="CA18" s="991"/>
      <c r="CB18" s="1040"/>
      <c r="CC18" s="1040"/>
      <c r="CD18" s="1040"/>
      <c r="CE18" s="990"/>
      <c r="CF18" s="990"/>
      <c r="CG18" s="990"/>
      <c r="CH18" s="990"/>
    </row>
    <row r="19" spans="2:86" ht="171.95" customHeight="1" x14ac:dyDescent="0.25">
      <c r="B19" s="1201"/>
      <c r="C19" s="1000"/>
      <c r="D19" s="1001"/>
      <c r="E19" s="1001"/>
      <c r="F19" s="1001"/>
      <c r="G19" s="1001"/>
      <c r="H19" s="1001"/>
      <c r="I19" s="1001"/>
      <c r="J19" s="1032"/>
      <c r="K19" s="993"/>
      <c r="L19" s="450" t="s">
        <v>1622</v>
      </c>
      <c r="M19" s="451" t="s">
        <v>1623</v>
      </c>
      <c r="N19" s="448">
        <v>0.2</v>
      </c>
      <c r="O19" s="452">
        <v>44287</v>
      </c>
      <c r="P19" s="452">
        <v>44530</v>
      </c>
      <c r="Q19" s="448">
        <v>0</v>
      </c>
      <c r="R19" s="448">
        <v>0.375</v>
      </c>
      <c r="S19" s="453">
        <v>0.75</v>
      </c>
      <c r="T19" s="448">
        <v>1</v>
      </c>
      <c r="U19" s="377">
        <v>0</v>
      </c>
      <c r="V19" s="456" t="s">
        <v>37</v>
      </c>
      <c r="W19" s="456" t="s">
        <v>37</v>
      </c>
      <c r="X19" s="455" t="str">
        <f t="shared" si="6"/>
        <v>Sin iniciar</v>
      </c>
      <c r="Y19" s="455" t="str">
        <f t="shared" si="7"/>
        <v>Sin iniciar</v>
      </c>
      <c r="Z19" s="990"/>
      <c r="AA19" s="1026"/>
      <c r="AB19" s="1004"/>
      <c r="AC19" s="1037"/>
      <c r="AD19" s="1037"/>
      <c r="AE19" s="456"/>
      <c r="AF19" s="992"/>
      <c r="AG19" s="992"/>
      <c r="AH19" s="992"/>
      <c r="AI19" s="992"/>
      <c r="AJ19" s="992"/>
      <c r="AK19" s="1038"/>
      <c r="AL19" s="993"/>
      <c r="AM19" s="993"/>
      <c r="AN19" s="994"/>
      <c r="AO19" s="990"/>
      <c r="AP19" s="995"/>
      <c r="AQ19" s="1209">
        <v>0.38</v>
      </c>
      <c r="AR19" s="454" t="s">
        <v>1636</v>
      </c>
      <c r="AS19" s="454" t="s">
        <v>3818</v>
      </c>
      <c r="AT19" s="455" t="str">
        <f t="shared" si="8"/>
        <v>En gestión</v>
      </c>
      <c r="AU19" s="455" t="str">
        <f t="shared" si="9"/>
        <v>En gestión</v>
      </c>
      <c r="AV19" s="990"/>
      <c r="AW19" s="998"/>
      <c r="AX19" s="999"/>
      <c r="AY19" s="1037"/>
      <c r="AZ19" s="1037"/>
      <c r="BA19" s="456"/>
      <c r="BB19" s="990"/>
      <c r="BC19" s="1035"/>
      <c r="BD19" s="1035"/>
      <c r="BE19" s="1035"/>
      <c r="BF19" s="1035"/>
      <c r="BG19" s="1035"/>
      <c r="BH19" s="1035"/>
      <c r="BI19" s="1035"/>
      <c r="BJ19" s="1035"/>
      <c r="BK19" s="1035"/>
      <c r="BL19" s="993"/>
      <c r="BM19" s="506">
        <v>0.75</v>
      </c>
      <c r="BN19" s="454" t="s">
        <v>3819</v>
      </c>
      <c r="BO19" s="454" t="s">
        <v>3820</v>
      </c>
      <c r="BP19" s="455" t="str">
        <f t="shared" si="10"/>
        <v>En gestión</v>
      </c>
      <c r="BQ19" s="455" t="str">
        <f t="shared" si="11"/>
        <v>En gestión</v>
      </c>
      <c r="BR19" s="990"/>
      <c r="BS19" s="996"/>
      <c r="BT19" s="997"/>
      <c r="BU19" s="1037"/>
      <c r="BV19" s="1037"/>
      <c r="BW19" s="991"/>
      <c r="BX19" s="990"/>
      <c r="BY19" s="991"/>
      <c r="BZ19" s="991"/>
      <c r="CA19" s="991"/>
      <c r="CB19" s="1040"/>
      <c r="CC19" s="1040"/>
      <c r="CD19" s="1040"/>
      <c r="CE19" s="990"/>
      <c r="CF19" s="990"/>
      <c r="CG19" s="990"/>
      <c r="CH19" s="990"/>
    </row>
    <row r="20" spans="2:86" ht="171.95" customHeight="1" x14ac:dyDescent="0.25">
      <c r="B20" s="1201"/>
      <c r="C20" s="1000"/>
      <c r="D20" s="1001"/>
      <c r="E20" s="1001"/>
      <c r="F20" s="1001"/>
      <c r="G20" s="1001"/>
      <c r="H20" s="1001"/>
      <c r="I20" s="1001"/>
      <c r="J20" s="1032"/>
      <c r="K20" s="993"/>
      <c r="L20" s="450" t="s">
        <v>1624</v>
      </c>
      <c r="M20" s="451" t="s">
        <v>1625</v>
      </c>
      <c r="N20" s="448">
        <v>0.2</v>
      </c>
      <c r="O20" s="452">
        <v>44200</v>
      </c>
      <c r="P20" s="452">
        <v>44286</v>
      </c>
      <c r="Q20" s="448">
        <v>1</v>
      </c>
      <c r="R20" s="448">
        <v>1</v>
      </c>
      <c r="S20" s="453">
        <v>1</v>
      </c>
      <c r="T20" s="448">
        <v>1</v>
      </c>
      <c r="U20" s="377">
        <v>1</v>
      </c>
      <c r="V20" s="454" t="s">
        <v>2432</v>
      </c>
      <c r="W20" s="454" t="s">
        <v>3821</v>
      </c>
      <c r="X20" s="455" t="str">
        <f t="shared" si="6"/>
        <v>Terminado</v>
      </c>
      <c r="Y20" s="455" t="str">
        <f t="shared" si="7"/>
        <v>Terminado</v>
      </c>
      <c r="Z20" s="990"/>
      <c r="AA20" s="1026"/>
      <c r="AB20" s="1004"/>
      <c r="AC20" s="1037"/>
      <c r="AD20" s="1037"/>
      <c r="AE20" s="456"/>
      <c r="AF20" s="992"/>
      <c r="AG20" s="992"/>
      <c r="AH20" s="992"/>
      <c r="AI20" s="992"/>
      <c r="AJ20" s="992"/>
      <c r="AK20" s="1038"/>
      <c r="AL20" s="993"/>
      <c r="AM20" s="993"/>
      <c r="AN20" s="994"/>
      <c r="AO20" s="990"/>
      <c r="AP20" s="995"/>
      <c r="AQ20" s="1209">
        <v>1</v>
      </c>
      <c r="AR20" s="454" t="s">
        <v>2434</v>
      </c>
      <c r="AS20" s="454" t="s">
        <v>3822</v>
      </c>
      <c r="AT20" s="455" t="str">
        <f t="shared" si="8"/>
        <v>Terminado</v>
      </c>
      <c r="AU20" s="455" t="str">
        <f t="shared" si="9"/>
        <v>Terminado</v>
      </c>
      <c r="AV20" s="990"/>
      <c r="AW20" s="998"/>
      <c r="AX20" s="999"/>
      <c r="AY20" s="1037"/>
      <c r="AZ20" s="1037"/>
      <c r="BA20" s="456"/>
      <c r="BB20" s="990"/>
      <c r="BC20" s="1035"/>
      <c r="BD20" s="1035"/>
      <c r="BE20" s="1035"/>
      <c r="BF20" s="1035"/>
      <c r="BG20" s="1035"/>
      <c r="BH20" s="1035"/>
      <c r="BI20" s="1035"/>
      <c r="BJ20" s="1035"/>
      <c r="BK20" s="1035"/>
      <c r="BL20" s="993"/>
      <c r="BM20" s="506">
        <v>1</v>
      </c>
      <c r="BN20" s="454" t="s">
        <v>541</v>
      </c>
      <c r="BO20" s="454" t="s">
        <v>541</v>
      </c>
      <c r="BP20" s="455" t="str">
        <f t="shared" si="10"/>
        <v>Terminado</v>
      </c>
      <c r="BQ20" s="455" t="str">
        <f t="shared" si="11"/>
        <v>Terminado</v>
      </c>
      <c r="BR20" s="990"/>
      <c r="BS20" s="996"/>
      <c r="BT20" s="997"/>
      <c r="BU20" s="1037"/>
      <c r="BV20" s="1037"/>
      <c r="BW20" s="991"/>
      <c r="BX20" s="990"/>
      <c r="BY20" s="991"/>
      <c r="BZ20" s="991"/>
      <c r="CA20" s="991"/>
      <c r="CB20" s="1040"/>
      <c r="CC20" s="1040"/>
      <c r="CD20" s="1040"/>
      <c r="CE20" s="990"/>
      <c r="CF20" s="990"/>
      <c r="CG20" s="990"/>
      <c r="CH20" s="990"/>
    </row>
    <row r="21" spans="2:86" ht="171.95" customHeight="1" x14ac:dyDescent="0.25">
      <c r="B21" s="1201"/>
      <c r="C21" s="1000"/>
      <c r="D21" s="1001"/>
      <c r="E21" s="1001"/>
      <c r="F21" s="1001"/>
      <c r="G21" s="1001"/>
      <c r="H21" s="1001"/>
      <c r="I21" s="1001"/>
      <c r="J21" s="1032"/>
      <c r="K21" s="993"/>
      <c r="L21" s="450" t="s">
        <v>1626</v>
      </c>
      <c r="M21" s="451" t="s">
        <v>1627</v>
      </c>
      <c r="N21" s="448">
        <v>0.2</v>
      </c>
      <c r="O21" s="452">
        <v>44287</v>
      </c>
      <c r="P21" s="452">
        <v>44530</v>
      </c>
      <c r="Q21" s="448">
        <v>0</v>
      </c>
      <c r="R21" s="448">
        <v>0.375</v>
      </c>
      <c r="S21" s="453">
        <v>0.75</v>
      </c>
      <c r="T21" s="448">
        <v>1</v>
      </c>
      <c r="U21" s="377">
        <v>0</v>
      </c>
      <c r="V21" s="456" t="s">
        <v>37</v>
      </c>
      <c r="W21" s="456" t="s">
        <v>37</v>
      </c>
      <c r="X21" s="455" t="str">
        <f t="shared" si="6"/>
        <v>Sin iniciar</v>
      </c>
      <c r="Y21" s="455" t="str">
        <f t="shared" si="7"/>
        <v>Sin iniciar</v>
      </c>
      <c r="Z21" s="990"/>
      <c r="AA21" s="1026"/>
      <c r="AB21" s="1004"/>
      <c r="AC21" s="1037"/>
      <c r="AD21" s="1037"/>
      <c r="AE21" s="456"/>
      <c r="AF21" s="992"/>
      <c r="AG21" s="992"/>
      <c r="AH21" s="992"/>
      <c r="AI21" s="992"/>
      <c r="AJ21" s="992"/>
      <c r="AK21" s="1038"/>
      <c r="AL21" s="993"/>
      <c r="AM21" s="993"/>
      <c r="AN21" s="994"/>
      <c r="AO21" s="990"/>
      <c r="AP21" s="995"/>
      <c r="AQ21" s="1209">
        <v>0.38</v>
      </c>
      <c r="AR21" s="454" t="s">
        <v>1637</v>
      </c>
      <c r="AS21" s="454" t="s">
        <v>3823</v>
      </c>
      <c r="AT21" s="455" t="str">
        <f t="shared" si="8"/>
        <v>En gestión</v>
      </c>
      <c r="AU21" s="455" t="str">
        <f t="shared" si="9"/>
        <v>En gestión</v>
      </c>
      <c r="AV21" s="990"/>
      <c r="AW21" s="998"/>
      <c r="AX21" s="999"/>
      <c r="AY21" s="1037"/>
      <c r="AZ21" s="1037"/>
      <c r="BA21" s="456"/>
      <c r="BB21" s="990"/>
      <c r="BC21" s="1035"/>
      <c r="BD21" s="1035"/>
      <c r="BE21" s="1035"/>
      <c r="BF21" s="1035"/>
      <c r="BG21" s="1035"/>
      <c r="BH21" s="1035"/>
      <c r="BI21" s="1035"/>
      <c r="BJ21" s="1035"/>
      <c r="BK21" s="1035"/>
      <c r="BL21" s="993"/>
      <c r="BM21" s="506">
        <v>0.74</v>
      </c>
      <c r="BN21" s="454" t="s">
        <v>3824</v>
      </c>
      <c r="BO21" s="454" t="s">
        <v>3825</v>
      </c>
      <c r="BP21" s="455" t="str">
        <f t="shared" si="10"/>
        <v>En gestión</v>
      </c>
      <c r="BQ21" s="455" t="str">
        <f t="shared" si="11"/>
        <v>En gestión</v>
      </c>
      <c r="BR21" s="990"/>
      <c r="BS21" s="996"/>
      <c r="BT21" s="997"/>
      <c r="BU21" s="1037"/>
      <c r="BV21" s="1037"/>
      <c r="BW21" s="991"/>
      <c r="BX21" s="990"/>
      <c r="BY21" s="991"/>
      <c r="BZ21" s="991"/>
      <c r="CA21" s="991"/>
      <c r="CB21" s="1040"/>
      <c r="CC21" s="1040"/>
      <c r="CD21" s="1040"/>
      <c r="CE21" s="990"/>
      <c r="CF21" s="990"/>
      <c r="CG21" s="990"/>
      <c r="CH21" s="990"/>
    </row>
    <row r="22" spans="2:86" ht="171.95" customHeight="1" x14ac:dyDescent="0.25">
      <c r="B22" s="1201"/>
      <c r="C22" s="1030" t="s">
        <v>1628</v>
      </c>
      <c r="D22" s="1024" t="s">
        <v>45</v>
      </c>
      <c r="E22" s="1024" t="s">
        <v>1629</v>
      </c>
      <c r="F22" s="1024" t="s">
        <v>373</v>
      </c>
      <c r="G22" s="1024" t="s">
        <v>28</v>
      </c>
      <c r="H22" s="1024" t="s">
        <v>269</v>
      </c>
      <c r="I22" s="1024" t="s">
        <v>47</v>
      </c>
      <c r="J22" s="1025" t="s">
        <v>1630</v>
      </c>
      <c r="K22" s="1039" t="s">
        <v>1617</v>
      </c>
      <c r="L22" s="386" t="s">
        <v>1631</v>
      </c>
      <c r="M22" s="387" t="s">
        <v>1632</v>
      </c>
      <c r="N22" s="384">
        <v>0.3</v>
      </c>
      <c r="O22" s="388">
        <v>44287</v>
      </c>
      <c r="P22" s="388">
        <v>44377</v>
      </c>
      <c r="Q22" s="384">
        <v>0</v>
      </c>
      <c r="R22" s="384">
        <v>1</v>
      </c>
      <c r="S22" s="382">
        <v>1</v>
      </c>
      <c r="T22" s="384">
        <v>1</v>
      </c>
      <c r="U22" s="377">
        <v>0</v>
      </c>
      <c r="V22" s="390" t="s">
        <v>37</v>
      </c>
      <c r="W22" s="390" t="s">
        <v>37</v>
      </c>
      <c r="X22" s="379" t="str">
        <f t="shared" si="6"/>
        <v>Sin iniciar</v>
      </c>
      <c r="Y22" s="379" t="str">
        <f t="shared" si="7"/>
        <v>Sin iniciar</v>
      </c>
      <c r="Z22" s="1016" t="s">
        <v>37</v>
      </c>
      <c r="AA22" s="1026">
        <f>SUMPRODUCT(N22:N23,U22:U23)</f>
        <v>0</v>
      </c>
      <c r="AB22" s="1004">
        <f>SUMPRODUCT(N22:N23,Q22:Q23)</f>
        <v>0</v>
      </c>
      <c r="AC22" s="1027" t="str">
        <f>IF(AB22&lt;1%,"Sin iniciar",IF(AB22=100%,"Terminado","En gestión"))</f>
        <v>Sin iniciar</v>
      </c>
      <c r="AD22" s="1027" t="str">
        <f>IF(AA22&lt;1%,"Sin iniciar",IF(AA22=100%,"Terminado","En gestión"))</f>
        <v>Sin iniciar</v>
      </c>
      <c r="AE22" s="390"/>
      <c r="AF22" s="1014">
        <v>0</v>
      </c>
      <c r="AG22" s="1016"/>
      <c r="AH22" s="1016"/>
      <c r="AI22" s="1014">
        <f>AP22</f>
        <v>62837725</v>
      </c>
      <c r="AJ22" s="1014">
        <v>0</v>
      </c>
      <c r="AK22" s="1042">
        <v>7426300</v>
      </c>
      <c r="AL22" s="1039" t="s">
        <v>2460</v>
      </c>
      <c r="AM22" s="1039" t="s">
        <v>2461</v>
      </c>
      <c r="AN22" s="1043" t="s">
        <v>2462</v>
      </c>
      <c r="AO22" s="1006" t="s">
        <v>2463</v>
      </c>
      <c r="AP22" s="1041">
        <v>62837725</v>
      </c>
      <c r="AQ22" s="1209">
        <v>1</v>
      </c>
      <c r="AR22" s="389" t="s">
        <v>1638</v>
      </c>
      <c r="AS22" s="389" t="s">
        <v>1632</v>
      </c>
      <c r="AT22" s="379" t="str">
        <f t="shared" si="8"/>
        <v>Terminado</v>
      </c>
      <c r="AU22" s="379" t="str">
        <f t="shared" si="9"/>
        <v>Terminado</v>
      </c>
      <c r="AV22" s="1006" t="s">
        <v>2362</v>
      </c>
      <c r="AW22" s="998">
        <f>SUMPRODUCT(N22:N23,AQ22:AQ23)</f>
        <v>0.3</v>
      </c>
      <c r="AX22" s="999">
        <f>SUMPRODUCT(N22:N23,R22:R23)</f>
        <v>0.3</v>
      </c>
      <c r="AY22" s="1027" t="str">
        <f>IF(AX22&lt;1%,"Sin iniciar",IF(AX22=100%,"Terminado","En gestión"))</f>
        <v>En gestión</v>
      </c>
      <c r="AZ22" s="1027" t="str">
        <f>IF(AW22&lt;1%,"Sin iniciar",IF(AW22=100%,"Terminado","En gestión"))</f>
        <v>En gestión</v>
      </c>
      <c r="BA22" s="390"/>
      <c r="BB22" s="1006"/>
      <c r="BC22" s="1033"/>
      <c r="BD22" s="1006"/>
      <c r="BE22" s="1033"/>
      <c r="BF22" s="1033">
        <v>62837725</v>
      </c>
      <c r="BG22" s="1033">
        <v>0</v>
      </c>
      <c r="BH22" s="1046">
        <v>7426300</v>
      </c>
      <c r="BI22" s="1033" t="s">
        <v>2460</v>
      </c>
      <c r="BJ22" s="1046" t="s">
        <v>2462</v>
      </c>
      <c r="BK22" s="1039" t="s">
        <v>2463</v>
      </c>
      <c r="BL22" s="1039" t="s">
        <v>2698</v>
      </c>
      <c r="BM22" s="506">
        <v>1</v>
      </c>
      <c r="BN22" s="389" t="s">
        <v>541</v>
      </c>
      <c r="BO22" s="389" t="s">
        <v>541</v>
      </c>
      <c r="BP22" s="379" t="str">
        <f t="shared" si="10"/>
        <v>Terminado</v>
      </c>
      <c r="BQ22" s="379" t="str">
        <f t="shared" si="11"/>
        <v>Terminado</v>
      </c>
      <c r="BR22" s="1006" t="s">
        <v>3826</v>
      </c>
      <c r="BS22" s="996">
        <f>SUMPRODUCT(N22:N23,BM22:BM23)</f>
        <v>0.64999999999999991</v>
      </c>
      <c r="BT22" s="997">
        <f>SUMPRODUCT(N22:N23,S22:S23)</f>
        <v>0.64999999999999991</v>
      </c>
      <c r="BU22" s="1027" t="str">
        <f>IF(BT22&lt;1%,"Sin iniciar",IF(BT22=100%,"Terminado","En gestión"))</f>
        <v>En gestión</v>
      </c>
      <c r="BV22" s="1027" t="str">
        <f>IF(BS22&lt;1%,"Sin iniciar",IF(BS22=100%,"Terminado","En gestión"))</f>
        <v>En gestión</v>
      </c>
      <c r="BW22" s="1016" t="s">
        <v>28</v>
      </c>
      <c r="BX22" s="1006" t="s">
        <v>3815</v>
      </c>
      <c r="BY22" s="1016"/>
      <c r="BZ22" s="1016"/>
      <c r="CA22" s="1016"/>
      <c r="CB22" s="1044">
        <v>62837725</v>
      </c>
      <c r="CC22" s="1044">
        <v>62837725</v>
      </c>
      <c r="CD22" s="1045">
        <v>43713200</v>
      </c>
      <c r="CE22" s="1006" t="s">
        <v>2460</v>
      </c>
      <c r="CF22" s="1006" t="s">
        <v>2462</v>
      </c>
      <c r="CG22" s="1006" t="s">
        <v>2463</v>
      </c>
      <c r="CH22" s="1006" t="s">
        <v>2698</v>
      </c>
    </row>
    <row r="23" spans="2:86" ht="171.95" customHeight="1" x14ac:dyDescent="0.25">
      <c r="B23" s="1202"/>
      <c r="C23" s="1030"/>
      <c r="D23" s="1024"/>
      <c r="E23" s="1024"/>
      <c r="F23" s="1024"/>
      <c r="G23" s="1024"/>
      <c r="H23" s="1024"/>
      <c r="I23" s="1024"/>
      <c r="J23" s="1025"/>
      <c r="K23" s="1039"/>
      <c r="L23" s="386" t="s">
        <v>1633</v>
      </c>
      <c r="M23" s="387" t="s">
        <v>1634</v>
      </c>
      <c r="N23" s="384">
        <v>0.7</v>
      </c>
      <c r="O23" s="388">
        <v>44378</v>
      </c>
      <c r="P23" s="388">
        <v>44560</v>
      </c>
      <c r="Q23" s="384">
        <v>0</v>
      </c>
      <c r="R23" s="384">
        <v>0</v>
      </c>
      <c r="S23" s="382">
        <v>0.5</v>
      </c>
      <c r="T23" s="384">
        <v>1</v>
      </c>
      <c r="U23" s="377">
        <v>0</v>
      </c>
      <c r="V23" s="390" t="s">
        <v>37</v>
      </c>
      <c r="W23" s="390" t="s">
        <v>37</v>
      </c>
      <c r="X23" s="379" t="str">
        <f t="shared" si="6"/>
        <v>Sin iniciar</v>
      </c>
      <c r="Y23" s="379" t="str">
        <f t="shared" si="7"/>
        <v>Sin iniciar</v>
      </c>
      <c r="Z23" s="1016"/>
      <c r="AA23" s="1026"/>
      <c r="AB23" s="1004"/>
      <c r="AC23" s="1027"/>
      <c r="AD23" s="1027"/>
      <c r="AE23" s="390"/>
      <c r="AF23" s="1014"/>
      <c r="AG23" s="1016"/>
      <c r="AH23" s="1016"/>
      <c r="AI23" s="1014"/>
      <c r="AJ23" s="1014"/>
      <c r="AK23" s="1042"/>
      <c r="AL23" s="1039"/>
      <c r="AM23" s="1039"/>
      <c r="AN23" s="1043"/>
      <c r="AO23" s="1006"/>
      <c r="AP23" s="1041"/>
      <c r="AQ23" s="1209">
        <v>0</v>
      </c>
      <c r="AR23" s="389" t="s">
        <v>2437</v>
      </c>
      <c r="AS23" s="389" t="s">
        <v>541</v>
      </c>
      <c r="AT23" s="379" t="str">
        <f t="shared" si="8"/>
        <v>Sin iniciar</v>
      </c>
      <c r="AU23" s="379" t="str">
        <f t="shared" si="9"/>
        <v>Sin iniciar</v>
      </c>
      <c r="AV23" s="1006"/>
      <c r="AW23" s="998"/>
      <c r="AX23" s="999"/>
      <c r="AY23" s="1027"/>
      <c r="AZ23" s="1027"/>
      <c r="BA23" s="390"/>
      <c r="BB23" s="1006"/>
      <c r="BC23" s="1033"/>
      <c r="BD23" s="1006"/>
      <c r="BE23" s="1033"/>
      <c r="BF23" s="1033"/>
      <c r="BG23" s="1033"/>
      <c r="BH23" s="1046"/>
      <c r="BI23" s="1033"/>
      <c r="BJ23" s="1046"/>
      <c r="BK23" s="1039"/>
      <c r="BL23" s="1039"/>
      <c r="BM23" s="506">
        <v>0.5</v>
      </c>
      <c r="BN23" s="389" t="s">
        <v>3827</v>
      </c>
      <c r="BO23" s="389" t="s">
        <v>3828</v>
      </c>
      <c r="BP23" s="379" t="str">
        <f t="shared" si="10"/>
        <v>En gestión</v>
      </c>
      <c r="BQ23" s="379" t="str">
        <f t="shared" si="11"/>
        <v>En gestión</v>
      </c>
      <c r="BR23" s="1006"/>
      <c r="BS23" s="996"/>
      <c r="BT23" s="997"/>
      <c r="BU23" s="1027"/>
      <c r="BV23" s="1027"/>
      <c r="BW23" s="1016"/>
      <c r="BX23" s="1006"/>
      <c r="BY23" s="1016"/>
      <c r="BZ23" s="1016"/>
      <c r="CA23" s="1016"/>
      <c r="CB23" s="1044"/>
      <c r="CC23" s="1044"/>
      <c r="CD23" s="1045"/>
      <c r="CE23" s="1006"/>
      <c r="CF23" s="1006"/>
      <c r="CG23" s="1006"/>
      <c r="CH23" s="1006"/>
    </row>
    <row r="24" spans="2:86" ht="171.95" customHeight="1" x14ac:dyDescent="0.25">
      <c r="B24" s="1185" t="s">
        <v>5273</v>
      </c>
      <c r="C24" s="1000" t="s">
        <v>1639</v>
      </c>
      <c r="D24" s="1001" t="s">
        <v>159</v>
      </c>
      <c r="E24" s="1001" t="s">
        <v>1640</v>
      </c>
      <c r="F24" s="1001" t="s">
        <v>373</v>
      </c>
      <c r="G24" s="1001" t="s">
        <v>585</v>
      </c>
      <c r="H24" s="1001" t="s">
        <v>222</v>
      </c>
      <c r="I24" s="1001" t="s">
        <v>47</v>
      </c>
      <c r="J24" s="1032" t="s">
        <v>1641</v>
      </c>
      <c r="K24" s="993" t="s">
        <v>1617</v>
      </c>
      <c r="L24" s="450" t="s">
        <v>1642</v>
      </c>
      <c r="M24" s="451" t="s">
        <v>1643</v>
      </c>
      <c r="N24" s="448">
        <v>0.25</v>
      </c>
      <c r="O24" s="452">
        <v>44242</v>
      </c>
      <c r="P24" s="452">
        <v>44560</v>
      </c>
      <c r="Q24" s="448">
        <v>0.25</v>
      </c>
      <c r="R24" s="448">
        <v>0.5</v>
      </c>
      <c r="S24" s="453">
        <v>0.75</v>
      </c>
      <c r="T24" s="448">
        <v>1</v>
      </c>
      <c r="U24" s="377">
        <v>0.25</v>
      </c>
      <c r="V24" s="454" t="s">
        <v>1644</v>
      </c>
      <c r="W24" s="454" t="s">
        <v>3829</v>
      </c>
      <c r="X24" s="455" t="str">
        <f t="shared" si="6"/>
        <v>En gestión</v>
      </c>
      <c r="Y24" s="455" t="str">
        <f t="shared" si="7"/>
        <v>En gestión</v>
      </c>
      <c r="Z24" s="990" t="s">
        <v>2363</v>
      </c>
      <c r="AA24" s="1026">
        <f>SUMPRODUCT(N24:N27,U24:U27)</f>
        <v>0.22750000000000001</v>
      </c>
      <c r="AB24" s="1004">
        <f>SUMPRODUCT(N24:N27,Q24:Q27)</f>
        <v>0.22899999999999998</v>
      </c>
      <c r="AC24" s="1037" t="str">
        <f>IF(AB24&lt;1%,"Sin iniciar",IF(AB24=100%,"Terminado","En gestión"))</f>
        <v>En gestión</v>
      </c>
      <c r="AD24" s="1037" t="str">
        <f>IF(AA24&lt;1%,"Sin iniciar",IF(AA24=100%,"Terminado","En gestión"))</f>
        <v>En gestión</v>
      </c>
      <c r="AE24" s="456"/>
      <c r="AF24" s="992">
        <v>113935415</v>
      </c>
      <c r="AG24" s="1050">
        <v>113935415</v>
      </c>
      <c r="AH24" s="1050">
        <v>28483854</v>
      </c>
      <c r="AI24" s="1019">
        <v>627594471.86000001</v>
      </c>
      <c r="AJ24" s="1050">
        <v>627594472</v>
      </c>
      <c r="AK24" s="1050">
        <v>156898618</v>
      </c>
      <c r="AL24" s="993" t="s">
        <v>2460</v>
      </c>
      <c r="AM24" s="993" t="s">
        <v>2461</v>
      </c>
      <c r="AN24" s="994" t="s">
        <v>2462</v>
      </c>
      <c r="AO24" s="990" t="s">
        <v>2463</v>
      </c>
      <c r="AP24" s="995">
        <v>627594471.86000001</v>
      </c>
      <c r="AQ24" s="1209">
        <v>0.5</v>
      </c>
      <c r="AR24" s="454" t="s">
        <v>1658</v>
      </c>
      <c r="AS24" s="454" t="s">
        <v>3830</v>
      </c>
      <c r="AT24" s="455" t="str">
        <f t="shared" si="8"/>
        <v>En gestión</v>
      </c>
      <c r="AU24" s="455" t="str">
        <f t="shared" si="9"/>
        <v>En gestión</v>
      </c>
      <c r="AV24" s="990" t="s">
        <v>1662</v>
      </c>
      <c r="AW24" s="1048">
        <f>SUMPRODUCT(N24:N27,AQ24:AQ27)</f>
        <v>0.5</v>
      </c>
      <c r="AX24" s="1049">
        <f>SUMPRODUCT(N24:N27,R24:R27)</f>
        <v>0.49959999999999999</v>
      </c>
      <c r="AY24" s="1037" t="str">
        <f>IF(AX24&lt;1%,"Sin iniciar",IF(AX24=100%,"Terminado","En gestión"))</f>
        <v>En gestión</v>
      </c>
      <c r="AZ24" s="1037" t="str">
        <f>IF(AW24&lt;1%,"Sin iniciar",IF(AW24=100%,"Terminado","En gestión"))</f>
        <v>En gestión</v>
      </c>
      <c r="BA24" s="456"/>
      <c r="BB24" s="990" t="s">
        <v>1663</v>
      </c>
      <c r="BC24" s="1047">
        <v>113935415</v>
      </c>
      <c r="BD24" s="1047">
        <v>113935415</v>
      </c>
      <c r="BE24" s="1047">
        <v>56967708</v>
      </c>
      <c r="BF24" s="1047">
        <v>627594471.86000001</v>
      </c>
      <c r="BG24" s="1047">
        <v>627594472</v>
      </c>
      <c r="BH24" s="1047">
        <v>313797236</v>
      </c>
      <c r="BI24" s="1054" t="s">
        <v>2460</v>
      </c>
      <c r="BJ24" s="1054" t="s">
        <v>2462</v>
      </c>
      <c r="BK24" s="1054" t="s">
        <v>2463</v>
      </c>
      <c r="BL24" s="1055" t="s">
        <v>2698</v>
      </c>
      <c r="BM24" s="506">
        <v>0.75</v>
      </c>
      <c r="BN24" s="454" t="s">
        <v>3831</v>
      </c>
      <c r="BO24" s="454" t="s">
        <v>3832</v>
      </c>
      <c r="BP24" s="455" t="str">
        <f t="shared" si="10"/>
        <v>En gestión</v>
      </c>
      <c r="BQ24" s="455" t="str">
        <f t="shared" si="11"/>
        <v>En gestión</v>
      </c>
      <c r="BR24" s="990" t="s">
        <v>3833</v>
      </c>
      <c r="BS24" s="1052">
        <f>SUMPRODUCT(N24:N27,BM24:BM27)</f>
        <v>0.75</v>
      </c>
      <c r="BT24" s="1053">
        <f>SUMPRODUCT(N24:N27,S24:S27)</f>
        <v>0.74929999999999997</v>
      </c>
      <c r="BU24" s="1037" t="str">
        <f>IF(BT24&lt;1%,"Sin iniciar",IF(BT24=100%,"Terminado","En gestión"))</f>
        <v>En gestión</v>
      </c>
      <c r="BV24" s="1037" t="str">
        <f>IF(BS24&lt;1%,"Sin iniciar",IF(BS24=100%,"Terminado","En gestión"))</f>
        <v>En gestión</v>
      </c>
      <c r="BW24" s="991" t="s">
        <v>28</v>
      </c>
      <c r="BX24" s="990" t="s">
        <v>556</v>
      </c>
      <c r="BY24" s="1051">
        <v>113935415</v>
      </c>
      <c r="BZ24" s="1051">
        <v>113935415</v>
      </c>
      <c r="CA24" s="1051">
        <v>85451561</v>
      </c>
      <c r="CB24" s="1051">
        <v>627594472</v>
      </c>
      <c r="CC24" s="1051">
        <v>627594472</v>
      </c>
      <c r="CD24" s="1051">
        <v>470695854</v>
      </c>
      <c r="CE24" s="990" t="s">
        <v>3834</v>
      </c>
      <c r="CF24" s="990" t="s">
        <v>3835</v>
      </c>
      <c r="CG24" s="990" t="s">
        <v>3836</v>
      </c>
      <c r="CH24" s="991" t="s">
        <v>2698</v>
      </c>
    </row>
    <row r="25" spans="2:86" ht="171.95" customHeight="1" x14ac:dyDescent="0.25">
      <c r="B25" s="1186"/>
      <c r="C25" s="1000"/>
      <c r="D25" s="1001"/>
      <c r="E25" s="1001"/>
      <c r="F25" s="1001"/>
      <c r="G25" s="1001"/>
      <c r="H25" s="1001"/>
      <c r="I25" s="1001"/>
      <c r="J25" s="1032"/>
      <c r="K25" s="993"/>
      <c r="L25" s="450" t="s">
        <v>1645</v>
      </c>
      <c r="M25" s="451" t="s">
        <v>1646</v>
      </c>
      <c r="N25" s="448">
        <v>0.25</v>
      </c>
      <c r="O25" s="452">
        <v>44255</v>
      </c>
      <c r="P25" s="452">
        <v>44560</v>
      </c>
      <c r="Q25" s="448">
        <v>8.3199999999999996E-2</v>
      </c>
      <c r="R25" s="448">
        <v>0.41599999999999998</v>
      </c>
      <c r="S25" s="453">
        <v>0.66520000000000001</v>
      </c>
      <c r="T25" s="448">
        <v>0.99839999999999995</v>
      </c>
      <c r="U25" s="377">
        <v>0.08</v>
      </c>
      <c r="V25" s="454" t="s">
        <v>1647</v>
      </c>
      <c r="W25" s="454" t="s">
        <v>3837</v>
      </c>
      <c r="X25" s="455" t="str">
        <f t="shared" si="6"/>
        <v>En gestión</v>
      </c>
      <c r="Y25" s="455" t="str">
        <f t="shared" si="7"/>
        <v>En gestión</v>
      </c>
      <c r="Z25" s="991"/>
      <c r="AA25" s="1026"/>
      <c r="AB25" s="1004"/>
      <c r="AC25" s="1037"/>
      <c r="AD25" s="1037"/>
      <c r="AE25" s="456"/>
      <c r="AF25" s="992"/>
      <c r="AG25" s="1050"/>
      <c r="AH25" s="1050"/>
      <c r="AI25" s="991"/>
      <c r="AJ25" s="1050"/>
      <c r="AK25" s="1050"/>
      <c r="AL25" s="993"/>
      <c r="AM25" s="993"/>
      <c r="AN25" s="994"/>
      <c r="AO25" s="990"/>
      <c r="AP25" s="995"/>
      <c r="AQ25" s="1209">
        <v>0.42</v>
      </c>
      <c r="AR25" s="454" t="s">
        <v>1659</v>
      </c>
      <c r="AS25" s="454" t="s">
        <v>3838</v>
      </c>
      <c r="AT25" s="455" t="str">
        <f t="shared" si="8"/>
        <v>En gestión</v>
      </c>
      <c r="AU25" s="455" t="str">
        <f t="shared" si="9"/>
        <v>En gestión</v>
      </c>
      <c r="AV25" s="990"/>
      <c r="AW25" s="1048"/>
      <c r="AX25" s="1049"/>
      <c r="AY25" s="1037"/>
      <c r="AZ25" s="1037"/>
      <c r="BA25" s="456"/>
      <c r="BB25" s="990"/>
      <c r="BC25" s="1047"/>
      <c r="BD25" s="1047"/>
      <c r="BE25" s="1047"/>
      <c r="BF25" s="1047"/>
      <c r="BG25" s="1047"/>
      <c r="BH25" s="1047"/>
      <c r="BI25" s="1054"/>
      <c r="BJ25" s="1054"/>
      <c r="BK25" s="1054"/>
      <c r="BL25" s="1055"/>
      <c r="BM25" s="506">
        <v>0.67</v>
      </c>
      <c r="BN25" s="454" t="s">
        <v>3839</v>
      </c>
      <c r="BO25" s="454" t="s">
        <v>3840</v>
      </c>
      <c r="BP25" s="455" t="str">
        <f t="shared" si="10"/>
        <v>En gestión</v>
      </c>
      <c r="BQ25" s="455" t="str">
        <f t="shared" si="11"/>
        <v>En gestión</v>
      </c>
      <c r="BR25" s="990"/>
      <c r="BS25" s="1052"/>
      <c r="BT25" s="1053"/>
      <c r="BU25" s="1037"/>
      <c r="BV25" s="1037"/>
      <c r="BW25" s="991"/>
      <c r="BX25" s="990"/>
      <c r="BY25" s="1051"/>
      <c r="BZ25" s="1051"/>
      <c r="CA25" s="1051"/>
      <c r="CB25" s="1051"/>
      <c r="CC25" s="1051"/>
      <c r="CD25" s="1051"/>
      <c r="CE25" s="990"/>
      <c r="CF25" s="990"/>
      <c r="CG25" s="990"/>
      <c r="CH25" s="991"/>
    </row>
    <row r="26" spans="2:86" ht="171.95" customHeight="1" x14ac:dyDescent="0.25">
      <c r="B26" s="1186"/>
      <c r="C26" s="1000"/>
      <c r="D26" s="1001"/>
      <c r="E26" s="1001"/>
      <c r="F26" s="1001"/>
      <c r="G26" s="1001"/>
      <c r="H26" s="1001"/>
      <c r="I26" s="1001"/>
      <c r="J26" s="1032"/>
      <c r="K26" s="993"/>
      <c r="L26" s="450" t="s">
        <v>1648</v>
      </c>
      <c r="M26" s="451" t="s">
        <v>1649</v>
      </c>
      <c r="N26" s="448">
        <v>0.25</v>
      </c>
      <c r="O26" s="452">
        <v>44224</v>
      </c>
      <c r="P26" s="452">
        <v>44560</v>
      </c>
      <c r="Q26" s="448">
        <v>0.33279999999999998</v>
      </c>
      <c r="R26" s="448">
        <v>0.58240000000000003</v>
      </c>
      <c r="S26" s="453">
        <v>0.83199999999999996</v>
      </c>
      <c r="T26" s="448">
        <v>1</v>
      </c>
      <c r="U26" s="377">
        <v>0.33</v>
      </c>
      <c r="V26" s="454" t="s">
        <v>2364</v>
      </c>
      <c r="W26" s="454" t="s">
        <v>3841</v>
      </c>
      <c r="X26" s="455" t="str">
        <f t="shared" si="6"/>
        <v>En gestión</v>
      </c>
      <c r="Y26" s="455" t="str">
        <f t="shared" si="7"/>
        <v>En gestión</v>
      </c>
      <c r="Z26" s="991"/>
      <c r="AA26" s="1026"/>
      <c r="AB26" s="1004"/>
      <c r="AC26" s="1037"/>
      <c r="AD26" s="1037"/>
      <c r="AE26" s="456"/>
      <c r="AF26" s="992"/>
      <c r="AG26" s="1050"/>
      <c r="AH26" s="1050"/>
      <c r="AI26" s="991"/>
      <c r="AJ26" s="1050"/>
      <c r="AK26" s="1050"/>
      <c r="AL26" s="993"/>
      <c r="AM26" s="993"/>
      <c r="AN26" s="994"/>
      <c r="AO26" s="990"/>
      <c r="AP26" s="995"/>
      <c r="AQ26" s="1209">
        <v>0.57999999999999996</v>
      </c>
      <c r="AR26" s="454" t="s">
        <v>1660</v>
      </c>
      <c r="AS26" s="454" t="s">
        <v>3842</v>
      </c>
      <c r="AT26" s="455" t="str">
        <f t="shared" si="8"/>
        <v>En gestión</v>
      </c>
      <c r="AU26" s="455" t="str">
        <f t="shared" si="9"/>
        <v>En gestión</v>
      </c>
      <c r="AV26" s="990"/>
      <c r="AW26" s="1048"/>
      <c r="AX26" s="1049"/>
      <c r="AY26" s="1037"/>
      <c r="AZ26" s="1037"/>
      <c r="BA26" s="456"/>
      <c r="BB26" s="990"/>
      <c r="BC26" s="1047"/>
      <c r="BD26" s="1047"/>
      <c r="BE26" s="1047"/>
      <c r="BF26" s="1047"/>
      <c r="BG26" s="1047"/>
      <c r="BH26" s="1047"/>
      <c r="BI26" s="1054"/>
      <c r="BJ26" s="1054"/>
      <c r="BK26" s="1054"/>
      <c r="BL26" s="1055"/>
      <c r="BM26" s="506">
        <v>0.83</v>
      </c>
      <c r="BN26" s="454" t="s">
        <v>3843</v>
      </c>
      <c r="BO26" s="454" t="s">
        <v>3844</v>
      </c>
      <c r="BP26" s="455" t="str">
        <f t="shared" si="10"/>
        <v>En gestión</v>
      </c>
      <c r="BQ26" s="455" t="str">
        <f t="shared" si="11"/>
        <v>En gestión</v>
      </c>
      <c r="BR26" s="990"/>
      <c r="BS26" s="1052"/>
      <c r="BT26" s="1053"/>
      <c r="BU26" s="1037"/>
      <c r="BV26" s="1037"/>
      <c r="BW26" s="991"/>
      <c r="BX26" s="990"/>
      <c r="BY26" s="1051"/>
      <c r="BZ26" s="1051"/>
      <c r="CA26" s="1051"/>
      <c r="CB26" s="1051"/>
      <c r="CC26" s="1051"/>
      <c r="CD26" s="1051"/>
      <c r="CE26" s="990"/>
      <c r="CF26" s="990"/>
      <c r="CG26" s="990"/>
      <c r="CH26" s="991"/>
    </row>
    <row r="27" spans="2:86" ht="171.95" customHeight="1" x14ac:dyDescent="0.25">
      <c r="B27" s="1186"/>
      <c r="C27" s="1000"/>
      <c r="D27" s="1001"/>
      <c r="E27" s="1001"/>
      <c r="F27" s="1001"/>
      <c r="G27" s="1001"/>
      <c r="H27" s="1001"/>
      <c r="I27" s="1001"/>
      <c r="J27" s="1032"/>
      <c r="K27" s="993"/>
      <c r="L27" s="450" t="s">
        <v>1650</v>
      </c>
      <c r="M27" s="451" t="s">
        <v>1651</v>
      </c>
      <c r="N27" s="448">
        <v>0.25</v>
      </c>
      <c r="O27" s="452">
        <v>44225</v>
      </c>
      <c r="P27" s="452">
        <v>44560</v>
      </c>
      <c r="Q27" s="448">
        <v>0.25</v>
      </c>
      <c r="R27" s="448">
        <v>0.5</v>
      </c>
      <c r="S27" s="453">
        <v>0.75</v>
      </c>
      <c r="T27" s="448">
        <v>1</v>
      </c>
      <c r="U27" s="377">
        <v>0.25</v>
      </c>
      <c r="V27" s="454" t="s">
        <v>1652</v>
      </c>
      <c r="W27" s="454" t="s">
        <v>3845</v>
      </c>
      <c r="X27" s="455" t="str">
        <f t="shared" si="6"/>
        <v>En gestión</v>
      </c>
      <c r="Y27" s="455" t="str">
        <f t="shared" si="7"/>
        <v>En gestión</v>
      </c>
      <c r="Z27" s="991"/>
      <c r="AA27" s="1026"/>
      <c r="AB27" s="1004"/>
      <c r="AC27" s="1037"/>
      <c r="AD27" s="1037"/>
      <c r="AE27" s="456"/>
      <c r="AF27" s="992"/>
      <c r="AG27" s="1050"/>
      <c r="AH27" s="1050"/>
      <c r="AI27" s="991"/>
      <c r="AJ27" s="1050"/>
      <c r="AK27" s="1050"/>
      <c r="AL27" s="993"/>
      <c r="AM27" s="993"/>
      <c r="AN27" s="994"/>
      <c r="AO27" s="990"/>
      <c r="AP27" s="995"/>
      <c r="AQ27" s="1209">
        <v>0.5</v>
      </c>
      <c r="AR27" s="454" t="s">
        <v>1661</v>
      </c>
      <c r="AS27" s="454" t="s">
        <v>3846</v>
      </c>
      <c r="AT27" s="455" t="str">
        <f t="shared" si="8"/>
        <v>En gestión</v>
      </c>
      <c r="AU27" s="455" t="str">
        <f t="shared" si="9"/>
        <v>En gestión</v>
      </c>
      <c r="AV27" s="990"/>
      <c r="AW27" s="1048"/>
      <c r="AX27" s="1049"/>
      <c r="AY27" s="1037"/>
      <c r="AZ27" s="1037"/>
      <c r="BA27" s="456"/>
      <c r="BB27" s="990"/>
      <c r="BC27" s="1047"/>
      <c r="BD27" s="1047"/>
      <c r="BE27" s="1047"/>
      <c r="BF27" s="1047"/>
      <c r="BG27" s="1047"/>
      <c r="BH27" s="1047"/>
      <c r="BI27" s="1054"/>
      <c r="BJ27" s="1054"/>
      <c r="BK27" s="1054"/>
      <c r="BL27" s="1055"/>
      <c r="BM27" s="506">
        <v>0.75</v>
      </c>
      <c r="BN27" s="454" t="s">
        <v>3847</v>
      </c>
      <c r="BO27" s="454" t="s">
        <v>3848</v>
      </c>
      <c r="BP27" s="455" t="str">
        <f t="shared" si="10"/>
        <v>En gestión</v>
      </c>
      <c r="BQ27" s="455" t="str">
        <f t="shared" si="11"/>
        <v>En gestión</v>
      </c>
      <c r="BR27" s="990"/>
      <c r="BS27" s="1052"/>
      <c r="BT27" s="1053"/>
      <c r="BU27" s="1037"/>
      <c r="BV27" s="1037"/>
      <c r="BW27" s="991"/>
      <c r="BX27" s="990"/>
      <c r="BY27" s="1051"/>
      <c r="BZ27" s="1051"/>
      <c r="CA27" s="1051"/>
      <c r="CB27" s="1051"/>
      <c r="CC27" s="1051"/>
      <c r="CD27" s="1051"/>
      <c r="CE27" s="990"/>
      <c r="CF27" s="990"/>
      <c r="CG27" s="990"/>
      <c r="CH27" s="991"/>
    </row>
    <row r="28" spans="2:86" ht="171.95" customHeight="1" x14ac:dyDescent="0.25">
      <c r="B28" s="1187"/>
      <c r="C28" s="386" t="s">
        <v>1653</v>
      </c>
      <c r="D28" s="384" t="s">
        <v>159</v>
      </c>
      <c r="E28" s="384" t="s">
        <v>545</v>
      </c>
      <c r="F28" s="384" t="s">
        <v>373</v>
      </c>
      <c r="G28" s="384" t="s">
        <v>28</v>
      </c>
      <c r="H28" s="384" t="s">
        <v>1654</v>
      </c>
      <c r="I28" s="384" t="s">
        <v>47</v>
      </c>
      <c r="J28" s="401" t="s">
        <v>1655</v>
      </c>
      <c r="K28" s="385" t="s">
        <v>1617</v>
      </c>
      <c r="L28" s="386" t="s">
        <v>1656</v>
      </c>
      <c r="M28" s="387" t="s">
        <v>1657</v>
      </c>
      <c r="N28" s="384">
        <v>1</v>
      </c>
      <c r="O28" s="388">
        <v>44242</v>
      </c>
      <c r="P28" s="388">
        <v>44560</v>
      </c>
      <c r="Q28" s="384">
        <v>0.18179999999999999</v>
      </c>
      <c r="R28" s="384">
        <v>0.45450000000000002</v>
      </c>
      <c r="S28" s="382">
        <v>0.72719999999999996</v>
      </c>
      <c r="T28" s="384">
        <v>1</v>
      </c>
      <c r="U28" s="377">
        <v>0.18</v>
      </c>
      <c r="V28" s="389" t="s">
        <v>2365</v>
      </c>
      <c r="W28" s="389" t="s">
        <v>3849</v>
      </c>
      <c r="X28" s="379" t="str">
        <f t="shared" si="6"/>
        <v>En gestión</v>
      </c>
      <c r="Y28" s="379" t="str">
        <f t="shared" si="7"/>
        <v>En gestión</v>
      </c>
      <c r="Z28" s="389" t="s">
        <v>2366</v>
      </c>
      <c r="AA28" s="377">
        <f>N28*U28</f>
        <v>0.18</v>
      </c>
      <c r="AB28" s="502">
        <f>N28*Q28</f>
        <v>0.18179999999999999</v>
      </c>
      <c r="AC28" s="379" t="str">
        <f>IF(AB28&lt;1%,"Sin iniciar",IF(AB28=100%,"Terminado","En gestión"))</f>
        <v>En gestión</v>
      </c>
      <c r="AD28" s="379" t="str">
        <f>IF(AA28&lt;1%,"Sin iniciar",IF(AA28=100%,"Terminado","En gestión"))</f>
        <v>En gestión</v>
      </c>
      <c r="AE28" s="390"/>
      <c r="AF28" s="391">
        <v>79266482</v>
      </c>
      <c r="AG28" s="405">
        <v>79266482</v>
      </c>
      <c r="AH28" s="405">
        <v>19816621</v>
      </c>
      <c r="AI28" s="391">
        <v>0</v>
      </c>
      <c r="AJ28" s="390"/>
      <c r="AK28" s="390"/>
      <c r="AL28" s="390" t="s">
        <v>1043</v>
      </c>
      <c r="AM28" s="390" t="s">
        <v>1043</v>
      </c>
      <c r="AN28" s="390" t="s">
        <v>1043</v>
      </c>
      <c r="AO28" s="390" t="s">
        <v>1043</v>
      </c>
      <c r="AP28" s="391" t="s">
        <v>37</v>
      </c>
      <c r="AQ28" s="1209">
        <v>0.45</v>
      </c>
      <c r="AR28" s="389" t="s">
        <v>2367</v>
      </c>
      <c r="AS28" s="389" t="s">
        <v>3850</v>
      </c>
      <c r="AT28" s="379" t="str">
        <f t="shared" si="8"/>
        <v>En gestión</v>
      </c>
      <c r="AU28" s="379" t="str">
        <f t="shared" si="9"/>
        <v>En gestión</v>
      </c>
      <c r="AV28" s="389" t="s">
        <v>2367</v>
      </c>
      <c r="AW28" s="447">
        <f>SUMPRODUCT(N28,AQ28)</f>
        <v>0.45</v>
      </c>
      <c r="AX28" s="503">
        <f>SUMPRODUCT(N28,R28)</f>
        <v>0.45450000000000002</v>
      </c>
      <c r="AY28" s="379" t="str">
        <f>IF(AX28&lt;1%,"Sin iniciar",IF(AX28=100%,"Terminado","En gestión"))</f>
        <v>En gestión</v>
      </c>
      <c r="AZ28" s="379" t="str">
        <f>IF(AW28&lt;1%,"Sin iniciar",IF(AW28=100%,"Terminado","En gestión"))</f>
        <v>En gestión</v>
      </c>
      <c r="BA28" s="390"/>
      <c r="BB28" s="389" t="s">
        <v>1663</v>
      </c>
      <c r="BC28" s="393">
        <v>79266482</v>
      </c>
      <c r="BD28" s="393">
        <v>79266482</v>
      </c>
      <c r="BE28" s="393">
        <v>39633241</v>
      </c>
      <c r="BF28" s="393">
        <v>0</v>
      </c>
      <c r="BG28" s="393">
        <v>0</v>
      </c>
      <c r="BH28" s="393">
        <v>0</v>
      </c>
      <c r="BI28" s="393"/>
      <c r="BJ28" s="393"/>
      <c r="BK28" s="393"/>
      <c r="BL28" s="393"/>
      <c r="BM28" s="506">
        <v>0.73</v>
      </c>
      <c r="BN28" s="389" t="s">
        <v>3851</v>
      </c>
      <c r="BO28" s="389" t="s">
        <v>3852</v>
      </c>
      <c r="BP28" s="379" t="str">
        <f t="shared" si="10"/>
        <v>En gestión</v>
      </c>
      <c r="BQ28" s="379" t="str">
        <f t="shared" si="11"/>
        <v>En gestión</v>
      </c>
      <c r="BR28" s="389" t="s">
        <v>3853</v>
      </c>
      <c r="BS28" s="511">
        <f>(N28*BM28)</f>
        <v>0.73</v>
      </c>
      <c r="BT28" s="513">
        <f>(N28*S28)</f>
        <v>0.72719999999999996</v>
      </c>
      <c r="BU28" s="379" t="str">
        <f>IF(BT28&lt;1%,"Sin iniciar",IF(BT28=100%,"Terminado","En gestión"))</f>
        <v>En gestión</v>
      </c>
      <c r="BV28" s="379" t="str">
        <f>IF(BS28&lt;1%,"Sin iniciar",IF(BS28=100%,"Terminado","En gestión"))</f>
        <v>En gestión</v>
      </c>
      <c r="BW28" s="390" t="s">
        <v>28</v>
      </c>
      <c r="BX28" s="389" t="s">
        <v>556</v>
      </c>
      <c r="BY28" s="406">
        <v>79266482</v>
      </c>
      <c r="BZ28" s="406">
        <v>79266482</v>
      </c>
      <c r="CA28" s="406">
        <v>57864531</v>
      </c>
      <c r="CB28" s="390"/>
      <c r="CC28" s="390"/>
      <c r="CD28" s="390"/>
      <c r="CE28" s="390"/>
      <c r="CF28" s="390"/>
      <c r="CG28" s="390"/>
      <c r="CH28" s="390"/>
    </row>
    <row r="29" spans="2:86" ht="171.95" customHeight="1" x14ac:dyDescent="0.25">
      <c r="B29" s="1030" t="s">
        <v>5274</v>
      </c>
      <c r="C29" s="1000" t="s">
        <v>1664</v>
      </c>
      <c r="D29" s="448" t="s">
        <v>45</v>
      </c>
      <c r="E29" s="1001" t="s">
        <v>2368</v>
      </c>
      <c r="F29" s="448" t="s">
        <v>584</v>
      </c>
      <c r="G29" s="448" t="s">
        <v>235</v>
      </c>
      <c r="H29" s="448" t="s">
        <v>546</v>
      </c>
      <c r="I29" s="448" t="s">
        <v>47</v>
      </c>
      <c r="J29" s="1032" t="s">
        <v>1665</v>
      </c>
      <c r="K29" s="449" t="s">
        <v>1666</v>
      </c>
      <c r="L29" s="450" t="s">
        <v>1667</v>
      </c>
      <c r="M29" s="451" t="s">
        <v>1668</v>
      </c>
      <c r="N29" s="448">
        <v>0.1</v>
      </c>
      <c r="O29" s="452">
        <v>44228</v>
      </c>
      <c r="P29" s="452">
        <v>44285</v>
      </c>
      <c r="Q29" s="448">
        <v>1</v>
      </c>
      <c r="R29" s="448">
        <v>1</v>
      </c>
      <c r="S29" s="453">
        <v>1</v>
      </c>
      <c r="T29" s="448">
        <v>1</v>
      </c>
      <c r="U29" s="377">
        <v>1</v>
      </c>
      <c r="V29" s="463" t="s">
        <v>2427</v>
      </c>
      <c r="W29" s="463" t="s">
        <v>3854</v>
      </c>
      <c r="X29" s="455" t="str">
        <f t="shared" si="6"/>
        <v>Terminado</v>
      </c>
      <c r="Y29" s="455" t="str">
        <f t="shared" si="7"/>
        <v>Terminado</v>
      </c>
      <c r="Z29" s="990" t="s">
        <v>1673</v>
      </c>
      <c r="AA29" s="1026">
        <f>SUMPRODUCT(N29:N31,U29:U31)</f>
        <v>0.1</v>
      </c>
      <c r="AB29" s="1004">
        <f>SUMPRODUCT(N29:N31,Q29:Q31)</f>
        <v>0.1</v>
      </c>
      <c r="AC29" s="1037" t="str">
        <f>IF(AB29&lt;1%,"Sin iniciar",IF(AB29=100%,"Terminado","En gestión"))</f>
        <v>En gestión</v>
      </c>
      <c r="AD29" s="1037" t="str">
        <f>IF(AA29&lt;1%,"Sin iniciar",IF(AA29=100%,"Terminado","En gestión"))</f>
        <v>En gestión</v>
      </c>
      <c r="AE29" s="456"/>
      <c r="AF29" s="992">
        <v>0</v>
      </c>
      <c r="AG29" s="992">
        <v>30364016</v>
      </c>
      <c r="AH29" s="992">
        <v>7591004</v>
      </c>
      <c r="AI29" s="992">
        <v>35505387.5</v>
      </c>
      <c r="AJ29" s="992">
        <v>7704400</v>
      </c>
      <c r="AK29" s="992">
        <v>1400800</v>
      </c>
      <c r="AL29" s="990" t="s">
        <v>2460</v>
      </c>
      <c r="AM29" s="991" t="s">
        <v>2461</v>
      </c>
      <c r="AN29" s="990" t="s">
        <v>2462</v>
      </c>
      <c r="AO29" s="991" t="s">
        <v>2466</v>
      </c>
      <c r="AP29" s="1036">
        <f>+AJ29</f>
        <v>7704400</v>
      </c>
      <c r="AQ29" s="1209">
        <v>1</v>
      </c>
      <c r="AR29" s="454" t="s">
        <v>2434</v>
      </c>
      <c r="AS29" s="464" t="s">
        <v>3822</v>
      </c>
      <c r="AT29" s="455" t="str">
        <f t="shared" si="8"/>
        <v>Terminado</v>
      </c>
      <c r="AU29" s="455" t="str">
        <f t="shared" si="9"/>
        <v>Terminado</v>
      </c>
      <c r="AV29" s="990" t="s">
        <v>1674</v>
      </c>
      <c r="AW29" s="998">
        <f>SUMPRODUCT(N29:N31,AQ29:AQ31)</f>
        <v>0.31200000000000006</v>
      </c>
      <c r="AX29" s="999">
        <f>SUMPRODUCT(N29:N31,R29:R31)</f>
        <v>0.31200000000000006</v>
      </c>
      <c r="AY29" s="1037" t="str">
        <f>IF(AX29&lt;1%,"Sin iniciar",IF(AX29=100%,"Terminado","En gestión"))</f>
        <v>En gestión</v>
      </c>
      <c r="AZ29" s="1037" t="str">
        <f>IF(AW29&lt;1%,"Sin iniciar",IF(AW29=100%,"Terminado","En gestión"))</f>
        <v>En gestión</v>
      </c>
      <c r="BA29" s="456"/>
      <c r="BB29" s="990"/>
      <c r="BC29" s="1035">
        <v>0</v>
      </c>
      <c r="BD29" s="1035">
        <v>30364016</v>
      </c>
      <c r="BE29" s="1035">
        <v>15182012</v>
      </c>
      <c r="BF29" s="1035">
        <v>35505387.5</v>
      </c>
      <c r="BG29" s="1035">
        <v>7704400</v>
      </c>
      <c r="BH29" s="1035">
        <v>3502000</v>
      </c>
      <c r="BI29" s="990" t="s">
        <v>2460</v>
      </c>
      <c r="BJ29" s="990" t="s">
        <v>2462</v>
      </c>
      <c r="BK29" s="1013" t="s">
        <v>2463</v>
      </c>
      <c r="BL29" s="990" t="s">
        <v>2698</v>
      </c>
      <c r="BM29" s="506">
        <v>1</v>
      </c>
      <c r="BN29" s="454" t="s">
        <v>541</v>
      </c>
      <c r="BO29" s="454" t="s">
        <v>541</v>
      </c>
      <c r="BP29" s="455" t="str">
        <f t="shared" si="10"/>
        <v>Terminado</v>
      </c>
      <c r="BQ29" s="455" t="str">
        <f t="shared" si="11"/>
        <v>Terminado</v>
      </c>
      <c r="BR29" s="990" t="s">
        <v>3855</v>
      </c>
      <c r="BS29" s="996">
        <f>SUMPRODUCT(N29:N31,BM29:BM31)</f>
        <v>0.65599999999999992</v>
      </c>
      <c r="BT29" s="997">
        <f>SUMPRODUCT(N29:N31,S29:S31)</f>
        <v>0.65599999999999992</v>
      </c>
      <c r="BU29" s="1037" t="str">
        <f>IF(BT29&lt;1%,"Sin iniciar",IF(BT29=100%,"Terminado","En gestión"))</f>
        <v>En gestión</v>
      </c>
      <c r="BV29" s="1037" t="str">
        <f>IF(BS29&lt;1%,"Sin iniciar",IF(BS29=100%,"Terminado","En gestión"))</f>
        <v>En gestión</v>
      </c>
      <c r="BW29" s="991" t="s">
        <v>28</v>
      </c>
      <c r="BX29" s="990" t="s">
        <v>3856</v>
      </c>
      <c r="BY29" s="991"/>
      <c r="BZ29" s="1051">
        <v>30364016</v>
      </c>
      <c r="CA29" s="1051">
        <v>22773012</v>
      </c>
      <c r="CB29" s="1051">
        <v>35505388</v>
      </c>
      <c r="CC29" s="1051">
        <v>7704400</v>
      </c>
      <c r="CD29" s="1051">
        <v>5603200</v>
      </c>
      <c r="CE29" s="990" t="s">
        <v>2460</v>
      </c>
      <c r="CF29" s="990" t="s">
        <v>2462</v>
      </c>
      <c r="CG29" s="990" t="s">
        <v>2463</v>
      </c>
      <c r="CH29" s="990" t="s">
        <v>2698</v>
      </c>
    </row>
    <row r="30" spans="2:86" ht="171.95" customHeight="1" x14ac:dyDescent="0.25">
      <c r="B30" s="1030"/>
      <c r="C30" s="1000"/>
      <c r="D30" s="448" t="s">
        <v>45</v>
      </c>
      <c r="E30" s="1001"/>
      <c r="F30" s="448" t="s">
        <v>584</v>
      </c>
      <c r="G30" s="448" t="s">
        <v>235</v>
      </c>
      <c r="H30" s="448" t="s">
        <v>546</v>
      </c>
      <c r="I30" s="448" t="s">
        <v>47</v>
      </c>
      <c r="J30" s="1032"/>
      <c r="K30" s="449" t="s">
        <v>1666</v>
      </c>
      <c r="L30" s="450" t="s">
        <v>1669</v>
      </c>
      <c r="M30" s="451" t="s">
        <v>1670</v>
      </c>
      <c r="N30" s="448">
        <v>0.1</v>
      </c>
      <c r="O30" s="452">
        <v>44287</v>
      </c>
      <c r="P30" s="452">
        <v>44346</v>
      </c>
      <c r="Q30" s="448">
        <v>0</v>
      </c>
      <c r="R30" s="448">
        <v>1</v>
      </c>
      <c r="S30" s="453">
        <v>1</v>
      </c>
      <c r="T30" s="448">
        <v>1</v>
      </c>
      <c r="U30" s="377">
        <v>0</v>
      </c>
      <c r="V30" s="465" t="s">
        <v>2355</v>
      </c>
      <c r="W30" s="465"/>
      <c r="X30" s="455" t="str">
        <f t="shared" si="6"/>
        <v>Sin iniciar</v>
      </c>
      <c r="Y30" s="455" t="str">
        <f t="shared" si="7"/>
        <v>Sin iniciar</v>
      </c>
      <c r="Z30" s="990"/>
      <c r="AA30" s="1026"/>
      <c r="AB30" s="1004"/>
      <c r="AC30" s="1037"/>
      <c r="AD30" s="1037"/>
      <c r="AE30" s="456"/>
      <c r="AF30" s="992"/>
      <c r="AG30" s="992"/>
      <c r="AH30" s="992"/>
      <c r="AI30" s="992"/>
      <c r="AJ30" s="992"/>
      <c r="AK30" s="992"/>
      <c r="AL30" s="990"/>
      <c r="AM30" s="991"/>
      <c r="AN30" s="990"/>
      <c r="AO30" s="991"/>
      <c r="AP30" s="991"/>
      <c r="AQ30" s="1209">
        <v>1</v>
      </c>
      <c r="AR30" s="454" t="s">
        <v>2441</v>
      </c>
      <c r="AS30" s="454" t="s">
        <v>3857</v>
      </c>
      <c r="AT30" s="455" t="str">
        <f t="shared" si="8"/>
        <v>Terminado</v>
      </c>
      <c r="AU30" s="455" t="str">
        <f t="shared" si="9"/>
        <v>Terminado</v>
      </c>
      <c r="AV30" s="990"/>
      <c r="AW30" s="998"/>
      <c r="AX30" s="999"/>
      <c r="AY30" s="1037"/>
      <c r="AZ30" s="1037"/>
      <c r="BA30" s="456"/>
      <c r="BB30" s="990"/>
      <c r="BC30" s="1035"/>
      <c r="BD30" s="1035"/>
      <c r="BE30" s="1035"/>
      <c r="BF30" s="1035"/>
      <c r="BG30" s="1035"/>
      <c r="BH30" s="1035"/>
      <c r="BI30" s="990"/>
      <c r="BJ30" s="990"/>
      <c r="BK30" s="990"/>
      <c r="BL30" s="990"/>
      <c r="BM30" s="506">
        <v>1</v>
      </c>
      <c r="BN30" s="454" t="s">
        <v>541</v>
      </c>
      <c r="BO30" s="454" t="s">
        <v>541</v>
      </c>
      <c r="BP30" s="455" t="str">
        <f t="shared" si="10"/>
        <v>Terminado</v>
      </c>
      <c r="BQ30" s="455" t="str">
        <f t="shared" si="11"/>
        <v>Terminado</v>
      </c>
      <c r="BR30" s="990"/>
      <c r="BS30" s="996"/>
      <c r="BT30" s="997"/>
      <c r="BU30" s="1037"/>
      <c r="BV30" s="1037"/>
      <c r="BW30" s="991"/>
      <c r="BX30" s="990"/>
      <c r="BY30" s="991"/>
      <c r="BZ30" s="1051"/>
      <c r="CA30" s="1051"/>
      <c r="CB30" s="1051"/>
      <c r="CC30" s="1051"/>
      <c r="CD30" s="1051"/>
      <c r="CE30" s="990"/>
      <c r="CF30" s="990"/>
      <c r="CG30" s="990"/>
      <c r="CH30" s="990"/>
    </row>
    <row r="31" spans="2:86" ht="171.95" customHeight="1" x14ac:dyDescent="0.25">
      <c r="B31" s="1030"/>
      <c r="C31" s="1000"/>
      <c r="D31" s="448" t="s">
        <v>45</v>
      </c>
      <c r="E31" s="1001"/>
      <c r="F31" s="448" t="s">
        <v>584</v>
      </c>
      <c r="G31" s="448" t="s">
        <v>235</v>
      </c>
      <c r="H31" s="448" t="s">
        <v>546</v>
      </c>
      <c r="I31" s="448" t="s">
        <v>47</v>
      </c>
      <c r="J31" s="1032"/>
      <c r="K31" s="449" t="s">
        <v>1666</v>
      </c>
      <c r="L31" s="450" t="s">
        <v>1671</v>
      </c>
      <c r="M31" s="451" t="s">
        <v>1672</v>
      </c>
      <c r="N31" s="448">
        <v>0.8</v>
      </c>
      <c r="O31" s="452">
        <v>44348</v>
      </c>
      <c r="P31" s="452">
        <v>44561</v>
      </c>
      <c r="Q31" s="448">
        <v>0</v>
      </c>
      <c r="R31" s="448">
        <v>0.14000000000000001</v>
      </c>
      <c r="S31" s="453">
        <v>0.56999999999999995</v>
      </c>
      <c r="T31" s="448">
        <v>1</v>
      </c>
      <c r="U31" s="377">
        <v>0</v>
      </c>
      <c r="V31" s="465" t="s">
        <v>2355</v>
      </c>
      <c r="W31" s="465"/>
      <c r="X31" s="455" t="str">
        <f t="shared" si="6"/>
        <v>Sin iniciar</v>
      </c>
      <c r="Y31" s="455" t="str">
        <f t="shared" si="7"/>
        <v>Sin iniciar</v>
      </c>
      <c r="Z31" s="990"/>
      <c r="AA31" s="1026"/>
      <c r="AB31" s="1004"/>
      <c r="AC31" s="1037"/>
      <c r="AD31" s="1037"/>
      <c r="AE31" s="456"/>
      <c r="AF31" s="992"/>
      <c r="AG31" s="992"/>
      <c r="AH31" s="992"/>
      <c r="AI31" s="992"/>
      <c r="AJ31" s="992"/>
      <c r="AK31" s="992"/>
      <c r="AL31" s="990"/>
      <c r="AM31" s="991"/>
      <c r="AN31" s="990"/>
      <c r="AO31" s="991"/>
      <c r="AP31" s="991"/>
      <c r="AQ31" s="1209">
        <v>0.14000000000000001</v>
      </c>
      <c r="AR31" s="454" t="s">
        <v>2369</v>
      </c>
      <c r="AS31" s="454" t="s">
        <v>3858</v>
      </c>
      <c r="AT31" s="455" t="str">
        <f t="shared" si="8"/>
        <v>En gestión</v>
      </c>
      <c r="AU31" s="455" t="str">
        <f t="shared" si="9"/>
        <v>En gestión</v>
      </c>
      <c r="AV31" s="990"/>
      <c r="AW31" s="998"/>
      <c r="AX31" s="999"/>
      <c r="AY31" s="1037"/>
      <c r="AZ31" s="1037"/>
      <c r="BA31" s="456"/>
      <c r="BB31" s="990"/>
      <c r="BC31" s="1035"/>
      <c r="BD31" s="1035"/>
      <c r="BE31" s="1035"/>
      <c r="BF31" s="1035"/>
      <c r="BG31" s="1035"/>
      <c r="BH31" s="1035"/>
      <c r="BI31" s="990"/>
      <c r="BJ31" s="990"/>
      <c r="BK31" s="990"/>
      <c r="BL31" s="990"/>
      <c r="BM31" s="506">
        <v>0.56999999999999995</v>
      </c>
      <c r="BN31" s="454" t="s">
        <v>3859</v>
      </c>
      <c r="BO31" s="454" t="s">
        <v>3860</v>
      </c>
      <c r="BP31" s="455" t="str">
        <f t="shared" si="10"/>
        <v>En gestión</v>
      </c>
      <c r="BQ31" s="455" t="str">
        <f t="shared" si="11"/>
        <v>En gestión</v>
      </c>
      <c r="BR31" s="990"/>
      <c r="BS31" s="996"/>
      <c r="BT31" s="997"/>
      <c r="BU31" s="1037"/>
      <c r="BV31" s="1037"/>
      <c r="BW31" s="991"/>
      <c r="BX31" s="990"/>
      <c r="BY31" s="991"/>
      <c r="BZ31" s="1051"/>
      <c r="CA31" s="1051"/>
      <c r="CB31" s="1051"/>
      <c r="CC31" s="1051"/>
      <c r="CD31" s="1051"/>
      <c r="CE31" s="990"/>
      <c r="CF31" s="990"/>
      <c r="CG31" s="990"/>
      <c r="CH31" s="990"/>
    </row>
    <row r="32" spans="2:86" ht="171.95" customHeight="1" x14ac:dyDescent="0.25">
      <c r="B32" s="1185" t="s">
        <v>5225</v>
      </c>
      <c r="C32" s="1030" t="s">
        <v>1675</v>
      </c>
      <c r="D32" s="384" t="s">
        <v>686</v>
      </c>
      <c r="E32" s="1024" t="s">
        <v>1676</v>
      </c>
      <c r="F32" s="384" t="s">
        <v>28</v>
      </c>
      <c r="G32" s="384" t="s">
        <v>28</v>
      </c>
      <c r="H32" s="384" t="s">
        <v>1677</v>
      </c>
      <c r="I32" s="384" t="s">
        <v>47</v>
      </c>
      <c r="J32" s="1025" t="s">
        <v>1678</v>
      </c>
      <c r="K32" s="385" t="s">
        <v>187</v>
      </c>
      <c r="L32" s="386" t="s">
        <v>1679</v>
      </c>
      <c r="M32" s="387" t="s">
        <v>1680</v>
      </c>
      <c r="N32" s="384">
        <v>0.5</v>
      </c>
      <c r="O32" s="388">
        <v>44212</v>
      </c>
      <c r="P32" s="388">
        <v>44271</v>
      </c>
      <c r="Q32" s="384">
        <v>1</v>
      </c>
      <c r="R32" s="384">
        <v>1</v>
      </c>
      <c r="S32" s="382">
        <v>1</v>
      </c>
      <c r="T32" s="384">
        <v>1</v>
      </c>
      <c r="U32" s="377">
        <v>1</v>
      </c>
      <c r="V32" s="389" t="s">
        <v>1681</v>
      </c>
      <c r="W32" s="410" t="s">
        <v>3861</v>
      </c>
      <c r="X32" s="379" t="str">
        <f t="shared" ref="X32:X40" si="12">IF(Q32&lt;1%,"Sin iniciar",IF(Q32=100%,"Terminado","En gestión"))</f>
        <v>Terminado</v>
      </c>
      <c r="Y32" s="379" t="str">
        <f t="shared" ref="Y32:Y40" si="13">IF(U32&lt;1%,"Sin iniciar",IF(U32=100%,"Terminado","En gestión"))</f>
        <v>Terminado</v>
      </c>
      <c r="Z32" s="1006" t="s">
        <v>1701</v>
      </c>
      <c r="AA32" s="1026">
        <f>SUMPRODUCT(N32:N33,U32:U33)</f>
        <v>0.57499999999999996</v>
      </c>
      <c r="AB32" s="1004">
        <f>SUMPRODUCT(N32:N33,Q32:Q33)</f>
        <v>0.5</v>
      </c>
      <c r="AC32" s="1027" t="str">
        <f>IF(AB32&lt;1%,"Sin iniciar",IF(AB32=100%,"Terminado","En gestión"))</f>
        <v>En gestión</v>
      </c>
      <c r="AD32" s="1027" t="str">
        <f>IF(AA32&lt;1%,"Sin iniciar",IF(AA32=100%,"Terminado","En gestión"))</f>
        <v>En gestión</v>
      </c>
      <c r="AE32" s="390"/>
      <c r="AF32" s="1014">
        <v>0</v>
      </c>
      <c r="AG32" s="1014">
        <v>0</v>
      </c>
      <c r="AH32" s="1014">
        <v>0</v>
      </c>
      <c r="AI32" s="1014">
        <v>61429200</v>
      </c>
      <c r="AJ32" s="1014">
        <v>61429200</v>
      </c>
      <c r="AK32" s="1014">
        <v>15357300</v>
      </c>
      <c r="AL32" s="1039" t="s">
        <v>2472</v>
      </c>
      <c r="AM32" s="1039" t="s">
        <v>2473</v>
      </c>
      <c r="AN32" s="1043" t="s">
        <v>2474</v>
      </c>
      <c r="AO32" s="1006" t="s">
        <v>2475</v>
      </c>
      <c r="AP32" s="1014">
        <f>+AJ32</f>
        <v>61429200</v>
      </c>
      <c r="AQ32" s="1209">
        <v>1</v>
      </c>
      <c r="AR32" s="389" t="s">
        <v>2434</v>
      </c>
      <c r="AS32" s="408" t="s">
        <v>3862</v>
      </c>
      <c r="AT32" s="379" t="str">
        <f t="shared" ref="AT32:AT40" si="14">IF(R32&lt;1%,"Sin iniciar",IF(R32=100%,"Terminado","En gestión"))</f>
        <v>Terminado</v>
      </c>
      <c r="AU32" s="379" t="str">
        <f t="shared" ref="AU32:AU40" si="15">IF(AQ32&lt;1%,"Sin iniciar",IF(AQ32=100%,"Terminado","En gestión"))</f>
        <v>Terminado</v>
      </c>
      <c r="AV32" s="1006" t="s">
        <v>1707</v>
      </c>
      <c r="AW32" s="998">
        <f>SUMPRODUCT(N32:N33,AQ32:AQ33)</f>
        <v>1</v>
      </c>
      <c r="AX32" s="999">
        <f>SUMPRODUCT(N32:N33,R32:R33)</f>
        <v>1</v>
      </c>
      <c r="AY32" s="1027" t="str">
        <f>IF(AX32&lt;1%,"Sin iniciar",IF(AX32=100%,"Terminado","En gestión"))</f>
        <v>Terminado</v>
      </c>
      <c r="AZ32" s="1027" t="str">
        <f>IF(AW32&lt;1%,"Sin iniciar",IF(AW32=100%,"Terminado","En gestión"))</f>
        <v>Terminado</v>
      </c>
      <c r="BA32" s="390"/>
      <c r="BB32" s="1006" t="s">
        <v>47</v>
      </c>
      <c r="BC32" s="1033">
        <v>0</v>
      </c>
      <c r="BD32" s="1033">
        <v>0</v>
      </c>
      <c r="BE32" s="1033">
        <v>0</v>
      </c>
      <c r="BF32" s="1033">
        <v>61429200</v>
      </c>
      <c r="BG32" s="1033">
        <v>61256160</v>
      </c>
      <c r="BH32" s="1033">
        <v>25956000</v>
      </c>
      <c r="BI32" s="1039" t="s">
        <v>2534</v>
      </c>
      <c r="BJ32" s="1043" t="s">
        <v>2474</v>
      </c>
      <c r="BK32" s="1006" t="s">
        <v>2475</v>
      </c>
      <c r="BL32" s="1033" t="s">
        <v>2535</v>
      </c>
      <c r="BM32" s="506">
        <v>1</v>
      </c>
      <c r="BN32" s="389" t="s">
        <v>2434</v>
      </c>
      <c r="BO32" s="389" t="s">
        <v>37</v>
      </c>
      <c r="BP32" s="379" t="str">
        <f>IF(S32&lt;1%,"Sin iniciar",IF(S32=100%,"Terminado","En gestión"))</f>
        <v>Terminado</v>
      </c>
      <c r="BQ32" s="379" t="str">
        <f t="shared" ref="BQ32:BQ40" si="16">IF(BM32&lt;1%,"Sin iniciar",IF(BM32=100%,"Terminado","En gestión"))</f>
        <v>Terminado</v>
      </c>
      <c r="BR32" s="1006"/>
      <c r="BS32" s="996">
        <f>SUMPRODUCT(N32:N33,BM32:BM33)</f>
        <v>1</v>
      </c>
      <c r="BT32" s="997">
        <f>SUMPRODUCT(N32:N33,S32:S33)</f>
        <v>1</v>
      </c>
      <c r="BU32" s="1027" t="str">
        <f>IF(BT32&lt;1%,"Sin iniciar",IF(BT32=100%,"Terminado","En gestión"))</f>
        <v>Terminado</v>
      </c>
      <c r="BV32" s="1027" t="str">
        <f>IF(BS32&lt;1%,"Sin iniciar",IF(BS32=100%,"Terminado","En gestión"))</f>
        <v>Terminado</v>
      </c>
      <c r="BW32" s="1006" t="s">
        <v>28</v>
      </c>
      <c r="BX32" s="1016" t="s">
        <v>47</v>
      </c>
      <c r="BY32" s="1057">
        <v>0</v>
      </c>
      <c r="BZ32" s="1057">
        <v>0</v>
      </c>
      <c r="CA32" s="1057">
        <v>0</v>
      </c>
      <c r="CB32" s="1057">
        <v>61429200</v>
      </c>
      <c r="CC32" s="1057">
        <v>61429200</v>
      </c>
      <c r="CD32" s="1057">
        <v>61429200</v>
      </c>
      <c r="CE32" s="1056" t="s">
        <v>2534</v>
      </c>
      <c r="CF32" s="1056" t="s">
        <v>2474</v>
      </c>
      <c r="CG32" s="1056" t="s">
        <v>2475</v>
      </c>
      <c r="CH32" s="1056" t="s">
        <v>2535</v>
      </c>
    </row>
    <row r="33" spans="2:86" ht="171.95" customHeight="1" x14ac:dyDescent="0.25">
      <c r="B33" s="1186"/>
      <c r="C33" s="1030"/>
      <c r="D33" s="384" t="s">
        <v>686</v>
      </c>
      <c r="E33" s="1024"/>
      <c r="F33" s="384" t="s">
        <v>28</v>
      </c>
      <c r="G33" s="384" t="s">
        <v>28</v>
      </c>
      <c r="H33" s="384" t="s">
        <v>1677</v>
      </c>
      <c r="I33" s="384" t="s">
        <v>47</v>
      </c>
      <c r="J33" s="1025"/>
      <c r="K33" s="385" t="s">
        <v>187</v>
      </c>
      <c r="L33" s="386" t="s">
        <v>1682</v>
      </c>
      <c r="M33" s="387" t="s">
        <v>1683</v>
      </c>
      <c r="N33" s="384">
        <v>0.5</v>
      </c>
      <c r="O33" s="388">
        <v>44272</v>
      </c>
      <c r="P33" s="388">
        <v>44332</v>
      </c>
      <c r="Q33" s="384">
        <v>0</v>
      </c>
      <c r="R33" s="384">
        <v>1</v>
      </c>
      <c r="S33" s="382">
        <v>1</v>
      </c>
      <c r="T33" s="384">
        <v>1</v>
      </c>
      <c r="U33" s="377">
        <v>0.15</v>
      </c>
      <c r="V33" s="389" t="s">
        <v>1684</v>
      </c>
      <c r="W33" s="410" t="s">
        <v>3863</v>
      </c>
      <c r="X33" s="379" t="str">
        <f t="shared" si="12"/>
        <v>Sin iniciar</v>
      </c>
      <c r="Y33" s="379" t="str">
        <f t="shared" si="13"/>
        <v>En gestión</v>
      </c>
      <c r="Z33" s="1006"/>
      <c r="AA33" s="1026"/>
      <c r="AB33" s="1004"/>
      <c r="AC33" s="1027"/>
      <c r="AD33" s="1027"/>
      <c r="AE33" s="390"/>
      <c r="AF33" s="1014"/>
      <c r="AG33" s="1014"/>
      <c r="AH33" s="1014"/>
      <c r="AI33" s="1014"/>
      <c r="AJ33" s="1014"/>
      <c r="AK33" s="1014"/>
      <c r="AL33" s="1039" t="s">
        <v>2472</v>
      </c>
      <c r="AM33" s="1039" t="s">
        <v>2473</v>
      </c>
      <c r="AN33" s="1043" t="s">
        <v>2474</v>
      </c>
      <c r="AO33" s="1006" t="s">
        <v>2475</v>
      </c>
      <c r="AP33" s="1014"/>
      <c r="AQ33" s="1209">
        <v>1</v>
      </c>
      <c r="AR33" s="389" t="s">
        <v>1704</v>
      </c>
      <c r="AS33" s="410" t="s">
        <v>3864</v>
      </c>
      <c r="AT33" s="379" t="str">
        <f t="shared" si="14"/>
        <v>Terminado</v>
      </c>
      <c r="AU33" s="379" t="str">
        <f t="shared" si="15"/>
        <v>Terminado</v>
      </c>
      <c r="AV33" s="1006"/>
      <c r="AW33" s="998"/>
      <c r="AX33" s="999"/>
      <c r="AY33" s="1027"/>
      <c r="AZ33" s="1027"/>
      <c r="BA33" s="390"/>
      <c r="BB33" s="1006"/>
      <c r="BC33" s="1033"/>
      <c r="BD33" s="1033"/>
      <c r="BE33" s="1033"/>
      <c r="BF33" s="1033"/>
      <c r="BG33" s="1033"/>
      <c r="BH33" s="1033"/>
      <c r="BI33" s="1039"/>
      <c r="BJ33" s="1043"/>
      <c r="BK33" s="1006"/>
      <c r="BL33" s="1033"/>
      <c r="BM33" s="506">
        <v>1</v>
      </c>
      <c r="BN33" s="390" t="s">
        <v>2434</v>
      </c>
      <c r="BO33" s="390" t="s">
        <v>37</v>
      </c>
      <c r="BP33" s="379" t="str">
        <f>IF(S33&lt;1%,"Sin iniciar",IF(S33=100%,"Terminado","En gestión"))</f>
        <v>Terminado</v>
      </c>
      <c r="BQ33" s="379" t="str">
        <f t="shared" si="16"/>
        <v>Terminado</v>
      </c>
      <c r="BR33" s="1006"/>
      <c r="BS33" s="996"/>
      <c r="BT33" s="997"/>
      <c r="BU33" s="1027"/>
      <c r="BV33" s="1027"/>
      <c r="BW33" s="1006"/>
      <c r="BX33" s="1016"/>
      <c r="BY33" s="1057"/>
      <c r="BZ33" s="1057"/>
      <c r="CA33" s="1057"/>
      <c r="CB33" s="1057"/>
      <c r="CC33" s="1057"/>
      <c r="CD33" s="1057"/>
      <c r="CE33" s="1056"/>
      <c r="CF33" s="1056"/>
      <c r="CG33" s="1056"/>
      <c r="CH33" s="1056"/>
    </row>
    <row r="34" spans="2:86" ht="171.95" customHeight="1" x14ac:dyDescent="0.25">
      <c r="B34" s="1186"/>
      <c r="C34" s="1000" t="s">
        <v>1685</v>
      </c>
      <c r="D34" s="448" t="s">
        <v>159</v>
      </c>
      <c r="E34" s="1001" t="s">
        <v>1686</v>
      </c>
      <c r="F34" s="448" t="s">
        <v>28</v>
      </c>
      <c r="G34" s="448" t="s">
        <v>28</v>
      </c>
      <c r="H34" s="448" t="s">
        <v>1687</v>
      </c>
      <c r="I34" s="448" t="s">
        <v>47</v>
      </c>
      <c r="J34" s="1032" t="s">
        <v>1688</v>
      </c>
      <c r="K34" s="449" t="s">
        <v>187</v>
      </c>
      <c r="L34" s="450" t="s">
        <v>1689</v>
      </c>
      <c r="M34" s="451" t="s">
        <v>1690</v>
      </c>
      <c r="N34" s="448">
        <v>0.5</v>
      </c>
      <c r="O34" s="452">
        <v>44202</v>
      </c>
      <c r="P34" s="452">
        <v>44226</v>
      </c>
      <c r="Q34" s="448">
        <v>1</v>
      </c>
      <c r="R34" s="448">
        <v>1</v>
      </c>
      <c r="S34" s="453">
        <v>1</v>
      </c>
      <c r="T34" s="448">
        <v>1</v>
      </c>
      <c r="U34" s="377">
        <v>1</v>
      </c>
      <c r="V34" s="454" t="s">
        <v>1691</v>
      </c>
      <c r="W34" s="466" t="s">
        <v>3865</v>
      </c>
      <c r="X34" s="455" t="str">
        <f t="shared" si="12"/>
        <v>Terminado</v>
      </c>
      <c r="Y34" s="455" t="str">
        <f t="shared" si="13"/>
        <v>Terminado</v>
      </c>
      <c r="Z34" s="990" t="s">
        <v>1702</v>
      </c>
      <c r="AA34" s="1026">
        <f>SUMPRODUCT(N34:N35,U34:U35)</f>
        <v>0.6</v>
      </c>
      <c r="AB34" s="1004">
        <f>SUMPRODUCT(N34:N35,Q34:Q35)</f>
        <v>0.6</v>
      </c>
      <c r="AC34" s="1037" t="str">
        <f>IF(AB34&lt;1%,"Sin iniciar",IF(AB34=100%,"Terminado","En gestión"))</f>
        <v>En gestión</v>
      </c>
      <c r="AD34" s="1037" t="str">
        <f>IF(AA34&lt;1%,"Sin iniciar",IF(AA34=100%,"Terminado","En gestión"))</f>
        <v>En gestión</v>
      </c>
      <c r="AE34" s="456"/>
      <c r="AF34" s="992">
        <v>0</v>
      </c>
      <c r="AG34" s="992">
        <v>0</v>
      </c>
      <c r="AH34" s="992">
        <v>0</v>
      </c>
      <c r="AI34" s="992">
        <v>32951100</v>
      </c>
      <c r="AJ34" s="992">
        <v>32951100</v>
      </c>
      <c r="AK34" s="992">
        <v>8237775</v>
      </c>
      <c r="AL34" s="993" t="s">
        <v>2472</v>
      </c>
      <c r="AM34" s="993" t="s">
        <v>2473</v>
      </c>
      <c r="AN34" s="994" t="s">
        <v>2476</v>
      </c>
      <c r="AO34" s="990" t="s">
        <v>2477</v>
      </c>
      <c r="AP34" s="992">
        <f>+AJ34</f>
        <v>32951100</v>
      </c>
      <c r="AQ34" s="1209">
        <v>1</v>
      </c>
      <c r="AR34" s="454" t="s">
        <v>2434</v>
      </c>
      <c r="AS34" s="464" t="s">
        <v>3862</v>
      </c>
      <c r="AT34" s="455" t="str">
        <f t="shared" si="14"/>
        <v>Terminado</v>
      </c>
      <c r="AU34" s="455" t="str">
        <f t="shared" si="15"/>
        <v>Terminado</v>
      </c>
      <c r="AV34" s="990" t="s">
        <v>1708</v>
      </c>
      <c r="AW34" s="998">
        <f>SUMPRODUCT(N34:N35,AQ34:AQ35)</f>
        <v>0.67500000000000004</v>
      </c>
      <c r="AX34" s="999">
        <f>SUMPRODUCT(N34:N35,R34:R35)</f>
        <v>0.67500000000000004</v>
      </c>
      <c r="AY34" s="1037" t="str">
        <f>IF(AX34&lt;1%,"Sin iniciar",IF(AX34=100%,"Terminado","En gestión"))</f>
        <v>En gestión</v>
      </c>
      <c r="AZ34" s="1037" t="str">
        <f>IF(AW34&lt;1%,"Sin iniciar",IF(AW34=100%,"Terminado","En gestión"))</f>
        <v>En gestión</v>
      </c>
      <c r="BA34" s="456"/>
      <c r="BB34" s="990" t="s">
        <v>47</v>
      </c>
      <c r="BC34" s="1035">
        <v>0</v>
      </c>
      <c r="BD34" s="1035">
        <v>0</v>
      </c>
      <c r="BE34" s="1035">
        <v>0</v>
      </c>
      <c r="BF34" s="1035">
        <v>32951100</v>
      </c>
      <c r="BG34" s="1035">
        <v>32765460</v>
      </c>
      <c r="BH34" s="1035">
        <v>13923000</v>
      </c>
      <c r="BI34" s="993" t="s">
        <v>2534</v>
      </c>
      <c r="BJ34" s="994" t="s">
        <v>2536</v>
      </c>
      <c r="BK34" s="990" t="s">
        <v>2477</v>
      </c>
      <c r="BL34" s="1035" t="s">
        <v>2537</v>
      </c>
      <c r="BM34" s="506">
        <v>1</v>
      </c>
      <c r="BN34" s="456" t="s">
        <v>2434</v>
      </c>
      <c r="BO34" s="456" t="s">
        <v>37</v>
      </c>
      <c r="BP34" s="455" t="str">
        <f>IF(S34&lt;1%,"Sin iniciar",IF(S34=100%,"Terminado","En gestión"))</f>
        <v>Terminado</v>
      </c>
      <c r="BQ34" s="455" t="str">
        <f t="shared" si="16"/>
        <v>Terminado</v>
      </c>
      <c r="BR34" s="990" t="s">
        <v>1708</v>
      </c>
      <c r="BS34" s="996">
        <f>SUMPRODUCT(N34:N35,BM34:BM35)</f>
        <v>0.875</v>
      </c>
      <c r="BT34" s="997">
        <f>SUMPRODUCT(N34:N35,S34:S35)</f>
        <v>0.875</v>
      </c>
      <c r="BU34" s="1037" t="str">
        <f>IF(BT34&lt;1%,"Sin iniciar",IF(BT34=100%,"Terminado","En gestión"))</f>
        <v>En gestión</v>
      </c>
      <c r="BV34" s="1037" t="str">
        <f>IF(BS34&lt;1%,"Sin iniciar",IF(BS34=100%,"Terminado","En gestión"))</f>
        <v>En gestión</v>
      </c>
      <c r="BW34" s="991" t="s">
        <v>28</v>
      </c>
      <c r="BX34" s="991" t="s">
        <v>47</v>
      </c>
      <c r="BY34" s="1062">
        <v>0</v>
      </c>
      <c r="BZ34" s="1062">
        <v>0</v>
      </c>
      <c r="CA34" s="1062">
        <v>0</v>
      </c>
      <c r="CB34" s="1061">
        <v>32951100</v>
      </c>
      <c r="CC34" s="1061">
        <v>32765460</v>
      </c>
      <c r="CD34" s="1061">
        <v>24713325</v>
      </c>
      <c r="CE34" s="990" t="s">
        <v>2534</v>
      </c>
      <c r="CF34" s="990" t="s">
        <v>2536</v>
      </c>
      <c r="CG34" s="990" t="s">
        <v>2477</v>
      </c>
      <c r="CH34" s="990" t="s">
        <v>2537</v>
      </c>
    </row>
    <row r="35" spans="2:86" ht="171.95" customHeight="1" x14ac:dyDescent="0.25">
      <c r="B35" s="1186"/>
      <c r="C35" s="1000"/>
      <c r="D35" s="448" t="s">
        <v>159</v>
      </c>
      <c r="E35" s="1001"/>
      <c r="F35" s="448" t="s">
        <v>28</v>
      </c>
      <c r="G35" s="448" t="s">
        <v>28</v>
      </c>
      <c r="H35" s="448" t="s">
        <v>1687</v>
      </c>
      <c r="I35" s="448" t="s">
        <v>47</v>
      </c>
      <c r="J35" s="1032"/>
      <c r="K35" s="449" t="s">
        <v>187</v>
      </c>
      <c r="L35" s="450" t="s">
        <v>1692</v>
      </c>
      <c r="M35" s="451" t="s">
        <v>1693</v>
      </c>
      <c r="N35" s="448">
        <v>0.5</v>
      </c>
      <c r="O35" s="452">
        <v>44228</v>
      </c>
      <c r="P35" s="452">
        <v>44560</v>
      </c>
      <c r="Q35" s="448">
        <v>0.2</v>
      </c>
      <c r="R35" s="448">
        <v>0.35</v>
      </c>
      <c r="S35" s="453">
        <v>0.75</v>
      </c>
      <c r="T35" s="448">
        <v>1</v>
      </c>
      <c r="U35" s="377">
        <v>0.2</v>
      </c>
      <c r="V35" s="454" t="s">
        <v>1694</v>
      </c>
      <c r="W35" s="466" t="s">
        <v>3866</v>
      </c>
      <c r="X35" s="455" t="str">
        <f t="shared" si="12"/>
        <v>En gestión</v>
      </c>
      <c r="Y35" s="455" t="str">
        <f t="shared" si="13"/>
        <v>En gestión</v>
      </c>
      <c r="Z35" s="991"/>
      <c r="AA35" s="1026"/>
      <c r="AB35" s="1004"/>
      <c r="AC35" s="1037"/>
      <c r="AD35" s="1037"/>
      <c r="AE35" s="456"/>
      <c r="AF35" s="992"/>
      <c r="AG35" s="992"/>
      <c r="AH35" s="992"/>
      <c r="AI35" s="992"/>
      <c r="AJ35" s="992"/>
      <c r="AK35" s="992"/>
      <c r="AL35" s="993" t="s">
        <v>2472</v>
      </c>
      <c r="AM35" s="993" t="s">
        <v>2473</v>
      </c>
      <c r="AN35" s="994" t="s">
        <v>2476</v>
      </c>
      <c r="AO35" s="990" t="s">
        <v>2477</v>
      </c>
      <c r="AP35" s="992"/>
      <c r="AQ35" s="1209">
        <v>0.35</v>
      </c>
      <c r="AR35" s="454" t="s">
        <v>1705</v>
      </c>
      <c r="AS35" s="466" t="s">
        <v>3867</v>
      </c>
      <c r="AT35" s="455" t="str">
        <f t="shared" si="14"/>
        <v>En gestión</v>
      </c>
      <c r="AU35" s="455" t="str">
        <f t="shared" si="15"/>
        <v>En gestión</v>
      </c>
      <c r="AV35" s="990"/>
      <c r="AW35" s="998"/>
      <c r="AX35" s="999"/>
      <c r="AY35" s="1037"/>
      <c r="AZ35" s="1037"/>
      <c r="BA35" s="456"/>
      <c r="BB35" s="990"/>
      <c r="BC35" s="1035"/>
      <c r="BD35" s="1035"/>
      <c r="BE35" s="1035"/>
      <c r="BF35" s="1035"/>
      <c r="BG35" s="1035"/>
      <c r="BH35" s="1035"/>
      <c r="BI35" s="993"/>
      <c r="BJ35" s="994"/>
      <c r="BK35" s="990"/>
      <c r="BL35" s="1035"/>
      <c r="BM35" s="507">
        <v>0.75</v>
      </c>
      <c r="BN35" s="454" t="s">
        <v>3868</v>
      </c>
      <c r="BO35" s="467" t="s">
        <v>3869</v>
      </c>
      <c r="BP35" s="455" t="str">
        <f>IF(S35&lt;1%,"Sin iniciar",IF(S35=100%,"Terminado","En gestión"))</f>
        <v>En gestión</v>
      </c>
      <c r="BQ35" s="455" t="str">
        <f t="shared" si="16"/>
        <v>En gestión</v>
      </c>
      <c r="BR35" s="990"/>
      <c r="BS35" s="996"/>
      <c r="BT35" s="997"/>
      <c r="BU35" s="1037"/>
      <c r="BV35" s="1037"/>
      <c r="BW35" s="991"/>
      <c r="BX35" s="991"/>
      <c r="BY35" s="1062"/>
      <c r="BZ35" s="1062"/>
      <c r="CA35" s="1062"/>
      <c r="CB35" s="1061"/>
      <c r="CC35" s="1061"/>
      <c r="CD35" s="1061"/>
      <c r="CE35" s="990"/>
      <c r="CF35" s="990"/>
      <c r="CG35" s="990"/>
      <c r="CH35" s="990"/>
    </row>
    <row r="36" spans="2:86" ht="171.95" customHeight="1" x14ac:dyDescent="0.25">
      <c r="B36" s="1187"/>
      <c r="C36" s="386" t="s">
        <v>1695</v>
      </c>
      <c r="D36" s="384" t="s">
        <v>25</v>
      </c>
      <c r="E36" s="384" t="s">
        <v>1696</v>
      </c>
      <c r="F36" s="384" t="s">
        <v>28</v>
      </c>
      <c r="G36" s="384" t="s">
        <v>28</v>
      </c>
      <c r="H36" s="384" t="s">
        <v>1687</v>
      </c>
      <c r="I36" s="384" t="s">
        <v>47</v>
      </c>
      <c r="J36" s="401" t="s">
        <v>1697</v>
      </c>
      <c r="K36" s="385" t="s">
        <v>1698</v>
      </c>
      <c r="L36" s="386" t="s">
        <v>1699</v>
      </c>
      <c r="M36" s="387" t="s">
        <v>1693</v>
      </c>
      <c r="N36" s="384">
        <v>1</v>
      </c>
      <c r="O36" s="388">
        <v>44212</v>
      </c>
      <c r="P36" s="388">
        <v>44560</v>
      </c>
      <c r="Q36" s="384">
        <v>0.25</v>
      </c>
      <c r="R36" s="384">
        <v>0.5</v>
      </c>
      <c r="S36" s="382">
        <v>0.75</v>
      </c>
      <c r="T36" s="384">
        <v>1</v>
      </c>
      <c r="U36" s="377">
        <v>0.25</v>
      </c>
      <c r="V36" s="389" t="s">
        <v>1700</v>
      </c>
      <c r="W36" s="410" t="s">
        <v>3870</v>
      </c>
      <c r="X36" s="379" t="str">
        <f t="shared" si="12"/>
        <v>En gestión</v>
      </c>
      <c r="Y36" s="379" t="str">
        <f t="shared" si="13"/>
        <v>En gestión</v>
      </c>
      <c r="Z36" s="389" t="s">
        <v>1703</v>
      </c>
      <c r="AA36" s="377">
        <f>N36*U36</f>
        <v>0.25</v>
      </c>
      <c r="AB36" s="502">
        <f>N36*Q36</f>
        <v>0.25</v>
      </c>
      <c r="AC36" s="379" t="str">
        <f>IF(AB36&lt;1%,"Sin iniciar",IF(AB36=100%,"Terminado","En gestión"))</f>
        <v>En gestión</v>
      </c>
      <c r="AD36" s="379" t="str">
        <f>IF(AA36&lt;1%,"Sin iniciar",IF(AA36=100%,"Terminado","En gestión"))</f>
        <v>En gestión</v>
      </c>
      <c r="AE36" s="390"/>
      <c r="AF36" s="391">
        <v>0</v>
      </c>
      <c r="AG36" s="391">
        <v>0</v>
      </c>
      <c r="AH36" s="391">
        <v>0</v>
      </c>
      <c r="AI36" s="391">
        <v>200000000</v>
      </c>
      <c r="AJ36" s="391">
        <v>200000000</v>
      </c>
      <c r="AK36" s="391">
        <v>51191000</v>
      </c>
      <c r="AL36" s="385" t="s">
        <v>2460</v>
      </c>
      <c r="AM36" s="385" t="s">
        <v>2461</v>
      </c>
      <c r="AN36" s="412" t="s">
        <v>2464</v>
      </c>
      <c r="AO36" s="389" t="s">
        <v>2465</v>
      </c>
      <c r="AP36" s="391">
        <f>+AJ36</f>
        <v>200000000</v>
      </c>
      <c r="AQ36" s="1209">
        <v>0.5</v>
      </c>
      <c r="AR36" s="389" t="s">
        <v>1706</v>
      </c>
      <c r="AS36" s="410" t="s">
        <v>3871</v>
      </c>
      <c r="AT36" s="379" t="str">
        <f t="shared" si="14"/>
        <v>En gestión</v>
      </c>
      <c r="AU36" s="379" t="str">
        <f t="shared" si="15"/>
        <v>En gestión</v>
      </c>
      <c r="AV36" s="389" t="s">
        <v>1709</v>
      </c>
      <c r="AW36" s="447">
        <f>SUMPRODUCT(N36,AQ36)</f>
        <v>0.5</v>
      </c>
      <c r="AX36" s="503">
        <f>SUMPRODUCT(N36,R36)</f>
        <v>0.5</v>
      </c>
      <c r="AY36" s="379" t="str">
        <f>IF(AX36&lt;1%,"Sin iniciar",IF(AX36=100%,"Terminado","En gestión"))</f>
        <v>En gestión</v>
      </c>
      <c r="AZ36" s="379" t="str">
        <f>IF(AW36&lt;1%,"Sin iniciar",IF(AW36=100%,"Terminado","En gestión"))</f>
        <v>En gestión</v>
      </c>
      <c r="BA36" s="390"/>
      <c r="BB36" s="389" t="s">
        <v>47</v>
      </c>
      <c r="BC36" s="393">
        <v>0</v>
      </c>
      <c r="BD36" s="393">
        <v>0</v>
      </c>
      <c r="BE36" s="393">
        <v>0</v>
      </c>
      <c r="BF36" s="393">
        <v>200000000</v>
      </c>
      <c r="BG36" s="393">
        <v>200000000</v>
      </c>
      <c r="BH36" s="393">
        <v>64890000</v>
      </c>
      <c r="BI36" s="385" t="s">
        <v>2538</v>
      </c>
      <c r="BJ36" s="412" t="s">
        <v>2464</v>
      </c>
      <c r="BK36" s="389" t="s">
        <v>2465</v>
      </c>
      <c r="BL36" s="393" t="s">
        <v>2539</v>
      </c>
      <c r="BM36" s="506">
        <v>0.75</v>
      </c>
      <c r="BN36" s="389" t="s">
        <v>3872</v>
      </c>
      <c r="BO36" s="411" t="s">
        <v>3873</v>
      </c>
      <c r="BP36" s="379" t="str">
        <f>IF(S36&lt;1%,"Sin iniciar",IF(S36=100%,"Terminado","En gestión"))</f>
        <v>En gestión</v>
      </c>
      <c r="BQ36" s="379" t="str">
        <f t="shared" si="16"/>
        <v>En gestión</v>
      </c>
      <c r="BR36" s="389" t="s">
        <v>3874</v>
      </c>
      <c r="BS36" s="511">
        <f>(N36*BM36)</f>
        <v>0.75</v>
      </c>
      <c r="BT36" s="513">
        <f>(N36*S36)</f>
        <v>0.75</v>
      </c>
      <c r="BU36" s="379" t="str">
        <f>IF(BT36&lt;1%,"Sin iniciar",IF(BT36=100%,"Terminado","En gestión"))</f>
        <v>En gestión</v>
      </c>
      <c r="BV36" s="379" t="str">
        <f>IF(BS36&lt;1%,"Sin iniciar",IF(BS36=100%,"Terminado","En gestión"))</f>
        <v>En gestión</v>
      </c>
      <c r="BW36" s="390" t="s">
        <v>28</v>
      </c>
      <c r="BX36" s="390" t="s">
        <v>47</v>
      </c>
      <c r="BY36" s="413">
        <v>0</v>
      </c>
      <c r="BZ36" s="413">
        <v>0</v>
      </c>
      <c r="CA36" s="413">
        <v>0</v>
      </c>
      <c r="CB36" s="414">
        <v>200000000</v>
      </c>
      <c r="CC36" s="414">
        <v>200000000</v>
      </c>
      <c r="CD36" s="413">
        <f>51191000*3</f>
        <v>153573000</v>
      </c>
      <c r="CE36" s="414" t="s">
        <v>2538</v>
      </c>
      <c r="CF36" s="414" t="s">
        <v>2464</v>
      </c>
      <c r="CG36" s="414" t="s">
        <v>2465</v>
      </c>
      <c r="CH36" s="414" t="s">
        <v>2539</v>
      </c>
    </row>
    <row r="37" spans="2:86" ht="171.95" customHeight="1" x14ac:dyDescent="0.25">
      <c r="B37" s="1200" t="s">
        <v>5226</v>
      </c>
      <c r="C37" s="450" t="s">
        <v>4427</v>
      </c>
      <c r="D37" s="448" t="s">
        <v>686</v>
      </c>
      <c r="E37" s="448" t="s">
        <v>4428</v>
      </c>
      <c r="F37" s="448" t="s">
        <v>28</v>
      </c>
      <c r="G37" s="448" t="s">
        <v>28</v>
      </c>
      <c r="H37" s="448" t="s">
        <v>326</v>
      </c>
      <c r="I37" s="448" t="s">
        <v>30</v>
      </c>
      <c r="J37" s="468" t="s">
        <v>4429</v>
      </c>
      <c r="K37" s="449" t="s">
        <v>4430</v>
      </c>
      <c r="L37" s="450" t="s">
        <v>4431</v>
      </c>
      <c r="M37" s="451" t="s">
        <v>4429</v>
      </c>
      <c r="N37" s="448">
        <v>1</v>
      </c>
      <c r="O37" s="452">
        <v>44228</v>
      </c>
      <c r="P37" s="452">
        <v>44560</v>
      </c>
      <c r="Q37" s="448">
        <v>0.05</v>
      </c>
      <c r="R37" s="448">
        <v>0.1</v>
      </c>
      <c r="S37" s="453">
        <v>0.5</v>
      </c>
      <c r="T37" s="448">
        <v>1</v>
      </c>
      <c r="U37" s="446">
        <v>0.5</v>
      </c>
      <c r="V37" s="454" t="s">
        <v>4432</v>
      </c>
      <c r="W37" s="454" t="s">
        <v>4433</v>
      </c>
      <c r="X37" s="456" t="str">
        <f t="shared" si="12"/>
        <v>En gestión</v>
      </c>
      <c r="Y37" s="456" t="str">
        <f t="shared" si="13"/>
        <v>En gestión</v>
      </c>
      <c r="Z37" s="454" t="s">
        <v>4434</v>
      </c>
      <c r="AA37" s="446">
        <f>N37*U37</f>
        <v>0.5</v>
      </c>
      <c r="AB37" s="502">
        <f>N37*Q37</f>
        <v>0.05</v>
      </c>
      <c r="AC37" s="456" t="str">
        <f>IF(AB37&lt;1%,"Sin iniciar",IF(AB37=100%,"Terminado","En gestión"))</f>
        <v>En gestión</v>
      </c>
      <c r="AD37" s="456" t="str">
        <f>IF(AA37&lt;1%,"Sin iniciar",IF(AA37=100%,"Terminado","En gestión"))</f>
        <v>En gestión</v>
      </c>
      <c r="AE37" s="456"/>
      <c r="AF37" s="469">
        <v>12046596.1</v>
      </c>
      <c r="AG37" s="469">
        <v>12046596.1</v>
      </c>
      <c r="AH37" s="469">
        <v>3011649.0249999999</v>
      </c>
      <c r="AI37" s="469">
        <f>AP37</f>
        <v>20610800</v>
      </c>
      <c r="AJ37" s="470">
        <v>20610800</v>
      </c>
      <c r="AK37" s="469">
        <v>2863733.3333333302</v>
      </c>
      <c r="AL37" s="449" t="s">
        <v>4435</v>
      </c>
      <c r="AM37" s="449" t="s">
        <v>4436</v>
      </c>
      <c r="AN37" s="471" t="s">
        <v>4437</v>
      </c>
      <c r="AO37" s="454" t="s">
        <v>4438</v>
      </c>
      <c r="AP37" s="470">
        <f>+AJ37</f>
        <v>20610800</v>
      </c>
      <c r="AQ37" s="1212">
        <v>0.6</v>
      </c>
      <c r="AR37" s="454" t="s">
        <v>4439</v>
      </c>
      <c r="AS37" s="454" t="s">
        <v>4440</v>
      </c>
      <c r="AT37" s="456" t="str">
        <f t="shared" si="14"/>
        <v>En gestión</v>
      </c>
      <c r="AU37" s="456" t="str">
        <f t="shared" si="15"/>
        <v>En gestión</v>
      </c>
      <c r="AV37" s="454" t="s">
        <v>4439</v>
      </c>
      <c r="AW37" s="447">
        <f>SUMPRODUCT(N37,AQ37)</f>
        <v>0.6</v>
      </c>
      <c r="AX37" s="503">
        <f>SUMPRODUCT(N37,R37)</f>
        <v>0.1</v>
      </c>
      <c r="AY37" s="456" t="str">
        <f>IF(AX37&lt;1%,"Sin iniciar",IF(AX37=100%,"Terminado","En gestión"))</f>
        <v>En gestión</v>
      </c>
      <c r="AZ37" s="456" t="str">
        <f>IF(AW37&lt;1%,"Sin iniciar",IF(AW37=100%,"Terminado","En gestión"))</f>
        <v>En gestión</v>
      </c>
      <c r="BA37" s="456"/>
      <c r="BB37" s="456" t="s">
        <v>4441</v>
      </c>
      <c r="BC37" s="469">
        <v>12046596.1</v>
      </c>
      <c r="BD37" s="469">
        <v>12046596.1</v>
      </c>
      <c r="BE37" s="469">
        <v>6023298.0499999998</v>
      </c>
      <c r="BF37" s="469">
        <v>30840800</v>
      </c>
      <c r="BG37" s="472">
        <v>26160133.399999999</v>
      </c>
      <c r="BH37" s="469">
        <v>10851200.000000002</v>
      </c>
      <c r="BI37" s="449" t="s">
        <v>4435</v>
      </c>
      <c r="BJ37" s="471" t="s">
        <v>4437</v>
      </c>
      <c r="BK37" s="454" t="s">
        <v>4438</v>
      </c>
      <c r="BL37" s="454" t="s">
        <v>4442</v>
      </c>
      <c r="BM37" s="507">
        <v>0.7</v>
      </c>
      <c r="BN37" s="454" t="s">
        <v>4443</v>
      </c>
      <c r="BO37" s="454" t="s">
        <v>5191</v>
      </c>
      <c r="BP37" s="456" t="str">
        <f>IF(R37&lt;1%,"Sin iniciar",IF(R37=100%,"Terminado","En gestión"))</f>
        <v>En gestión</v>
      </c>
      <c r="BQ37" s="456" t="str">
        <f t="shared" si="16"/>
        <v>En gestión</v>
      </c>
      <c r="BR37" s="454" t="s">
        <v>4444</v>
      </c>
      <c r="BS37" s="511">
        <f>(N37*BM37)</f>
        <v>0.7</v>
      </c>
      <c r="BT37" s="513">
        <f>(N37*S37)</f>
        <v>0.5</v>
      </c>
      <c r="BU37" s="456" t="str">
        <f>IF(BT37&lt;1%,"Sin iniciar",IF(BT37=100%,"Terminado","En gestión"))</f>
        <v>En gestión</v>
      </c>
      <c r="BV37" s="456" t="str">
        <f>IF(BS37&lt;1%,"Sin iniciar",IF(BS37=100%,"Terminado","En gestión"))</f>
        <v>En gestión</v>
      </c>
      <c r="BW37" s="456" t="s">
        <v>28</v>
      </c>
      <c r="BX37" s="456" t="s">
        <v>4441</v>
      </c>
      <c r="BY37" s="469">
        <v>12046596.1</v>
      </c>
      <c r="BZ37" s="469">
        <v>12046596.1</v>
      </c>
      <c r="CA37" s="469">
        <v>9034947.0749999993</v>
      </c>
      <c r="CB37" s="469">
        <v>30840800</v>
      </c>
      <c r="CC37" s="469">
        <v>26160133.399999999</v>
      </c>
      <c r="CD37" s="469">
        <v>20309442.666666664</v>
      </c>
      <c r="CE37" s="454" t="s">
        <v>4435</v>
      </c>
      <c r="CF37" s="454" t="s">
        <v>4437</v>
      </c>
      <c r="CG37" s="454" t="s">
        <v>4438</v>
      </c>
      <c r="CH37" s="454" t="s">
        <v>4442</v>
      </c>
    </row>
    <row r="38" spans="2:86" ht="171.95" customHeight="1" x14ac:dyDescent="0.25">
      <c r="B38" s="1201"/>
      <c r="C38" s="386" t="s">
        <v>4445</v>
      </c>
      <c r="D38" s="384" t="s">
        <v>25</v>
      </c>
      <c r="E38" s="384" t="s">
        <v>4446</v>
      </c>
      <c r="F38" s="384" t="s">
        <v>28</v>
      </c>
      <c r="G38" s="384" t="s">
        <v>28</v>
      </c>
      <c r="H38" s="384" t="s">
        <v>29</v>
      </c>
      <c r="I38" s="384" t="s">
        <v>47</v>
      </c>
      <c r="J38" s="415" t="s">
        <v>4447</v>
      </c>
      <c r="K38" s="385" t="s">
        <v>4448</v>
      </c>
      <c r="L38" s="386" t="s">
        <v>4449</v>
      </c>
      <c r="M38" s="387" t="s">
        <v>4450</v>
      </c>
      <c r="N38" s="384">
        <v>1</v>
      </c>
      <c r="O38" s="388">
        <v>44228</v>
      </c>
      <c r="P38" s="388">
        <v>44561</v>
      </c>
      <c r="Q38" s="384">
        <v>0.1</v>
      </c>
      <c r="R38" s="384">
        <v>0.4</v>
      </c>
      <c r="S38" s="382">
        <v>0.7</v>
      </c>
      <c r="T38" s="384">
        <v>1</v>
      </c>
      <c r="U38" s="446">
        <v>0.1</v>
      </c>
      <c r="V38" s="389" t="s">
        <v>4451</v>
      </c>
      <c r="W38" s="389" t="s">
        <v>4452</v>
      </c>
      <c r="X38" s="390" t="str">
        <f t="shared" si="12"/>
        <v>En gestión</v>
      </c>
      <c r="Y38" s="390" t="str">
        <f t="shared" si="13"/>
        <v>En gestión</v>
      </c>
      <c r="Z38" s="389" t="s">
        <v>4453</v>
      </c>
      <c r="AA38" s="446">
        <f>N38*U38</f>
        <v>0.1</v>
      </c>
      <c r="AB38" s="502">
        <f>N38*Q38</f>
        <v>0.1</v>
      </c>
      <c r="AC38" s="390" t="str">
        <f>IF(AB38&lt;1%,"Sin iniciar",IF(AB38=100%,"Terminado","En gestión"))</f>
        <v>En gestión</v>
      </c>
      <c r="AD38" s="390" t="str">
        <f>IF(AA38&lt;1%,"Sin iniciar",IF(AA38=100%,"Terminado","En gestión"))</f>
        <v>En gestión</v>
      </c>
      <c r="AE38" s="390"/>
      <c r="AF38" s="391">
        <v>6369214</v>
      </c>
      <c r="AG38" s="391">
        <v>6369214</v>
      </c>
      <c r="AH38" s="391">
        <f>+AG38/4</f>
        <v>1592303.5</v>
      </c>
      <c r="AI38" s="391">
        <f>AP38</f>
        <v>44876070</v>
      </c>
      <c r="AJ38" s="391">
        <v>44876070</v>
      </c>
      <c r="AK38" s="391">
        <v>9640044.666666666</v>
      </c>
      <c r="AL38" s="385" t="s">
        <v>4435</v>
      </c>
      <c r="AM38" s="385" t="s">
        <v>4436</v>
      </c>
      <c r="AN38" s="412" t="s">
        <v>2478</v>
      </c>
      <c r="AO38" s="389" t="s">
        <v>4454</v>
      </c>
      <c r="AP38" s="416">
        <f>+AJ38</f>
        <v>44876070</v>
      </c>
      <c r="AQ38" s="1212">
        <v>0.4</v>
      </c>
      <c r="AR38" s="389" t="s">
        <v>4455</v>
      </c>
      <c r="AS38" s="389" t="s">
        <v>4456</v>
      </c>
      <c r="AT38" s="390" t="str">
        <f t="shared" si="14"/>
        <v>En gestión</v>
      </c>
      <c r="AU38" s="390" t="str">
        <f t="shared" si="15"/>
        <v>En gestión</v>
      </c>
      <c r="AV38" s="389" t="s">
        <v>4457</v>
      </c>
      <c r="AW38" s="447">
        <f>SUMPRODUCT(N38,AQ38)</f>
        <v>0.4</v>
      </c>
      <c r="AX38" s="503">
        <f>SUMPRODUCT(N38,R38)</f>
        <v>0.4</v>
      </c>
      <c r="AY38" s="390" t="str">
        <f>IF(AX38&lt;1%,"Sin iniciar",IF(AX38=100%,"Terminado","En gestión"))</f>
        <v>En gestión</v>
      </c>
      <c r="AZ38" s="390" t="str">
        <f>IF(AW38&lt;1%,"Sin iniciar",IF(AW38=100%,"Terminado","En gestión"))</f>
        <v>En gestión</v>
      </c>
      <c r="BA38" s="390"/>
      <c r="BB38" s="390" t="s">
        <v>366</v>
      </c>
      <c r="BC38" s="391">
        <v>6369214</v>
      </c>
      <c r="BD38" s="391">
        <v>6369214</v>
      </c>
      <c r="BE38" s="391">
        <v>3184607</v>
      </c>
      <c r="BF38" s="391">
        <v>44876070</v>
      </c>
      <c r="BG38" s="391">
        <v>44876070</v>
      </c>
      <c r="BH38" s="391">
        <v>24764942.333333332</v>
      </c>
      <c r="BI38" s="385" t="s">
        <v>4435</v>
      </c>
      <c r="BJ38" s="412" t="s">
        <v>2478</v>
      </c>
      <c r="BK38" s="389" t="s">
        <v>4454</v>
      </c>
      <c r="BL38" s="416" t="s">
        <v>4458</v>
      </c>
      <c r="BM38" s="506">
        <v>0.7</v>
      </c>
      <c r="BN38" s="389" t="s">
        <v>4459</v>
      </c>
      <c r="BO38" s="389" t="s">
        <v>4460</v>
      </c>
      <c r="BP38" s="390" t="str">
        <f>IF(R38&lt;1%,"Sin iniciar",IF(R38=100%,"Terminado","En gestión"))</f>
        <v>En gestión</v>
      </c>
      <c r="BQ38" s="390" t="str">
        <f t="shared" si="16"/>
        <v>En gestión</v>
      </c>
      <c r="BR38" s="389" t="s">
        <v>4461</v>
      </c>
      <c r="BS38" s="511">
        <f>(N38*BM38)</f>
        <v>0.7</v>
      </c>
      <c r="BT38" s="513">
        <f>(N38*S38)</f>
        <v>0.7</v>
      </c>
      <c r="BU38" s="390" t="str">
        <f>IF(BT38&lt;1%,"Sin iniciar",IF(BT38=100%,"Terminado","En gestión"))</f>
        <v>En gestión</v>
      </c>
      <c r="BV38" s="390" t="str">
        <f>IF(BS38&lt;1%,"Sin iniciar",IF(BS38=100%,"Terminado","En gestión"))</f>
        <v>En gestión</v>
      </c>
      <c r="BW38" s="390" t="s">
        <v>28</v>
      </c>
      <c r="BX38" s="390" t="s">
        <v>366</v>
      </c>
      <c r="BY38" s="391">
        <v>6369214</v>
      </c>
      <c r="BZ38" s="391">
        <v>6369214</v>
      </c>
      <c r="CA38" s="391">
        <v>4776910.5</v>
      </c>
      <c r="CB38" s="391">
        <v>44876070</v>
      </c>
      <c r="CC38" s="391">
        <v>44876070</v>
      </c>
      <c r="CD38" s="391">
        <v>40056047.666666664</v>
      </c>
      <c r="CE38" s="389" t="s">
        <v>4435</v>
      </c>
      <c r="CF38" s="389" t="s">
        <v>2478</v>
      </c>
      <c r="CG38" s="389" t="s">
        <v>4454</v>
      </c>
      <c r="CH38" s="389" t="s">
        <v>4458</v>
      </c>
    </row>
    <row r="39" spans="2:86" ht="171.95" customHeight="1" x14ac:dyDescent="0.25">
      <c r="B39" s="1201"/>
      <c r="C39" s="1000" t="s">
        <v>4462</v>
      </c>
      <c r="D39" s="1001" t="s">
        <v>25</v>
      </c>
      <c r="E39" s="1001" t="s">
        <v>4463</v>
      </c>
      <c r="F39" s="1001" t="s">
        <v>28</v>
      </c>
      <c r="G39" s="1001" t="s">
        <v>28</v>
      </c>
      <c r="H39" s="1001" t="s">
        <v>29</v>
      </c>
      <c r="I39" s="1001" t="s">
        <v>47</v>
      </c>
      <c r="J39" s="1002" t="s">
        <v>4464</v>
      </c>
      <c r="K39" s="993" t="s">
        <v>4448</v>
      </c>
      <c r="L39" s="450" t="s">
        <v>4465</v>
      </c>
      <c r="M39" s="451" t="s">
        <v>4466</v>
      </c>
      <c r="N39" s="448">
        <v>0.75</v>
      </c>
      <c r="O39" s="452">
        <v>44228</v>
      </c>
      <c r="P39" s="452">
        <v>44377</v>
      </c>
      <c r="Q39" s="448">
        <v>0.3</v>
      </c>
      <c r="R39" s="448">
        <v>1</v>
      </c>
      <c r="S39" s="453">
        <v>1</v>
      </c>
      <c r="T39" s="448">
        <v>1</v>
      </c>
      <c r="U39" s="446">
        <v>0.5</v>
      </c>
      <c r="V39" s="454" t="s">
        <v>4467</v>
      </c>
      <c r="W39" s="454" t="s">
        <v>4468</v>
      </c>
      <c r="X39" s="456" t="str">
        <f t="shared" si="12"/>
        <v>En gestión</v>
      </c>
      <c r="Y39" s="456" t="str">
        <f t="shared" si="13"/>
        <v>En gestión</v>
      </c>
      <c r="Z39" s="990" t="s">
        <v>4469</v>
      </c>
      <c r="AA39" s="1003">
        <f>SUMPRODUCT(N39:N40,U39:U40)</f>
        <v>0.375</v>
      </c>
      <c r="AB39" s="1004">
        <f>SUMPRODUCT(N39:N40,Q39:Q40)</f>
        <v>0.22499999999999998</v>
      </c>
      <c r="AC39" s="991" t="str">
        <f>IF(AB39&lt;1%,"Sin iniciar",IF(AB39=100%,"Terminado","En gestión"))</f>
        <v>En gestión</v>
      </c>
      <c r="AD39" s="991" t="str">
        <f>IF(AA39&lt;1%,"Sin iniciar",IF(AA39=100%,"Terminado","En gestión"))</f>
        <v>En gestión</v>
      </c>
      <c r="AE39" s="456"/>
      <c r="AF39" s="992">
        <v>0</v>
      </c>
      <c r="AG39" s="992">
        <v>0</v>
      </c>
      <c r="AH39" s="992">
        <v>0</v>
      </c>
      <c r="AI39" s="992">
        <f>AP39</f>
        <v>9229830</v>
      </c>
      <c r="AJ39" s="992">
        <v>9229830</v>
      </c>
      <c r="AK39" s="992">
        <v>2307457.5</v>
      </c>
      <c r="AL39" s="993" t="s">
        <v>4435</v>
      </c>
      <c r="AM39" s="993" t="s">
        <v>4436</v>
      </c>
      <c r="AN39" s="994" t="s">
        <v>4470</v>
      </c>
      <c r="AO39" s="990" t="s">
        <v>2479</v>
      </c>
      <c r="AP39" s="995">
        <f>+AJ39</f>
        <v>9229830</v>
      </c>
      <c r="AQ39" s="1212">
        <v>0.9</v>
      </c>
      <c r="AR39" s="454" t="s">
        <v>4471</v>
      </c>
      <c r="AS39" s="454" t="s">
        <v>4472</v>
      </c>
      <c r="AT39" s="456" t="str">
        <f t="shared" si="14"/>
        <v>Terminado</v>
      </c>
      <c r="AU39" s="456" t="str">
        <f t="shared" si="15"/>
        <v>En gestión</v>
      </c>
      <c r="AV39" s="990" t="s">
        <v>4471</v>
      </c>
      <c r="AW39" s="998">
        <f>SUMPRODUCT(N39:N40,AQ39:AQ40)</f>
        <v>0.67500000000000004</v>
      </c>
      <c r="AX39" s="999">
        <f>SUMPRODUCT(N39:N40,R39:R40)</f>
        <v>0.75</v>
      </c>
      <c r="AY39" s="991" t="str">
        <f>IF(AX39&lt;1%,"Sin iniciar",IF(AX39=100%,"Terminado","En gestión"))</f>
        <v>En gestión</v>
      </c>
      <c r="AZ39" s="991" t="str">
        <f>IF(AW39&lt;1%,"Sin iniciar",IF(AW39=100%,"Terminado","En gestión"))</f>
        <v>En gestión</v>
      </c>
      <c r="BA39" s="473" t="s">
        <v>4473</v>
      </c>
      <c r="BB39" s="991" t="s">
        <v>541</v>
      </c>
      <c r="BC39" s="992">
        <v>0</v>
      </c>
      <c r="BD39" s="992">
        <v>0</v>
      </c>
      <c r="BE39" s="992">
        <v>0</v>
      </c>
      <c r="BF39" s="992">
        <v>9229830</v>
      </c>
      <c r="BG39" s="992">
        <v>9229830</v>
      </c>
      <c r="BH39" s="992">
        <v>5107172.5999999996</v>
      </c>
      <c r="BI39" s="993" t="s">
        <v>4435</v>
      </c>
      <c r="BJ39" s="994" t="s">
        <v>4470</v>
      </c>
      <c r="BK39" s="990" t="s">
        <v>2479</v>
      </c>
      <c r="BL39" s="995" t="s">
        <v>4474</v>
      </c>
      <c r="BM39" s="506">
        <v>1</v>
      </c>
      <c r="BN39" s="454" t="s">
        <v>4475</v>
      </c>
      <c r="BO39" s="474" t="s">
        <v>4476</v>
      </c>
      <c r="BP39" s="456" t="str">
        <f>IF(R39&lt;1%,"Sin iniciar",IF(R39=100%,"Terminado","En gestión"))</f>
        <v>Terminado</v>
      </c>
      <c r="BQ39" s="456" t="str">
        <f t="shared" si="16"/>
        <v>Terminado</v>
      </c>
      <c r="BR39" s="990" t="s">
        <v>4477</v>
      </c>
      <c r="BS39" s="996">
        <f>SUMPRODUCT(N39:N40,BM39:BM40)</f>
        <v>1</v>
      </c>
      <c r="BT39" s="997">
        <f>SUMPRODUCT(N39:N40,S39:S40)</f>
        <v>1</v>
      </c>
      <c r="BU39" s="991" t="str">
        <f>IF(BT39&lt;1%,"Sin iniciar",IF(BT39=100%,"Terminado","En gestión"))</f>
        <v>Terminado</v>
      </c>
      <c r="BV39" s="991" t="str">
        <f>IF(BS39&lt;1%,"Sin iniciar",IF(BS39=100%,"Terminado","En gestión"))</f>
        <v>Terminado</v>
      </c>
      <c r="BW39" s="991" t="s">
        <v>28</v>
      </c>
      <c r="BX39" s="991" t="s">
        <v>541</v>
      </c>
      <c r="BY39" s="992">
        <v>0</v>
      </c>
      <c r="BZ39" s="992">
        <v>0</v>
      </c>
      <c r="CA39" s="992">
        <f>(BZ39/4)*3</f>
        <v>0</v>
      </c>
      <c r="CB39" s="992">
        <v>9229830</v>
      </c>
      <c r="CC39" s="992">
        <v>9229830</v>
      </c>
      <c r="CD39" s="992">
        <v>7937653.7999999998</v>
      </c>
      <c r="CE39" s="990" t="s">
        <v>4435</v>
      </c>
      <c r="CF39" s="990" t="s">
        <v>4470</v>
      </c>
      <c r="CG39" s="990" t="s">
        <v>2479</v>
      </c>
      <c r="CH39" s="990" t="s">
        <v>4474</v>
      </c>
    </row>
    <row r="40" spans="2:86" ht="171.95" customHeight="1" x14ac:dyDescent="0.25">
      <c r="B40" s="1202"/>
      <c r="C40" s="1000"/>
      <c r="D40" s="1001"/>
      <c r="E40" s="1001"/>
      <c r="F40" s="1001"/>
      <c r="G40" s="1001"/>
      <c r="H40" s="1001"/>
      <c r="I40" s="1001"/>
      <c r="J40" s="1002"/>
      <c r="K40" s="993"/>
      <c r="L40" s="450" t="s">
        <v>4478</v>
      </c>
      <c r="M40" s="451" t="s">
        <v>4479</v>
      </c>
      <c r="N40" s="448">
        <v>0.25</v>
      </c>
      <c r="O40" s="452">
        <v>44378</v>
      </c>
      <c r="P40" s="452">
        <v>44438</v>
      </c>
      <c r="Q40" s="448">
        <v>0</v>
      </c>
      <c r="R40" s="448">
        <v>0</v>
      </c>
      <c r="S40" s="453">
        <v>1</v>
      </c>
      <c r="T40" s="448">
        <v>1</v>
      </c>
      <c r="U40" s="446">
        <v>0</v>
      </c>
      <c r="V40" s="456" t="s">
        <v>2355</v>
      </c>
      <c r="W40" s="456"/>
      <c r="X40" s="456" t="str">
        <f t="shared" si="12"/>
        <v>Sin iniciar</v>
      </c>
      <c r="Y40" s="456" t="str">
        <f t="shared" si="13"/>
        <v>Sin iniciar</v>
      </c>
      <c r="Z40" s="990"/>
      <c r="AA40" s="1003"/>
      <c r="AB40" s="1004"/>
      <c r="AC40" s="991"/>
      <c r="AD40" s="991"/>
      <c r="AE40" s="456"/>
      <c r="AF40" s="992"/>
      <c r="AG40" s="992"/>
      <c r="AH40" s="992"/>
      <c r="AI40" s="992"/>
      <c r="AJ40" s="992"/>
      <c r="AK40" s="992"/>
      <c r="AL40" s="993"/>
      <c r="AM40" s="993"/>
      <c r="AN40" s="994"/>
      <c r="AO40" s="990"/>
      <c r="AP40" s="995"/>
      <c r="AQ40" s="1212">
        <v>0</v>
      </c>
      <c r="AR40" s="454" t="s">
        <v>2437</v>
      </c>
      <c r="AS40" s="454"/>
      <c r="AT40" s="456" t="str">
        <f t="shared" si="14"/>
        <v>Sin iniciar</v>
      </c>
      <c r="AU40" s="456" t="str">
        <f t="shared" si="15"/>
        <v>Sin iniciar</v>
      </c>
      <c r="AV40" s="990"/>
      <c r="AW40" s="998"/>
      <c r="AX40" s="999"/>
      <c r="AY40" s="991"/>
      <c r="AZ40" s="991"/>
      <c r="BA40" s="456"/>
      <c r="BB40" s="991"/>
      <c r="BC40" s="992"/>
      <c r="BD40" s="992"/>
      <c r="BE40" s="992"/>
      <c r="BF40" s="992"/>
      <c r="BG40" s="992"/>
      <c r="BH40" s="992"/>
      <c r="BI40" s="993"/>
      <c r="BJ40" s="994"/>
      <c r="BK40" s="990"/>
      <c r="BL40" s="995"/>
      <c r="BM40" s="506">
        <v>1</v>
      </c>
      <c r="BN40" s="454" t="s">
        <v>4480</v>
      </c>
      <c r="BO40" s="454" t="s">
        <v>4481</v>
      </c>
      <c r="BP40" s="456" t="str">
        <f>IF(R40&lt;1%,"Sin iniciar",IF(R40=100%,"Terminado","En gestión"))</f>
        <v>Sin iniciar</v>
      </c>
      <c r="BQ40" s="456" t="str">
        <f t="shared" si="16"/>
        <v>Terminado</v>
      </c>
      <c r="BR40" s="990"/>
      <c r="BS40" s="996"/>
      <c r="BT40" s="997"/>
      <c r="BU40" s="991"/>
      <c r="BV40" s="991"/>
      <c r="BW40" s="991"/>
      <c r="BX40" s="991"/>
      <c r="BY40" s="992"/>
      <c r="BZ40" s="992"/>
      <c r="CA40" s="992"/>
      <c r="CB40" s="992"/>
      <c r="CC40" s="992"/>
      <c r="CD40" s="992"/>
      <c r="CE40" s="990"/>
      <c r="CF40" s="990"/>
      <c r="CG40" s="990"/>
      <c r="CH40" s="990"/>
    </row>
    <row r="41" spans="2:86" ht="171.95" customHeight="1" x14ac:dyDescent="0.25">
      <c r="B41" s="1185" t="s">
        <v>5227</v>
      </c>
      <c r="C41" s="386" t="s">
        <v>5166</v>
      </c>
      <c r="D41" s="384" t="s">
        <v>25</v>
      </c>
      <c r="E41" s="384" t="s">
        <v>4991</v>
      </c>
      <c r="F41" s="384" t="s">
        <v>28</v>
      </c>
      <c r="G41" s="384" t="s">
        <v>28</v>
      </c>
      <c r="H41" s="384" t="s">
        <v>162</v>
      </c>
      <c r="I41" s="384" t="s">
        <v>194</v>
      </c>
      <c r="J41" s="415" t="s">
        <v>5167</v>
      </c>
      <c r="K41" s="385" t="s">
        <v>1710</v>
      </c>
      <c r="L41" s="386" t="s">
        <v>5168</v>
      </c>
      <c r="M41" s="387" t="s">
        <v>5169</v>
      </c>
      <c r="N41" s="384">
        <v>1</v>
      </c>
      <c r="O41" s="388">
        <v>44229</v>
      </c>
      <c r="P41" s="388">
        <v>44530</v>
      </c>
      <c r="Q41" s="384">
        <v>0.2</v>
      </c>
      <c r="R41" s="384">
        <v>0.5</v>
      </c>
      <c r="S41" s="382">
        <v>0.75</v>
      </c>
      <c r="T41" s="384">
        <v>1</v>
      </c>
      <c r="U41" s="446">
        <v>0.2</v>
      </c>
      <c r="V41" s="407" t="s">
        <v>5170</v>
      </c>
      <c r="W41" s="409" t="s">
        <v>5171</v>
      </c>
      <c r="X41" s="390" t="str">
        <f>IF(Q41&lt;1%,"Sin iniciar",IF(Q41=100%,"Terminado","En gestión"))</f>
        <v>En gestión</v>
      </c>
      <c r="Y41" s="390" t="str">
        <f>IF(U41&lt;1%,"Sin iniciar",IF(U41=100%,"Terminado","En gestión"))</f>
        <v>En gestión</v>
      </c>
      <c r="Z41" s="407" t="s">
        <v>5172</v>
      </c>
      <c r="AA41" s="446">
        <f>N41*U41</f>
        <v>0.2</v>
      </c>
      <c r="AB41" s="502">
        <f>N41*Q41</f>
        <v>0.2</v>
      </c>
      <c r="AC41" s="390" t="str">
        <f>IF(AB41&lt;1%,"Sin iniciar",IF(AB41=100%,"Terminado","En gestión"))</f>
        <v>En gestión</v>
      </c>
      <c r="AD41" s="390" t="str">
        <f>IF(AA41&lt;1%,"Sin iniciar",IF(AA41=100%,"Terminado","En gestión"))</f>
        <v>En gestión</v>
      </c>
      <c r="AE41" s="390"/>
      <c r="AF41" s="391">
        <v>27500000</v>
      </c>
      <c r="AG41" s="391">
        <v>0</v>
      </c>
      <c r="AH41" s="391">
        <v>0</v>
      </c>
      <c r="AI41" s="391">
        <v>77703200</v>
      </c>
      <c r="AJ41" s="391">
        <v>77703200</v>
      </c>
      <c r="AK41" s="391">
        <v>77703200</v>
      </c>
      <c r="AL41" s="389" t="s">
        <v>4998</v>
      </c>
      <c r="AM41" s="389" t="s">
        <v>4999</v>
      </c>
      <c r="AN41" s="389" t="s">
        <v>2480</v>
      </c>
      <c r="AO41" s="389" t="s">
        <v>5000</v>
      </c>
      <c r="AP41" s="391">
        <v>77703200</v>
      </c>
      <c r="AQ41" s="1212">
        <v>0.5</v>
      </c>
      <c r="AR41" s="407" t="s">
        <v>5173</v>
      </c>
      <c r="AS41" s="407" t="s">
        <v>5171</v>
      </c>
      <c r="AT41" s="390" t="str">
        <f>IF(R41&lt;1%,"Sin iniciar",IF(R41=100%,"Terminado","En gestión"))</f>
        <v>En gestión</v>
      </c>
      <c r="AU41" s="390" t="str">
        <f>IF(AQ41&lt;1%,"Sin iniciar",IF(AQ41=100%,"Terminado","En gestión"))</f>
        <v>En gestión</v>
      </c>
      <c r="AV41" s="407" t="s">
        <v>5174</v>
      </c>
      <c r="AW41" s="447">
        <f>SUMPRODUCT(N41,AQ41)</f>
        <v>0.5</v>
      </c>
      <c r="AX41" s="503">
        <f>SUMPRODUCT(N41,R41)</f>
        <v>0.5</v>
      </c>
      <c r="AY41" s="390" t="str">
        <f>IF(AX41&lt;1%,"Sin iniciar",IF(AX41=100%,"Terminado","En gestión"))</f>
        <v>En gestión</v>
      </c>
      <c r="AZ41" s="390" t="str">
        <f>IF(AW41&lt;1%,"Sin iniciar",IF(AW41=100%,"Terminado","En gestión"))</f>
        <v>En gestión</v>
      </c>
      <c r="BA41" s="390"/>
      <c r="BB41" s="390"/>
      <c r="BC41" s="391">
        <v>27500000</v>
      </c>
      <c r="BD41" s="391">
        <v>27500000</v>
      </c>
      <c r="BE41" s="391">
        <v>13750000</v>
      </c>
      <c r="BF41" s="391">
        <v>77703200</v>
      </c>
      <c r="BG41" s="391">
        <v>77703200</v>
      </c>
      <c r="BH41" s="391">
        <v>34966440</v>
      </c>
      <c r="BI41" s="385" t="s">
        <v>4998</v>
      </c>
      <c r="BJ41" s="412" t="s">
        <v>2480</v>
      </c>
      <c r="BK41" s="389" t="s">
        <v>5000</v>
      </c>
      <c r="BL41" s="393" t="s">
        <v>5003</v>
      </c>
      <c r="BM41" s="506">
        <v>0.75</v>
      </c>
      <c r="BN41" s="407" t="s">
        <v>5175</v>
      </c>
      <c r="BO41" s="390"/>
      <c r="BP41" s="390" t="str">
        <f>IF(S41&lt;1%,"Sin iniciar",IF(S41=100%,"Terminado","En gestión"))</f>
        <v>En gestión</v>
      </c>
      <c r="BQ41" s="390" t="str">
        <f>IF(BM41&lt;1%,"Sin iniciar",IF(BM41=100%,"Terminado","En gestión"))</f>
        <v>En gestión</v>
      </c>
      <c r="BR41" s="407" t="s">
        <v>5174</v>
      </c>
      <c r="BS41" s="512">
        <f>(N41*BM41)</f>
        <v>0.75</v>
      </c>
      <c r="BT41" s="513">
        <f>(N41*S41)</f>
        <v>0.75</v>
      </c>
      <c r="BU41" s="390" t="str">
        <f>IF(BT41&lt;1%,"Sin iniciar",IF(BT41=100%,"Terminado","En gestión"))</f>
        <v>En gestión</v>
      </c>
      <c r="BV41" s="390" t="str">
        <f>IF(BS41&lt;1%,"Sin iniciar",IF(BS41=100%,"Terminado","En gestión"))</f>
        <v>En gestión</v>
      </c>
      <c r="BW41" s="390" t="s">
        <v>28</v>
      </c>
      <c r="BX41" s="390" t="s">
        <v>1555</v>
      </c>
      <c r="BY41" s="413">
        <v>27500000</v>
      </c>
      <c r="BZ41" s="413">
        <v>27500000</v>
      </c>
      <c r="CA41" s="413">
        <v>20625000</v>
      </c>
      <c r="CB41" s="413">
        <v>77703200</v>
      </c>
      <c r="CC41" s="413">
        <v>77703200</v>
      </c>
      <c r="CD41" s="413">
        <v>58277400</v>
      </c>
      <c r="CE41" s="389" t="s">
        <v>5006</v>
      </c>
      <c r="CF41" s="389" t="s">
        <v>2480</v>
      </c>
      <c r="CG41" s="390" t="s">
        <v>5000</v>
      </c>
      <c r="CH41" s="389" t="s">
        <v>5003</v>
      </c>
    </row>
    <row r="42" spans="2:86" ht="171.95" customHeight="1" x14ac:dyDescent="0.25">
      <c r="B42" s="1187"/>
      <c r="C42" s="450" t="s">
        <v>5176</v>
      </c>
      <c r="D42" s="448" t="s">
        <v>25</v>
      </c>
      <c r="E42" s="448" t="s">
        <v>5177</v>
      </c>
      <c r="F42" s="448" t="s">
        <v>28</v>
      </c>
      <c r="G42" s="448" t="s">
        <v>28</v>
      </c>
      <c r="H42" s="448" t="s">
        <v>162</v>
      </c>
      <c r="I42" s="448" t="s">
        <v>30</v>
      </c>
      <c r="J42" s="468" t="s">
        <v>5178</v>
      </c>
      <c r="K42" s="449" t="s">
        <v>1711</v>
      </c>
      <c r="L42" s="450" t="s">
        <v>5179</v>
      </c>
      <c r="M42" s="451" t="s">
        <v>5180</v>
      </c>
      <c r="N42" s="448">
        <v>1</v>
      </c>
      <c r="O42" s="452">
        <v>44229</v>
      </c>
      <c r="P42" s="452">
        <v>44561</v>
      </c>
      <c r="Q42" s="448">
        <v>0.25</v>
      </c>
      <c r="R42" s="448">
        <v>0.5</v>
      </c>
      <c r="S42" s="453">
        <v>0.75</v>
      </c>
      <c r="T42" s="448">
        <v>1</v>
      </c>
      <c r="U42" s="446">
        <v>0.25</v>
      </c>
      <c r="V42" s="463" t="s">
        <v>5181</v>
      </c>
      <c r="W42" s="465" t="s">
        <v>5182</v>
      </c>
      <c r="X42" s="456" t="str">
        <f>IF(Q42&lt;1%,"Sin iniciar",IF(Q42=100%,"Terminado","En gestión"))</f>
        <v>En gestión</v>
      </c>
      <c r="Y42" s="456" t="str">
        <f>IF(U42&lt;1%,"Sin iniciar",IF(U42=100%,"Terminado","En gestión"))</f>
        <v>En gestión</v>
      </c>
      <c r="Z42" s="463" t="s">
        <v>5183</v>
      </c>
      <c r="AA42" s="446">
        <f>N42*U42</f>
        <v>0.25</v>
      </c>
      <c r="AB42" s="502">
        <f>N42*Q42</f>
        <v>0.25</v>
      </c>
      <c r="AC42" s="456" t="str">
        <f>IF(AB42&lt;1%,"Sin iniciar",IF(AB42=100%,"Terminado","En gestión"))</f>
        <v>En gestión</v>
      </c>
      <c r="AD42" s="456" t="str">
        <f>IF(AA42&lt;1%,"Sin iniciar",IF(AA42=100%,"Terminado","En gestión"))</f>
        <v>En gestión</v>
      </c>
      <c r="AE42" s="456"/>
      <c r="AF42" s="469">
        <v>51750000</v>
      </c>
      <c r="AG42" s="469">
        <v>0</v>
      </c>
      <c r="AH42" s="469">
        <v>0</v>
      </c>
      <c r="AI42" s="469">
        <v>228041400</v>
      </c>
      <c r="AJ42" s="469">
        <v>228041400</v>
      </c>
      <c r="AK42" s="469">
        <v>228041400</v>
      </c>
      <c r="AL42" s="449" t="s">
        <v>4998</v>
      </c>
      <c r="AM42" s="449" t="s">
        <v>4999</v>
      </c>
      <c r="AN42" s="471" t="s">
        <v>5056</v>
      </c>
      <c r="AO42" s="454" t="s">
        <v>5057</v>
      </c>
      <c r="AP42" s="469">
        <v>228041400</v>
      </c>
      <c r="AQ42" s="1212">
        <v>0.5</v>
      </c>
      <c r="AR42" s="463" t="s">
        <v>5184</v>
      </c>
      <c r="AS42" s="463" t="s">
        <v>5182</v>
      </c>
      <c r="AT42" s="456" t="str">
        <f>IF(R42&lt;1%,"Sin iniciar",IF(R42=100%,"Terminado","En gestión"))</f>
        <v>En gestión</v>
      </c>
      <c r="AU42" s="456" t="str">
        <f>IF(AQ42&lt;1%,"Sin iniciar",IF(AQ42=100%,"Terminado","En gestión"))</f>
        <v>En gestión</v>
      </c>
      <c r="AV42" s="463" t="s">
        <v>5185</v>
      </c>
      <c r="AW42" s="447">
        <f>SUMPRODUCT(N42,AQ42)</f>
        <v>0.5</v>
      </c>
      <c r="AX42" s="503">
        <f>SUMPRODUCT(N42,R42)</f>
        <v>0.5</v>
      </c>
      <c r="AY42" s="456" t="str">
        <f>IF(AX42&lt;1%,"Sin iniciar",IF(AX42=100%,"Terminado","En gestión"))</f>
        <v>En gestión</v>
      </c>
      <c r="AZ42" s="456" t="str">
        <f>IF(AW42&lt;1%,"Sin iniciar",IF(AW42=100%,"Terminado","En gestión"))</f>
        <v>En gestión</v>
      </c>
      <c r="BA42" s="456"/>
      <c r="BB42" s="456"/>
      <c r="BC42" s="469">
        <v>51750000</v>
      </c>
      <c r="BD42" s="469">
        <v>51750000</v>
      </c>
      <c r="BE42" s="449">
        <v>25875000</v>
      </c>
      <c r="BF42" s="469">
        <v>228041400</v>
      </c>
      <c r="BG42" s="469">
        <v>228041400</v>
      </c>
      <c r="BH42" s="469">
        <v>103247600</v>
      </c>
      <c r="BI42" s="449" t="s">
        <v>4998</v>
      </c>
      <c r="BJ42" s="471" t="s">
        <v>5056</v>
      </c>
      <c r="BK42" s="454" t="s">
        <v>5057</v>
      </c>
      <c r="BL42" s="475" t="s">
        <v>5060</v>
      </c>
      <c r="BM42" s="506">
        <v>0.75</v>
      </c>
      <c r="BN42" s="463" t="s">
        <v>5186</v>
      </c>
      <c r="BO42" s="456"/>
      <c r="BP42" s="456" t="str">
        <f>IF(S42&lt;1%,"Sin iniciar",IF(S42=100%,"Terminado","En gestión"))</f>
        <v>En gestión</v>
      </c>
      <c r="BQ42" s="456" t="str">
        <f>IF(BM42&lt;1%,"Sin iniciar",IF(BM42=100%,"Terminado","En gestión"))</f>
        <v>En gestión</v>
      </c>
      <c r="BR42" s="463" t="s">
        <v>5187</v>
      </c>
      <c r="BS42" s="512">
        <f>(N42*BM42)</f>
        <v>0.75</v>
      </c>
      <c r="BT42" s="513">
        <f>(N42*S42)</f>
        <v>0.75</v>
      </c>
      <c r="BU42" s="456" t="str">
        <f>IF(BT42&lt;1%,"Sin iniciar",IF(BT42=100%,"Terminado","En gestión"))</f>
        <v>En gestión</v>
      </c>
      <c r="BV42" s="456" t="str">
        <f>IF(BS42&lt;1%,"Sin iniciar",IF(BS42=100%,"Terminado","En gestión"))</f>
        <v>En gestión</v>
      </c>
      <c r="BW42" s="456" t="s">
        <v>28</v>
      </c>
      <c r="BX42" s="456" t="s">
        <v>1555</v>
      </c>
      <c r="BY42" s="476">
        <v>51750000</v>
      </c>
      <c r="BZ42" s="476">
        <v>51750000</v>
      </c>
      <c r="CA42" s="476">
        <v>38812500</v>
      </c>
      <c r="CB42" s="476">
        <v>228041400</v>
      </c>
      <c r="CC42" s="476">
        <v>228041400</v>
      </c>
      <c r="CD42" s="476">
        <v>169548800</v>
      </c>
      <c r="CE42" s="454" t="s">
        <v>5006</v>
      </c>
      <c r="CF42" s="454" t="s">
        <v>5056</v>
      </c>
      <c r="CG42" s="456" t="s">
        <v>5057</v>
      </c>
      <c r="CH42" s="454" t="s">
        <v>5060</v>
      </c>
    </row>
    <row r="43" spans="2:86" ht="171.95" customHeight="1" x14ac:dyDescent="0.25">
      <c r="B43" s="1191" t="s">
        <v>5228</v>
      </c>
      <c r="C43" s="1066" t="s">
        <v>1712</v>
      </c>
      <c r="D43" s="417" t="s">
        <v>1045</v>
      </c>
      <c r="E43" s="1067" t="s">
        <v>1046</v>
      </c>
      <c r="F43" s="417" t="s">
        <v>28</v>
      </c>
      <c r="G43" s="417" t="s">
        <v>28</v>
      </c>
      <c r="H43" s="417" t="s">
        <v>59</v>
      </c>
      <c r="I43" s="417" t="s">
        <v>1047</v>
      </c>
      <c r="J43" s="1068" t="s">
        <v>1713</v>
      </c>
      <c r="K43" s="387" t="s">
        <v>1711</v>
      </c>
      <c r="L43" s="418" t="s">
        <v>1714</v>
      </c>
      <c r="M43" s="419" t="s">
        <v>1715</v>
      </c>
      <c r="N43" s="417">
        <v>0.5</v>
      </c>
      <c r="O43" s="420">
        <v>44197</v>
      </c>
      <c r="P43" s="420">
        <v>44561</v>
      </c>
      <c r="Q43" s="417">
        <v>0.25</v>
      </c>
      <c r="R43" s="417">
        <v>0.5</v>
      </c>
      <c r="S43" s="417">
        <v>0.75</v>
      </c>
      <c r="T43" s="417">
        <v>1</v>
      </c>
      <c r="U43" s="380">
        <v>0.25</v>
      </c>
      <c r="V43" s="417" t="s">
        <v>1716</v>
      </c>
      <c r="W43" s="417" t="s">
        <v>3894</v>
      </c>
      <c r="X43" s="379" t="str">
        <f t="shared" ref="X43:X106" si="17">IF(Q43&lt;1%,"Sin iniciar",IF(Q43=100%,"Terminado","En gestión"))</f>
        <v>En gestión</v>
      </c>
      <c r="Y43" s="379" t="str">
        <f t="shared" ref="Y43:Y106" si="18">IF(U43&lt;1%,"Sin iniciar",IF(U43=100%,"Terminado","En gestión"))</f>
        <v>En gestión</v>
      </c>
      <c r="Z43" s="1069" t="s">
        <v>1778</v>
      </c>
      <c r="AA43" s="1026">
        <f>SUMPRODUCT(N43:N44,U43:U44)</f>
        <v>0.25</v>
      </c>
      <c r="AB43" s="1004">
        <f>SUMPRODUCT(N43:N44,Q43:Q44)</f>
        <v>0.25</v>
      </c>
      <c r="AC43" s="1070" t="str">
        <f>IF(AB43&lt;1%,"Sin iniciar",IF(AB43=100%,"Terminado","En gestión"))</f>
        <v>En gestión</v>
      </c>
      <c r="AD43" s="1070" t="str">
        <f>IF(AA43&lt;1%,"Sin iniciar",IF(AA43=100%,"Terminado","En gestión"))</f>
        <v>En gestión</v>
      </c>
      <c r="AE43" s="421"/>
      <c r="AF43" s="1071">
        <v>155641922</v>
      </c>
      <c r="AG43" s="1071">
        <v>155641922</v>
      </c>
      <c r="AH43" s="1084">
        <v>38910480.5</v>
      </c>
      <c r="AI43" s="1071">
        <v>183009000</v>
      </c>
      <c r="AJ43" s="1071">
        <v>183009000</v>
      </c>
      <c r="AK43" s="1084">
        <v>14640720</v>
      </c>
      <c r="AL43" s="1069" t="s">
        <v>2481</v>
      </c>
      <c r="AM43" s="1069" t="s">
        <v>2482</v>
      </c>
      <c r="AN43" s="1083"/>
      <c r="AO43" s="390"/>
      <c r="AP43" s="1084">
        <f>+AI43</f>
        <v>183009000</v>
      </c>
      <c r="AQ43" s="1213">
        <v>0.5</v>
      </c>
      <c r="AR43" s="422" t="s">
        <v>2442</v>
      </c>
      <c r="AS43" s="417" t="s">
        <v>3895</v>
      </c>
      <c r="AT43" s="379" t="str">
        <f t="shared" ref="AT43:AT106" si="19">IF(R43&lt;1%,"Sin iniciar",IF(R43=100%,"Terminado","En gestión"))</f>
        <v>En gestión</v>
      </c>
      <c r="AU43" s="379" t="str">
        <f t="shared" ref="AU43:AU106" si="20">IF(AQ43&lt;1%,"Sin iniciar",IF(AQ43=100%,"Terminado","En gestión"))</f>
        <v>En gestión</v>
      </c>
      <c r="AV43" s="1085" t="s">
        <v>1797</v>
      </c>
      <c r="AW43" s="1048">
        <f t="shared" ref="AW43" si="21">SUMPRODUCT(N43,AQ43)</f>
        <v>0.25</v>
      </c>
      <c r="AX43" s="1049">
        <f t="shared" ref="AX43:AX45" si="22">SUMPRODUCT(N43,R43)</f>
        <v>0.25</v>
      </c>
      <c r="AY43" s="1070" t="str">
        <f t="shared" ref="AY43:AY49" si="23">IF(AX43&lt;1%,"Sin iniciar",IF(AX43=100%,"Terminado","En gestión"))</f>
        <v>En gestión</v>
      </c>
      <c r="AZ43" s="1070" t="str">
        <f t="shared" ref="AZ43:AZ49" si="24">IF(AW43&lt;1%,"Sin iniciar",IF(AW43=100%,"Terminado","En gestión"))</f>
        <v>En gestión</v>
      </c>
      <c r="BA43" s="423"/>
      <c r="BB43" s="1082" t="s">
        <v>1204</v>
      </c>
      <c r="BC43" s="1080">
        <v>155641922</v>
      </c>
      <c r="BD43" s="1080">
        <v>155641922</v>
      </c>
      <c r="BE43" s="1081">
        <f>BD43/2</f>
        <v>77820961</v>
      </c>
      <c r="BF43" s="1080">
        <v>183009000</v>
      </c>
      <c r="BG43" s="1080">
        <v>183009000</v>
      </c>
      <c r="BH43" s="1081">
        <v>77220719</v>
      </c>
      <c r="BI43" s="1069" t="s">
        <v>2540</v>
      </c>
      <c r="BJ43" s="1069" t="s">
        <v>2541</v>
      </c>
      <c r="BK43" s="1081" t="s">
        <v>2542</v>
      </c>
      <c r="BL43" s="1069" t="s">
        <v>2543</v>
      </c>
      <c r="BM43" s="506">
        <v>0.75</v>
      </c>
      <c r="BN43" s="390" t="s">
        <v>3896</v>
      </c>
      <c r="BO43" s="390" t="s">
        <v>3897</v>
      </c>
      <c r="BP43" s="379" t="str">
        <f t="shared" ref="BP43:BP62" si="25">IF(S43&lt;1%,"Sin iniciar",IF(S43=100%,"Terminado","En gestión"))</f>
        <v>En gestión</v>
      </c>
      <c r="BQ43" s="379" t="str">
        <f>IF(BM43&lt;1%,"Sin iniciar",IF(BM43=100%,"Terminado","En gestión"))</f>
        <v>En gestión</v>
      </c>
      <c r="BR43" s="1006" t="s">
        <v>3898</v>
      </c>
      <c r="BS43" s="1052">
        <f>SUMPRODUCT(N43:N44,BM43:BM44)</f>
        <v>0.75</v>
      </c>
      <c r="BT43" s="1053">
        <f>SUMPRODUCT(N43:N44,S43:S44)</f>
        <v>0.75</v>
      </c>
      <c r="BU43" s="1070" t="str">
        <f t="shared" ref="BU43" si="26">IF(BT43&lt;1%,"Sin iniciar",IF(BT43=100%,"Terminado","En gestión"))</f>
        <v>En gestión</v>
      </c>
      <c r="BV43" s="1070" t="str">
        <f t="shared" ref="BV43" si="27">IF(BS43&lt;1%,"Sin iniciar",IF(BS43=100%,"Terminado","En gestión"))</f>
        <v>En gestión</v>
      </c>
      <c r="BW43" s="1016" t="s">
        <v>28</v>
      </c>
      <c r="BX43" s="1016" t="s">
        <v>1555</v>
      </c>
      <c r="BY43" s="1018">
        <v>155641922</v>
      </c>
      <c r="BZ43" s="1018">
        <v>155641922</v>
      </c>
      <c r="CA43" s="1018">
        <v>116731442.25</v>
      </c>
      <c r="CB43" s="1018">
        <v>183009000</v>
      </c>
      <c r="CC43" s="1018">
        <v>183009000</v>
      </c>
      <c r="CD43" s="1018">
        <v>111983773</v>
      </c>
      <c r="CE43" s="1006" t="s">
        <v>2540</v>
      </c>
      <c r="CF43" s="1006" t="s">
        <v>2541</v>
      </c>
      <c r="CG43" s="1018" t="s">
        <v>2542</v>
      </c>
      <c r="CH43" s="1016" t="s">
        <v>2543</v>
      </c>
    </row>
    <row r="44" spans="2:86" ht="171.95" customHeight="1" x14ac:dyDescent="0.25">
      <c r="B44" s="1192"/>
      <c r="C44" s="1066"/>
      <c r="D44" s="417" t="s">
        <v>1040</v>
      </c>
      <c r="E44" s="1067"/>
      <c r="F44" s="417" t="s">
        <v>28</v>
      </c>
      <c r="G44" s="417" t="s">
        <v>28</v>
      </c>
      <c r="H44" s="417" t="s">
        <v>59</v>
      </c>
      <c r="I44" s="417" t="s">
        <v>1047</v>
      </c>
      <c r="J44" s="1068"/>
      <c r="K44" s="387" t="s">
        <v>1711</v>
      </c>
      <c r="L44" s="418" t="s">
        <v>1717</v>
      </c>
      <c r="M44" s="419" t="s">
        <v>2370</v>
      </c>
      <c r="N44" s="417">
        <v>0.5</v>
      </c>
      <c r="O44" s="420">
        <v>44470</v>
      </c>
      <c r="P44" s="420">
        <v>44561</v>
      </c>
      <c r="Q44" s="417">
        <v>0.25</v>
      </c>
      <c r="R44" s="417">
        <v>0.5</v>
      </c>
      <c r="S44" s="417">
        <v>0.75</v>
      </c>
      <c r="T44" s="417">
        <v>1</v>
      </c>
      <c r="U44" s="380">
        <v>0.25</v>
      </c>
      <c r="V44" s="417" t="s">
        <v>1718</v>
      </c>
      <c r="W44" s="417" t="s">
        <v>3899</v>
      </c>
      <c r="X44" s="379" t="str">
        <f t="shared" si="17"/>
        <v>En gestión</v>
      </c>
      <c r="Y44" s="379" t="str">
        <f t="shared" si="18"/>
        <v>En gestión</v>
      </c>
      <c r="Z44" s="1069"/>
      <c r="AA44" s="1026"/>
      <c r="AB44" s="1004"/>
      <c r="AC44" s="1070"/>
      <c r="AD44" s="1070"/>
      <c r="AE44" s="421"/>
      <c r="AF44" s="1071"/>
      <c r="AG44" s="1071"/>
      <c r="AH44" s="1084"/>
      <c r="AI44" s="1071"/>
      <c r="AJ44" s="1071"/>
      <c r="AK44" s="1071"/>
      <c r="AL44" s="1069"/>
      <c r="AM44" s="1069"/>
      <c r="AN44" s="1083"/>
      <c r="AO44" s="390"/>
      <c r="AP44" s="1084" t="s">
        <v>2466</v>
      </c>
      <c r="AQ44" s="1213">
        <v>0.5</v>
      </c>
      <c r="AR44" s="422" t="s">
        <v>1783</v>
      </c>
      <c r="AS44" s="417" t="s">
        <v>37</v>
      </c>
      <c r="AT44" s="379" t="str">
        <f t="shared" si="19"/>
        <v>En gestión</v>
      </c>
      <c r="AU44" s="379" t="str">
        <f t="shared" si="20"/>
        <v>En gestión</v>
      </c>
      <c r="AV44" s="1085"/>
      <c r="AW44" s="1048"/>
      <c r="AX44" s="1049"/>
      <c r="AY44" s="1070"/>
      <c r="AZ44" s="1070"/>
      <c r="BA44" s="423"/>
      <c r="BB44" s="1082"/>
      <c r="BC44" s="1080"/>
      <c r="BD44" s="1080"/>
      <c r="BE44" s="1081"/>
      <c r="BF44" s="1080"/>
      <c r="BG44" s="1080"/>
      <c r="BH44" s="1081"/>
      <c r="BI44" s="1069"/>
      <c r="BJ44" s="1069"/>
      <c r="BK44" s="1081"/>
      <c r="BL44" s="1069"/>
      <c r="BM44" s="506">
        <v>0.75</v>
      </c>
      <c r="BN44" s="390" t="s">
        <v>3900</v>
      </c>
      <c r="BO44" s="390" t="s">
        <v>3901</v>
      </c>
      <c r="BP44" s="379" t="str">
        <f t="shared" si="25"/>
        <v>En gestión</v>
      </c>
      <c r="BQ44" s="379" t="str">
        <f t="shared" ref="BQ44:BQ62" si="28">IF(BM44&lt;1%,"Sin iniciar",IF(BM44=100%,"Terminado","En gestión"))</f>
        <v>En gestión</v>
      </c>
      <c r="BR44" s="1006"/>
      <c r="BS44" s="1052"/>
      <c r="BT44" s="1053"/>
      <c r="BU44" s="1070"/>
      <c r="BV44" s="1070"/>
      <c r="BW44" s="1016"/>
      <c r="BX44" s="1016"/>
      <c r="BY44" s="1018"/>
      <c r="BZ44" s="1018"/>
      <c r="CA44" s="1018"/>
      <c r="CB44" s="1018"/>
      <c r="CC44" s="1018"/>
      <c r="CD44" s="1018"/>
      <c r="CE44" s="1006"/>
      <c r="CF44" s="1006"/>
      <c r="CG44" s="1018"/>
      <c r="CH44" s="1016"/>
    </row>
    <row r="45" spans="2:86" ht="171.95" customHeight="1" x14ac:dyDescent="0.25">
      <c r="B45" s="1192"/>
      <c r="C45" s="1076" t="s">
        <v>1719</v>
      </c>
      <c r="D45" s="477" t="s">
        <v>1040</v>
      </c>
      <c r="E45" s="1077" t="s">
        <v>1720</v>
      </c>
      <c r="F45" s="477" t="s">
        <v>28</v>
      </c>
      <c r="G45" s="477" t="s">
        <v>28</v>
      </c>
      <c r="H45" s="477" t="s">
        <v>1065</v>
      </c>
      <c r="I45" s="477" t="s">
        <v>1047</v>
      </c>
      <c r="J45" s="1078" t="s">
        <v>1721</v>
      </c>
      <c r="K45" s="451" t="s">
        <v>1711</v>
      </c>
      <c r="L45" s="478" t="s">
        <v>1722</v>
      </c>
      <c r="M45" s="479" t="s">
        <v>1723</v>
      </c>
      <c r="N45" s="477">
        <v>0.4</v>
      </c>
      <c r="O45" s="480">
        <v>44211</v>
      </c>
      <c r="P45" s="480">
        <v>44316</v>
      </c>
      <c r="Q45" s="477">
        <v>1</v>
      </c>
      <c r="R45" s="477">
        <v>1</v>
      </c>
      <c r="S45" s="477">
        <v>1</v>
      </c>
      <c r="T45" s="477">
        <v>1</v>
      </c>
      <c r="U45" s="380">
        <v>1</v>
      </c>
      <c r="V45" s="477" t="s">
        <v>2371</v>
      </c>
      <c r="W45" s="477" t="s">
        <v>3902</v>
      </c>
      <c r="X45" s="455" t="str">
        <f t="shared" si="17"/>
        <v>Terminado</v>
      </c>
      <c r="Y45" s="455" t="str">
        <f t="shared" si="18"/>
        <v>Terminado</v>
      </c>
      <c r="Z45" s="1079" t="s">
        <v>1779</v>
      </c>
      <c r="AA45" s="1026">
        <f>SUMPRODUCT(N45:N46,U45:U46)</f>
        <v>0.4</v>
      </c>
      <c r="AB45" s="1004">
        <f>SUMPRODUCT(N45:N46,Q45:Q46)</f>
        <v>0.4</v>
      </c>
      <c r="AC45" s="1091" t="str">
        <f>IF(AB45&lt;1%,"Sin iniciar",IF(AB45=100%,"Terminado","En gestión"))</f>
        <v>En gestión</v>
      </c>
      <c r="AD45" s="1091" t="str">
        <f>IF(AA45&lt;1%,"Sin iniciar",IF(AA45=100%,"Terminado","En gestión"))</f>
        <v>En gestión</v>
      </c>
      <c r="AE45" s="481"/>
      <c r="AF45" s="1073">
        <v>21125765</v>
      </c>
      <c r="AG45" s="1074">
        <v>21125765</v>
      </c>
      <c r="AH45" s="1075">
        <v>8450306</v>
      </c>
      <c r="AI45" s="1073">
        <v>140876774</v>
      </c>
      <c r="AJ45" s="1074">
        <v>140876774</v>
      </c>
      <c r="AK45" s="1075">
        <v>11270141</v>
      </c>
      <c r="AL45" s="1088" t="s">
        <v>2481</v>
      </c>
      <c r="AM45" s="1088" t="s">
        <v>2483</v>
      </c>
      <c r="AN45" s="1092"/>
      <c r="AO45" s="456"/>
      <c r="AP45" s="1075">
        <f>AG45+AJ45</f>
        <v>162002539</v>
      </c>
      <c r="AQ45" s="1213">
        <v>1</v>
      </c>
      <c r="AR45" s="482" t="s">
        <v>2434</v>
      </c>
      <c r="AS45" s="477" t="s">
        <v>37</v>
      </c>
      <c r="AT45" s="455" t="str">
        <f t="shared" si="19"/>
        <v>Terminado</v>
      </c>
      <c r="AU45" s="455" t="str">
        <f t="shared" si="20"/>
        <v>Terminado</v>
      </c>
      <c r="AV45" s="1079" t="s">
        <v>2428</v>
      </c>
      <c r="AW45" s="1048">
        <f>SUMPRODUCT(N45,AQ45)</f>
        <v>0.4</v>
      </c>
      <c r="AX45" s="1049">
        <f t="shared" si="22"/>
        <v>0.4</v>
      </c>
      <c r="AY45" s="1091" t="str">
        <f t="shared" si="23"/>
        <v>En gestión</v>
      </c>
      <c r="AZ45" s="1091" t="str">
        <f t="shared" si="24"/>
        <v>En gestión</v>
      </c>
      <c r="BA45" s="483"/>
      <c r="BB45" s="1089" t="s">
        <v>1204</v>
      </c>
      <c r="BC45" s="1090">
        <v>21125765</v>
      </c>
      <c r="BD45" s="1090">
        <v>21125765</v>
      </c>
      <c r="BE45" s="1087">
        <f t="shared" ref="BE45:BE60" si="29">BD45/2</f>
        <v>10562882.5</v>
      </c>
      <c r="BF45" s="1090">
        <v>140876774</v>
      </c>
      <c r="BG45" s="1090">
        <v>140876774</v>
      </c>
      <c r="BH45" s="1087">
        <v>77220719</v>
      </c>
      <c r="BI45" s="1088" t="s">
        <v>2540</v>
      </c>
      <c r="BJ45" s="1088" t="s">
        <v>2541</v>
      </c>
      <c r="BK45" s="1135" t="s">
        <v>2544</v>
      </c>
      <c r="BL45" s="1088" t="s">
        <v>2543</v>
      </c>
      <c r="BM45" s="506">
        <v>1</v>
      </c>
      <c r="BN45" s="456" t="s">
        <v>3903</v>
      </c>
      <c r="BO45" s="456" t="s">
        <v>28</v>
      </c>
      <c r="BP45" s="455" t="str">
        <f t="shared" si="25"/>
        <v>Terminado</v>
      </c>
      <c r="BQ45" s="455" t="str">
        <f t="shared" si="28"/>
        <v>Terminado</v>
      </c>
      <c r="BR45" s="454" t="s">
        <v>28</v>
      </c>
      <c r="BS45" s="1052">
        <f>SUMPRODUCT(N45:N46,BM45:BM46)</f>
        <v>0.64</v>
      </c>
      <c r="BT45" s="1053">
        <f>SUMPRODUCT(N45:N46,S45:S46)</f>
        <v>0.64</v>
      </c>
      <c r="BU45" s="1091" t="str">
        <f t="shared" ref="BU45" si="30">IF(BT45&lt;1%,"Sin iniciar",IF(BT45=100%,"Terminado","En gestión"))</f>
        <v>En gestión</v>
      </c>
      <c r="BV45" s="1091" t="str">
        <f t="shared" ref="BV45" si="31">IF(BS45&lt;1%,"Sin iniciar",IF(BS45=100%,"Terminado","En gestión"))</f>
        <v>En gestión</v>
      </c>
      <c r="BW45" s="991" t="s">
        <v>28</v>
      </c>
      <c r="BX45" s="991" t="s">
        <v>1555</v>
      </c>
      <c r="BY45" s="1021">
        <v>21125765</v>
      </c>
      <c r="BZ45" s="1021">
        <v>21125765</v>
      </c>
      <c r="CA45" s="1021">
        <v>15844324.5</v>
      </c>
      <c r="CB45" s="1021">
        <v>140876774</v>
      </c>
      <c r="CC45" s="1021">
        <v>140876774</v>
      </c>
      <c r="CD45" s="1021">
        <v>111983773</v>
      </c>
      <c r="CE45" s="991" t="s">
        <v>2540</v>
      </c>
      <c r="CF45" s="991" t="s">
        <v>2541</v>
      </c>
      <c r="CG45" s="1021" t="s">
        <v>2544</v>
      </c>
      <c r="CH45" s="991" t="s">
        <v>2543</v>
      </c>
    </row>
    <row r="46" spans="2:86" ht="171.95" customHeight="1" x14ac:dyDescent="0.25">
      <c r="B46" s="1192"/>
      <c r="C46" s="1076"/>
      <c r="D46" s="477" t="s">
        <v>1040</v>
      </c>
      <c r="E46" s="1077"/>
      <c r="F46" s="477" t="s">
        <v>28</v>
      </c>
      <c r="G46" s="477" t="s">
        <v>28</v>
      </c>
      <c r="H46" s="477" t="s">
        <v>59</v>
      </c>
      <c r="I46" s="477" t="s">
        <v>1047</v>
      </c>
      <c r="J46" s="1078"/>
      <c r="K46" s="451" t="s">
        <v>1711</v>
      </c>
      <c r="L46" s="478" t="s">
        <v>1724</v>
      </c>
      <c r="M46" s="479" t="s">
        <v>1725</v>
      </c>
      <c r="N46" s="477">
        <v>0.6</v>
      </c>
      <c r="O46" s="480">
        <v>44287</v>
      </c>
      <c r="P46" s="480">
        <v>44561</v>
      </c>
      <c r="Q46" s="477">
        <v>0</v>
      </c>
      <c r="R46" s="477">
        <v>0.2</v>
      </c>
      <c r="S46" s="477">
        <v>0.4</v>
      </c>
      <c r="T46" s="477">
        <v>1</v>
      </c>
      <c r="U46" s="380" t="s">
        <v>541</v>
      </c>
      <c r="V46" s="477" t="s">
        <v>541</v>
      </c>
      <c r="W46" s="477" t="s">
        <v>541</v>
      </c>
      <c r="X46" s="455" t="str">
        <f t="shared" si="17"/>
        <v>Sin iniciar</v>
      </c>
      <c r="Y46" s="455" t="str">
        <f t="shared" si="18"/>
        <v>En gestión</v>
      </c>
      <c r="Z46" s="1079"/>
      <c r="AA46" s="1026"/>
      <c r="AB46" s="1004"/>
      <c r="AC46" s="1091"/>
      <c r="AD46" s="1091"/>
      <c r="AE46" s="481"/>
      <c r="AF46" s="1073"/>
      <c r="AG46" s="1074"/>
      <c r="AH46" s="1075"/>
      <c r="AI46" s="1073"/>
      <c r="AJ46" s="1074"/>
      <c r="AK46" s="1074"/>
      <c r="AL46" s="1088"/>
      <c r="AM46" s="1088"/>
      <c r="AN46" s="1092"/>
      <c r="AO46" s="456"/>
      <c r="AP46" s="1075" t="s">
        <v>2466</v>
      </c>
      <c r="AQ46" s="1213">
        <v>0.2</v>
      </c>
      <c r="AR46" s="482" t="s">
        <v>2372</v>
      </c>
      <c r="AS46" s="477" t="s">
        <v>3904</v>
      </c>
      <c r="AT46" s="455" t="str">
        <f t="shared" si="19"/>
        <v>En gestión</v>
      </c>
      <c r="AU46" s="455" t="str">
        <f t="shared" si="20"/>
        <v>En gestión</v>
      </c>
      <c r="AV46" s="1079"/>
      <c r="AW46" s="1048"/>
      <c r="AX46" s="1049"/>
      <c r="AY46" s="1091"/>
      <c r="AZ46" s="1091"/>
      <c r="BA46" s="483"/>
      <c r="BB46" s="1089"/>
      <c r="BC46" s="1090"/>
      <c r="BD46" s="1090"/>
      <c r="BE46" s="1087"/>
      <c r="BF46" s="1090"/>
      <c r="BG46" s="1090"/>
      <c r="BH46" s="1087"/>
      <c r="BI46" s="1088"/>
      <c r="BJ46" s="1088"/>
      <c r="BK46" s="1135"/>
      <c r="BL46" s="1088"/>
      <c r="BM46" s="506">
        <v>0.4</v>
      </c>
      <c r="BN46" s="456" t="s">
        <v>3905</v>
      </c>
      <c r="BO46" s="456" t="s">
        <v>3906</v>
      </c>
      <c r="BP46" s="455" t="str">
        <f t="shared" si="25"/>
        <v>En gestión</v>
      </c>
      <c r="BQ46" s="455" t="str">
        <f t="shared" si="28"/>
        <v>En gestión</v>
      </c>
      <c r="BR46" s="454" t="s">
        <v>3907</v>
      </c>
      <c r="BS46" s="1052"/>
      <c r="BT46" s="1053"/>
      <c r="BU46" s="1091"/>
      <c r="BV46" s="1091"/>
      <c r="BW46" s="991"/>
      <c r="BX46" s="991"/>
      <c r="BY46" s="1021"/>
      <c r="BZ46" s="1021"/>
      <c r="CA46" s="1021"/>
      <c r="CB46" s="1021"/>
      <c r="CC46" s="1021"/>
      <c r="CD46" s="1021"/>
      <c r="CE46" s="991"/>
      <c r="CF46" s="991"/>
      <c r="CG46" s="1021"/>
      <c r="CH46" s="991"/>
    </row>
    <row r="47" spans="2:86" ht="171.95" customHeight="1" x14ac:dyDescent="0.25">
      <c r="B47" s="1192"/>
      <c r="C47" s="1066" t="s">
        <v>1726</v>
      </c>
      <c r="D47" s="417" t="s">
        <v>1045</v>
      </c>
      <c r="E47" s="1067" t="s">
        <v>1046</v>
      </c>
      <c r="F47" s="417" t="s">
        <v>28</v>
      </c>
      <c r="G47" s="417" t="s">
        <v>28</v>
      </c>
      <c r="H47" s="417" t="s">
        <v>59</v>
      </c>
      <c r="I47" s="417" t="s">
        <v>1047</v>
      </c>
      <c r="J47" s="1068" t="s">
        <v>1727</v>
      </c>
      <c r="K47" s="387" t="s">
        <v>1711</v>
      </c>
      <c r="L47" s="418" t="s">
        <v>1728</v>
      </c>
      <c r="M47" s="419" t="s">
        <v>1729</v>
      </c>
      <c r="N47" s="417">
        <v>0.3</v>
      </c>
      <c r="O47" s="420">
        <v>44287</v>
      </c>
      <c r="P47" s="420">
        <v>44561</v>
      </c>
      <c r="Q47" s="417">
        <v>0</v>
      </c>
      <c r="R47" s="417">
        <v>0.33</v>
      </c>
      <c r="S47" s="417">
        <v>0.66</v>
      </c>
      <c r="T47" s="417">
        <v>1</v>
      </c>
      <c r="U47" s="380">
        <v>0.5</v>
      </c>
      <c r="V47" s="417" t="s">
        <v>1730</v>
      </c>
      <c r="W47" s="417" t="s">
        <v>3908</v>
      </c>
      <c r="X47" s="379" t="str">
        <f t="shared" si="17"/>
        <v>Sin iniciar</v>
      </c>
      <c r="Y47" s="379" t="str">
        <f t="shared" si="18"/>
        <v>En gestión</v>
      </c>
      <c r="Z47" s="1086" t="s">
        <v>1780</v>
      </c>
      <c r="AA47" s="1026">
        <f>SUMPRODUCT(N47:N48,U47:U48)</f>
        <v>0.21999999999999997</v>
      </c>
      <c r="AB47" s="1004">
        <f>SUMPRODUCT(N47:N48,Q47:Q48)</f>
        <v>0</v>
      </c>
      <c r="AC47" s="1070" t="str">
        <f>IF(AB47&lt;1%,"Sin iniciar",IF(AB47=100%,"Terminado","En gestión"))</f>
        <v>Sin iniciar</v>
      </c>
      <c r="AD47" s="1070" t="str">
        <f>IF(AA47&lt;1%,"Sin iniciar",IF(AA47=100%,"Terminado","En gestión"))</f>
        <v>En gestión</v>
      </c>
      <c r="AE47" s="424"/>
      <c r="AF47" s="425">
        <v>0</v>
      </c>
      <c r="AG47" s="426">
        <v>0</v>
      </c>
      <c r="AH47" s="426">
        <v>0</v>
      </c>
      <c r="AI47" s="425">
        <v>0</v>
      </c>
      <c r="AJ47" s="421"/>
      <c r="AK47" s="421"/>
      <c r="AL47" s="421"/>
      <c r="AM47" s="421"/>
      <c r="AN47" s="421"/>
      <c r="AO47" s="421"/>
      <c r="AP47" s="390"/>
      <c r="AQ47" s="1213">
        <v>0.33</v>
      </c>
      <c r="AR47" s="417" t="s">
        <v>1784</v>
      </c>
      <c r="AS47" s="417" t="s">
        <v>3909</v>
      </c>
      <c r="AT47" s="379" t="str">
        <f t="shared" si="19"/>
        <v>En gestión</v>
      </c>
      <c r="AU47" s="379" t="str">
        <f t="shared" si="20"/>
        <v>En gestión</v>
      </c>
      <c r="AV47" s="1069" t="s">
        <v>1798</v>
      </c>
      <c r="AW47" s="1048">
        <f>SUMPRODUCT(N47:N48,AQ47:AQ48)</f>
        <v>9.9000000000000005E-2</v>
      </c>
      <c r="AX47" s="1049">
        <f>SUMPRODUCT(N47:N48,R47:R48)</f>
        <v>9.9000000000000005E-2</v>
      </c>
      <c r="AY47" s="1070" t="str">
        <f t="shared" si="23"/>
        <v>En gestión</v>
      </c>
      <c r="AZ47" s="1070" t="str">
        <f t="shared" si="24"/>
        <v>En gestión</v>
      </c>
      <c r="BA47" s="423"/>
      <c r="BB47" s="1082" t="s">
        <v>1204</v>
      </c>
      <c r="BC47" s="1096">
        <v>155641922</v>
      </c>
      <c r="BD47" s="1096">
        <v>155641922</v>
      </c>
      <c r="BE47" s="1097">
        <f t="shared" si="29"/>
        <v>77820961</v>
      </c>
      <c r="BF47" s="1096">
        <v>183009000</v>
      </c>
      <c r="BG47" s="1096">
        <v>183009000</v>
      </c>
      <c r="BH47" s="1095">
        <v>77220719</v>
      </c>
      <c r="BI47" s="1069" t="s">
        <v>2540</v>
      </c>
      <c r="BJ47" s="1069" t="s">
        <v>2541</v>
      </c>
      <c r="BK47" s="1081" t="s">
        <v>2545</v>
      </c>
      <c r="BL47" s="1069" t="s">
        <v>2543</v>
      </c>
      <c r="BM47" s="506">
        <v>0.66</v>
      </c>
      <c r="BN47" s="390" t="s">
        <v>3910</v>
      </c>
      <c r="BO47" s="390" t="s">
        <v>3909</v>
      </c>
      <c r="BP47" s="379" t="str">
        <f t="shared" si="25"/>
        <v>En gestión</v>
      </c>
      <c r="BQ47" s="379" t="str">
        <f t="shared" si="28"/>
        <v>En gestión</v>
      </c>
      <c r="BR47" s="389" t="s">
        <v>3911</v>
      </c>
      <c r="BS47" s="1052">
        <f>SUMPRODUCT(N47:N48,BM47:BM48)</f>
        <v>0.54800000000000004</v>
      </c>
      <c r="BT47" s="1053">
        <f>SUMPRODUCT(N47:N48,S47:S48)</f>
        <v>0.54800000000000004</v>
      </c>
      <c r="BU47" s="1070" t="str">
        <f t="shared" ref="BU47" si="32">IF(BT47&lt;1%,"Sin iniciar",IF(BT47=100%,"Terminado","En gestión"))</f>
        <v>En gestión</v>
      </c>
      <c r="BV47" s="1070" t="str">
        <f t="shared" ref="BV47" si="33">IF(BS47&lt;1%,"Sin iniciar",IF(BS47=100%,"Terminado","En gestión"))</f>
        <v>En gestión</v>
      </c>
      <c r="BW47" s="1016" t="s">
        <v>28</v>
      </c>
      <c r="BX47" s="1016" t="s">
        <v>1555</v>
      </c>
      <c r="BY47" s="1020">
        <v>155641922</v>
      </c>
      <c r="BZ47" s="1020">
        <v>155641922</v>
      </c>
      <c r="CA47" s="1020">
        <v>116731442.25</v>
      </c>
      <c r="CB47" s="1020">
        <v>183009000</v>
      </c>
      <c r="CC47" s="1020">
        <v>183009000</v>
      </c>
      <c r="CD47" s="1020">
        <v>111983773</v>
      </c>
      <c r="CE47" s="1016" t="s">
        <v>2540</v>
      </c>
      <c r="CF47" s="1016" t="s">
        <v>2541</v>
      </c>
      <c r="CG47" s="1018" t="s">
        <v>2545</v>
      </c>
      <c r="CH47" s="1016" t="s">
        <v>2543</v>
      </c>
    </row>
    <row r="48" spans="2:86" ht="171.95" customHeight="1" x14ac:dyDescent="0.25">
      <c r="B48" s="1192"/>
      <c r="C48" s="1066"/>
      <c r="D48" s="417" t="s">
        <v>1045</v>
      </c>
      <c r="E48" s="1067"/>
      <c r="F48" s="417" t="s">
        <v>28</v>
      </c>
      <c r="G48" s="417" t="s">
        <v>28</v>
      </c>
      <c r="H48" s="417" t="s">
        <v>59</v>
      </c>
      <c r="I48" s="417" t="s">
        <v>1047</v>
      </c>
      <c r="J48" s="1068"/>
      <c r="K48" s="387" t="s">
        <v>1711</v>
      </c>
      <c r="L48" s="418" t="s">
        <v>1731</v>
      </c>
      <c r="M48" s="419" t="s">
        <v>1732</v>
      </c>
      <c r="N48" s="417">
        <v>0.7</v>
      </c>
      <c r="O48" s="420">
        <v>44378</v>
      </c>
      <c r="P48" s="420">
        <v>44561</v>
      </c>
      <c r="Q48" s="417">
        <v>0</v>
      </c>
      <c r="R48" s="417">
        <v>0</v>
      </c>
      <c r="S48" s="417">
        <v>0.5</v>
      </c>
      <c r="T48" s="417">
        <v>1</v>
      </c>
      <c r="U48" s="380">
        <v>0.1</v>
      </c>
      <c r="V48" s="417" t="s">
        <v>2429</v>
      </c>
      <c r="W48" s="417" t="s">
        <v>3912</v>
      </c>
      <c r="X48" s="379" t="str">
        <f t="shared" si="17"/>
        <v>Sin iniciar</v>
      </c>
      <c r="Y48" s="379" t="str">
        <f t="shared" si="18"/>
        <v>En gestión</v>
      </c>
      <c r="Z48" s="1086"/>
      <c r="AA48" s="1026"/>
      <c r="AB48" s="1004"/>
      <c r="AC48" s="1070"/>
      <c r="AD48" s="1070"/>
      <c r="AE48" s="424"/>
      <c r="AF48" s="425">
        <v>0</v>
      </c>
      <c r="AG48" s="426">
        <v>0</v>
      </c>
      <c r="AH48" s="426">
        <v>0</v>
      </c>
      <c r="AI48" s="425">
        <v>0</v>
      </c>
      <c r="AJ48" s="421"/>
      <c r="AK48" s="421"/>
      <c r="AL48" s="421"/>
      <c r="AM48" s="421"/>
      <c r="AN48" s="421"/>
      <c r="AO48" s="421"/>
      <c r="AP48" s="390"/>
      <c r="AQ48" s="1213">
        <v>0</v>
      </c>
      <c r="AR48" s="389" t="s">
        <v>2437</v>
      </c>
      <c r="AS48" s="417" t="s">
        <v>1043</v>
      </c>
      <c r="AT48" s="379" t="str">
        <f t="shared" si="19"/>
        <v>Sin iniciar</v>
      </c>
      <c r="AU48" s="379" t="str">
        <f t="shared" si="20"/>
        <v>Sin iniciar</v>
      </c>
      <c r="AV48" s="1069"/>
      <c r="AW48" s="1048"/>
      <c r="AX48" s="1049"/>
      <c r="AY48" s="1070"/>
      <c r="AZ48" s="1070"/>
      <c r="BA48" s="423"/>
      <c r="BB48" s="1082"/>
      <c r="BC48" s="1096"/>
      <c r="BD48" s="1096"/>
      <c r="BE48" s="1097"/>
      <c r="BF48" s="1096"/>
      <c r="BG48" s="1096"/>
      <c r="BH48" s="1095"/>
      <c r="BI48" s="1069"/>
      <c r="BJ48" s="1069"/>
      <c r="BK48" s="1081"/>
      <c r="BL48" s="1069"/>
      <c r="BM48" s="506">
        <v>0.5</v>
      </c>
      <c r="BN48" s="390" t="s">
        <v>3913</v>
      </c>
      <c r="BO48" s="390" t="s">
        <v>3914</v>
      </c>
      <c r="BP48" s="379" t="str">
        <f t="shared" si="25"/>
        <v>En gestión</v>
      </c>
      <c r="BQ48" s="379" t="str">
        <f t="shared" si="28"/>
        <v>En gestión</v>
      </c>
      <c r="BR48" s="389" t="s">
        <v>3913</v>
      </c>
      <c r="BS48" s="1052"/>
      <c r="BT48" s="1053"/>
      <c r="BU48" s="1070"/>
      <c r="BV48" s="1070"/>
      <c r="BW48" s="1016"/>
      <c r="BX48" s="1016"/>
      <c r="BY48" s="1020"/>
      <c r="BZ48" s="1020"/>
      <c r="CA48" s="1020"/>
      <c r="CB48" s="1020"/>
      <c r="CC48" s="1020"/>
      <c r="CD48" s="1020"/>
      <c r="CE48" s="1016"/>
      <c r="CF48" s="1016"/>
      <c r="CG48" s="1018"/>
      <c r="CH48" s="1016"/>
    </row>
    <row r="49" spans="2:86" ht="171.95" customHeight="1" x14ac:dyDescent="0.25">
      <c r="B49" s="1192"/>
      <c r="C49" s="1076" t="s">
        <v>1733</v>
      </c>
      <c r="D49" s="477" t="s">
        <v>1045</v>
      </c>
      <c r="E49" s="477" t="s">
        <v>1734</v>
      </c>
      <c r="F49" s="477" t="s">
        <v>28</v>
      </c>
      <c r="G49" s="477" t="s">
        <v>28</v>
      </c>
      <c r="H49" s="477" t="s">
        <v>59</v>
      </c>
      <c r="I49" s="477" t="s">
        <v>1047</v>
      </c>
      <c r="J49" s="1078" t="s">
        <v>1735</v>
      </c>
      <c r="K49" s="451" t="s">
        <v>752</v>
      </c>
      <c r="L49" s="478" t="s">
        <v>1736</v>
      </c>
      <c r="M49" s="479" t="s">
        <v>1737</v>
      </c>
      <c r="N49" s="477">
        <v>0.14000000000000001</v>
      </c>
      <c r="O49" s="480">
        <v>44197</v>
      </c>
      <c r="P49" s="480">
        <v>44561</v>
      </c>
      <c r="Q49" s="477">
        <v>0.05</v>
      </c>
      <c r="R49" s="477">
        <v>0.3</v>
      </c>
      <c r="S49" s="477">
        <v>0.65</v>
      </c>
      <c r="T49" s="477">
        <v>1</v>
      </c>
      <c r="U49" s="380">
        <v>0.05</v>
      </c>
      <c r="V49" s="477" t="s">
        <v>1738</v>
      </c>
      <c r="W49" s="477" t="s">
        <v>3915</v>
      </c>
      <c r="X49" s="455" t="str">
        <f t="shared" si="17"/>
        <v>En gestión</v>
      </c>
      <c r="Y49" s="455" t="str">
        <f t="shared" si="18"/>
        <v>En gestión</v>
      </c>
      <c r="Z49" s="1079" t="s">
        <v>1781</v>
      </c>
      <c r="AA49" s="1093">
        <f>SUMPRODUCT(N49:N55,U49:U55)</f>
        <v>0.05</v>
      </c>
      <c r="AB49" s="1094">
        <f>SUMPRODUCT(N49:N55,Q49:Q55)</f>
        <v>0.05</v>
      </c>
      <c r="AC49" s="1091" t="str">
        <f>IF(AB49&lt;1%,"Sin iniciar",IF(AB49=100%,"Terminado","En gestión"))</f>
        <v>En gestión</v>
      </c>
      <c r="AD49" s="1091" t="str">
        <f>IF(AA49&lt;1%,"Sin iniciar",IF(AA49=100%,"Terminado","En gestión"))</f>
        <v>En gestión</v>
      </c>
      <c r="AE49" s="481"/>
      <c r="AF49" s="1073">
        <v>64502141</v>
      </c>
      <c r="AG49" s="1075">
        <v>3225107.05</v>
      </c>
      <c r="AH49" s="1074">
        <v>137333333</v>
      </c>
      <c r="AI49" s="1073">
        <v>137333333</v>
      </c>
      <c r="AJ49" s="1075">
        <v>10986666</v>
      </c>
      <c r="AK49" s="1088" t="s">
        <v>2481</v>
      </c>
      <c r="AL49" s="1088" t="s">
        <v>2483</v>
      </c>
      <c r="AM49" s="1092"/>
      <c r="AN49" s="1075">
        <f>AF49+AI49</f>
        <v>201835474</v>
      </c>
      <c r="AO49" s="1075">
        <f>+AI49</f>
        <v>137333333</v>
      </c>
      <c r="AP49" s="456"/>
      <c r="AQ49" s="1213">
        <v>0.3</v>
      </c>
      <c r="AR49" s="477" t="s">
        <v>1785</v>
      </c>
      <c r="AS49" s="467" t="s">
        <v>3916</v>
      </c>
      <c r="AT49" s="455" t="str">
        <f t="shared" si="19"/>
        <v>En gestión</v>
      </c>
      <c r="AU49" s="455" t="str">
        <f t="shared" si="20"/>
        <v>En gestión</v>
      </c>
      <c r="AV49" s="1088" t="s">
        <v>2373</v>
      </c>
      <c r="AW49" s="1048">
        <f>SUMPRODUCT(N49:N55,AQ49:AQ55)</f>
        <v>0.314</v>
      </c>
      <c r="AX49" s="1049">
        <f>SUMPRODUCT(N49:N55,R49:R55)</f>
        <v>0.314</v>
      </c>
      <c r="AY49" s="1091" t="str">
        <f t="shared" si="23"/>
        <v>En gestión</v>
      </c>
      <c r="AZ49" s="1091" t="str">
        <f t="shared" si="24"/>
        <v>En gestión</v>
      </c>
      <c r="BA49" s="484"/>
      <c r="BB49" s="485" t="s">
        <v>1204</v>
      </c>
      <c r="BC49" s="1090">
        <v>64502141</v>
      </c>
      <c r="BD49" s="1090">
        <v>64502141</v>
      </c>
      <c r="BE49" s="1101">
        <f t="shared" si="29"/>
        <v>32251070.5</v>
      </c>
      <c r="BF49" s="1090">
        <v>137333333</v>
      </c>
      <c r="BG49" s="1090">
        <v>137333333</v>
      </c>
      <c r="BH49" s="1061">
        <v>49084472.5</v>
      </c>
      <c r="BI49" s="1088" t="s">
        <v>2540</v>
      </c>
      <c r="BJ49" s="1087" t="s">
        <v>2546</v>
      </c>
      <c r="BK49" s="1087" t="s">
        <v>2547</v>
      </c>
      <c r="BL49" s="1088" t="s">
        <v>2548</v>
      </c>
      <c r="BM49" s="506">
        <v>0.65</v>
      </c>
      <c r="BN49" s="456" t="s">
        <v>3917</v>
      </c>
      <c r="BO49" s="456" t="s">
        <v>3918</v>
      </c>
      <c r="BP49" s="455" t="str">
        <f t="shared" si="25"/>
        <v>En gestión</v>
      </c>
      <c r="BQ49" s="455" t="str">
        <f t="shared" si="28"/>
        <v>En gestión</v>
      </c>
      <c r="BR49" s="454" t="s">
        <v>3919</v>
      </c>
      <c r="BS49" s="1052">
        <f>SUMPRODUCT(N49:N55,BM49:BM55)</f>
        <v>0.67660000000000009</v>
      </c>
      <c r="BT49" s="1053">
        <f>SUMPRODUCT(N49:N55,S49:S55)</f>
        <v>0.67660000000000009</v>
      </c>
      <c r="BU49" s="1091" t="str">
        <f t="shared" ref="BU49" si="34">IF(BT49&lt;1%,"Sin iniciar",IF(BT49=100%,"Terminado","En gestión"))</f>
        <v>En gestión</v>
      </c>
      <c r="BV49" s="1091" t="str">
        <f t="shared" ref="BV49" si="35">IF(BS49&lt;1%,"Sin iniciar",IF(BS49=100%,"Terminado","En gestión"))</f>
        <v>En gestión</v>
      </c>
      <c r="BW49" s="991" t="s">
        <v>28</v>
      </c>
      <c r="BX49" s="991" t="s">
        <v>1555</v>
      </c>
      <c r="BY49" s="1019">
        <v>64502141</v>
      </c>
      <c r="BZ49" s="1019">
        <v>64502141</v>
      </c>
      <c r="CA49" s="1019">
        <v>48376606.5</v>
      </c>
      <c r="CB49" s="1019">
        <v>137333333</v>
      </c>
      <c r="CC49" s="1019">
        <v>137333333</v>
      </c>
      <c r="CD49" s="1019">
        <v>88257153</v>
      </c>
      <c r="CE49" s="991" t="s">
        <v>2540</v>
      </c>
      <c r="CF49" s="1015" t="s">
        <v>2546</v>
      </c>
      <c r="CG49" s="1015" t="s">
        <v>2547</v>
      </c>
      <c r="CH49" s="991" t="s">
        <v>2548</v>
      </c>
    </row>
    <row r="50" spans="2:86" ht="171.95" customHeight="1" x14ac:dyDescent="0.25">
      <c r="B50" s="1192"/>
      <c r="C50" s="1076"/>
      <c r="D50" s="477" t="s">
        <v>1045</v>
      </c>
      <c r="E50" s="1077" t="s">
        <v>2374</v>
      </c>
      <c r="F50" s="477" t="s">
        <v>28</v>
      </c>
      <c r="G50" s="477" t="s">
        <v>28</v>
      </c>
      <c r="H50" s="477" t="s">
        <v>59</v>
      </c>
      <c r="I50" s="477" t="s">
        <v>1047</v>
      </c>
      <c r="J50" s="1078"/>
      <c r="K50" s="451" t="s">
        <v>752</v>
      </c>
      <c r="L50" s="478" t="s">
        <v>1739</v>
      </c>
      <c r="M50" s="479" t="s">
        <v>1740</v>
      </c>
      <c r="N50" s="477">
        <v>0.14000000000000001</v>
      </c>
      <c r="O50" s="480">
        <v>44197</v>
      </c>
      <c r="P50" s="480">
        <v>44561</v>
      </c>
      <c r="Q50" s="477">
        <v>0.05</v>
      </c>
      <c r="R50" s="477">
        <v>0.35</v>
      </c>
      <c r="S50" s="477">
        <v>0.75</v>
      </c>
      <c r="T50" s="477">
        <v>1</v>
      </c>
      <c r="U50" s="380">
        <v>0.05</v>
      </c>
      <c r="V50" s="477" t="s">
        <v>1741</v>
      </c>
      <c r="W50" s="477" t="s">
        <v>3920</v>
      </c>
      <c r="X50" s="455" t="str">
        <f t="shared" si="17"/>
        <v>En gestión</v>
      </c>
      <c r="Y50" s="455" t="str">
        <f t="shared" si="18"/>
        <v>En gestión</v>
      </c>
      <c r="Z50" s="1079"/>
      <c r="AA50" s="1093"/>
      <c r="AB50" s="1094"/>
      <c r="AC50" s="1091"/>
      <c r="AD50" s="1091"/>
      <c r="AE50" s="481"/>
      <c r="AF50" s="1073"/>
      <c r="AG50" s="1075"/>
      <c r="AH50" s="1075"/>
      <c r="AI50" s="1073"/>
      <c r="AJ50" s="1075"/>
      <c r="AK50" s="1088"/>
      <c r="AL50" s="1088"/>
      <c r="AM50" s="1092"/>
      <c r="AN50" s="1075" t="s">
        <v>2466</v>
      </c>
      <c r="AO50" s="1075"/>
      <c r="AP50" s="456"/>
      <c r="AQ50" s="1213">
        <v>0.35</v>
      </c>
      <c r="AR50" s="477" t="s">
        <v>1786</v>
      </c>
      <c r="AS50" s="477" t="s">
        <v>3921</v>
      </c>
      <c r="AT50" s="455" t="str">
        <f t="shared" si="19"/>
        <v>En gestión</v>
      </c>
      <c r="AU50" s="455" t="str">
        <f t="shared" si="20"/>
        <v>En gestión</v>
      </c>
      <c r="AV50" s="1088"/>
      <c r="AW50" s="1048"/>
      <c r="AX50" s="1049"/>
      <c r="AY50" s="1091"/>
      <c r="AZ50" s="1091"/>
      <c r="BA50" s="484"/>
      <c r="BB50" s="485" t="s">
        <v>1204</v>
      </c>
      <c r="BC50" s="1090"/>
      <c r="BD50" s="1090"/>
      <c r="BE50" s="1101"/>
      <c r="BF50" s="1090"/>
      <c r="BG50" s="1090"/>
      <c r="BH50" s="1061"/>
      <c r="BI50" s="1088"/>
      <c r="BJ50" s="1087"/>
      <c r="BK50" s="1087"/>
      <c r="BL50" s="1088"/>
      <c r="BM50" s="506">
        <v>0.75</v>
      </c>
      <c r="BN50" s="456" t="s">
        <v>3922</v>
      </c>
      <c r="BO50" s="456" t="s">
        <v>3923</v>
      </c>
      <c r="BP50" s="455" t="str">
        <f t="shared" si="25"/>
        <v>En gestión</v>
      </c>
      <c r="BQ50" s="455" t="str">
        <f t="shared" si="28"/>
        <v>En gestión</v>
      </c>
      <c r="BR50" s="454" t="s">
        <v>3924</v>
      </c>
      <c r="BS50" s="1052"/>
      <c r="BT50" s="1053"/>
      <c r="BU50" s="1091"/>
      <c r="BV50" s="1091"/>
      <c r="BW50" s="991"/>
      <c r="BX50" s="991"/>
      <c r="BY50" s="1019"/>
      <c r="BZ50" s="1019"/>
      <c r="CA50" s="1019"/>
      <c r="CB50" s="1019"/>
      <c r="CC50" s="1019"/>
      <c r="CD50" s="1019"/>
      <c r="CE50" s="991"/>
      <c r="CF50" s="1015"/>
      <c r="CG50" s="1015"/>
      <c r="CH50" s="991"/>
    </row>
    <row r="51" spans="2:86" ht="171.95" customHeight="1" x14ac:dyDescent="0.25">
      <c r="B51" s="1192"/>
      <c r="C51" s="1076"/>
      <c r="D51" s="477" t="s">
        <v>1045</v>
      </c>
      <c r="E51" s="1077"/>
      <c r="F51" s="477" t="s">
        <v>28</v>
      </c>
      <c r="G51" s="477" t="s">
        <v>28</v>
      </c>
      <c r="H51" s="477" t="s">
        <v>59</v>
      </c>
      <c r="I51" s="477" t="s">
        <v>1047</v>
      </c>
      <c r="J51" s="1078"/>
      <c r="K51" s="451" t="s">
        <v>752</v>
      </c>
      <c r="L51" s="478" t="s">
        <v>1742</v>
      </c>
      <c r="M51" s="479" t="s">
        <v>1743</v>
      </c>
      <c r="N51" s="477">
        <v>0.14000000000000001</v>
      </c>
      <c r="O51" s="480">
        <v>44197</v>
      </c>
      <c r="P51" s="480">
        <v>44561</v>
      </c>
      <c r="Q51" s="477">
        <v>0.05</v>
      </c>
      <c r="R51" s="477">
        <v>0.3</v>
      </c>
      <c r="S51" s="477">
        <v>0.65</v>
      </c>
      <c r="T51" s="477">
        <v>1</v>
      </c>
      <c r="U51" s="380">
        <v>0.05</v>
      </c>
      <c r="V51" s="477" t="s">
        <v>1741</v>
      </c>
      <c r="W51" s="477" t="s">
        <v>3920</v>
      </c>
      <c r="X51" s="455" t="str">
        <f t="shared" si="17"/>
        <v>En gestión</v>
      </c>
      <c r="Y51" s="455" t="str">
        <f t="shared" si="18"/>
        <v>En gestión</v>
      </c>
      <c r="Z51" s="1079"/>
      <c r="AA51" s="1093"/>
      <c r="AB51" s="1094"/>
      <c r="AC51" s="1091"/>
      <c r="AD51" s="1091"/>
      <c r="AE51" s="481"/>
      <c r="AF51" s="1073"/>
      <c r="AG51" s="1075"/>
      <c r="AH51" s="1075"/>
      <c r="AI51" s="1073"/>
      <c r="AJ51" s="1075"/>
      <c r="AK51" s="1088"/>
      <c r="AL51" s="1088"/>
      <c r="AM51" s="1092"/>
      <c r="AN51" s="1075" t="s">
        <v>2466</v>
      </c>
      <c r="AO51" s="1075"/>
      <c r="AP51" s="456"/>
      <c r="AQ51" s="1213">
        <v>0.3</v>
      </c>
      <c r="AR51" s="477" t="s">
        <v>1787</v>
      </c>
      <c r="AS51" s="477" t="s">
        <v>3925</v>
      </c>
      <c r="AT51" s="455" t="str">
        <f t="shared" si="19"/>
        <v>En gestión</v>
      </c>
      <c r="AU51" s="455" t="str">
        <f t="shared" si="20"/>
        <v>En gestión</v>
      </c>
      <c r="AV51" s="1088"/>
      <c r="AW51" s="1048"/>
      <c r="AX51" s="1049"/>
      <c r="AY51" s="1091"/>
      <c r="AZ51" s="1091"/>
      <c r="BA51" s="484"/>
      <c r="BB51" s="485" t="s">
        <v>1204</v>
      </c>
      <c r="BC51" s="1090"/>
      <c r="BD51" s="1090"/>
      <c r="BE51" s="1101"/>
      <c r="BF51" s="1090"/>
      <c r="BG51" s="1090"/>
      <c r="BH51" s="1061"/>
      <c r="BI51" s="1088"/>
      <c r="BJ51" s="1087"/>
      <c r="BK51" s="1087"/>
      <c r="BL51" s="1088"/>
      <c r="BM51" s="506">
        <v>0.65</v>
      </c>
      <c r="BN51" s="456" t="s">
        <v>3926</v>
      </c>
      <c r="BO51" s="456" t="s">
        <v>3927</v>
      </c>
      <c r="BP51" s="455" t="str">
        <f t="shared" si="25"/>
        <v>En gestión</v>
      </c>
      <c r="BQ51" s="455" t="str">
        <f t="shared" si="28"/>
        <v>En gestión</v>
      </c>
      <c r="BR51" s="454" t="s">
        <v>3928</v>
      </c>
      <c r="BS51" s="1052"/>
      <c r="BT51" s="1053"/>
      <c r="BU51" s="1091"/>
      <c r="BV51" s="1091"/>
      <c r="BW51" s="991"/>
      <c r="BX51" s="991"/>
      <c r="BY51" s="1019"/>
      <c r="BZ51" s="1019"/>
      <c r="CA51" s="1019"/>
      <c r="CB51" s="1019"/>
      <c r="CC51" s="1019"/>
      <c r="CD51" s="1019"/>
      <c r="CE51" s="991"/>
      <c r="CF51" s="1015"/>
      <c r="CG51" s="1015"/>
      <c r="CH51" s="991"/>
    </row>
    <row r="52" spans="2:86" ht="171.95" customHeight="1" x14ac:dyDescent="0.25">
      <c r="B52" s="1192"/>
      <c r="C52" s="1076"/>
      <c r="D52" s="477" t="s">
        <v>1045</v>
      </c>
      <c r="E52" s="1077"/>
      <c r="F52" s="477" t="s">
        <v>28</v>
      </c>
      <c r="G52" s="477" t="s">
        <v>28</v>
      </c>
      <c r="H52" s="477" t="s">
        <v>59</v>
      </c>
      <c r="I52" s="477" t="s">
        <v>1047</v>
      </c>
      <c r="J52" s="1078"/>
      <c r="K52" s="451" t="s">
        <v>752</v>
      </c>
      <c r="L52" s="478" t="s">
        <v>1744</v>
      </c>
      <c r="M52" s="479" t="s">
        <v>1745</v>
      </c>
      <c r="N52" s="477">
        <v>0.14000000000000001</v>
      </c>
      <c r="O52" s="480">
        <v>44197</v>
      </c>
      <c r="P52" s="480">
        <v>44561</v>
      </c>
      <c r="Q52" s="477">
        <v>0.05</v>
      </c>
      <c r="R52" s="477">
        <v>0.3</v>
      </c>
      <c r="S52" s="477">
        <v>0.65</v>
      </c>
      <c r="T52" s="477">
        <v>1</v>
      </c>
      <c r="U52" s="380">
        <v>0.05</v>
      </c>
      <c r="V52" s="477" t="s">
        <v>1741</v>
      </c>
      <c r="W52" s="477" t="s">
        <v>3920</v>
      </c>
      <c r="X52" s="455" t="str">
        <f t="shared" si="17"/>
        <v>En gestión</v>
      </c>
      <c r="Y52" s="455" t="str">
        <f t="shared" si="18"/>
        <v>En gestión</v>
      </c>
      <c r="Z52" s="1079"/>
      <c r="AA52" s="1093"/>
      <c r="AB52" s="1094"/>
      <c r="AC52" s="1091"/>
      <c r="AD52" s="1091"/>
      <c r="AE52" s="481"/>
      <c r="AF52" s="1073"/>
      <c r="AG52" s="1075"/>
      <c r="AH52" s="1075"/>
      <c r="AI52" s="1073"/>
      <c r="AJ52" s="1075"/>
      <c r="AK52" s="1088"/>
      <c r="AL52" s="1088"/>
      <c r="AM52" s="1092"/>
      <c r="AN52" s="1075" t="s">
        <v>2466</v>
      </c>
      <c r="AO52" s="1075"/>
      <c r="AP52" s="456"/>
      <c r="AQ52" s="1213">
        <v>0.3</v>
      </c>
      <c r="AR52" s="477" t="s">
        <v>1788</v>
      </c>
      <c r="AS52" s="477" t="s">
        <v>3929</v>
      </c>
      <c r="AT52" s="455" t="str">
        <f t="shared" si="19"/>
        <v>En gestión</v>
      </c>
      <c r="AU52" s="455" t="str">
        <f t="shared" si="20"/>
        <v>En gestión</v>
      </c>
      <c r="AV52" s="1088"/>
      <c r="AW52" s="1048"/>
      <c r="AX52" s="1049"/>
      <c r="AY52" s="1091"/>
      <c r="AZ52" s="1091"/>
      <c r="BA52" s="484"/>
      <c r="BB52" s="485" t="s">
        <v>1204</v>
      </c>
      <c r="BC52" s="1090"/>
      <c r="BD52" s="1090"/>
      <c r="BE52" s="1101"/>
      <c r="BF52" s="1090"/>
      <c r="BG52" s="1090"/>
      <c r="BH52" s="1061"/>
      <c r="BI52" s="1088"/>
      <c r="BJ52" s="1087"/>
      <c r="BK52" s="1087"/>
      <c r="BL52" s="1088"/>
      <c r="BM52" s="506">
        <v>0.65</v>
      </c>
      <c r="BN52" s="456" t="s">
        <v>3930</v>
      </c>
      <c r="BO52" s="456" t="s">
        <v>3931</v>
      </c>
      <c r="BP52" s="455" t="str">
        <f t="shared" si="25"/>
        <v>En gestión</v>
      </c>
      <c r="BQ52" s="455" t="str">
        <f t="shared" si="28"/>
        <v>En gestión</v>
      </c>
      <c r="BR52" s="454" t="s">
        <v>3932</v>
      </c>
      <c r="BS52" s="1052"/>
      <c r="BT52" s="1053"/>
      <c r="BU52" s="1091"/>
      <c r="BV52" s="1091"/>
      <c r="BW52" s="991"/>
      <c r="BX52" s="991"/>
      <c r="BY52" s="1019"/>
      <c r="BZ52" s="1019"/>
      <c r="CA52" s="1019"/>
      <c r="CB52" s="1019"/>
      <c r="CC52" s="1019"/>
      <c r="CD52" s="1019"/>
      <c r="CE52" s="991"/>
      <c r="CF52" s="1015"/>
      <c r="CG52" s="1015"/>
      <c r="CH52" s="991"/>
    </row>
    <row r="53" spans="2:86" ht="171.95" customHeight="1" x14ac:dyDescent="0.25">
      <c r="B53" s="1192"/>
      <c r="C53" s="1076"/>
      <c r="D53" s="477" t="s">
        <v>1045</v>
      </c>
      <c r="E53" s="1077"/>
      <c r="F53" s="477" t="s">
        <v>28</v>
      </c>
      <c r="G53" s="477" t="s">
        <v>28</v>
      </c>
      <c r="H53" s="477" t="s">
        <v>59</v>
      </c>
      <c r="I53" s="477" t="s">
        <v>1047</v>
      </c>
      <c r="J53" s="1078"/>
      <c r="K53" s="451" t="s">
        <v>752</v>
      </c>
      <c r="L53" s="478" t="s">
        <v>1746</v>
      </c>
      <c r="M53" s="479" t="s">
        <v>1747</v>
      </c>
      <c r="N53" s="477">
        <v>0.14000000000000001</v>
      </c>
      <c r="O53" s="480">
        <v>44197</v>
      </c>
      <c r="P53" s="480">
        <v>44561</v>
      </c>
      <c r="Q53" s="477">
        <v>0.05</v>
      </c>
      <c r="R53" s="477">
        <v>0.3</v>
      </c>
      <c r="S53" s="477">
        <v>0.75</v>
      </c>
      <c r="T53" s="477">
        <v>1</v>
      </c>
      <c r="U53" s="380">
        <v>0.05</v>
      </c>
      <c r="V53" s="477" t="s">
        <v>1738</v>
      </c>
      <c r="W53" s="477" t="s">
        <v>3933</v>
      </c>
      <c r="X53" s="455" t="str">
        <f t="shared" si="17"/>
        <v>En gestión</v>
      </c>
      <c r="Y53" s="455" t="str">
        <f t="shared" si="18"/>
        <v>En gestión</v>
      </c>
      <c r="Z53" s="1079"/>
      <c r="AA53" s="1093"/>
      <c r="AB53" s="1094"/>
      <c r="AC53" s="1091"/>
      <c r="AD53" s="1091"/>
      <c r="AE53" s="481"/>
      <c r="AF53" s="1073"/>
      <c r="AG53" s="1075"/>
      <c r="AH53" s="1075"/>
      <c r="AI53" s="1073"/>
      <c r="AJ53" s="1075"/>
      <c r="AK53" s="1088"/>
      <c r="AL53" s="1088"/>
      <c r="AM53" s="1092"/>
      <c r="AN53" s="1075" t="s">
        <v>2466</v>
      </c>
      <c r="AO53" s="1075"/>
      <c r="AP53" s="456"/>
      <c r="AQ53" s="1213">
        <v>0.3</v>
      </c>
      <c r="AR53" s="477" t="s">
        <v>1789</v>
      </c>
      <c r="AS53" s="477" t="s">
        <v>3934</v>
      </c>
      <c r="AT53" s="455" t="str">
        <f t="shared" si="19"/>
        <v>En gestión</v>
      </c>
      <c r="AU53" s="455" t="str">
        <f t="shared" si="20"/>
        <v>En gestión</v>
      </c>
      <c r="AV53" s="1088"/>
      <c r="AW53" s="1048"/>
      <c r="AX53" s="1049"/>
      <c r="AY53" s="1091"/>
      <c r="AZ53" s="1091"/>
      <c r="BA53" s="484"/>
      <c r="BB53" s="485" t="s">
        <v>1204</v>
      </c>
      <c r="BC53" s="1090"/>
      <c r="BD53" s="1090"/>
      <c r="BE53" s="1101"/>
      <c r="BF53" s="1090"/>
      <c r="BG53" s="1090"/>
      <c r="BH53" s="1061"/>
      <c r="BI53" s="1088"/>
      <c r="BJ53" s="1087"/>
      <c r="BK53" s="1087"/>
      <c r="BL53" s="1088"/>
      <c r="BM53" s="506">
        <v>0.75</v>
      </c>
      <c r="BN53" s="456" t="s">
        <v>3498</v>
      </c>
      <c r="BO53" s="456" t="s">
        <v>3499</v>
      </c>
      <c r="BP53" s="455" t="str">
        <f t="shared" si="25"/>
        <v>En gestión</v>
      </c>
      <c r="BQ53" s="455" t="str">
        <f t="shared" si="28"/>
        <v>En gestión</v>
      </c>
      <c r="BR53" s="454" t="s">
        <v>3500</v>
      </c>
      <c r="BS53" s="1052"/>
      <c r="BT53" s="1053"/>
      <c r="BU53" s="1091"/>
      <c r="BV53" s="1091"/>
      <c r="BW53" s="991"/>
      <c r="BX53" s="991"/>
      <c r="BY53" s="1019"/>
      <c r="BZ53" s="1019"/>
      <c r="CA53" s="1019"/>
      <c r="CB53" s="1019"/>
      <c r="CC53" s="1019"/>
      <c r="CD53" s="1019"/>
      <c r="CE53" s="991"/>
      <c r="CF53" s="1015"/>
      <c r="CG53" s="1015"/>
      <c r="CH53" s="991"/>
    </row>
    <row r="54" spans="2:86" ht="171.95" customHeight="1" x14ac:dyDescent="0.25">
      <c r="B54" s="1192"/>
      <c r="C54" s="1076"/>
      <c r="D54" s="477" t="s">
        <v>1045</v>
      </c>
      <c r="E54" s="1077"/>
      <c r="F54" s="477" t="s">
        <v>28</v>
      </c>
      <c r="G54" s="477" t="s">
        <v>28</v>
      </c>
      <c r="H54" s="477" t="s">
        <v>59</v>
      </c>
      <c r="I54" s="477" t="s">
        <v>1047</v>
      </c>
      <c r="J54" s="1078"/>
      <c r="K54" s="451" t="s">
        <v>752</v>
      </c>
      <c r="L54" s="478" t="s">
        <v>1748</v>
      </c>
      <c r="M54" s="479" t="s">
        <v>1749</v>
      </c>
      <c r="N54" s="477">
        <v>0.14000000000000001</v>
      </c>
      <c r="O54" s="480">
        <v>44197</v>
      </c>
      <c r="P54" s="480">
        <v>44561</v>
      </c>
      <c r="Q54" s="477">
        <v>0.05</v>
      </c>
      <c r="R54" s="477">
        <v>0.35</v>
      </c>
      <c r="S54" s="477">
        <v>0.64</v>
      </c>
      <c r="T54" s="477">
        <v>1</v>
      </c>
      <c r="U54" s="380">
        <v>0.05</v>
      </c>
      <c r="V54" s="477" t="s">
        <v>1750</v>
      </c>
      <c r="W54" s="477" t="s">
        <v>3935</v>
      </c>
      <c r="X54" s="455" t="str">
        <f t="shared" si="17"/>
        <v>En gestión</v>
      </c>
      <c r="Y54" s="455" t="str">
        <f t="shared" si="18"/>
        <v>En gestión</v>
      </c>
      <c r="Z54" s="1079"/>
      <c r="AA54" s="1093"/>
      <c r="AB54" s="1094"/>
      <c r="AC54" s="1091"/>
      <c r="AD54" s="1091"/>
      <c r="AE54" s="481"/>
      <c r="AF54" s="1073"/>
      <c r="AG54" s="1075"/>
      <c r="AH54" s="1075"/>
      <c r="AI54" s="1073"/>
      <c r="AJ54" s="1075"/>
      <c r="AK54" s="1088"/>
      <c r="AL54" s="1088"/>
      <c r="AM54" s="1092"/>
      <c r="AN54" s="1075" t="s">
        <v>2466</v>
      </c>
      <c r="AO54" s="1075"/>
      <c r="AP54" s="456"/>
      <c r="AQ54" s="1213">
        <v>0.35</v>
      </c>
      <c r="AR54" s="477" t="s">
        <v>1790</v>
      </c>
      <c r="AS54" s="477" t="s">
        <v>3936</v>
      </c>
      <c r="AT54" s="455" t="str">
        <f t="shared" si="19"/>
        <v>En gestión</v>
      </c>
      <c r="AU54" s="455" t="str">
        <f t="shared" si="20"/>
        <v>En gestión</v>
      </c>
      <c r="AV54" s="1088"/>
      <c r="AW54" s="1048"/>
      <c r="AX54" s="1049"/>
      <c r="AY54" s="1091"/>
      <c r="AZ54" s="1091"/>
      <c r="BA54" s="484"/>
      <c r="BB54" s="485" t="s">
        <v>1204</v>
      </c>
      <c r="BC54" s="1090"/>
      <c r="BD54" s="1090"/>
      <c r="BE54" s="1101"/>
      <c r="BF54" s="1090"/>
      <c r="BG54" s="1090"/>
      <c r="BH54" s="1061"/>
      <c r="BI54" s="1088"/>
      <c r="BJ54" s="1087"/>
      <c r="BK54" s="1087"/>
      <c r="BL54" s="1088"/>
      <c r="BM54" s="506">
        <v>0.64</v>
      </c>
      <c r="BN54" s="456" t="s">
        <v>3937</v>
      </c>
      <c r="BO54" s="456" t="s">
        <v>3938</v>
      </c>
      <c r="BP54" s="455" t="str">
        <f t="shared" si="25"/>
        <v>En gestión</v>
      </c>
      <c r="BQ54" s="455" t="str">
        <f t="shared" si="28"/>
        <v>En gestión</v>
      </c>
      <c r="BR54" s="454" t="s">
        <v>3939</v>
      </c>
      <c r="BS54" s="1052"/>
      <c r="BT54" s="1053"/>
      <c r="BU54" s="1091"/>
      <c r="BV54" s="1091"/>
      <c r="BW54" s="991"/>
      <c r="BX54" s="991"/>
      <c r="BY54" s="1019"/>
      <c r="BZ54" s="1019"/>
      <c r="CA54" s="1019"/>
      <c r="CB54" s="1019"/>
      <c r="CC54" s="1019"/>
      <c r="CD54" s="1019"/>
      <c r="CE54" s="991"/>
      <c r="CF54" s="1015"/>
      <c r="CG54" s="1015"/>
      <c r="CH54" s="991"/>
    </row>
    <row r="55" spans="2:86" ht="171.95" customHeight="1" x14ac:dyDescent="0.25">
      <c r="B55" s="1192"/>
      <c r="C55" s="1076"/>
      <c r="D55" s="477" t="s">
        <v>1045</v>
      </c>
      <c r="E55" s="1077"/>
      <c r="F55" s="477" t="s">
        <v>28</v>
      </c>
      <c r="G55" s="477" t="s">
        <v>28</v>
      </c>
      <c r="H55" s="477" t="s">
        <v>59</v>
      </c>
      <c r="I55" s="477" t="s">
        <v>1047</v>
      </c>
      <c r="J55" s="1078"/>
      <c r="K55" s="451" t="s">
        <v>752</v>
      </c>
      <c r="L55" s="478" t="s">
        <v>1751</v>
      </c>
      <c r="M55" s="479" t="s">
        <v>1752</v>
      </c>
      <c r="N55" s="477">
        <v>0.16</v>
      </c>
      <c r="O55" s="480">
        <v>44197</v>
      </c>
      <c r="P55" s="480">
        <v>44561</v>
      </c>
      <c r="Q55" s="477">
        <v>0.05</v>
      </c>
      <c r="R55" s="477">
        <v>0.3</v>
      </c>
      <c r="S55" s="477">
        <v>0.65</v>
      </c>
      <c r="T55" s="477">
        <v>1</v>
      </c>
      <c r="U55" s="380">
        <v>0.05</v>
      </c>
      <c r="V55" s="477" t="s">
        <v>1753</v>
      </c>
      <c r="W55" s="477" t="s">
        <v>3940</v>
      </c>
      <c r="X55" s="455" t="str">
        <f t="shared" si="17"/>
        <v>En gestión</v>
      </c>
      <c r="Y55" s="455" t="str">
        <f t="shared" si="18"/>
        <v>En gestión</v>
      </c>
      <c r="Z55" s="1079"/>
      <c r="AA55" s="1093"/>
      <c r="AB55" s="1094"/>
      <c r="AC55" s="1091"/>
      <c r="AD55" s="1091"/>
      <c r="AE55" s="481"/>
      <c r="AF55" s="1073"/>
      <c r="AG55" s="1075"/>
      <c r="AH55" s="1075"/>
      <c r="AI55" s="1073"/>
      <c r="AJ55" s="1075"/>
      <c r="AK55" s="1088"/>
      <c r="AL55" s="1088"/>
      <c r="AM55" s="1092"/>
      <c r="AN55" s="1075" t="s">
        <v>2466</v>
      </c>
      <c r="AO55" s="1075"/>
      <c r="AP55" s="456"/>
      <c r="AQ55" s="1213">
        <v>0.3</v>
      </c>
      <c r="AR55" s="477" t="s">
        <v>1791</v>
      </c>
      <c r="AS55" s="477" t="s">
        <v>3941</v>
      </c>
      <c r="AT55" s="455" t="str">
        <f t="shared" si="19"/>
        <v>En gestión</v>
      </c>
      <c r="AU55" s="455" t="str">
        <f t="shared" si="20"/>
        <v>En gestión</v>
      </c>
      <c r="AV55" s="1088"/>
      <c r="AW55" s="1048"/>
      <c r="AX55" s="1049"/>
      <c r="AY55" s="1091"/>
      <c r="AZ55" s="1091"/>
      <c r="BA55" s="484"/>
      <c r="BB55" s="485" t="s">
        <v>1204</v>
      </c>
      <c r="BC55" s="1090"/>
      <c r="BD55" s="1090"/>
      <c r="BE55" s="1101"/>
      <c r="BF55" s="1090"/>
      <c r="BG55" s="1090"/>
      <c r="BH55" s="1061"/>
      <c r="BI55" s="1088"/>
      <c r="BJ55" s="1087"/>
      <c r="BK55" s="1087"/>
      <c r="BL55" s="1088"/>
      <c r="BM55" s="506">
        <v>0.65</v>
      </c>
      <c r="BN55" s="456" t="s">
        <v>3942</v>
      </c>
      <c r="BO55" s="456" t="s">
        <v>3943</v>
      </c>
      <c r="BP55" s="455" t="str">
        <f t="shared" si="25"/>
        <v>En gestión</v>
      </c>
      <c r="BQ55" s="455" t="str">
        <f t="shared" si="28"/>
        <v>En gestión</v>
      </c>
      <c r="BR55" s="454" t="s">
        <v>3944</v>
      </c>
      <c r="BS55" s="1052"/>
      <c r="BT55" s="1053"/>
      <c r="BU55" s="1091"/>
      <c r="BV55" s="1091"/>
      <c r="BW55" s="991"/>
      <c r="BX55" s="991"/>
      <c r="BY55" s="1019"/>
      <c r="BZ55" s="1019"/>
      <c r="CA55" s="1019"/>
      <c r="CB55" s="1019"/>
      <c r="CC55" s="1019"/>
      <c r="CD55" s="1019"/>
      <c r="CE55" s="991"/>
      <c r="CF55" s="1015"/>
      <c r="CG55" s="1015"/>
      <c r="CH55" s="991"/>
    </row>
    <row r="56" spans="2:86" ht="171.95" customHeight="1" x14ac:dyDescent="0.25">
      <c r="B56" s="1192"/>
      <c r="C56" s="1066" t="s">
        <v>1754</v>
      </c>
      <c r="D56" s="417" t="s">
        <v>1045</v>
      </c>
      <c r="E56" s="1067" t="s">
        <v>1755</v>
      </c>
      <c r="F56" s="417" t="s">
        <v>28</v>
      </c>
      <c r="G56" s="417" t="s">
        <v>28</v>
      </c>
      <c r="H56" s="417" t="s">
        <v>59</v>
      </c>
      <c r="I56" s="417" t="s">
        <v>1047</v>
      </c>
      <c r="J56" s="1068" t="s">
        <v>1756</v>
      </c>
      <c r="K56" s="387" t="s">
        <v>752</v>
      </c>
      <c r="L56" s="418" t="s">
        <v>1757</v>
      </c>
      <c r="M56" s="419" t="s">
        <v>1758</v>
      </c>
      <c r="N56" s="417">
        <v>0.5</v>
      </c>
      <c r="O56" s="420">
        <v>44197</v>
      </c>
      <c r="P56" s="420">
        <v>44561</v>
      </c>
      <c r="Q56" s="417">
        <v>0.05</v>
      </c>
      <c r="R56" s="417">
        <v>0.3</v>
      </c>
      <c r="S56" s="417">
        <v>0.65</v>
      </c>
      <c r="T56" s="417">
        <v>1</v>
      </c>
      <c r="U56" s="380">
        <v>0.05</v>
      </c>
      <c r="V56" s="417" t="s">
        <v>1759</v>
      </c>
      <c r="W56" s="417" t="s">
        <v>3945</v>
      </c>
      <c r="X56" s="379" t="str">
        <f t="shared" si="17"/>
        <v>En gestión</v>
      </c>
      <c r="Y56" s="379" t="str">
        <f t="shared" si="18"/>
        <v>En gestión</v>
      </c>
      <c r="Z56" s="1086" t="s">
        <v>1759</v>
      </c>
      <c r="AA56" s="1026">
        <f>SUMPRODUCT(N56:N57,U56:U57)</f>
        <v>0.05</v>
      </c>
      <c r="AB56" s="1004">
        <f>SUMPRODUCT(N56:N57,Q56:Q57)</f>
        <v>0.05</v>
      </c>
      <c r="AC56" s="1070" t="str">
        <f>IF(AB56&lt;1%,"Sin iniciar",IF(AB56=100%,"Terminado","En gestión"))</f>
        <v>En gestión</v>
      </c>
      <c r="AD56" s="1070" t="str">
        <f>IF(AA56&lt;1%,"Sin iniciar",IF(AA56=100%,"Terminado","En gestión"))</f>
        <v>En gestión</v>
      </c>
      <c r="AE56" s="421"/>
      <c r="AF56" s="1100">
        <v>55723139</v>
      </c>
      <c r="AG56" s="1098">
        <v>55723139</v>
      </c>
      <c r="AH56" s="1099">
        <v>2786156.95</v>
      </c>
      <c r="AI56" s="1100">
        <v>153241618</v>
      </c>
      <c r="AJ56" s="1098">
        <v>153241618</v>
      </c>
      <c r="AK56" s="1099">
        <v>12259329</v>
      </c>
      <c r="AL56" s="1069" t="s">
        <v>2481</v>
      </c>
      <c r="AM56" s="1069" t="s">
        <v>2484</v>
      </c>
      <c r="AN56" s="1083"/>
      <c r="AO56" s="1099">
        <f>+AI56</f>
        <v>153241618</v>
      </c>
      <c r="AP56" s="390"/>
      <c r="AQ56" s="1213">
        <v>0.3</v>
      </c>
      <c r="AR56" s="422" t="s">
        <v>1759</v>
      </c>
      <c r="AS56" s="417" t="s">
        <v>3945</v>
      </c>
      <c r="AT56" s="379" t="str">
        <f t="shared" si="19"/>
        <v>En gestión</v>
      </c>
      <c r="AU56" s="379" t="str">
        <f t="shared" si="20"/>
        <v>En gestión</v>
      </c>
      <c r="AV56" s="1086" t="s">
        <v>1759</v>
      </c>
      <c r="AW56" s="1048">
        <f>SUMPRODUCT(N56:N57,AQ56:AQ57)</f>
        <v>0.3</v>
      </c>
      <c r="AX56" s="1049">
        <f>SUMPRODUCT(N56:N57,R56:R57)</f>
        <v>0.3</v>
      </c>
      <c r="AY56" s="1070" t="str">
        <f t="shared" ref="AY56:AY58" si="36">IF(AX56&lt;1%,"Sin iniciar",IF(AX56=100%,"Terminado","En gestión"))</f>
        <v>En gestión</v>
      </c>
      <c r="AZ56" s="1070" t="str">
        <f t="shared" ref="AZ56:AZ60" si="37">IF(AW56&lt;1%,"Sin iniciar",IF(AW56=100%,"Terminado","En gestión"))</f>
        <v>En gestión</v>
      </c>
      <c r="BA56" s="423"/>
      <c r="BB56" s="427" t="s">
        <v>1799</v>
      </c>
      <c r="BC56" s="1102">
        <v>55723139</v>
      </c>
      <c r="BD56" s="1102">
        <v>55723139</v>
      </c>
      <c r="BE56" s="1095">
        <f t="shared" si="29"/>
        <v>27861569.5</v>
      </c>
      <c r="BF56" s="1102">
        <v>153241618</v>
      </c>
      <c r="BG56" s="1102">
        <v>153241618</v>
      </c>
      <c r="BH56" s="1095">
        <v>47367644.600000001</v>
      </c>
      <c r="BI56" s="1069" t="s">
        <v>2540</v>
      </c>
      <c r="BJ56" s="1069" t="s">
        <v>2549</v>
      </c>
      <c r="BK56" s="1095" t="s">
        <v>2550</v>
      </c>
      <c r="BL56" s="1069" t="s">
        <v>2551</v>
      </c>
      <c r="BM56" s="506">
        <v>0.65</v>
      </c>
      <c r="BN56" s="428" t="s">
        <v>1759</v>
      </c>
      <c r="BO56" s="428" t="s">
        <v>3945</v>
      </c>
      <c r="BP56" s="379" t="str">
        <f t="shared" si="25"/>
        <v>En gestión</v>
      </c>
      <c r="BQ56" s="379" t="str">
        <f t="shared" si="28"/>
        <v>En gestión</v>
      </c>
      <c r="BR56" s="1006" t="s">
        <v>1759</v>
      </c>
      <c r="BS56" s="1052">
        <f>SUMPRODUCT(N56:N57,BM56:BM57)</f>
        <v>0.65</v>
      </c>
      <c r="BT56" s="1053">
        <f>SUMPRODUCT(N56:N57,S56:S57)</f>
        <v>0.65</v>
      </c>
      <c r="BU56" s="1070" t="str">
        <f t="shared" ref="BU56" si="38">IF(BT56&lt;1%,"Sin iniciar",IF(BT56=100%,"Terminado","En gestión"))</f>
        <v>En gestión</v>
      </c>
      <c r="BV56" s="1070" t="str">
        <f t="shared" ref="BV56" si="39">IF(BS56&lt;1%,"Sin iniciar",IF(BS56=100%,"Terminado","En gestión"))</f>
        <v>En gestión</v>
      </c>
      <c r="BW56" s="1016" t="s">
        <v>3946</v>
      </c>
      <c r="BX56" s="1016" t="s">
        <v>1555</v>
      </c>
      <c r="BY56" s="1020">
        <v>55723139</v>
      </c>
      <c r="BZ56" s="1020">
        <v>55723139</v>
      </c>
      <c r="CA56" s="1020">
        <v>41792355</v>
      </c>
      <c r="CB56" s="1020">
        <v>153241618</v>
      </c>
      <c r="CC56" s="1020">
        <v>153241618</v>
      </c>
      <c r="CD56" s="1020">
        <v>120670271</v>
      </c>
      <c r="CE56" s="1016" t="s">
        <v>2540</v>
      </c>
      <c r="CF56" s="1016" t="s">
        <v>2549</v>
      </c>
      <c r="CG56" s="1017" t="s">
        <v>2550</v>
      </c>
      <c r="CH56" s="1016" t="s">
        <v>2551</v>
      </c>
    </row>
    <row r="57" spans="2:86" ht="171.95" customHeight="1" x14ac:dyDescent="0.25">
      <c r="B57" s="1192"/>
      <c r="C57" s="1066"/>
      <c r="D57" s="417" t="s">
        <v>1045</v>
      </c>
      <c r="E57" s="1067"/>
      <c r="F57" s="417" t="s">
        <v>28</v>
      </c>
      <c r="G57" s="417" t="s">
        <v>28</v>
      </c>
      <c r="H57" s="417" t="s">
        <v>59</v>
      </c>
      <c r="I57" s="417" t="s">
        <v>1047</v>
      </c>
      <c r="J57" s="1068"/>
      <c r="K57" s="387" t="s">
        <v>752</v>
      </c>
      <c r="L57" s="418" t="s">
        <v>1760</v>
      </c>
      <c r="M57" s="419" t="s">
        <v>1761</v>
      </c>
      <c r="N57" s="417">
        <v>0.5</v>
      </c>
      <c r="O57" s="420">
        <v>44197</v>
      </c>
      <c r="P57" s="420">
        <v>44561</v>
      </c>
      <c r="Q57" s="417">
        <v>0.05</v>
      </c>
      <c r="R57" s="417">
        <v>0.3</v>
      </c>
      <c r="S57" s="417">
        <v>0.65</v>
      </c>
      <c r="T57" s="417">
        <v>1</v>
      </c>
      <c r="U57" s="380">
        <v>0.05</v>
      </c>
      <c r="V57" s="417" t="s">
        <v>2375</v>
      </c>
      <c r="W57" s="417" t="s">
        <v>3945</v>
      </c>
      <c r="X57" s="379" t="str">
        <f t="shared" si="17"/>
        <v>En gestión</v>
      </c>
      <c r="Y57" s="379" t="str">
        <f t="shared" si="18"/>
        <v>En gestión</v>
      </c>
      <c r="Z57" s="1086"/>
      <c r="AA57" s="1026"/>
      <c r="AB57" s="1004"/>
      <c r="AC57" s="1070"/>
      <c r="AD57" s="1070"/>
      <c r="AE57" s="421"/>
      <c r="AF57" s="1100"/>
      <c r="AG57" s="1098"/>
      <c r="AH57" s="1099"/>
      <c r="AI57" s="1100"/>
      <c r="AJ57" s="1098"/>
      <c r="AK57" s="1098"/>
      <c r="AL57" s="1069"/>
      <c r="AM57" s="1069"/>
      <c r="AN57" s="1083"/>
      <c r="AO57" s="1099" t="s">
        <v>2466</v>
      </c>
      <c r="AP57" s="390"/>
      <c r="AQ57" s="1213">
        <v>0.3</v>
      </c>
      <c r="AR57" s="422" t="s">
        <v>2375</v>
      </c>
      <c r="AS57" s="417" t="s">
        <v>3945</v>
      </c>
      <c r="AT57" s="379" t="str">
        <f t="shared" si="19"/>
        <v>En gestión</v>
      </c>
      <c r="AU57" s="379" t="str">
        <f t="shared" si="20"/>
        <v>En gestión</v>
      </c>
      <c r="AV57" s="1086"/>
      <c r="AW57" s="1048"/>
      <c r="AX57" s="1049"/>
      <c r="AY57" s="1070"/>
      <c r="AZ57" s="1070"/>
      <c r="BA57" s="423"/>
      <c r="BB57" s="427" t="s">
        <v>1204</v>
      </c>
      <c r="BC57" s="1102"/>
      <c r="BD57" s="1102"/>
      <c r="BE57" s="1095"/>
      <c r="BF57" s="1102"/>
      <c r="BG57" s="1102"/>
      <c r="BH57" s="1095"/>
      <c r="BI57" s="1069"/>
      <c r="BJ57" s="1069"/>
      <c r="BK57" s="1095"/>
      <c r="BL57" s="1069"/>
      <c r="BM57" s="506">
        <v>0.65</v>
      </c>
      <c r="BN57" s="428" t="s">
        <v>3947</v>
      </c>
      <c r="BO57" s="428" t="s">
        <v>3945</v>
      </c>
      <c r="BP57" s="379" t="str">
        <f t="shared" si="25"/>
        <v>En gestión</v>
      </c>
      <c r="BQ57" s="379" t="str">
        <f t="shared" si="28"/>
        <v>En gestión</v>
      </c>
      <c r="BR57" s="1006"/>
      <c r="BS57" s="1052"/>
      <c r="BT57" s="1053"/>
      <c r="BU57" s="1070"/>
      <c r="BV57" s="1070"/>
      <c r="BW57" s="1016"/>
      <c r="BX57" s="1016"/>
      <c r="BY57" s="1020"/>
      <c r="BZ57" s="1020"/>
      <c r="CA57" s="1020"/>
      <c r="CB57" s="1020"/>
      <c r="CC57" s="1020"/>
      <c r="CD57" s="1020"/>
      <c r="CE57" s="1016"/>
      <c r="CF57" s="1016"/>
      <c r="CG57" s="1017"/>
      <c r="CH57" s="1016"/>
    </row>
    <row r="58" spans="2:86" ht="171.95" customHeight="1" x14ac:dyDescent="0.25">
      <c r="B58" s="1192"/>
      <c r="C58" s="1076" t="s">
        <v>1762</v>
      </c>
      <c r="D58" s="477" t="s">
        <v>1045</v>
      </c>
      <c r="E58" s="1077" t="s">
        <v>1755</v>
      </c>
      <c r="F58" s="477" t="s">
        <v>28</v>
      </c>
      <c r="G58" s="477" t="s">
        <v>28</v>
      </c>
      <c r="H58" s="477" t="s">
        <v>59</v>
      </c>
      <c r="I58" s="477" t="s">
        <v>1047</v>
      </c>
      <c r="J58" s="1078" t="s">
        <v>1763</v>
      </c>
      <c r="K58" s="451" t="s">
        <v>1711</v>
      </c>
      <c r="L58" s="478" t="s">
        <v>1764</v>
      </c>
      <c r="M58" s="479" t="s">
        <v>1765</v>
      </c>
      <c r="N58" s="477">
        <v>0.3</v>
      </c>
      <c r="O58" s="480">
        <v>44197</v>
      </c>
      <c r="P58" s="480">
        <v>44561</v>
      </c>
      <c r="Q58" s="477">
        <v>0.05</v>
      </c>
      <c r="R58" s="477">
        <v>0.3</v>
      </c>
      <c r="S58" s="477">
        <v>0.65</v>
      </c>
      <c r="T58" s="477">
        <v>1</v>
      </c>
      <c r="U58" s="380">
        <v>0.05</v>
      </c>
      <c r="V58" s="477" t="s">
        <v>1766</v>
      </c>
      <c r="W58" s="477" t="s">
        <v>3948</v>
      </c>
      <c r="X58" s="455" t="str">
        <f t="shared" si="17"/>
        <v>En gestión</v>
      </c>
      <c r="Y58" s="455" t="str">
        <f t="shared" si="18"/>
        <v>En gestión</v>
      </c>
      <c r="Z58" s="1079" t="s">
        <v>1782</v>
      </c>
      <c r="AA58" s="1026">
        <f>SUMPRODUCT(N58:N59,U58:U59)</f>
        <v>4.9999999999999996E-2</v>
      </c>
      <c r="AB58" s="1004">
        <f>SUMPRODUCT(N58:N59,Q58:Q59)</f>
        <v>4.9999999999999996E-2</v>
      </c>
      <c r="AC58" s="1091" t="str">
        <f>IF(AB58&lt;1%,"Sin iniciar",IF(AB58=100%,"Terminado","En gestión"))</f>
        <v>En gestión</v>
      </c>
      <c r="AD58" s="1091" t="str">
        <f>IF(AA58&lt;1%,"Sin iniciar",IF(AA58=100%,"Terminado","En gestión"))</f>
        <v>En gestión</v>
      </c>
      <c r="AE58" s="484"/>
      <c r="AF58" s="1073">
        <v>55723139</v>
      </c>
      <c r="AG58" s="1074">
        <v>55723139</v>
      </c>
      <c r="AH58" s="1075">
        <v>2786156.95</v>
      </c>
      <c r="AI58" s="1073">
        <v>153241618</v>
      </c>
      <c r="AJ58" s="1074">
        <v>153241618</v>
      </c>
      <c r="AK58" s="1075">
        <v>12259329</v>
      </c>
      <c r="AL58" s="1088" t="s">
        <v>2481</v>
      </c>
      <c r="AM58" s="1088" t="s">
        <v>2484</v>
      </c>
      <c r="AN58" s="1092"/>
      <c r="AO58" s="1075">
        <f>+AI58</f>
        <v>153241618</v>
      </c>
      <c r="AP58" s="456"/>
      <c r="AQ58" s="1213">
        <v>0.3</v>
      </c>
      <c r="AR58" s="482" t="s">
        <v>1792</v>
      </c>
      <c r="AS58" s="477" t="s">
        <v>3949</v>
      </c>
      <c r="AT58" s="455" t="str">
        <f t="shared" si="19"/>
        <v>En gestión</v>
      </c>
      <c r="AU58" s="455" t="str">
        <f t="shared" si="20"/>
        <v>En gestión</v>
      </c>
      <c r="AV58" s="1079" t="s">
        <v>1800</v>
      </c>
      <c r="AW58" s="1048">
        <f>SUMPRODUCT(N58:N59,AQ58:AQ59)</f>
        <v>0.3</v>
      </c>
      <c r="AX58" s="1049">
        <f>SUMPRODUCT(N58:N59,R58:R59)</f>
        <v>0.3</v>
      </c>
      <c r="AY58" s="1091" t="str">
        <f t="shared" si="36"/>
        <v>En gestión</v>
      </c>
      <c r="AZ58" s="1091" t="str">
        <f t="shared" si="37"/>
        <v>En gestión</v>
      </c>
      <c r="BA58" s="483"/>
      <c r="BB58" s="486" t="s">
        <v>1204</v>
      </c>
      <c r="BC58" s="1090">
        <v>55723139</v>
      </c>
      <c r="BD58" s="1090">
        <v>55723139</v>
      </c>
      <c r="BE58" s="1087">
        <f t="shared" si="29"/>
        <v>27861569.5</v>
      </c>
      <c r="BF58" s="1090">
        <v>153241618</v>
      </c>
      <c r="BG58" s="1090">
        <v>153241618</v>
      </c>
      <c r="BH58" s="1087">
        <v>47367644.600000001</v>
      </c>
      <c r="BI58" s="1088" t="s">
        <v>2540</v>
      </c>
      <c r="BJ58" s="1088" t="s">
        <v>2549</v>
      </c>
      <c r="BK58" s="1087" t="s">
        <v>2550</v>
      </c>
      <c r="BL58" s="1088" t="s">
        <v>2551</v>
      </c>
      <c r="BM58" s="506">
        <v>0.65</v>
      </c>
      <c r="BN58" s="487" t="s">
        <v>3950</v>
      </c>
      <c r="BO58" s="487" t="s">
        <v>3951</v>
      </c>
      <c r="BP58" s="455" t="str">
        <f t="shared" si="25"/>
        <v>En gestión</v>
      </c>
      <c r="BQ58" s="455" t="str">
        <f t="shared" si="28"/>
        <v>En gestión</v>
      </c>
      <c r="BR58" s="990" t="s">
        <v>1800</v>
      </c>
      <c r="BS58" s="1052">
        <f>SUMPRODUCT(N58:N59,BM58:BM59)</f>
        <v>0.64999999999999991</v>
      </c>
      <c r="BT58" s="1053">
        <f>SUMPRODUCT(N58:N59,S58:S59)</f>
        <v>0.64999999999999991</v>
      </c>
      <c r="BU58" s="1091" t="str">
        <f t="shared" ref="BU58" si="40">IF(BT58&lt;1%,"Sin iniciar",IF(BT58=100%,"Terminado","En gestión"))</f>
        <v>En gestión</v>
      </c>
      <c r="BV58" s="1091" t="str">
        <f t="shared" ref="BV58" si="41">IF(BS58&lt;1%,"Sin iniciar",IF(BS58=100%,"Terminado","En gestión"))</f>
        <v>En gestión</v>
      </c>
      <c r="BW58" s="991" t="s">
        <v>3946</v>
      </c>
      <c r="BX58" s="991" t="s">
        <v>1555</v>
      </c>
      <c r="BY58" s="1015">
        <v>55723139</v>
      </c>
      <c r="BZ58" s="1015">
        <v>55723139</v>
      </c>
      <c r="CA58" s="1015">
        <v>41792355</v>
      </c>
      <c r="CB58" s="1015">
        <v>153241618</v>
      </c>
      <c r="CC58" s="1015">
        <v>153241618</v>
      </c>
      <c r="CD58" s="1015">
        <v>120670271</v>
      </c>
      <c r="CE58" s="991" t="s">
        <v>2540</v>
      </c>
      <c r="CF58" s="991" t="s">
        <v>2549</v>
      </c>
      <c r="CG58" s="1015" t="s">
        <v>2550</v>
      </c>
      <c r="CH58" s="991" t="s">
        <v>2551</v>
      </c>
    </row>
    <row r="59" spans="2:86" ht="171.95" customHeight="1" x14ac:dyDescent="0.25">
      <c r="B59" s="1192"/>
      <c r="C59" s="1076"/>
      <c r="D59" s="477" t="s">
        <v>1045</v>
      </c>
      <c r="E59" s="1077"/>
      <c r="F59" s="477" t="s">
        <v>28</v>
      </c>
      <c r="G59" s="477" t="s">
        <v>28</v>
      </c>
      <c r="H59" s="477" t="s">
        <v>59</v>
      </c>
      <c r="I59" s="477" t="s">
        <v>1047</v>
      </c>
      <c r="J59" s="1078"/>
      <c r="K59" s="451" t="s">
        <v>1711</v>
      </c>
      <c r="L59" s="478" t="s">
        <v>1767</v>
      </c>
      <c r="M59" s="479" t="s">
        <v>1768</v>
      </c>
      <c r="N59" s="477">
        <v>0.7</v>
      </c>
      <c r="O59" s="480">
        <v>44197</v>
      </c>
      <c r="P59" s="480">
        <v>44561</v>
      </c>
      <c r="Q59" s="477">
        <v>0.05</v>
      </c>
      <c r="R59" s="477">
        <v>0.3</v>
      </c>
      <c r="S59" s="477">
        <v>0.65</v>
      </c>
      <c r="T59" s="477">
        <v>1</v>
      </c>
      <c r="U59" s="380">
        <v>0.05</v>
      </c>
      <c r="V59" s="477" t="s">
        <v>1769</v>
      </c>
      <c r="W59" s="477" t="s">
        <v>3952</v>
      </c>
      <c r="X59" s="455" t="str">
        <f t="shared" si="17"/>
        <v>En gestión</v>
      </c>
      <c r="Y59" s="455" t="str">
        <f t="shared" si="18"/>
        <v>En gestión</v>
      </c>
      <c r="Z59" s="1079"/>
      <c r="AA59" s="1026"/>
      <c r="AB59" s="1004"/>
      <c r="AC59" s="1091"/>
      <c r="AD59" s="1091"/>
      <c r="AE59" s="484"/>
      <c r="AF59" s="1073"/>
      <c r="AG59" s="1074"/>
      <c r="AH59" s="1075"/>
      <c r="AI59" s="1073"/>
      <c r="AJ59" s="1074"/>
      <c r="AK59" s="1074"/>
      <c r="AL59" s="1088"/>
      <c r="AM59" s="1088"/>
      <c r="AN59" s="1092"/>
      <c r="AO59" s="1075" t="s">
        <v>2466</v>
      </c>
      <c r="AP59" s="456"/>
      <c r="AQ59" s="1213">
        <v>0.3</v>
      </c>
      <c r="AR59" s="482" t="s">
        <v>1793</v>
      </c>
      <c r="AS59" s="477" t="s">
        <v>3953</v>
      </c>
      <c r="AT59" s="455" t="str">
        <f t="shared" si="19"/>
        <v>En gestión</v>
      </c>
      <c r="AU59" s="455" t="str">
        <f t="shared" si="20"/>
        <v>En gestión</v>
      </c>
      <c r="AV59" s="1079"/>
      <c r="AW59" s="1048"/>
      <c r="AX59" s="1049"/>
      <c r="AY59" s="1091"/>
      <c r="AZ59" s="1091"/>
      <c r="BA59" s="483"/>
      <c r="BB59" s="486" t="s">
        <v>1204</v>
      </c>
      <c r="BC59" s="1090"/>
      <c r="BD59" s="1090"/>
      <c r="BE59" s="1087"/>
      <c r="BF59" s="1090"/>
      <c r="BG59" s="1090"/>
      <c r="BH59" s="1087"/>
      <c r="BI59" s="1088"/>
      <c r="BJ59" s="1088"/>
      <c r="BK59" s="1087"/>
      <c r="BL59" s="1088"/>
      <c r="BM59" s="506">
        <v>0.65</v>
      </c>
      <c r="BN59" s="487" t="s">
        <v>1793</v>
      </c>
      <c r="BO59" s="487" t="s">
        <v>3953</v>
      </c>
      <c r="BP59" s="455" t="str">
        <f t="shared" si="25"/>
        <v>En gestión</v>
      </c>
      <c r="BQ59" s="455" t="str">
        <f t="shared" si="28"/>
        <v>En gestión</v>
      </c>
      <c r="BR59" s="990"/>
      <c r="BS59" s="1052"/>
      <c r="BT59" s="1053"/>
      <c r="BU59" s="1091"/>
      <c r="BV59" s="1091"/>
      <c r="BW59" s="991"/>
      <c r="BX59" s="991"/>
      <c r="BY59" s="1015"/>
      <c r="BZ59" s="1015"/>
      <c r="CA59" s="1015"/>
      <c r="CB59" s="1015"/>
      <c r="CC59" s="1015"/>
      <c r="CD59" s="1015"/>
      <c r="CE59" s="991"/>
      <c r="CF59" s="991"/>
      <c r="CG59" s="1015"/>
      <c r="CH59" s="991"/>
    </row>
    <row r="60" spans="2:86" ht="171.95" customHeight="1" x14ac:dyDescent="0.25">
      <c r="B60" s="1192"/>
      <c r="C60" s="1066" t="s">
        <v>1770</v>
      </c>
      <c r="D60" s="429" t="s">
        <v>1045</v>
      </c>
      <c r="E60" s="1105" t="s">
        <v>1755</v>
      </c>
      <c r="F60" s="429" t="s">
        <v>28</v>
      </c>
      <c r="G60" s="429" t="s">
        <v>28</v>
      </c>
      <c r="H60" s="429" t="s">
        <v>28</v>
      </c>
      <c r="I60" s="429" t="s">
        <v>1047</v>
      </c>
      <c r="J60" s="1068" t="s">
        <v>1771</v>
      </c>
      <c r="K60" s="387" t="s">
        <v>1711</v>
      </c>
      <c r="L60" s="418" t="s">
        <v>1772</v>
      </c>
      <c r="M60" s="419" t="s">
        <v>1773</v>
      </c>
      <c r="N60" s="429">
        <v>0.33</v>
      </c>
      <c r="O60" s="420">
        <v>44256</v>
      </c>
      <c r="P60" s="420">
        <v>44500</v>
      </c>
      <c r="Q60" s="417">
        <v>0</v>
      </c>
      <c r="R60" s="429">
        <v>0.5</v>
      </c>
      <c r="S60" s="429">
        <v>1</v>
      </c>
      <c r="T60" s="429">
        <v>1</v>
      </c>
      <c r="U60" s="380">
        <v>0</v>
      </c>
      <c r="V60" s="417" t="s">
        <v>2355</v>
      </c>
      <c r="W60" s="417"/>
      <c r="X60" s="379" t="str">
        <f t="shared" si="17"/>
        <v>Sin iniciar</v>
      </c>
      <c r="Y60" s="379" t="str">
        <f t="shared" si="18"/>
        <v>Sin iniciar</v>
      </c>
      <c r="Z60" s="1086"/>
      <c r="AA60" s="1026">
        <f>SUMPRODUCT(N60:N62,U60:U62)</f>
        <v>0</v>
      </c>
      <c r="AB60" s="1004">
        <f>SUMPRODUCT(N60:N62,Q60:Q62)</f>
        <v>0</v>
      </c>
      <c r="AC60" s="1070" t="str">
        <f>IF(AB60&lt;1%,"Sin iniciar",IF(AB60=100%,"Terminado","En gestión"))</f>
        <v>Sin iniciar</v>
      </c>
      <c r="AD60" s="1070" t="str">
        <f>IF(AA60&lt;1%,"Sin iniciar",IF(AA60=100%,"Terminado","En gestión"))</f>
        <v>Sin iniciar</v>
      </c>
      <c r="AE60" s="421"/>
      <c r="AF60" s="1104">
        <v>0</v>
      </c>
      <c r="AG60" s="1103">
        <v>0</v>
      </c>
      <c r="AH60" s="1103">
        <v>0</v>
      </c>
      <c r="AI60" s="1104">
        <v>0</v>
      </c>
      <c r="AJ60" s="1083"/>
      <c r="AK60" s="1083"/>
      <c r="AL60" s="1083"/>
      <c r="AM60" s="1083"/>
      <c r="AN60" s="1083"/>
      <c r="AO60" s="1083"/>
      <c r="AP60" s="390"/>
      <c r="AQ60" s="1214">
        <v>0.5</v>
      </c>
      <c r="AR60" s="422" t="s">
        <v>1794</v>
      </c>
      <c r="AS60" s="430" t="s">
        <v>3954</v>
      </c>
      <c r="AT60" s="379" t="str">
        <f t="shared" si="19"/>
        <v>En gestión</v>
      </c>
      <c r="AU60" s="379" t="str">
        <f t="shared" si="20"/>
        <v>En gestión</v>
      </c>
      <c r="AV60" s="1086" t="s">
        <v>1801</v>
      </c>
      <c r="AW60" s="1048">
        <f>SUMPRODUCT(N60:N62,AQ60:AQ62)</f>
        <v>0.39269999999999999</v>
      </c>
      <c r="AX60" s="1049">
        <f>SUMPRODUCT(N60:N62,R60:R62)</f>
        <v>0.39269999999999999</v>
      </c>
      <c r="AY60" s="1070" t="str">
        <f>IF(AX60&lt;1%,"Sin iniciar",IF(AX60=100%,"Terminado","En gestión"))</f>
        <v>En gestión</v>
      </c>
      <c r="AZ60" s="1070" t="str">
        <f t="shared" si="37"/>
        <v>En gestión</v>
      </c>
      <c r="BA60" s="423"/>
      <c r="BB60" s="427" t="s">
        <v>1204</v>
      </c>
      <c r="BC60" s="1096">
        <v>21125765</v>
      </c>
      <c r="BD60" s="1096">
        <v>21125765</v>
      </c>
      <c r="BE60" s="1097">
        <f t="shared" si="29"/>
        <v>10562882.5</v>
      </c>
      <c r="BF60" s="1096">
        <v>140876774</v>
      </c>
      <c r="BG60" s="1096">
        <v>140876774</v>
      </c>
      <c r="BH60" s="1056">
        <v>49084472.5</v>
      </c>
      <c r="BI60" s="1069" t="s">
        <v>2540</v>
      </c>
      <c r="BJ60" s="1069" t="s">
        <v>2546</v>
      </c>
      <c r="BK60" s="1069" t="s">
        <v>2547</v>
      </c>
      <c r="BL60" s="1069" t="s">
        <v>2552</v>
      </c>
      <c r="BM60" s="506">
        <v>1</v>
      </c>
      <c r="BN60" s="390" t="s">
        <v>3955</v>
      </c>
      <c r="BO60" s="390" t="s">
        <v>3956</v>
      </c>
      <c r="BP60" s="379" t="str">
        <f t="shared" si="25"/>
        <v>Terminado</v>
      </c>
      <c r="BQ60" s="379" t="str">
        <f t="shared" si="28"/>
        <v>Terminado</v>
      </c>
      <c r="BR60" s="1006" t="s">
        <v>1801</v>
      </c>
      <c r="BS60" s="1052">
        <f>SUMPRODUCT(N60:N62,BM60:BM62)</f>
        <v>0.91749999999999998</v>
      </c>
      <c r="BT60" s="1053">
        <f>SUMPRODUCT(N60:N62,S60:S62)</f>
        <v>0.80190000000000006</v>
      </c>
      <c r="BU60" s="1070" t="str">
        <f>IF(BT60&lt;1%,"Sin iniciar",IF(BT60=100%,"Terminado","En gestión"))</f>
        <v>En gestión</v>
      </c>
      <c r="BV60" s="1070" t="str">
        <f t="shared" ref="BV60" si="42">IF(BS60&lt;1%,"Sin iniciar",IF(BS60=100%,"Terminado","En gestión"))</f>
        <v>En gestión</v>
      </c>
      <c r="BW60" s="1016" t="s">
        <v>3946</v>
      </c>
      <c r="BX60" s="1016" t="s">
        <v>1555</v>
      </c>
      <c r="BY60" s="1017">
        <v>21125765</v>
      </c>
      <c r="BZ60" s="1017">
        <v>21125765</v>
      </c>
      <c r="CA60" s="1017">
        <v>15844324.5</v>
      </c>
      <c r="CB60" s="1017">
        <v>140876774</v>
      </c>
      <c r="CC60" s="1017">
        <v>140876774</v>
      </c>
      <c r="CD60" s="1017">
        <v>88257153</v>
      </c>
      <c r="CE60" s="1016" t="s">
        <v>2540</v>
      </c>
      <c r="CF60" s="1016" t="s">
        <v>2546</v>
      </c>
      <c r="CG60" s="1016" t="s">
        <v>2547</v>
      </c>
      <c r="CH60" s="1016" t="s">
        <v>2552</v>
      </c>
    </row>
    <row r="61" spans="2:86" ht="171.95" customHeight="1" x14ac:dyDescent="0.25">
      <c r="B61" s="1192"/>
      <c r="C61" s="1066"/>
      <c r="D61" s="429" t="s">
        <v>1045</v>
      </c>
      <c r="E61" s="1105"/>
      <c r="F61" s="429" t="s">
        <v>28</v>
      </c>
      <c r="G61" s="429" t="s">
        <v>28</v>
      </c>
      <c r="H61" s="429" t="s">
        <v>28</v>
      </c>
      <c r="I61" s="429" t="s">
        <v>1047</v>
      </c>
      <c r="J61" s="1068"/>
      <c r="K61" s="387" t="s">
        <v>1711</v>
      </c>
      <c r="L61" s="418" t="s">
        <v>1774</v>
      </c>
      <c r="M61" s="419" t="s">
        <v>1775</v>
      </c>
      <c r="N61" s="429">
        <v>0.33</v>
      </c>
      <c r="O61" s="420">
        <v>44256</v>
      </c>
      <c r="P61" s="420">
        <v>44561</v>
      </c>
      <c r="Q61" s="417">
        <v>0</v>
      </c>
      <c r="R61" s="429">
        <v>0.35</v>
      </c>
      <c r="S61" s="429">
        <v>0.75</v>
      </c>
      <c r="T61" s="429">
        <v>1</v>
      </c>
      <c r="U61" s="380">
        <v>0</v>
      </c>
      <c r="V61" s="417" t="s">
        <v>2355</v>
      </c>
      <c r="W61" s="417"/>
      <c r="X61" s="379" t="str">
        <f t="shared" si="17"/>
        <v>Sin iniciar</v>
      </c>
      <c r="Y61" s="379" t="str">
        <f t="shared" si="18"/>
        <v>Sin iniciar</v>
      </c>
      <c r="Z61" s="1086"/>
      <c r="AA61" s="1026"/>
      <c r="AB61" s="1004"/>
      <c r="AC61" s="1070"/>
      <c r="AD61" s="1070"/>
      <c r="AE61" s="421"/>
      <c r="AF61" s="1104"/>
      <c r="AG61" s="1103"/>
      <c r="AH61" s="1103"/>
      <c r="AI61" s="1104"/>
      <c r="AJ61" s="1083"/>
      <c r="AK61" s="1083"/>
      <c r="AL61" s="1083"/>
      <c r="AM61" s="1083"/>
      <c r="AN61" s="1083"/>
      <c r="AO61" s="1083"/>
      <c r="AP61" s="390"/>
      <c r="AQ61" s="1214">
        <v>0.35</v>
      </c>
      <c r="AR61" s="422" t="s">
        <v>1795</v>
      </c>
      <c r="AS61" s="417" t="s">
        <v>3957</v>
      </c>
      <c r="AT61" s="379" t="str">
        <f t="shared" si="19"/>
        <v>En gestión</v>
      </c>
      <c r="AU61" s="379" t="str">
        <f t="shared" si="20"/>
        <v>En gestión</v>
      </c>
      <c r="AV61" s="1086"/>
      <c r="AW61" s="1048"/>
      <c r="AX61" s="1049"/>
      <c r="AY61" s="1070"/>
      <c r="AZ61" s="1070"/>
      <c r="BA61" s="423"/>
      <c r="BB61" s="427" t="s">
        <v>1204</v>
      </c>
      <c r="BC61" s="1096"/>
      <c r="BD61" s="1096"/>
      <c r="BE61" s="1097"/>
      <c r="BF61" s="1096"/>
      <c r="BG61" s="1096"/>
      <c r="BH61" s="1056"/>
      <c r="BI61" s="1069"/>
      <c r="BJ61" s="1069"/>
      <c r="BK61" s="1069"/>
      <c r="BL61" s="1069"/>
      <c r="BM61" s="506">
        <v>0.75</v>
      </c>
      <c r="BN61" s="390" t="s">
        <v>3958</v>
      </c>
      <c r="BO61" s="390" t="s">
        <v>3959</v>
      </c>
      <c r="BP61" s="379" t="str">
        <f t="shared" si="25"/>
        <v>En gestión</v>
      </c>
      <c r="BQ61" s="379" t="str">
        <f t="shared" si="28"/>
        <v>En gestión</v>
      </c>
      <c r="BR61" s="1006"/>
      <c r="BS61" s="1052"/>
      <c r="BT61" s="1053"/>
      <c r="BU61" s="1070"/>
      <c r="BV61" s="1070"/>
      <c r="BW61" s="1016"/>
      <c r="BX61" s="1016"/>
      <c r="BY61" s="1017"/>
      <c r="BZ61" s="1017"/>
      <c r="CA61" s="1017"/>
      <c r="CB61" s="1017"/>
      <c r="CC61" s="1017"/>
      <c r="CD61" s="1017"/>
      <c r="CE61" s="1016"/>
      <c r="CF61" s="1016"/>
      <c r="CG61" s="1016"/>
      <c r="CH61" s="1016"/>
    </row>
    <row r="62" spans="2:86" ht="171.95" customHeight="1" x14ac:dyDescent="0.25">
      <c r="B62" s="1193"/>
      <c r="C62" s="1066"/>
      <c r="D62" s="429" t="s">
        <v>1045</v>
      </c>
      <c r="E62" s="1105"/>
      <c r="F62" s="429" t="s">
        <v>28</v>
      </c>
      <c r="G62" s="429" t="s">
        <v>28</v>
      </c>
      <c r="H62" s="429" t="s">
        <v>28</v>
      </c>
      <c r="I62" s="429" t="s">
        <v>1047</v>
      </c>
      <c r="J62" s="1068"/>
      <c r="K62" s="387" t="s">
        <v>1711</v>
      </c>
      <c r="L62" s="418" t="s">
        <v>1776</v>
      </c>
      <c r="M62" s="419" t="s">
        <v>1777</v>
      </c>
      <c r="N62" s="429">
        <v>0.34</v>
      </c>
      <c r="O62" s="420">
        <v>44256</v>
      </c>
      <c r="P62" s="420">
        <v>44561</v>
      </c>
      <c r="Q62" s="417">
        <v>0</v>
      </c>
      <c r="R62" s="429">
        <v>0.33</v>
      </c>
      <c r="S62" s="429">
        <v>0.66</v>
      </c>
      <c r="T62" s="429">
        <v>1</v>
      </c>
      <c r="U62" s="380">
        <v>0</v>
      </c>
      <c r="V62" s="417" t="s">
        <v>2355</v>
      </c>
      <c r="W62" s="417"/>
      <c r="X62" s="379" t="str">
        <f t="shared" si="17"/>
        <v>Sin iniciar</v>
      </c>
      <c r="Y62" s="379" t="str">
        <f t="shared" si="18"/>
        <v>Sin iniciar</v>
      </c>
      <c r="Z62" s="1086"/>
      <c r="AA62" s="1026"/>
      <c r="AB62" s="1004"/>
      <c r="AC62" s="1070"/>
      <c r="AD62" s="1070"/>
      <c r="AE62" s="421"/>
      <c r="AF62" s="1104"/>
      <c r="AG62" s="1103"/>
      <c r="AH62" s="1103"/>
      <c r="AI62" s="1104"/>
      <c r="AJ62" s="1083"/>
      <c r="AK62" s="1083"/>
      <c r="AL62" s="1083"/>
      <c r="AM62" s="1083"/>
      <c r="AN62" s="1083"/>
      <c r="AO62" s="1083"/>
      <c r="AP62" s="390"/>
      <c r="AQ62" s="1214">
        <v>0.33</v>
      </c>
      <c r="AR62" s="422" t="s">
        <v>1796</v>
      </c>
      <c r="AS62" s="417" t="s">
        <v>3960</v>
      </c>
      <c r="AT62" s="379" t="str">
        <f t="shared" si="19"/>
        <v>En gestión</v>
      </c>
      <c r="AU62" s="379" t="str">
        <f t="shared" si="20"/>
        <v>En gestión</v>
      </c>
      <c r="AV62" s="1086"/>
      <c r="AW62" s="1048"/>
      <c r="AX62" s="1049"/>
      <c r="AY62" s="1070"/>
      <c r="AZ62" s="1070"/>
      <c r="BA62" s="423"/>
      <c r="BB62" s="427" t="s">
        <v>1204</v>
      </c>
      <c r="BC62" s="1096"/>
      <c r="BD62" s="1096"/>
      <c r="BE62" s="1097"/>
      <c r="BF62" s="1096"/>
      <c r="BG62" s="1096"/>
      <c r="BH62" s="1056"/>
      <c r="BI62" s="1069"/>
      <c r="BJ62" s="1069"/>
      <c r="BK62" s="1069"/>
      <c r="BL62" s="1069"/>
      <c r="BM62" s="506">
        <v>1</v>
      </c>
      <c r="BN62" s="390" t="s">
        <v>3961</v>
      </c>
      <c r="BO62" s="390" t="s">
        <v>3962</v>
      </c>
      <c r="BP62" s="379" t="str">
        <f t="shared" si="25"/>
        <v>En gestión</v>
      </c>
      <c r="BQ62" s="379" t="str">
        <f t="shared" si="28"/>
        <v>Terminado</v>
      </c>
      <c r="BR62" s="1006"/>
      <c r="BS62" s="1052"/>
      <c r="BT62" s="1053"/>
      <c r="BU62" s="1070"/>
      <c r="BV62" s="1070"/>
      <c r="BW62" s="1016"/>
      <c r="BX62" s="1016"/>
      <c r="BY62" s="1017"/>
      <c r="BZ62" s="1017"/>
      <c r="CA62" s="1017"/>
      <c r="CB62" s="1017"/>
      <c r="CC62" s="1017"/>
      <c r="CD62" s="1017"/>
      <c r="CE62" s="1016"/>
      <c r="CF62" s="1016"/>
      <c r="CG62" s="1016"/>
      <c r="CH62" s="1016"/>
    </row>
    <row r="63" spans="2:86" ht="171.95" customHeight="1" x14ac:dyDescent="0.25">
      <c r="B63" s="1185" t="s">
        <v>5229</v>
      </c>
      <c r="C63" s="1000" t="s">
        <v>1802</v>
      </c>
      <c r="D63" s="448" t="s">
        <v>57</v>
      </c>
      <c r="E63" s="1001" t="s">
        <v>1206</v>
      </c>
      <c r="F63" s="448" t="s">
        <v>28</v>
      </c>
      <c r="G63" s="448" t="s">
        <v>28</v>
      </c>
      <c r="H63" s="448" t="s">
        <v>326</v>
      </c>
      <c r="I63" s="448" t="s">
        <v>30</v>
      </c>
      <c r="J63" s="1032" t="s">
        <v>1803</v>
      </c>
      <c r="K63" s="449" t="s">
        <v>187</v>
      </c>
      <c r="L63" s="450" t="s">
        <v>1804</v>
      </c>
      <c r="M63" s="451" t="s">
        <v>1805</v>
      </c>
      <c r="N63" s="448">
        <v>0.3</v>
      </c>
      <c r="O63" s="452">
        <v>44287</v>
      </c>
      <c r="P63" s="452">
        <v>44331</v>
      </c>
      <c r="Q63" s="448">
        <v>0</v>
      </c>
      <c r="R63" s="448">
        <v>1</v>
      </c>
      <c r="S63" s="453">
        <v>1</v>
      </c>
      <c r="T63" s="448">
        <v>1</v>
      </c>
      <c r="U63" s="377">
        <v>0</v>
      </c>
      <c r="V63" s="454" t="s">
        <v>2355</v>
      </c>
      <c r="W63" s="454"/>
      <c r="X63" s="455" t="str">
        <f t="shared" si="17"/>
        <v>Sin iniciar</v>
      </c>
      <c r="Y63" s="455" t="str">
        <f t="shared" si="18"/>
        <v>Sin iniciar</v>
      </c>
      <c r="Z63" s="990"/>
      <c r="AA63" s="1026">
        <f>SUMPRODUCT(N63:N65,U63:U65)</f>
        <v>0</v>
      </c>
      <c r="AB63" s="1004">
        <f>SUMPRODUCT(N63:N65,Q63:Q65)</f>
        <v>0</v>
      </c>
      <c r="AC63" s="1037" t="str">
        <f>IF(AB63&lt;1%,"Sin iniciar",IF(AB63=100%,"Terminado","En gestión"))</f>
        <v>Sin iniciar</v>
      </c>
      <c r="AD63" s="1037" t="str">
        <f>IF(AA63&lt;1%,"Sin iniciar",IF(AA63=100%,"Terminado","En gestión"))</f>
        <v>Sin iniciar</v>
      </c>
      <c r="AE63" s="456"/>
      <c r="AF63" s="992">
        <v>19852783.200000003</v>
      </c>
      <c r="AG63" s="992">
        <v>0</v>
      </c>
      <c r="AH63" s="992">
        <v>0</v>
      </c>
      <c r="AI63" s="992">
        <v>18671840</v>
      </c>
      <c r="AJ63" s="992">
        <v>0</v>
      </c>
      <c r="AK63" s="992">
        <v>0</v>
      </c>
      <c r="AL63" s="993" t="s">
        <v>2485</v>
      </c>
      <c r="AM63" s="993" t="s">
        <v>2486</v>
      </c>
      <c r="AN63" s="994" t="s">
        <v>2487</v>
      </c>
      <c r="AO63" s="990" t="s">
        <v>2488</v>
      </c>
      <c r="AP63" s="992">
        <v>18671840</v>
      </c>
      <c r="AQ63" s="1209">
        <v>1</v>
      </c>
      <c r="AR63" s="454" t="s">
        <v>2376</v>
      </c>
      <c r="AS63" s="454" t="s">
        <v>3963</v>
      </c>
      <c r="AT63" s="455" t="str">
        <f t="shared" si="19"/>
        <v>Terminado</v>
      </c>
      <c r="AU63" s="455" t="str">
        <f t="shared" si="20"/>
        <v>Terminado</v>
      </c>
      <c r="AV63" s="990" t="s">
        <v>2033</v>
      </c>
      <c r="AW63" s="998">
        <f>SUMPRODUCT(N63:N65,AQ63:AQ65)</f>
        <v>0.54</v>
      </c>
      <c r="AX63" s="999">
        <f>SUMPRODUCT(N63:N65,R63:R65)</f>
        <v>0.54</v>
      </c>
      <c r="AY63" s="1037" t="str">
        <f>IF(AX63&lt;1%,"Sin iniciar",IF(AX63=100%,"Terminado","En gestión"))</f>
        <v>En gestión</v>
      </c>
      <c r="AZ63" s="1037" t="str">
        <f>IF(AW63&lt;1%,"Sin iniciar",IF(AW63=100%,"Terminado","En gestión"))</f>
        <v>En gestión</v>
      </c>
      <c r="BA63" s="456"/>
      <c r="BB63" s="990"/>
      <c r="BC63" s="1035">
        <v>19852783.200000003</v>
      </c>
      <c r="BD63" s="1035">
        <v>30583097.596969694</v>
      </c>
      <c r="BE63" s="1035">
        <v>9814871.6689655166</v>
      </c>
      <c r="BF63" s="1035">
        <v>18671840</v>
      </c>
      <c r="BG63" s="1035">
        <v>0</v>
      </c>
      <c r="BH63" s="1035">
        <v>5092320</v>
      </c>
      <c r="BI63" s="993" t="s">
        <v>2485</v>
      </c>
      <c r="BJ63" s="993" t="s">
        <v>2487</v>
      </c>
      <c r="BK63" s="990" t="s">
        <v>2488</v>
      </c>
      <c r="BL63" s="990" t="s">
        <v>2664</v>
      </c>
      <c r="BM63" s="507">
        <v>1</v>
      </c>
      <c r="BN63" s="454" t="s">
        <v>2875</v>
      </c>
      <c r="BO63" s="454"/>
      <c r="BP63" s="455" t="str">
        <f t="shared" ref="BP63:BP126" si="43">IF(S63&lt;1%,"Sin iniciar",IF(S63=100%,"Terminado","En gestión"))</f>
        <v>Terminado</v>
      </c>
      <c r="BQ63" s="455" t="str">
        <f t="shared" ref="BQ63:BQ126" si="44">IF(BM63&lt;1%,"Sin iniciar",IF(BM63=100%,"Terminado","En gestión"))</f>
        <v>Terminado</v>
      </c>
      <c r="BR63" s="990" t="s">
        <v>3964</v>
      </c>
      <c r="BS63" s="996">
        <f>SUMPRODUCT(N63:N65,BM63:BM65)</f>
        <v>1</v>
      </c>
      <c r="BT63" s="997">
        <f>SUMPRODUCT(N63:N65,S63:S65)</f>
        <v>1</v>
      </c>
      <c r="BU63" s="1037" t="str">
        <f>IF(BT63&lt;1%,"Sin iniciar",IF(BT63=100%,"Terminado","En gestión"))</f>
        <v>Terminado</v>
      </c>
      <c r="BV63" s="1037" t="str">
        <f>IF(BS63&lt;1%,"Sin iniciar",IF(BS63=100%,"Terminado","En gestión"))</f>
        <v>Terminado</v>
      </c>
      <c r="BW63" s="990" t="s">
        <v>28</v>
      </c>
      <c r="BX63" s="990" t="s">
        <v>3965</v>
      </c>
      <c r="BY63" s="1106">
        <v>19852783.200000003</v>
      </c>
      <c r="BZ63" s="992">
        <v>30583097.596969694</v>
      </c>
      <c r="CA63" s="1013">
        <f>BZ63*BS63</f>
        <v>30583097.596969694</v>
      </c>
      <c r="CB63" s="992">
        <v>18671840</v>
      </c>
      <c r="CC63" s="1061">
        <v>47985534.666666701</v>
      </c>
      <c r="CD63" s="1061">
        <v>29246849.833333299</v>
      </c>
      <c r="CE63" s="990" t="s">
        <v>3966</v>
      </c>
      <c r="CF63" s="990" t="s">
        <v>3558</v>
      </c>
      <c r="CG63" s="990" t="s">
        <v>3967</v>
      </c>
      <c r="CH63" s="990" t="s">
        <v>2664</v>
      </c>
    </row>
    <row r="64" spans="2:86" ht="171.95" customHeight="1" x14ac:dyDescent="0.25">
      <c r="B64" s="1186"/>
      <c r="C64" s="1000"/>
      <c r="D64" s="448" t="s">
        <v>57</v>
      </c>
      <c r="E64" s="1001"/>
      <c r="F64" s="448" t="s">
        <v>28</v>
      </c>
      <c r="G64" s="448" t="s">
        <v>28</v>
      </c>
      <c r="H64" s="448" t="s">
        <v>326</v>
      </c>
      <c r="I64" s="448" t="s">
        <v>30</v>
      </c>
      <c r="J64" s="1032"/>
      <c r="K64" s="449" t="s">
        <v>187</v>
      </c>
      <c r="L64" s="450" t="s">
        <v>1806</v>
      </c>
      <c r="M64" s="451" t="s">
        <v>1807</v>
      </c>
      <c r="N64" s="448">
        <v>0.4</v>
      </c>
      <c r="O64" s="452">
        <v>44334</v>
      </c>
      <c r="P64" s="452">
        <v>44422</v>
      </c>
      <c r="Q64" s="448">
        <v>0</v>
      </c>
      <c r="R64" s="448">
        <v>0.6</v>
      </c>
      <c r="S64" s="453">
        <v>1</v>
      </c>
      <c r="T64" s="448">
        <v>1</v>
      </c>
      <c r="U64" s="377">
        <v>0</v>
      </c>
      <c r="V64" s="454" t="s">
        <v>2355</v>
      </c>
      <c r="W64" s="454"/>
      <c r="X64" s="455" t="str">
        <f t="shared" si="17"/>
        <v>Sin iniciar</v>
      </c>
      <c r="Y64" s="455" t="str">
        <f t="shared" si="18"/>
        <v>Sin iniciar</v>
      </c>
      <c r="Z64" s="990"/>
      <c r="AA64" s="1026"/>
      <c r="AB64" s="1004"/>
      <c r="AC64" s="1037"/>
      <c r="AD64" s="1037"/>
      <c r="AE64" s="456"/>
      <c r="AF64" s="992"/>
      <c r="AG64" s="992"/>
      <c r="AH64" s="992"/>
      <c r="AI64" s="992"/>
      <c r="AJ64" s="992"/>
      <c r="AK64" s="992"/>
      <c r="AL64" s="993"/>
      <c r="AM64" s="993"/>
      <c r="AN64" s="994"/>
      <c r="AO64" s="990"/>
      <c r="AP64" s="992"/>
      <c r="AQ64" s="1209">
        <v>0.6</v>
      </c>
      <c r="AR64" s="454" t="s">
        <v>2377</v>
      </c>
      <c r="AS64" s="454" t="s">
        <v>3968</v>
      </c>
      <c r="AT64" s="455" t="str">
        <f t="shared" si="19"/>
        <v>En gestión</v>
      </c>
      <c r="AU64" s="455" t="str">
        <f t="shared" si="20"/>
        <v>En gestión</v>
      </c>
      <c r="AV64" s="990"/>
      <c r="AW64" s="998"/>
      <c r="AX64" s="999"/>
      <c r="AY64" s="1037"/>
      <c r="AZ64" s="1037"/>
      <c r="BA64" s="456"/>
      <c r="BB64" s="990"/>
      <c r="BC64" s="1035"/>
      <c r="BD64" s="1035"/>
      <c r="BE64" s="1035"/>
      <c r="BF64" s="1035"/>
      <c r="BG64" s="1035"/>
      <c r="BH64" s="1035"/>
      <c r="BI64" s="993"/>
      <c r="BJ64" s="993"/>
      <c r="BK64" s="990"/>
      <c r="BL64" s="990"/>
      <c r="BM64" s="507">
        <v>1</v>
      </c>
      <c r="BN64" s="454" t="s">
        <v>3969</v>
      </c>
      <c r="BO64" s="454" t="s">
        <v>3970</v>
      </c>
      <c r="BP64" s="455" t="str">
        <f t="shared" si="43"/>
        <v>Terminado</v>
      </c>
      <c r="BQ64" s="455" t="str">
        <f t="shared" si="44"/>
        <v>Terminado</v>
      </c>
      <c r="BR64" s="990"/>
      <c r="BS64" s="996"/>
      <c r="BT64" s="997"/>
      <c r="BU64" s="1037"/>
      <c r="BV64" s="1037"/>
      <c r="BW64" s="990"/>
      <c r="BX64" s="990"/>
      <c r="BY64" s="1106"/>
      <c r="BZ64" s="992"/>
      <c r="CA64" s="990"/>
      <c r="CB64" s="992"/>
      <c r="CC64" s="1061"/>
      <c r="CD64" s="1061"/>
      <c r="CE64" s="990"/>
      <c r="CF64" s="990"/>
      <c r="CG64" s="990"/>
      <c r="CH64" s="990"/>
    </row>
    <row r="65" spans="2:86" ht="171.95" customHeight="1" x14ac:dyDescent="0.25">
      <c r="B65" s="1186"/>
      <c r="C65" s="1000"/>
      <c r="D65" s="448" t="s">
        <v>57</v>
      </c>
      <c r="E65" s="1001"/>
      <c r="F65" s="448" t="s">
        <v>28</v>
      </c>
      <c r="G65" s="448" t="s">
        <v>28</v>
      </c>
      <c r="H65" s="448" t="s">
        <v>326</v>
      </c>
      <c r="I65" s="448" t="s">
        <v>30</v>
      </c>
      <c r="J65" s="1032"/>
      <c r="K65" s="449" t="s">
        <v>187</v>
      </c>
      <c r="L65" s="450" t="s">
        <v>3971</v>
      </c>
      <c r="M65" s="451" t="s">
        <v>1808</v>
      </c>
      <c r="N65" s="448">
        <v>0.3</v>
      </c>
      <c r="O65" s="452">
        <v>44417</v>
      </c>
      <c r="P65" s="452">
        <v>44426</v>
      </c>
      <c r="Q65" s="448">
        <v>0</v>
      </c>
      <c r="R65" s="448">
        <v>0</v>
      </c>
      <c r="S65" s="453">
        <v>1</v>
      </c>
      <c r="T65" s="448">
        <v>1</v>
      </c>
      <c r="U65" s="377">
        <v>0</v>
      </c>
      <c r="V65" s="454" t="s">
        <v>2355</v>
      </c>
      <c r="W65" s="454"/>
      <c r="X65" s="455" t="str">
        <f t="shared" si="17"/>
        <v>Sin iniciar</v>
      </c>
      <c r="Y65" s="455" t="str">
        <f t="shared" si="18"/>
        <v>Sin iniciar</v>
      </c>
      <c r="Z65" s="990"/>
      <c r="AA65" s="1026"/>
      <c r="AB65" s="1004"/>
      <c r="AC65" s="1037"/>
      <c r="AD65" s="1037"/>
      <c r="AE65" s="456"/>
      <c r="AF65" s="992"/>
      <c r="AG65" s="992"/>
      <c r="AH65" s="992"/>
      <c r="AI65" s="992"/>
      <c r="AJ65" s="992"/>
      <c r="AK65" s="992"/>
      <c r="AL65" s="993"/>
      <c r="AM65" s="993"/>
      <c r="AN65" s="994"/>
      <c r="AO65" s="990"/>
      <c r="AP65" s="992"/>
      <c r="AQ65" s="1209">
        <v>0</v>
      </c>
      <c r="AR65" s="454" t="s">
        <v>2437</v>
      </c>
      <c r="AS65" s="454"/>
      <c r="AT65" s="455" t="str">
        <f t="shared" si="19"/>
        <v>Sin iniciar</v>
      </c>
      <c r="AU65" s="455" t="str">
        <f t="shared" si="20"/>
        <v>Sin iniciar</v>
      </c>
      <c r="AV65" s="990"/>
      <c r="AW65" s="998"/>
      <c r="AX65" s="999"/>
      <c r="AY65" s="1037"/>
      <c r="AZ65" s="1037"/>
      <c r="BA65" s="456"/>
      <c r="BB65" s="990"/>
      <c r="BC65" s="1035"/>
      <c r="BD65" s="1035"/>
      <c r="BE65" s="1035"/>
      <c r="BF65" s="1035"/>
      <c r="BG65" s="1035"/>
      <c r="BH65" s="1035"/>
      <c r="BI65" s="993"/>
      <c r="BJ65" s="993"/>
      <c r="BK65" s="990"/>
      <c r="BL65" s="990"/>
      <c r="BM65" s="507">
        <v>1</v>
      </c>
      <c r="BN65" s="454" t="s">
        <v>3972</v>
      </c>
      <c r="BO65" s="454" t="s">
        <v>3973</v>
      </c>
      <c r="BP65" s="455" t="str">
        <f t="shared" si="43"/>
        <v>Terminado</v>
      </c>
      <c r="BQ65" s="455" t="str">
        <f t="shared" si="44"/>
        <v>Terminado</v>
      </c>
      <c r="BR65" s="990"/>
      <c r="BS65" s="996"/>
      <c r="BT65" s="997"/>
      <c r="BU65" s="1037"/>
      <c r="BV65" s="1037"/>
      <c r="BW65" s="990"/>
      <c r="BX65" s="990"/>
      <c r="BY65" s="1106"/>
      <c r="BZ65" s="992"/>
      <c r="CA65" s="990"/>
      <c r="CB65" s="992"/>
      <c r="CC65" s="1061"/>
      <c r="CD65" s="1061"/>
      <c r="CE65" s="990"/>
      <c r="CF65" s="990"/>
      <c r="CG65" s="990"/>
      <c r="CH65" s="990"/>
    </row>
    <row r="66" spans="2:86" ht="171.95" customHeight="1" x14ac:dyDescent="0.25">
      <c r="B66" s="1186"/>
      <c r="C66" s="1030" t="s">
        <v>1809</v>
      </c>
      <c r="D66" s="384" t="s">
        <v>57</v>
      </c>
      <c r="E66" s="1024" t="s">
        <v>1206</v>
      </c>
      <c r="F66" s="384" t="s">
        <v>28</v>
      </c>
      <c r="G66" s="384" t="s">
        <v>28</v>
      </c>
      <c r="H66" s="384" t="s">
        <v>326</v>
      </c>
      <c r="I66" s="384" t="s">
        <v>30</v>
      </c>
      <c r="J66" s="1025" t="s">
        <v>1810</v>
      </c>
      <c r="K66" s="385" t="s">
        <v>187</v>
      </c>
      <c r="L66" s="386" t="s">
        <v>1811</v>
      </c>
      <c r="M66" s="387" t="s">
        <v>1812</v>
      </c>
      <c r="N66" s="384">
        <v>0.3</v>
      </c>
      <c r="O66" s="388">
        <v>44244</v>
      </c>
      <c r="P66" s="388">
        <v>44282</v>
      </c>
      <c r="Q66" s="384">
        <v>1</v>
      </c>
      <c r="R66" s="384">
        <v>1</v>
      </c>
      <c r="S66" s="382">
        <v>1</v>
      </c>
      <c r="T66" s="384">
        <v>1</v>
      </c>
      <c r="U66" s="377">
        <v>1</v>
      </c>
      <c r="V66" s="389" t="s">
        <v>1813</v>
      </c>
      <c r="W66" s="389" t="s">
        <v>3974</v>
      </c>
      <c r="X66" s="379" t="str">
        <f t="shared" si="17"/>
        <v>Terminado</v>
      </c>
      <c r="Y66" s="379" t="str">
        <f t="shared" si="18"/>
        <v>Terminado</v>
      </c>
      <c r="Z66" s="1006" t="s">
        <v>2378</v>
      </c>
      <c r="AA66" s="1026">
        <f>SUMPRODUCT(N66:N68,U66:U68)</f>
        <v>0.3</v>
      </c>
      <c r="AB66" s="1004">
        <f>SUMPRODUCT(N66:N68,Q66:Q68)</f>
        <v>0.3</v>
      </c>
      <c r="AC66" s="1027" t="str">
        <f>IF(AB66&lt;1%,"Sin iniciar",IF(AB66=100%,"Terminado","En gestión"))</f>
        <v>En gestión</v>
      </c>
      <c r="AD66" s="1027" t="str">
        <f>IF(AA66&lt;1%,"Sin iniciar",IF(AA66=100%,"Terminado","En gestión"))</f>
        <v>En gestión</v>
      </c>
      <c r="AE66" s="390"/>
      <c r="AF66" s="1014">
        <v>19852783.200000003</v>
      </c>
      <c r="AG66" s="1014">
        <v>0</v>
      </c>
      <c r="AH66" s="1014">
        <v>5955834.9600000009</v>
      </c>
      <c r="AI66" s="1014">
        <v>12081900</v>
      </c>
      <c r="AJ66" s="1014">
        <v>0</v>
      </c>
      <c r="AK66" s="1014">
        <v>1785000</v>
      </c>
      <c r="AL66" s="1039" t="s">
        <v>2485</v>
      </c>
      <c r="AM66" s="1039" t="s">
        <v>2486</v>
      </c>
      <c r="AN66" s="1043" t="s">
        <v>2487</v>
      </c>
      <c r="AO66" s="1006" t="s">
        <v>2488</v>
      </c>
      <c r="AP66" s="1014">
        <f>+AI66</f>
        <v>12081900</v>
      </c>
      <c r="AQ66" s="1209">
        <v>1</v>
      </c>
      <c r="AR66" s="389" t="s">
        <v>2434</v>
      </c>
      <c r="AS66" s="408" t="s">
        <v>3862</v>
      </c>
      <c r="AT66" s="379" t="str">
        <f t="shared" si="19"/>
        <v>Terminado</v>
      </c>
      <c r="AU66" s="379" t="str">
        <f t="shared" si="20"/>
        <v>Terminado</v>
      </c>
      <c r="AV66" s="1006" t="s">
        <v>2034</v>
      </c>
      <c r="AW66" s="998">
        <f>SUMPRODUCT(N66:N68,AQ66:AQ68)</f>
        <v>1</v>
      </c>
      <c r="AX66" s="999">
        <f>SUMPRODUCT(N66:N68,R66:R68)</f>
        <v>1</v>
      </c>
      <c r="AY66" s="1027" t="str">
        <f>IF(AX66&lt;1%,"Sin iniciar",IF(AX66=100%,"Terminado","En gestión"))</f>
        <v>Terminado</v>
      </c>
      <c r="AZ66" s="1027" t="str">
        <f>IF(AW66&lt;1%,"Sin iniciar",IF(AW66=100%,"Terminado","En gestión"))</f>
        <v>Terminado</v>
      </c>
      <c r="BA66" s="390"/>
      <c r="BB66" s="1006"/>
      <c r="BC66" s="1033">
        <v>19852783.200000003</v>
      </c>
      <c r="BD66" s="1033">
        <v>30583097.596969694</v>
      </c>
      <c r="BE66" s="1033">
        <v>26567654.064298846</v>
      </c>
      <c r="BF66" s="1033">
        <v>12081900</v>
      </c>
      <c r="BG66" s="1033">
        <v>0</v>
      </c>
      <c r="BH66" s="1033">
        <v>7140000</v>
      </c>
      <c r="BI66" s="1039" t="s">
        <v>2485</v>
      </c>
      <c r="BJ66" s="1039" t="s">
        <v>2487</v>
      </c>
      <c r="BK66" s="1006" t="s">
        <v>2488</v>
      </c>
      <c r="BL66" s="1006" t="s">
        <v>2664</v>
      </c>
      <c r="BM66" s="507">
        <v>1</v>
      </c>
      <c r="BN66" s="389" t="s">
        <v>2875</v>
      </c>
      <c r="BO66" s="1016" t="s">
        <v>37</v>
      </c>
      <c r="BP66" s="379" t="str">
        <f t="shared" si="43"/>
        <v>Terminado</v>
      </c>
      <c r="BQ66" s="379" t="str">
        <f t="shared" si="44"/>
        <v>Terminado</v>
      </c>
      <c r="BR66" s="1006"/>
      <c r="BS66" s="996">
        <f>SUMPRODUCT(N66:N68,BM66:BM68)</f>
        <v>1</v>
      </c>
      <c r="BT66" s="997">
        <f>SUMPRODUCT(N66:N68,S66:S68)</f>
        <v>1</v>
      </c>
      <c r="BU66" s="1027" t="str">
        <f>IF(BT66&lt;1%,"Sin iniciar",IF(BT66=100%,"Terminado","En gestión"))</f>
        <v>Terminado</v>
      </c>
      <c r="BV66" s="1027" t="str">
        <f>IF(BS66&lt;1%,"Sin iniciar",IF(BS66=100%,"Terminado","En gestión"))</f>
        <v>Terminado</v>
      </c>
      <c r="BW66" s="1006" t="s">
        <v>28</v>
      </c>
      <c r="BX66" s="1006" t="s">
        <v>3965</v>
      </c>
      <c r="BY66" s="1107">
        <v>19852783.200000003</v>
      </c>
      <c r="BZ66" s="1014">
        <v>30583097.596969694</v>
      </c>
      <c r="CA66" s="1034">
        <f>BZ66*BS66</f>
        <v>30583097.596969694</v>
      </c>
      <c r="CB66" s="1014">
        <v>12081900</v>
      </c>
      <c r="CC66" s="1056">
        <v>47985534.666666701</v>
      </c>
      <c r="CD66" s="1056">
        <v>29246849.833333299</v>
      </c>
      <c r="CE66" s="1006" t="s">
        <v>3966</v>
      </c>
      <c r="CF66" s="1006" t="s">
        <v>3558</v>
      </c>
      <c r="CG66" s="1006" t="s">
        <v>3967</v>
      </c>
      <c r="CH66" s="1006" t="s">
        <v>2664</v>
      </c>
    </row>
    <row r="67" spans="2:86" ht="171.95" customHeight="1" x14ac:dyDescent="0.25">
      <c r="B67" s="1186"/>
      <c r="C67" s="1030"/>
      <c r="D67" s="384" t="s">
        <v>57</v>
      </c>
      <c r="E67" s="1024"/>
      <c r="F67" s="384" t="s">
        <v>28</v>
      </c>
      <c r="G67" s="384" t="s">
        <v>28</v>
      </c>
      <c r="H67" s="384" t="s">
        <v>326</v>
      </c>
      <c r="I67" s="384" t="s">
        <v>30</v>
      </c>
      <c r="J67" s="1025"/>
      <c r="K67" s="385" t="s">
        <v>187</v>
      </c>
      <c r="L67" s="386" t="s">
        <v>1814</v>
      </c>
      <c r="M67" s="387" t="s">
        <v>1815</v>
      </c>
      <c r="N67" s="384">
        <v>0.4</v>
      </c>
      <c r="O67" s="388">
        <v>44287</v>
      </c>
      <c r="P67" s="388">
        <v>44352</v>
      </c>
      <c r="Q67" s="384">
        <v>0</v>
      </c>
      <c r="R67" s="384">
        <v>1</v>
      </c>
      <c r="S67" s="382">
        <v>1</v>
      </c>
      <c r="T67" s="384">
        <v>1</v>
      </c>
      <c r="U67" s="377">
        <v>0</v>
      </c>
      <c r="V67" s="389" t="s">
        <v>2355</v>
      </c>
      <c r="W67" s="389"/>
      <c r="X67" s="379" t="str">
        <f t="shared" si="17"/>
        <v>Sin iniciar</v>
      </c>
      <c r="Y67" s="379" t="str">
        <f t="shared" si="18"/>
        <v>Sin iniciar</v>
      </c>
      <c r="Z67" s="1006"/>
      <c r="AA67" s="1026"/>
      <c r="AB67" s="1004"/>
      <c r="AC67" s="1027"/>
      <c r="AD67" s="1027"/>
      <c r="AE67" s="390"/>
      <c r="AF67" s="1014"/>
      <c r="AG67" s="1014"/>
      <c r="AH67" s="1014"/>
      <c r="AI67" s="1014"/>
      <c r="AJ67" s="1014"/>
      <c r="AK67" s="1014"/>
      <c r="AL67" s="1039" t="s">
        <v>2485</v>
      </c>
      <c r="AM67" s="1039" t="s">
        <v>2486</v>
      </c>
      <c r="AN67" s="1043" t="s">
        <v>2487</v>
      </c>
      <c r="AO67" s="1006" t="s">
        <v>2488</v>
      </c>
      <c r="AP67" s="1014"/>
      <c r="AQ67" s="1209">
        <v>1</v>
      </c>
      <c r="AR67" s="389" t="s">
        <v>2379</v>
      </c>
      <c r="AS67" s="389" t="s">
        <v>3975</v>
      </c>
      <c r="AT67" s="379" t="str">
        <f t="shared" si="19"/>
        <v>Terminado</v>
      </c>
      <c r="AU67" s="379" t="str">
        <f t="shared" si="20"/>
        <v>Terminado</v>
      </c>
      <c r="AV67" s="1006"/>
      <c r="AW67" s="998"/>
      <c r="AX67" s="999"/>
      <c r="AY67" s="1027"/>
      <c r="AZ67" s="1027"/>
      <c r="BA67" s="390"/>
      <c r="BB67" s="1006"/>
      <c r="BC67" s="1033"/>
      <c r="BD67" s="1033"/>
      <c r="BE67" s="1033"/>
      <c r="BF67" s="1033"/>
      <c r="BG67" s="1033"/>
      <c r="BH67" s="1033"/>
      <c r="BI67" s="1039" t="s">
        <v>2485</v>
      </c>
      <c r="BJ67" s="1039" t="s">
        <v>2487</v>
      </c>
      <c r="BK67" s="1006" t="s">
        <v>2488</v>
      </c>
      <c r="BL67" s="1006"/>
      <c r="BM67" s="507">
        <v>1</v>
      </c>
      <c r="BN67" s="389" t="s">
        <v>2875</v>
      </c>
      <c r="BO67" s="1016"/>
      <c r="BP67" s="379" t="str">
        <f t="shared" si="43"/>
        <v>Terminado</v>
      </c>
      <c r="BQ67" s="379" t="str">
        <f t="shared" si="44"/>
        <v>Terminado</v>
      </c>
      <c r="BR67" s="1006"/>
      <c r="BS67" s="996"/>
      <c r="BT67" s="997"/>
      <c r="BU67" s="1027"/>
      <c r="BV67" s="1027"/>
      <c r="BW67" s="1006"/>
      <c r="BX67" s="1006"/>
      <c r="BY67" s="1107"/>
      <c r="BZ67" s="1014"/>
      <c r="CA67" s="1006"/>
      <c r="CB67" s="1014"/>
      <c r="CC67" s="1056"/>
      <c r="CD67" s="1056"/>
      <c r="CE67" s="1006"/>
      <c r="CF67" s="1006"/>
      <c r="CG67" s="1006"/>
      <c r="CH67" s="1006"/>
    </row>
    <row r="68" spans="2:86" ht="171.95" customHeight="1" x14ac:dyDescent="0.25">
      <c r="B68" s="1186"/>
      <c r="C68" s="1030"/>
      <c r="D68" s="384" t="s">
        <v>57</v>
      </c>
      <c r="E68" s="1024"/>
      <c r="F68" s="384" t="s">
        <v>28</v>
      </c>
      <c r="G68" s="384" t="s">
        <v>28</v>
      </c>
      <c r="H68" s="384" t="s">
        <v>326</v>
      </c>
      <c r="I68" s="384" t="s">
        <v>30</v>
      </c>
      <c r="J68" s="1025"/>
      <c r="K68" s="385" t="s">
        <v>187</v>
      </c>
      <c r="L68" s="386" t="s">
        <v>1816</v>
      </c>
      <c r="M68" s="387" t="s">
        <v>1817</v>
      </c>
      <c r="N68" s="384">
        <v>0.3</v>
      </c>
      <c r="O68" s="388">
        <v>44348</v>
      </c>
      <c r="P68" s="388">
        <v>44358</v>
      </c>
      <c r="Q68" s="384">
        <v>0</v>
      </c>
      <c r="R68" s="384">
        <v>1</v>
      </c>
      <c r="S68" s="382">
        <v>1</v>
      </c>
      <c r="T68" s="384">
        <v>1</v>
      </c>
      <c r="U68" s="377">
        <v>0</v>
      </c>
      <c r="V68" s="389" t="s">
        <v>2355</v>
      </c>
      <c r="W68" s="389"/>
      <c r="X68" s="379" t="str">
        <f t="shared" si="17"/>
        <v>Sin iniciar</v>
      </c>
      <c r="Y68" s="379" t="str">
        <f t="shared" si="18"/>
        <v>Sin iniciar</v>
      </c>
      <c r="Z68" s="1006"/>
      <c r="AA68" s="1026"/>
      <c r="AB68" s="1004"/>
      <c r="AC68" s="1027"/>
      <c r="AD68" s="1027"/>
      <c r="AE68" s="390"/>
      <c r="AF68" s="1014"/>
      <c r="AG68" s="1014"/>
      <c r="AH68" s="1014"/>
      <c r="AI68" s="1014"/>
      <c r="AJ68" s="1014"/>
      <c r="AK68" s="1014"/>
      <c r="AL68" s="1039" t="s">
        <v>2485</v>
      </c>
      <c r="AM68" s="1039" t="s">
        <v>2486</v>
      </c>
      <c r="AN68" s="1043" t="s">
        <v>2487</v>
      </c>
      <c r="AO68" s="1006" t="s">
        <v>2488</v>
      </c>
      <c r="AP68" s="1014"/>
      <c r="AQ68" s="1209">
        <v>1</v>
      </c>
      <c r="AR68" s="389" t="s">
        <v>2012</v>
      </c>
      <c r="AS68" s="389" t="s">
        <v>3976</v>
      </c>
      <c r="AT68" s="379" t="str">
        <f t="shared" si="19"/>
        <v>Terminado</v>
      </c>
      <c r="AU68" s="379" t="str">
        <f t="shared" si="20"/>
        <v>Terminado</v>
      </c>
      <c r="AV68" s="1006"/>
      <c r="AW68" s="998"/>
      <c r="AX68" s="999"/>
      <c r="AY68" s="1027"/>
      <c r="AZ68" s="1027"/>
      <c r="BA68" s="390"/>
      <c r="BB68" s="1006"/>
      <c r="BC68" s="1033"/>
      <c r="BD68" s="1033"/>
      <c r="BE68" s="1033"/>
      <c r="BF68" s="1033"/>
      <c r="BG68" s="1033"/>
      <c r="BH68" s="1033"/>
      <c r="BI68" s="1039" t="s">
        <v>2485</v>
      </c>
      <c r="BJ68" s="1039" t="s">
        <v>2487</v>
      </c>
      <c r="BK68" s="1006" t="s">
        <v>2488</v>
      </c>
      <c r="BL68" s="1006"/>
      <c r="BM68" s="507">
        <v>1</v>
      </c>
      <c r="BN68" s="389" t="s">
        <v>2875</v>
      </c>
      <c r="BO68" s="1016"/>
      <c r="BP68" s="379" t="str">
        <f t="shared" si="43"/>
        <v>Terminado</v>
      </c>
      <c r="BQ68" s="379" t="str">
        <f t="shared" si="44"/>
        <v>Terminado</v>
      </c>
      <c r="BR68" s="1006"/>
      <c r="BS68" s="996"/>
      <c r="BT68" s="997"/>
      <c r="BU68" s="1027"/>
      <c r="BV68" s="1027"/>
      <c r="BW68" s="1006"/>
      <c r="BX68" s="1006"/>
      <c r="BY68" s="1107"/>
      <c r="BZ68" s="1014"/>
      <c r="CA68" s="1006"/>
      <c r="CB68" s="1014"/>
      <c r="CC68" s="1056"/>
      <c r="CD68" s="1056"/>
      <c r="CE68" s="1006"/>
      <c r="CF68" s="1006"/>
      <c r="CG68" s="1006"/>
      <c r="CH68" s="1006"/>
    </row>
    <row r="69" spans="2:86" ht="171.95" customHeight="1" x14ac:dyDescent="0.25">
      <c r="B69" s="1186"/>
      <c r="C69" s="1000" t="s">
        <v>1818</v>
      </c>
      <c r="D69" s="448" t="s">
        <v>57</v>
      </c>
      <c r="E69" s="1001" t="s">
        <v>1206</v>
      </c>
      <c r="F69" s="448" t="s">
        <v>28</v>
      </c>
      <c r="G69" s="448" t="s">
        <v>28</v>
      </c>
      <c r="H69" s="448" t="s">
        <v>326</v>
      </c>
      <c r="I69" s="448" t="s">
        <v>30</v>
      </c>
      <c r="J69" s="1032" t="s">
        <v>1819</v>
      </c>
      <c r="K69" s="449" t="s">
        <v>187</v>
      </c>
      <c r="L69" s="450" t="s">
        <v>1820</v>
      </c>
      <c r="M69" s="451" t="s">
        <v>1821</v>
      </c>
      <c r="N69" s="448">
        <v>0.3</v>
      </c>
      <c r="O69" s="452">
        <v>44200</v>
      </c>
      <c r="P69" s="452">
        <v>44211</v>
      </c>
      <c r="Q69" s="448">
        <v>1</v>
      </c>
      <c r="R69" s="448">
        <v>1</v>
      </c>
      <c r="S69" s="453">
        <v>1</v>
      </c>
      <c r="T69" s="448">
        <v>1</v>
      </c>
      <c r="U69" s="377">
        <v>1</v>
      </c>
      <c r="V69" s="454" t="s">
        <v>2380</v>
      </c>
      <c r="W69" s="454" t="s">
        <v>3977</v>
      </c>
      <c r="X69" s="455" t="str">
        <f t="shared" si="17"/>
        <v>Terminado</v>
      </c>
      <c r="Y69" s="455" t="str">
        <f t="shared" si="18"/>
        <v>Terminado</v>
      </c>
      <c r="Z69" s="990" t="s">
        <v>2381</v>
      </c>
      <c r="AA69" s="1026">
        <f>SUMPRODUCT(N69:N71,U69:U71)</f>
        <v>1</v>
      </c>
      <c r="AB69" s="1004">
        <f>SUMPRODUCT(N69:N71,Q69:Q71)</f>
        <v>1</v>
      </c>
      <c r="AC69" s="1037" t="str">
        <f>IF(AB69&lt;1%,"Sin iniciar",IF(AB69=100%,"Terminado","En gestión"))</f>
        <v>Terminado</v>
      </c>
      <c r="AD69" s="1037" t="str">
        <f>IF(AA69&lt;1%,"Sin iniciar",IF(AA69=100%,"Terminado","En gestión"))</f>
        <v>Terminado</v>
      </c>
      <c r="AE69" s="456"/>
      <c r="AF69" s="992">
        <v>285569894.40000004</v>
      </c>
      <c r="AG69" s="992">
        <v>0</v>
      </c>
      <c r="AH69" s="992">
        <v>285569894.40000004</v>
      </c>
      <c r="AI69" s="992">
        <v>48150749</v>
      </c>
      <c r="AJ69" s="992">
        <v>0</v>
      </c>
      <c r="AK69" s="992">
        <v>12160180</v>
      </c>
      <c r="AL69" s="993" t="s">
        <v>2485</v>
      </c>
      <c r="AM69" s="993" t="s">
        <v>2486</v>
      </c>
      <c r="AN69" s="994" t="s">
        <v>2487</v>
      </c>
      <c r="AO69" s="990" t="s">
        <v>2488</v>
      </c>
      <c r="AP69" s="992">
        <f>+AI69</f>
        <v>48150749</v>
      </c>
      <c r="AQ69" s="1209">
        <v>1</v>
      </c>
      <c r="AR69" s="454" t="s">
        <v>2434</v>
      </c>
      <c r="AS69" s="464" t="s">
        <v>3862</v>
      </c>
      <c r="AT69" s="455" t="str">
        <f t="shared" si="19"/>
        <v>Terminado</v>
      </c>
      <c r="AU69" s="455" t="str">
        <f t="shared" si="20"/>
        <v>Terminado</v>
      </c>
      <c r="AV69" s="990" t="s">
        <v>2440</v>
      </c>
      <c r="AW69" s="998">
        <f>SUMPRODUCT(N69:N71,AQ69:AQ71)</f>
        <v>1</v>
      </c>
      <c r="AX69" s="999">
        <f>SUMPRODUCT(N69:N71,R69:R71)</f>
        <v>1</v>
      </c>
      <c r="AY69" s="1037" t="str">
        <f>IF(AX69&lt;1%,"Sin iniciar",IF(AX69=100%,"Terminado","En gestión"))</f>
        <v>Terminado</v>
      </c>
      <c r="AZ69" s="1037" t="str">
        <f>IF(AW69&lt;1%,"Sin iniciar",IF(AW69=100%,"Terminado","En gestión"))</f>
        <v>Terminado</v>
      </c>
      <c r="BA69" s="456"/>
      <c r="BB69" s="1108"/>
      <c r="BC69" s="1035">
        <v>285569894.40000004</v>
      </c>
      <c r="BD69" s="1035">
        <v>432494008.34096968</v>
      </c>
      <c r="BE69" s="1035">
        <v>317724486.87429881</v>
      </c>
      <c r="BF69" s="1035">
        <v>48150749</v>
      </c>
      <c r="BG69" s="1035">
        <v>0</v>
      </c>
      <c r="BH69" s="1035">
        <v>43548400</v>
      </c>
      <c r="BI69" s="993" t="s">
        <v>2485</v>
      </c>
      <c r="BJ69" s="993" t="s">
        <v>2487</v>
      </c>
      <c r="BK69" s="990" t="s">
        <v>2488</v>
      </c>
      <c r="BL69" s="990" t="s">
        <v>2664</v>
      </c>
      <c r="BM69" s="507">
        <v>1</v>
      </c>
      <c r="BN69" s="454" t="s">
        <v>2434</v>
      </c>
      <c r="BO69" s="991" t="s">
        <v>37</v>
      </c>
      <c r="BP69" s="455" t="str">
        <f t="shared" si="43"/>
        <v>Terminado</v>
      </c>
      <c r="BQ69" s="455" t="str">
        <f t="shared" si="44"/>
        <v>Terminado</v>
      </c>
      <c r="BR69" s="990"/>
      <c r="BS69" s="996">
        <f>SUMPRODUCT(N69:N71,BM69:BM71)</f>
        <v>1</v>
      </c>
      <c r="BT69" s="997">
        <f>SUMPRODUCT(N69:N71,S69:S71)</f>
        <v>1</v>
      </c>
      <c r="BU69" s="1037" t="str">
        <f>IF(BT69&lt;1%,"Sin iniciar",IF(BT69=100%,"Terminado","En gestión"))</f>
        <v>Terminado</v>
      </c>
      <c r="BV69" s="1037" t="str">
        <f>IF(BS69&lt;1%,"Sin iniciar",IF(BS69=100%,"Terminado","En gestión"))</f>
        <v>Terminado</v>
      </c>
      <c r="BW69" s="990" t="s">
        <v>28</v>
      </c>
      <c r="BX69" s="990" t="s">
        <v>3965</v>
      </c>
      <c r="BY69" s="1106">
        <v>285569894.40000004</v>
      </c>
      <c r="BZ69" s="992">
        <v>432494008.34096968</v>
      </c>
      <c r="CA69" s="1013">
        <f>BZ69*BT69</f>
        <v>432494008.34096968</v>
      </c>
      <c r="CB69" s="992">
        <v>48150749</v>
      </c>
      <c r="CC69" s="1061">
        <v>47985534.666666701</v>
      </c>
      <c r="CD69" s="1061">
        <v>29246849.833333299</v>
      </c>
      <c r="CE69" s="990" t="s">
        <v>3966</v>
      </c>
      <c r="CF69" s="990" t="s">
        <v>3558</v>
      </c>
      <c r="CG69" s="990" t="s">
        <v>3967</v>
      </c>
      <c r="CH69" s="990" t="s">
        <v>2664</v>
      </c>
    </row>
    <row r="70" spans="2:86" ht="171.95" customHeight="1" x14ac:dyDescent="0.25">
      <c r="B70" s="1186"/>
      <c r="C70" s="1000"/>
      <c r="D70" s="448" t="s">
        <v>57</v>
      </c>
      <c r="E70" s="1001"/>
      <c r="F70" s="448" t="s">
        <v>28</v>
      </c>
      <c r="G70" s="448" t="s">
        <v>28</v>
      </c>
      <c r="H70" s="448" t="s">
        <v>326</v>
      </c>
      <c r="I70" s="448" t="s">
        <v>30</v>
      </c>
      <c r="J70" s="1032"/>
      <c r="K70" s="449" t="s">
        <v>187</v>
      </c>
      <c r="L70" s="450" t="s">
        <v>1822</v>
      </c>
      <c r="M70" s="451" t="s">
        <v>1823</v>
      </c>
      <c r="N70" s="448">
        <v>0.4</v>
      </c>
      <c r="O70" s="452">
        <v>44214</v>
      </c>
      <c r="P70" s="452">
        <v>44235</v>
      </c>
      <c r="Q70" s="448">
        <v>1</v>
      </c>
      <c r="R70" s="448">
        <v>1</v>
      </c>
      <c r="S70" s="453">
        <v>1</v>
      </c>
      <c r="T70" s="448">
        <v>1</v>
      </c>
      <c r="U70" s="377">
        <v>1</v>
      </c>
      <c r="V70" s="454" t="s">
        <v>1824</v>
      </c>
      <c r="W70" s="454" t="s">
        <v>3978</v>
      </c>
      <c r="X70" s="455" t="str">
        <f t="shared" si="17"/>
        <v>Terminado</v>
      </c>
      <c r="Y70" s="455" t="str">
        <f t="shared" si="18"/>
        <v>Terminado</v>
      </c>
      <c r="Z70" s="990"/>
      <c r="AA70" s="1026"/>
      <c r="AB70" s="1004"/>
      <c r="AC70" s="1037"/>
      <c r="AD70" s="1037"/>
      <c r="AE70" s="456"/>
      <c r="AF70" s="992"/>
      <c r="AG70" s="992"/>
      <c r="AH70" s="992"/>
      <c r="AI70" s="992"/>
      <c r="AJ70" s="992"/>
      <c r="AK70" s="992"/>
      <c r="AL70" s="993" t="s">
        <v>2485</v>
      </c>
      <c r="AM70" s="993" t="s">
        <v>2486</v>
      </c>
      <c r="AN70" s="994" t="s">
        <v>2487</v>
      </c>
      <c r="AO70" s="990" t="s">
        <v>2488</v>
      </c>
      <c r="AP70" s="992"/>
      <c r="AQ70" s="1209">
        <v>1</v>
      </c>
      <c r="AR70" s="454" t="s">
        <v>2434</v>
      </c>
      <c r="AS70" s="464" t="s">
        <v>3862</v>
      </c>
      <c r="AT70" s="455" t="str">
        <f t="shared" si="19"/>
        <v>Terminado</v>
      </c>
      <c r="AU70" s="455" t="str">
        <f t="shared" si="20"/>
        <v>Terminado</v>
      </c>
      <c r="AV70" s="1108"/>
      <c r="AW70" s="998"/>
      <c r="AX70" s="999"/>
      <c r="AY70" s="1037"/>
      <c r="AZ70" s="1037"/>
      <c r="BA70" s="456"/>
      <c r="BB70" s="1108"/>
      <c r="BC70" s="1035"/>
      <c r="BD70" s="1035"/>
      <c r="BE70" s="1035"/>
      <c r="BF70" s="1035"/>
      <c r="BG70" s="1035"/>
      <c r="BH70" s="1035"/>
      <c r="BI70" s="993" t="s">
        <v>2485</v>
      </c>
      <c r="BJ70" s="993" t="s">
        <v>2487</v>
      </c>
      <c r="BK70" s="990" t="s">
        <v>2488</v>
      </c>
      <c r="BL70" s="990"/>
      <c r="BM70" s="507">
        <v>1</v>
      </c>
      <c r="BN70" s="454" t="s">
        <v>2434</v>
      </c>
      <c r="BO70" s="991"/>
      <c r="BP70" s="455" t="str">
        <f t="shared" si="43"/>
        <v>Terminado</v>
      </c>
      <c r="BQ70" s="455" t="str">
        <f t="shared" si="44"/>
        <v>Terminado</v>
      </c>
      <c r="BR70" s="990"/>
      <c r="BS70" s="996"/>
      <c r="BT70" s="997"/>
      <c r="BU70" s="1037"/>
      <c r="BV70" s="1037"/>
      <c r="BW70" s="990"/>
      <c r="BX70" s="990"/>
      <c r="BY70" s="1106"/>
      <c r="BZ70" s="992"/>
      <c r="CA70" s="990"/>
      <c r="CB70" s="992"/>
      <c r="CC70" s="1061"/>
      <c r="CD70" s="1061"/>
      <c r="CE70" s="990"/>
      <c r="CF70" s="990"/>
      <c r="CG70" s="990"/>
      <c r="CH70" s="990"/>
    </row>
    <row r="71" spans="2:86" ht="171.95" customHeight="1" x14ac:dyDescent="0.25">
      <c r="B71" s="1186"/>
      <c r="C71" s="1000"/>
      <c r="D71" s="448" t="s">
        <v>57</v>
      </c>
      <c r="E71" s="1001"/>
      <c r="F71" s="448" t="s">
        <v>28</v>
      </c>
      <c r="G71" s="448" t="s">
        <v>28</v>
      </c>
      <c r="H71" s="448" t="s">
        <v>326</v>
      </c>
      <c r="I71" s="448" t="s">
        <v>30</v>
      </c>
      <c r="J71" s="1032"/>
      <c r="K71" s="449" t="s">
        <v>187</v>
      </c>
      <c r="L71" s="450" t="s">
        <v>1825</v>
      </c>
      <c r="M71" s="451" t="s">
        <v>1826</v>
      </c>
      <c r="N71" s="448">
        <v>0.3</v>
      </c>
      <c r="O71" s="452">
        <v>44236</v>
      </c>
      <c r="P71" s="452">
        <v>44242</v>
      </c>
      <c r="Q71" s="448">
        <v>1</v>
      </c>
      <c r="R71" s="448">
        <v>1</v>
      </c>
      <c r="S71" s="453">
        <v>1</v>
      </c>
      <c r="T71" s="448">
        <v>1</v>
      </c>
      <c r="U71" s="377">
        <v>1</v>
      </c>
      <c r="V71" s="454" t="s">
        <v>2382</v>
      </c>
      <c r="W71" s="454" t="s">
        <v>3979</v>
      </c>
      <c r="X71" s="455" t="str">
        <f t="shared" si="17"/>
        <v>Terminado</v>
      </c>
      <c r="Y71" s="455" t="str">
        <f t="shared" si="18"/>
        <v>Terminado</v>
      </c>
      <c r="Z71" s="990"/>
      <c r="AA71" s="1026"/>
      <c r="AB71" s="1004"/>
      <c r="AC71" s="1037"/>
      <c r="AD71" s="1037"/>
      <c r="AE71" s="456"/>
      <c r="AF71" s="992"/>
      <c r="AG71" s="992"/>
      <c r="AH71" s="992"/>
      <c r="AI71" s="992"/>
      <c r="AJ71" s="992"/>
      <c r="AK71" s="992"/>
      <c r="AL71" s="993" t="s">
        <v>2485</v>
      </c>
      <c r="AM71" s="993" t="s">
        <v>2486</v>
      </c>
      <c r="AN71" s="994" t="s">
        <v>2487</v>
      </c>
      <c r="AO71" s="990" t="s">
        <v>2488</v>
      </c>
      <c r="AP71" s="992"/>
      <c r="AQ71" s="1209">
        <v>1</v>
      </c>
      <c r="AR71" s="454" t="s">
        <v>2434</v>
      </c>
      <c r="AS71" s="464" t="s">
        <v>3862</v>
      </c>
      <c r="AT71" s="455" t="str">
        <f t="shared" si="19"/>
        <v>Terminado</v>
      </c>
      <c r="AU71" s="455" t="str">
        <f t="shared" si="20"/>
        <v>Terminado</v>
      </c>
      <c r="AV71" s="1108"/>
      <c r="AW71" s="998"/>
      <c r="AX71" s="999"/>
      <c r="AY71" s="1037"/>
      <c r="AZ71" s="1037"/>
      <c r="BA71" s="456"/>
      <c r="BB71" s="1108"/>
      <c r="BC71" s="1035"/>
      <c r="BD71" s="1035"/>
      <c r="BE71" s="1035"/>
      <c r="BF71" s="1035"/>
      <c r="BG71" s="1035"/>
      <c r="BH71" s="1035"/>
      <c r="BI71" s="993" t="s">
        <v>2485</v>
      </c>
      <c r="BJ71" s="993" t="s">
        <v>2487</v>
      </c>
      <c r="BK71" s="990" t="s">
        <v>2488</v>
      </c>
      <c r="BL71" s="990"/>
      <c r="BM71" s="507">
        <v>1</v>
      </c>
      <c r="BN71" s="454" t="s">
        <v>2434</v>
      </c>
      <c r="BO71" s="991"/>
      <c r="BP71" s="455" t="str">
        <f t="shared" si="43"/>
        <v>Terminado</v>
      </c>
      <c r="BQ71" s="455" t="str">
        <f t="shared" si="44"/>
        <v>Terminado</v>
      </c>
      <c r="BR71" s="990"/>
      <c r="BS71" s="996"/>
      <c r="BT71" s="997"/>
      <c r="BU71" s="1037"/>
      <c r="BV71" s="1037"/>
      <c r="BW71" s="990"/>
      <c r="BX71" s="990"/>
      <c r="BY71" s="1106"/>
      <c r="BZ71" s="992"/>
      <c r="CA71" s="990"/>
      <c r="CB71" s="992"/>
      <c r="CC71" s="1061"/>
      <c r="CD71" s="1061"/>
      <c r="CE71" s="990"/>
      <c r="CF71" s="990"/>
      <c r="CG71" s="990"/>
      <c r="CH71" s="990"/>
    </row>
    <row r="72" spans="2:86" ht="171.95" customHeight="1" x14ac:dyDescent="0.25">
      <c r="B72" s="1186"/>
      <c r="C72" s="1030" t="s">
        <v>1827</v>
      </c>
      <c r="D72" s="384" t="s">
        <v>57</v>
      </c>
      <c r="E72" s="1024" t="s">
        <v>1828</v>
      </c>
      <c r="F72" s="384" t="s">
        <v>28</v>
      </c>
      <c r="G72" s="384" t="s">
        <v>28</v>
      </c>
      <c r="H72" s="384" t="s">
        <v>326</v>
      </c>
      <c r="I72" s="384" t="s">
        <v>194</v>
      </c>
      <c r="J72" s="1025" t="s">
        <v>1829</v>
      </c>
      <c r="K72" s="385" t="s">
        <v>187</v>
      </c>
      <c r="L72" s="386" t="s">
        <v>1830</v>
      </c>
      <c r="M72" s="387" t="s">
        <v>1831</v>
      </c>
      <c r="N72" s="384">
        <v>0.15</v>
      </c>
      <c r="O72" s="388">
        <v>44392</v>
      </c>
      <c r="P72" s="388">
        <v>44418</v>
      </c>
      <c r="Q72" s="384">
        <v>0</v>
      </c>
      <c r="R72" s="384">
        <v>0</v>
      </c>
      <c r="S72" s="382">
        <v>1</v>
      </c>
      <c r="T72" s="384">
        <v>1</v>
      </c>
      <c r="U72" s="377">
        <v>0</v>
      </c>
      <c r="V72" s="389" t="s">
        <v>2355</v>
      </c>
      <c r="W72" s="389"/>
      <c r="X72" s="379" t="str">
        <f t="shared" si="17"/>
        <v>Sin iniciar</v>
      </c>
      <c r="Y72" s="379" t="str">
        <f t="shared" si="18"/>
        <v>Sin iniciar</v>
      </c>
      <c r="Z72" s="1006"/>
      <c r="AA72" s="1026">
        <f>SUMPRODUCT(N72:N74,U72:U74)</f>
        <v>0</v>
      </c>
      <c r="AB72" s="1004">
        <f>SUMPRODUCT(N72:N74,Q72:Q74)</f>
        <v>0</v>
      </c>
      <c r="AC72" s="1027" t="str">
        <f>IF(AB72&lt;1%,"Sin iniciar",IF(AB72=100%,"Terminado","En gestión"))</f>
        <v>Sin iniciar</v>
      </c>
      <c r="AD72" s="1027" t="str">
        <f>IF(AA72&lt;1%,"Sin iniciar",IF(AA72=100%,"Terminado","En gestión"))</f>
        <v>Sin iniciar</v>
      </c>
      <c r="AE72" s="390"/>
      <c r="AF72" s="1014">
        <v>487952216.40000004</v>
      </c>
      <c r="AG72" s="1014">
        <v>0</v>
      </c>
      <c r="AH72" s="1014">
        <v>0</v>
      </c>
      <c r="AI72" s="1014">
        <v>100638848</v>
      </c>
      <c r="AJ72" s="1014">
        <v>0</v>
      </c>
      <c r="AK72" s="1014">
        <v>0</v>
      </c>
      <c r="AL72" s="1039" t="s">
        <v>2485</v>
      </c>
      <c r="AM72" s="1039" t="s">
        <v>2486</v>
      </c>
      <c r="AN72" s="1043" t="s">
        <v>2487</v>
      </c>
      <c r="AO72" s="1006" t="s">
        <v>2488</v>
      </c>
      <c r="AP72" s="1014">
        <f>+AI72</f>
        <v>100638848</v>
      </c>
      <c r="AQ72" s="1209">
        <v>0</v>
      </c>
      <c r="AR72" s="389" t="s">
        <v>2437</v>
      </c>
      <c r="AS72" s="389"/>
      <c r="AT72" s="379" t="str">
        <f t="shared" si="19"/>
        <v>Sin iniciar</v>
      </c>
      <c r="AU72" s="379" t="str">
        <f t="shared" si="20"/>
        <v>Sin iniciar</v>
      </c>
      <c r="AV72" s="1006" t="s">
        <v>2437</v>
      </c>
      <c r="AW72" s="998">
        <f>SUMPRODUCT(N72:N74,AQ72:AQ74)</f>
        <v>0</v>
      </c>
      <c r="AX72" s="999">
        <f>SUMPRODUCT(N72:N74,R72:R74)</f>
        <v>0</v>
      </c>
      <c r="AY72" s="1027" t="str">
        <f>IF(AX72&lt;1%,"Sin iniciar",IF(AX72=100%,"Terminado","En gestión"))</f>
        <v>Sin iniciar</v>
      </c>
      <c r="AZ72" s="1027" t="str">
        <f>IF(AW72&lt;1%,"Sin iniciar",IF(AW72=100%,"Terminado","En gestión"))</f>
        <v>Sin iniciar</v>
      </c>
      <c r="BA72" s="390"/>
      <c r="BB72" s="1006"/>
      <c r="BC72" s="1033">
        <v>487952216.40000004</v>
      </c>
      <c r="BD72" s="1033">
        <v>238746965.59696975</v>
      </c>
      <c r="BE72" s="1033">
        <v>0</v>
      </c>
      <c r="BF72" s="1033">
        <v>100638848</v>
      </c>
      <c r="BG72" s="1033">
        <v>0</v>
      </c>
      <c r="BH72" s="1033">
        <v>0</v>
      </c>
      <c r="BI72" s="1039" t="s">
        <v>2485</v>
      </c>
      <c r="BJ72" s="1039" t="s">
        <v>2487</v>
      </c>
      <c r="BK72" s="1006" t="s">
        <v>2488</v>
      </c>
      <c r="BL72" s="1006" t="s">
        <v>2664</v>
      </c>
      <c r="BM72" s="507">
        <v>1</v>
      </c>
      <c r="BN72" s="389" t="s">
        <v>3980</v>
      </c>
      <c r="BO72" s="389" t="s">
        <v>3981</v>
      </c>
      <c r="BP72" s="379" t="str">
        <f t="shared" si="43"/>
        <v>Terminado</v>
      </c>
      <c r="BQ72" s="379" t="str">
        <f t="shared" si="44"/>
        <v>Terminado</v>
      </c>
      <c r="BR72" s="1006" t="s">
        <v>3982</v>
      </c>
      <c r="BS72" s="996">
        <f>SUMPRODUCT(N72:N74,BM72:BM74)</f>
        <v>0.37</v>
      </c>
      <c r="BT72" s="997">
        <f>SUMPRODUCT(N72:N74,S72:S74)</f>
        <v>0.37</v>
      </c>
      <c r="BU72" s="1027" t="str">
        <f>IF(BT72&lt;1%,"Sin iniciar",IF(BT72=100%,"Terminado","En gestión"))</f>
        <v>En gestión</v>
      </c>
      <c r="BV72" s="1027" t="str">
        <f>IF(BS72&lt;1%,"Sin iniciar",IF(BS72=100%,"Terminado","En gestión"))</f>
        <v>En gestión</v>
      </c>
      <c r="BW72" s="1006" t="s">
        <v>28</v>
      </c>
      <c r="BX72" s="1006" t="s">
        <v>3965</v>
      </c>
      <c r="BY72" s="1107">
        <v>487952216.40000004</v>
      </c>
      <c r="BZ72" s="1014">
        <v>238746965.59696975</v>
      </c>
      <c r="CA72" s="1034">
        <f>BZ72*BS72</f>
        <v>88336377.270878807</v>
      </c>
      <c r="CB72" s="1014">
        <v>100638848</v>
      </c>
      <c r="CC72" s="1056">
        <v>47985534.666666701</v>
      </c>
      <c r="CD72" s="1056">
        <v>29246849.833333299</v>
      </c>
      <c r="CE72" s="1006" t="s">
        <v>3966</v>
      </c>
      <c r="CF72" s="1006" t="s">
        <v>3558</v>
      </c>
      <c r="CG72" s="1006" t="s">
        <v>3967</v>
      </c>
      <c r="CH72" s="1006" t="s">
        <v>2664</v>
      </c>
    </row>
    <row r="73" spans="2:86" ht="171.95" customHeight="1" x14ac:dyDescent="0.25">
      <c r="B73" s="1186"/>
      <c r="C73" s="1030"/>
      <c r="D73" s="384" t="s">
        <v>57</v>
      </c>
      <c r="E73" s="1024"/>
      <c r="F73" s="384" t="s">
        <v>28</v>
      </c>
      <c r="G73" s="384" t="s">
        <v>28</v>
      </c>
      <c r="H73" s="384" t="s">
        <v>326</v>
      </c>
      <c r="I73" s="384" t="s">
        <v>194</v>
      </c>
      <c r="J73" s="1025"/>
      <c r="K73" s="385" t="s">
        <v>187</v>
      </c>
      <c r="L73" s="386" t="s">
        <v>1832</v>
      </c>
      <c r="M73" s="387" t="s">
        <v>2383</v>
      </c>
      <c r="N73" s="384">
        <v>0.15</v>
      </c>
      <c r="O73" s="388">
        <v>44419</v>
      </c>
      <c r="P73" s="388">
        <v>44454</v>
      </c>
      <c r="Q73" s="384">
        <v>0</v>
      </c>
      <c r="R73" s="384">
        <v>0</v>
      </c>
      <c r="S73" s="382">
        <v>1</v>
      </c>
      <c r="T73" s="384">
        <v>1</v>
      </c>
      <c r="U73" s="377">
        <v>0</v>
      </c>
      <c r="V73" s="389" t="s">
        <v>2355</v>
      </c>
      <c r="W73" s="389"/>
      <c r="X73" s="379" t="str">
        <f t="shared" si="17"/>
        <v>Sin iniciar</v>
      </c>
      <c r="Y73" s="379" t="str">
        <f t="shared" si="18"/>
        <v>Sin iniciar</v>
      </c>
      <c r="Z73" s="1006"/>
      <c r="AA73" s="1026"/>
      <c r="AB73" s="1004"/>
      <c r="AC73" s="1027"/>
      <c r="AD73" s="1027"/>
      <c r="AE73" s="390"/>
      <c r="AF73" s="1014"/>
      <c r="AG73" s="1014"/>
      <c r="AH73" s="1014"/>
      <c r="AI73" s="1014"/>
      <c r="AJ73" s="1014"/>
      <c r="AK73" s="1014"/>
      <c r="AL73" s="1039" t="s">
        <v>2485</v>
      </c>
      <c r="AM73" s="1039" t="s">
        <v>2486</v>
      </c>
      <c r="AN73" s="1043" t="s">
        <v>2487</v>
      </c>
      <c r="AO73" s="1006" t="s">
        <v>2488</v>
      </c>
      <c r="AP73" s="1014"/>
      <c r="AQ73" s="1209">
        <v>0</v>
      </c>
      <c r="AR73" s="389" t="s">
        <v>2437</v>
      </c>
      <c r="AS73" s="389"/>
      <c r="AT73" s="379" t="str">
        <f t="shared" si="19"/>
        <v>Sin iniciar</v>
      </c>
      <c r="AU73" s="379" t="str">
        <f t="shared" si="20"/>
        <v>Sin iniciar</v>
      </c>
      <c r="AV73" s="1006"/>
      <c r="AW73" s="998"/>
      <c r="AX73" s="999"/>
      <c r="AY73" s="1027"/>
      <c r="AZ73" s="1027"/>
      <c r="BA73" s="390"/>
      <c r="BB73" s="1006"/>
      <c r="BC73" s="1033"/>
      <c r="BD73" s="1033"/>
      <c r="BE73" s="1033"/>
      <c r="BF73" s="1033"/>
      <c r="BG73" s="1033"/>
      <c r="BH73" s="1033"/>
      <c r="BI73" s="1039" t="s">
        <v>2485</v>
      </c>
      <c r="BJ73" s="1039" t="s">
        <v>2487</v>
      </c>
      <c r="BK73" s="1006" t="s">
        <v>2488</v>
      </c>
      <c r="BL73" s="1006"/>
      <c r="BM73" s="507">
        <v>1</v>
      </c>
      <c r="BN73" s="389" t="s">
        <v>3983</v>
      </c>
      <c r="BO73" s="389" t="s">
        <v>3984</v>
      </c>
      <c r="BP73" s="379" t="str">
        <f t="shared" si="43"/>
        <v>Terminado</v>
      </c>
      <c r="BQ73" s="379" t="str">
        <f t="shared" si="44"/>
        <v>Terminado</v>
      </c>
      <c r="BR73" s="1006"/>
      <c r="BS73" s="996"/>
      <c r="BT73" s="997"/>
      <c r="BU73" s="1027"/>
      <c r="BV73" s="1027"/>
      <c r="BW73" s="1006"/>
      <c r="BX73" s="1006"/>
      <c r="BY73" s="1107"/>
      <c r="BZ73" s="1014"/>
      <c r="CA73" s="1006"/>
      <c r="CB73" s="1014"/>
      <c r="CC73" s="1056"/>
      <c r="CD73" s="1056"/>
      <c r="CE73" s="1006"/>
      <c r="CF73" s="1006"/>
      <c r="CG73" s="1006"/>
      <c r="CH73" s="1006"/>
    </row>
    <row r="74" spans="2:86" ht="171.95" customHeight="1" x14ac:dyDescent="0.25">
      <c r="B74" s="1186"/>
      <c r="C74" s="1030"/>
      <c r="D74" s="384" t="s">
        <v>57</v>
      </c>
      <c r="E74" s="1024"/>
      <c r="F74" s="384" t="s">
        <v>28</v>
      </c>
      <c r="G74" s="384" t="s">
        <v>28</v>
      </c>
      <c r="H74" s="384" t="s">
        <v>326</v>
      </c>
      <c r="I74" s="384" t="s">
        <v>194</v>
      </c>
      <c r="J74" s="1025"/>
      <c r="K74" s="385" t="s">
        <v>187</v>
      </c>
      <c r="L74" s="386" t="s">
        <v>1833</v>
      </c>
      <c r="M74" s="387" t="s">
        <v>1834</v>
      </c>
      <c r="N74" s="384">
        <v>0.7</v>
      </c>
      <c r="O74" s="388">
        <v>44455</v>
      </c>
      <c r="P74" s="388">
        <v>44553</v>
      </c>
      <c r="Q74" s="384">
        <v>0</v>
      </c>
      <c r="R74" s="384">
        <v>0</v>
      </c>
      <c r="S74" s="382">
        <v>0.1</v>
      </c>
      <c r="T74" s="384">
        <v>1</v>
      </c>
      <c r="U74" s="377">
        <v>0</v>
      </c>
      <c r="V74" s="389" t="s">
        <v>2355</v>
      </c>
      <c r="W74" s="389"/>
      <c r="X74" s="379" t="str">
        <f t="shared" si="17"/>
        <v>Sin iniciar</v>
      </c>
      <c r="Y74" s="379" t="str">
        <f t="shared" si="18"/>
        <v>Sin iniciar</v>
      </c>
      <c r="Z74" s="1006"/>
      <c r="AA74" s="1026"/>
      <c r="AB74" s="1004"/>
      <c r="AC74" s="1027"/>
      <c r="AD74" s="1027"/>
      <c r="AE74" s="390"/>
      <c r="AF74" s="1014"/>
      <c r="AG74" s="1014"/>
      <c r="AH74" s="1014"/>
      <c r="AI74" s="1014"/>
      <c r="AJ74" s="1014"/>
      <c r="AK74" s="1014"/>
      <c r="AL74" s="1039" t="s">
        <v>2485</v>
      </c>
      <c r="AM74" s="1039" t="s">
        <v>2486</v>
      </c>
      <c r="AN74" s="1043" t="s">
        <v>2487</v>
      </c>
      <c r="AO74" s="1006" t="s">
        <v>2488</v>
      </c>
      <c r="AP74" s="1014"/>
      <c r="AQ74" s="1209">
        <v>0</v>
      </c>
      <c r="AR74" s="389" t="s">
        <v>2437</v>
      </c>
      <c r="AS74" s="389"/>
      <c r="AT74" s="379" t="str">
        <f t="shared" si="19"/>
        <v>Sin iniciar</v>
      </c>
      <c r="AU74" s="379" t="str">
        <f t="shared" si="20"/>
        <v>Sin iniciar</v>
      </c>
      <c r="AV74" s="1006"/>
      <c r="AW74" s="998"/>
      <c r="AX74" s="999"/>
      <c r="AY74" s="1027"/>
      <c r="AZ74" s="1027"/>
      <c r="BA74" s="390"/>
      <c r="BB74" s="1006"/>
      <c r="BC74" s="1033"/>
      <c r="BD74" s="1033"/>
      <c r="BE74" s="1033"/>
      <c r="BF74" s="1033"/>
      <c r="BG74" s="1033"/>
      <c r="BH74" s="1033"/>
      <c r="BI74" s="1039" t="s">
        <v>2485</v>
      </c>
      <c r="BJ74" s="1039" t="s">
        <v>2487</v>
      </c>
      <c r="BK74" s="1006" t="s">
        <v>2488</v>
      </c>
      <c r="BL74" s="1006"/>
      <c r="BM74" s="507">
        <v>0.1</v>
      </c>
      <c r="BN74" s="389" t="s">
        <v>3985</v>
      </c>
      <c r="BO74" s="389" t="s">
        <v>3986</v>
      </c>
      <c r="BP74" s="379" t="str">
        <f t="shared" si="43"/>
        <v>En gestión</v>
      </c>
      <c r="BQ74" s="379" t="str">
        <f t="shared" si="44"/>
        <v>En gestión</v>
      </c>
      <c r="BR74" s="1006"/>
      <c r="BS74" s="996"/>
      <c r="BT74" s="997"/>
      <c r="BU74" s="1027"/>
      <c r="BV74" s="1027"/>
      <c r="BW74" s="1006"/>
      <c r="BX74" s="1006"/>
      <c r="BY74" s="1107"/>
      <c r="BZ74" s="1014"/>
      <c r="CA74" s="1006"/>
      <c r="CB74" s="1014"/>
      <c r="CC74" s="1056"/>
      <c r="CD74" s="1056"/>
      <c r="CE74" s="1006"/>
      <c r="CF74" s="1006"/>
      <c r="CG74" s="1006"/>
      <c r="CH74" s="1006"/>
    </row>
    <row r="75" spans="2:86" ht="171.95" customHeight="1" x14ac:dyDescent="0.25">
      <c r="B75" s="1186"/>
      <c r="C75" s="1000" t="s">
        <v>1835</v>
      </c>
      <c r="D75" s="448" t="s">
        <v>57</v>
      </c>
      <c r="E75" s="1001" t="s">
        <v>1206</v>
      </c>
      <c r="F75" s="448" t="s">
        <v>28</v>
      </c>
      <c r="G75" s="448" t="s">
        <v>28</v>
      </c>
      <c r="H75" s="448" t="s">
        <v>326</v>
      </c>
      <c r="I75" s="448" t="s">
        <v>30</v>
      </c>
      <c r="J75" s="1032" t="s">
        <v>1836</v>
      </c>
      <c r="K75" s="449" t="s">
        <v>187</v>
      </c>
      <c r="L75" s="450" t="s">
        <v>1837</v>
      </c>
      <c r="M75" s="451" t="s">
        <v>2384</v>
      </c>
      <c r="N75" s="448">
        <v>0.4</v>
      </c>
      <c r="O75" s="452">
        <v>44207</v>
      </c>
      <c r="P75" s="452">
        <v>44263</v>
      </c>
      <c r="Q75" s="448">
        <v>1</v>
      </c>
      <c r="R75" s="448">
        <v>1</v>
      </c>
      <c r="S75" s="453">
        <v>1</v>
      </c>
      <c r="T75" s="448">
        <v>1</v>
      </c>
      <c r="U75" s="377">
        <v>1</v>
      </c>
      <c r="V75" s="454" t="s">
        <v>2385</v>
      </c>
      <c r="W75" s="454" t="s">
        <v>3987</v>
      </c>
      <c r="X75" s="455" t="str">
        <f t="shared" si="17"/>
        <v>Terminado</v>
      </c>
      <c r="Y75" s="455" t="str">
        <f t="shared" si="18"/>
        <v>Terminado</v>
      </c>
      <c r="Z75" s="990" t="s">
        <v>2386</v>
      </c>
      <c r="AA75" s="1026">
        <f>SUMPRODUCT(N75:N77,U75:U77)</f>
        <v>1</v>
      </c>
      <c r="AB75" s="1004">
        <f>SUMPRODUCT(N75:N77,Q75:Q77)</f>
        <v>1</v>
      </c>
      <c r="AC75" s="1037" t="str">
        <f>IF(AB75&lt;1%,"Sin iniciar",IF(AB75=100%,"Terminado","En gestión"))</f>
        <v>Terminado</v>
      </c>
      <c r="AD75" s="1037" t="str">
        <f>IF(AA75&lt;1%,"Sin iniciar",IF(AA75=100%,"Terminado","En gestión"))</f>
        <v>Terminado</v>
      </c>
      <c r="AE75" s="456"/>
      <c r="AF75" s="992">
        <v>21335228.399999999</v>
      </c>
      <c r="AG75" s="992">
        <v>0</v>
      </c>
      <c r="AH75" s="992">
        <v>21335228.399999999</v>
      </c>
      <c r="AI75" s="992">
        <v>82132200</v>
      </c>
      <c r="AJ75" s="992">
        <v>0</v>
      </c>
      <c r="AK75" s="992">
        <v>10918000</v>
      </c>
      <c r="AL75" s="993" t="s">
        <v>2485</v>
      </c>
      <c r="AM75" s="993" t="s">
        <v>2486</v>
      </c>
      <c r="AN75" s="994" t="s">
        <v>2487</v>
      </c>
      <c r="AO75" s="990" t="s">
        <v>2488</v>
      </c>
      <c r="AP75" s="992">
        <f>+AI75</f>
        <v>82132200</v>
      </c>
      <c r="AQ75" s="1209">
        <v>1</v>
      </c>
      <c r="AR75" s="454" t="s">
        <v>2434</v>
      </c>
      <c r="AS75" s="464" t="s">
        <v>3862</v>
      </c>
      <c r="AT75" s="455" t="str">
        <f t="shared" si="19"/>
        <v>Terminado</v>
      </c>
      <c r="AU75" s="455" t="str">
        <f t="shared" si="20"/>
        <v>Terminado</v>
      </c>
      <c r="AV75" s="990" t="s">
        <v>2440</v>
      </c>
      <c r="AW75" s="998">
        <f>SUMPRODUCT(N75:N77,AQ75:AQ77)</f>
        <v>1</v>
      </c>
      <c r="AX75" s="999">
        <f>SUMPRODUCT(N75:N77,R75:R77)</f>
        <v>1</v>
      </c>
      <c r="AY75" s="1037" t="str">
        <f>IF(AX75&lt;1%,"Sin iniciar",IF(AX75=100%,"Terminado","En gestión"))</f>
        <v>Terminado</v>
      </c>
      <c r="AZ75" s="1037" t="str">
        <f>IF(AW75&lt;1%,"Sin iniciar",IF(AW75=100%,"Terminado","En gestión"))</f>
        <v>Terminado</v>
      </c>
      <c r="BA75" s="456"/>
      <c r="BB75" s="1108"/>
      <c r="BC75" s="1035">
        <v>21335228.399999999</v>
      </c>
      <c r="BD75" s="1035">
        <v>31511571.282303028</v>
      </c>
      <c r="BE75" s="1035">
        <v>16349884.567632183</v>
      </c>
      <c r="BF75" s="1035">
        <v>82132200</v>
      </c>
      <c r="BG75" s="1035">
        <v>0</v>
      </c>
      <c r="BH75" s="1035">
        <v>28798000</v>
      </c>
      <c r="BI75" s="993" t="s">
        <v>2485</v>
      </c>
      <c r="BJ75" s="993" t="s">
        <v>2487</v>
      </c>
      <c r="BK75" s="990" t="s">
        <v>2488</v>
      </c>
      <c r="BL75" s="990" t="s">
        <v>2664</v>
      </c>
      <c r="BM75" s="506">
        <v>1</v>
      </c>
      <c r="BN75" s="456" t="s">
        <v>2434</v>
      </c>
      <c r="BO75" s="991" t="s">
        <v>37</v>
      </c>
      <c r="BP75" s="455" t="str">
        <f t="shared" si="43"/>
        <v>Terminado</v>
      </c>
      <c r="BQ75" s="455" t="str">
        <f t="shared" si="44"/>
        <v>Terminado</v>
      </c>
      <c r="BR75" s="990" t="s">
        <v>28</v>
      </c>
      <c r="BS75" s="996">
        <f>SUMPRODUCT(N75:N77,BM75:BM77)</f>
        <v>1</v>
      </c>
      <c r="BT75" s="997">
        <f>SUMPRODUCT(N75:N77,S75:S77)</f>
        <v>1</v>
      </c>
      <c r="BU75" s="1037" t="str">
        <f>IF(BT75&lt;1%,"Sin iniciar",IF(BT75=100%,"Terminado","En gestión"))</f>
        <v>Terminado</v>
      </c>
      <c r="BV75" s="1037" t="str">
        <f>IF(BS75&lt;1%,"Sin iniciar",IF(BS75=100%,"Terminado","En gestión"))</f>
        <v>Terminado</v>
      </c>
      <c r="BW75" s="990" t="s">
        <v>28</v>
      </c>
      <c r="BX75" s="990" t="s">
        <v>3965</v>
      </c>
      <c r="BY75" s="1106">
        <v>21335228.399999999</v>
      </c>
      <c r="BZ75" s="992">
        <v>31511571.282303028</v>
      </c>
      <c r="CA75" s="1013">
        <f>BZ75*BS75</f>
        <v>31511571.282303028</v>
      </c>
      <c r="CB75" s="992">
        <v>82132200</v>
      </c>
      <c r="CC75" s="1061">
        <v>47985534.666666701</v>
      </c>
      <c r="CD75" s="1061">
        <v>29246849.833333299</v>
      </c>
      <c r="CE75" s="990" t="s">
        <v>3966</v>
      </c>
      <c r="CF75" s="990" t="s">
        <v>3558</v>
      </c>
      <c r="CG75" s="990" t="s">
        <v>3967</v>
      </c>
      <c r="CH75" s="990" t="s">
        <v>2664</v>
      </c>
    </row>
    <row r="76" spans="2:86" ht="171.95" customHeight="1" x14ac:dyDescent="0.25">
      <c r="B76" s="1186"/>
      <c r="C76" s="1000"/>
      <c r="D76" s="448" t="s">
        <v>57</v>
      </c>
      <c r="E76" s="1001"/>
      <c r="F76" s="448" t="s">
        <v>28</v>
      </c>
      <c r="G76" s="448" t="s">
        <v>28</v>
      </c>
      <c r="H76" s="448" t="s">
        <v>326</v>
      </c>
      <c r="I76" s="448" t="s">
        <v>30</v>
      </c>
      <c r="J76" s="1032"/>
      <c r="K76" s="449" t="s">
        <v>187</v>
      </c>
      <c r="L76" s="450" t="s">
        <v>1838</v>
      </c>
      <c r="M76" s="451" t="s">
        <v>1839</v>
      </c>
      <c r="N76" s="448">
        <v>0.4</v>
      </c>
      <c r="O76" s="452">
        <v>44207</v>
      </c>
      <c r="P76" s="452">
        <v>44266</v>
      </c>
      <c r="Q76" s="448">
        <v>1</v>
      </c>
      <c r="R76" s="448">
        <v>1</v>
      </c>
      <c r="S76" s="453">
        <v>1</v>
      </c>
      <c r="T76" s="448">
        <v>1</v>
      </c>
      <c r="U76" s="377">
        <v>1</v>
      </c>
      <c r="V76" s="454" t="s">
        <v>1840</v>
      </c>
      <c r="W76" s="454" t="s">
        <v>3988</v>
      </c>
      <c r="X76" s="455" t="str">
        <f t="shared" si="17"/>
        <v>Terminado</v>
      </c>
      <c r="Y76" s="455" t="str">
        <f t="shared" si="18"/>
        <v>Terminado</v>
      </c>
      <c r="Z76" s="990"/>
      <c r="AA76" s="1026"/>
      <c r="AB76" s="1004"/>
      <c r="AC76" s="1037"/>
      <c r="AD76" s="1037"/>
      <c r="AE76" s="456"/>
      <c r="AF76" s="992"/>
      <c r="AG76" s="992"/>
      <c r="AH76" s="992"/>
      <c r="AI76" s="992"/>
      <c r="AJ76" s="992"/>
      <c r="AK76" s="992"/>
      <c r="AL76" s="993" t="s">
        <v>2485</v>
      </c>
      <c r="AM76" s="993" t="s">
        <v>2486</v>
      </c>
      <c r="AN76" s="994" t="s">
        <v>2487</v>
      </c>
      <c r="AO76" s="990" t="s">
        <v>2488</v>
      </c>
      <c r="AP76" s="992"/>
      <c r="AQ76" s="1209">
        <v>1</v>
      </c>
      <c r="AR76" s="454" t="s">
        <v>2434</v>
      </c>
      <c r="AS76" s="464" t="s">
        <v>3862</v>
      </c>
      <c r="AT76" s="455" t="str">
        <f t="shared" si="19"/>
        <v>Terminado</v>
      </c>
      <c r="AU76" s="455" t="str">
        <f t="shared" si="20"/>
        <v>Terminado</v>
      </c>
      <c r="AV76" s="1108"/>
      <c r="AW76" s="998"/>
      <c r="AX76" s="999"/>
      <c r="AY76" s="1037"/>
      <c r="AZ76" s="1037"/>
      <c r="BA76" s="456"/>
      <c r="BB76" s="1108"/>
      <c r="BC76" s="1035"/>
      <c r="BD76" s="1035"/>
      <c r="BE76" s="1035"/>
      <c r="BF76" s="1035"/>
      <c r="BG76" s="1035"/>
      <c r="BH76" s="1035"/>
      <c r="BI76" s="993" t="s">
        <v>2485</v>
      </c>
      <c r="BJ76" s="993" t="s">
        <v>2487</v>
      </c>
      <c r="BK76" s="990" t="s">
        <v>2488</v>
      </c>
      <c r="BL76" s="990"/>
      <c r="BM76" s="506">
        <v>1</v>
      </c>
      <c r="BN76" s="456" t="s">
        <v>2434</v>
      </c>
      <c r="BO76" s="991"/>
      <c r="BP76" s="455" t="str">
        <f t="shared" si="43"/>
        <v>Terminado</v>
      </c>
      <c r="BQ76" s="455" t="str">
        <f t="shared" si="44"/>
        <v>Terminado</v>
      </c>
      <c r="BR76" s="990"/>
      <c r="BS76" s="996"/>
      <c r="BT76" s="997"/>
      <c r="BU76" s="1037"/>
      <c r="BV76" s="1037"/>
      <c r="BW76" s="990"/>
      <c r="BX76" s="990"/>
      <c r="BY76" s="1106"/>
      <c r="BZ76" s="992"/>
      <c r="CA76" s="990"/>
      <c r="CB76" s="992"/>
      <c r="CC76" s="1061"/>
      <c r="CD76" s="1061"/>
      <c r="CE76" s="990"/>
      <c r="CF76" s="990"/>
      <c r="CG76" s="990"/>
      <c r="CH76" s="990"/>
    </row>
    <row r="77" spans="2:86" ht="171.95" customHeight="1" x14ac:dyDescent="0.25">
      <c r="B77" s="1186"/>
      <c r="C77" s="1000"/>
      <c r="D77" s="448" t="s">
        <v>57</v>
      </c>
      <c r="E77" s="1001"/>
      <c r="F77" s="448" t="s">
        <v>28</v>
      </c>
      <c r="G77" s="448" t="s">
        <v>28</v>
      </c>
      <c r="H77" s="448" t="s">
        <v>326</v>
      </c>
      <c r="I77" s="448" t="s">
        <v>30</v>
      </c>
      <c r="J77" s="1032"/>
      <c r="K77" s="449" t="s">
        <v>187</v>
      </c>
      <c r="L77" s="450" t="s">
        <v>1841</v>
      </c>
      <c r="M77" s="451" t="s">
        <v>1842</v>
      </c>
      <c r="N77" s="448">
        <v>0.2</v>
      </c>
      <c r="O77" s="452">
        <v>44256</v>
      </c>
      <c r="P77" s="452">
        <v>44267</v>
      </c>
      <c r="Q77" s="448">
        <v>1</v>
      </c>
      <c r="R77" s="448">
        <v>1</v>
      </c>
      <c r="S77" s="453">
        <v>1</v>
      </c>
      <c r="T77" s="448">
        <v>1</v>
      </c>
      <c r="U77" s="377">
        <v>1</v>
      </c>
      <c r="V77" s="454" t="s">
        <v>2387</v>
      </c>
      <c r="W77" s="454" t="s">
        <v>3989</v>
      </c>
      <c r="X77" s="455" t="str">
        <f t="shared" si="17"/>
        <v>Terminado</v>
      </c>
      <c r="Y77" s="455" t="str">
        <f t="shared" si="18"/>
        <v>Terminado</v>
      </c>
      <c r="Z77" s="990"/>
      <c r="AA77" s="1026"/>
      <c r="AB77" s="1004"/>
      <c r="AC77" s="1037"/>
      <c r="AD77" s="1037"/>
      <c r="AE77" s="456"/>
      <c r="AF77" s="992"/>
      <c r="AG77" s="992"/>
      <c r="AH77" s="992"/>
      <c r="AI77" s="992"/>
      <c r="AJ77" s="992"/>
      <c r="AK77" s="992"/>
      <c r="AL77" s="993" t="s">
        <v>2485</v>
      </c>
      <c r="AM77" s="993" t="s">
        <v>2486</v>
      </c>
      <c r="AN77" s="994" t="s">
        <v>2487</v>
      </c>
      <c r="AO77" s="990" t="s">
        <v>2488</v>
      </c>
      <c r="AP77" s="992"/>
      <c r="AQ77" s="1209">
        <v>1</v>
      </c>
      <c r="AR77" s="454" t="s">
        <v>2434</v>
      </c>
      <c r="AS77" s="464" t="s">
        <v>3862</v>
      </c>
      <c r="AT77" s="455" t="str">
        <f t="shared" si="19"/>
        <v>Terminado</v>
      </c>
      <c r="AU77" s="455" t="str">
        <f t="shared" si="20"/>
        <v>Terminado</v>
      </c>
      <c r="AV77" s="1108"/>
      <c r="AW77" s="998"/>
      <c r="AX77" s="999"/>
      <c r="AY77" s="1037"/>
      <c r="AZ77" s="1037"/>
      <c r="BA77" s="456"/>
      <c r="BB77" s="1108"/>
      <c r="BC77" s="1035"/>
      <c r="BD77" s="1035"/>
      <c r="BE77" s="1035"/>
      <c r="BF77" s="1035"/>
      <c r="BG77" s="1035"/>
      <c r="BH77" s="1035"/>
      <c r="BI77" s="993" t="s">
        <v>2485</v>
      </c>
      <c r="BJ77" s="993" t="s">
        <v>2487</v>
      </c>
      <c r="BK77" s="990" t="s">
        <v>2488</v>
      </c>
      <c r="BL77" s="990"/>
      <c r="BM77" s="506">
        <v>1</v>
      </c>
      <c r="BN77" s="456" t="s">
        <v>2434</v>
      </c>
      <c r="BO77" s="991"/>
      <c r="BP77" s="455" t="str">
        <f t="shared" si="43"/>
        <v>Terminado</v>
      </c>
      <c r="BQ77" s="455" t="str">
        <f t="shared" si="44"/>
        <v>Terminado</v>
      </c>
      <c r="BR77" s="990"/>
      <c r="BS77" s="996"/>
      <c r="BT77" s="997"/>
      <c r="BU77" s="1037"/>
      <c r="BV77" s="1037"/>
      <c r="BW77" s="990"/>
      <c r="BX77" s="990"/>
      <c r="BY77" s="1106"/>
      <c r="BZ77" s="992"/>
      <c r="CA77" s="990"/>
      <c r="CB77" s="992"/>
      <c r="CC77" s="1061"/>
      <c r="CD77" s="1061"/>
      <c r="CE77" s="990"/>
      <c r="CF77" s="990"/>
      <c r="CG77" s="990"/>
      <c r="CH77" s="990"/>
    </row>
    <row r="78" spans="2:86" ht="171.95" customHeight="1" x14ac:dyDescent="0.25">
      <c r="B78" s="1186"/>
      <c r="C78" s="1030" t="s">
        <v>1843</v>
      </c>
      <c r="D78" s="384" t="s">
        <v>57</v>
      </c>
      <c r="E78" s="1024" t="s">
        <v>1206</v>
      </c>
      <c r="F78" s="384" t="s">
        <v>28</v>
      </c>
      <c r="G78" s="384" t="s">
        <v>28</v>
      </c>
      <c r="H78" s="384" t="s">
        <v>326</v>
      </c>
      <c r="I78" s="384" t="s">
        <v>30</v>
      </c>
      <c r="J78" s="1025" t="s">
        <v>1844</v>
      </c>
      <c r="K78" s="385" t="s">
        <v>187</v>
      </c>
      <c r="L78" s="386" t="s">
        <v>1845</v>
      </c>
      <c r="M78" s="387" t="s">
        <v>1846</v>
      </c>
      <c r="N78" s="384">
        <v>0.2</v>
      </c>
      <c r="O78" s="388">
        <v>44200</v>
      </c>
      <c r="P78" s="388">
        <v>44211</v>
      </c>
      <c r="Q78" s="384">
        <v>1</v>
      </c>
      <c r="R78" s="384">
        <v>1</v>
      </c>
      <c r="S78" s="382">
        <v>1</v>
      </c>
      <c r="T78" s="384">
        <v>1</v>
      </c>
      <c r="U78" s="377">
        <v>1</v>
      </c>
      <c r="V78" s="389" t="s">
        <v>1847</v>
      </c>
      <c r="W78" s="389" t="s">
        <v>3990</v>
      </c>
      <c r="X78" s="379" t="str">
        <f t="shared" si="17"/>
        <v>Terminado</v>
      </c>
      <c r="Y78" s="379" t="str">
        <f t="shared" si="18"/>
        <v>Terminado</v>
      </c>
      <c r="Z78" s="1006" t="s">
        <v>2388</v>
      </c>
      <c r="AA78" s="1026">
        <f>SUMPRODUCT(N78:N80,U78:U80)</f>
        <v>1</v>
      </c>
      <c r="AB78" s="1004">
        <f>SUMPRODUCT(N78:N80,Q78:Q80)</f>
        <v>1</v>
      </c>
      <c r="AC78" s="1027" t="str">
        <f>IF(AB78&lt;1%,"Sin iniciar",IF(AB78=100%,"Terminado","En gestión"))</f>
        <v>Terminado</v>
      </c>
      <c r="AD78" s="1027" t="str">
        <f>IF(AA78&lt;1%,"Sin iniciar",IF(AA78=100%,"Terminado","En gestión"))</f>
        <v>Terminado</v>
      </c>
      <c r="AE78" s="390"/>
      <c r="AF78" s="1014">
        <v>161258532</v>
      </c>
      <c r="AG78" s="1014">
        <v>0</v>
      </c>
      <c r="AH78" s="1014">
        <v>161258532</v>
      </c>
      <c r="AI78" s="1014">
        <v>37661835</v>
      </c>
      <c r="AJ78" s="1014">
        <v>0</v>
      </c>
      <c r="AK78" s="1014">
        <v>18945820</v>
      </c>
      <c r="AL78" s="1039" t="s">
        <v>2485</v>
      </c>
      <c r="AM78" s="1039" t="s">
        <v>2486</v>
      </c>
      <c r="AN78" s="1043" t="s">
        <v>2489</v>
      </c>
      <c r="AO78" s="1006" t="s">
        <v>2490</v>
      </c>
      <c r="AP78" s="1014">
        <f>+AI78</f>
        <v>37661835</v>
      </c>
      <c r="AQ78" s="1209">
        <v>1</v>
      </c>
      <c r="AR78" s="389" t="s">
        <v>2434</v>
      </c>
      <c r="AS78" s="408" t="s">
        <v>3862</v>
      </c>
      <c r="AT78" s="379" t="str">
        <f t="shared" si="19"/>
        <v>Terminado</v>
      </c>
      <c r="AU78" s="379" t="str">
        <f t="shared" si="20"/>
        <v>Terminado</v>
      </c>
      <c r="AV78" s="1006" t="s">
        <v>2440</v>
      </c>
      <c r="AW78" s="998">
        <f>SUMPRODUCT(N78:N80,AQ78:AQ80)</f>
        <v>1</v>
      </c>
      <c r="AX78" s="999">
        <f>SUMPRODUCT(N78:N80,R78:R80)</f>
        <v>1</v>
      </c>
      <c r="AY78" s="1027" t="str">
        <f>IF(AX78&lt;1%,"Sin iniciar",IF(AX78=100%,"Terminado","En gestión"))</f>
        <v>Terminado</v>
      </c>
      <c r="AZ78" s="1027" t="str">
        <f>IF(AW78&lt;1%,"Sin iniciar",IF(AW78=100%,"Terminado","En gestión"))</f>
        <v>Terminado</v>
      </c>
      <c r="BA78" s="390"/>
      <c r="BB78" s="1109"/>
      <c r="BC78" s="1033">
        <v>161258532</v>
      </c>
      <c r="BD78" s="1033">
        <v>193753662.08096975</v>
      </c>
      <c r="BE78" s="1033">
        <v>139766844.34029883</v>
      </c>
      <c r="BF78" s="1033">
        <v>37661835</v>
      </c>
      <c r="BG78" s="1033">
        <v>72141200</v>
      </c>
      <c r="BH78" s="1033">
        <v>58388983.5</v>
      </c>
      <c r="BI78" s="1039" t="s">
        <v>2485</v>
      </c>
      <c r="BJ78" s="1043" t="s">
        <v>2489</v>
      </c>
      <c r="BK78" s="1006" t="s">
        <v>2490</v>
      </c>
      <c r="BL78" s="1006" t="s">
        <v>2665</v>
      </c>
      <c r="BM78" s="506">
        <v>1</v>
      </c>
      <c r="BN78" s="390" t="s">
        <v>2434</v>
      </c>
      <c r="BO78" s="1016" t="s">
        <v>37</v>
      </c>
      <c r="BP78" s="379" t="str">
        <f t="shared" si="43"/>
        <v>Terminado</v>
      </c>
      <c r="BQ78" s="379" t="str">
        <f t="shared" si="44"/>
        <v>Terminado</v>
      </c>
      <c r="BR78" s="1006" t="s">
        <v>28</v>
      </c>
      <c r="BS78" s="996">
        <f>SUMPRODUCT(N78:N80,BM78:BM80)</f>
        <v>1</v>
      </c>
      <c r="BT78" s="997">
        <f>SUMPRODUCT(N78:N80,S78:S80)</f>
        <v>1</v>
      </c>
      <c r="BU78" s="1027" t="str">
        <f>IF(BT78&lt;1%,"Sin iniciar",IF(BT78=100%,"Terminado","En gestión"))</f>
        <v>Terminado</v>
      </c>
      <c r="BV78" s="1027" t="str">
        <f>IF(BS78&lt;1%,"Sin iniciar",IF(BS78=100%,"Terminado","En gestión"))</f>
        <v>Terminado</v>
      </c>
      <c r="BW78" s="1006" t="s">
        <v>28</v>
      </c>
      <c r="BX78" s="1006" t="s">
        <v>3965</v>
      </c>
      <c r="BY78" s="1107">
        <v>161258532</v>
      </c>
      <c r="BZ78" s="1014">
        <v>193753662.08096975</v>
      </c>
      <c r="CA78" s="1034">
        <f>BZ78*BS78</f>
        <v>193753662.08096975</v>
      </c>
      <c r="CB78" s="1014">
        <v>37661835</v>
      </c>
      <c r="CC78" s="1056">
        <v>60400780.833333299</v>
      </c>
      <c r="CD78" s="1056">
        <v>35056993.3716667</v>
      </c>
      <c r="CE78" s="1006" t="s">
        <v>3966</v>
      </c>
      <c r="CF78" s="1006" t="s">
        <v>3577</v>
      </c>
      <c r="CG78" s="1006" t="s">
        <v>3578</v>
      </c>
      <c r="CH78" s="1006" t="s">
        <v>2665</v>
      </c>
    </row>
    <row r="79" spans="2:86" ht="171.95" customHeight="1" x14ac:dyDescent="0.25">
      <c r="B79" s="1186"/>
      <c r="C79" s="1030"/>
      <c r="D79" s="384" t="s">
        <v>57</v>
      </c>
      <c r="E79" s="1024"/>
      <c r="F79" s="384" t="s">
        <v>28</v>
      </c>
      <c r="G79" s="384" t="s">
        <v>28</v>
      </c>
      <c r="H79" s="384" t="s">
        <v>326</v>
      </c>
      <c r="I79" s="384" t="s">
        <v>30</v>
      </c>
      <c r="J79" s="1025"/>
      <c r="K79" s="385" t="s">
        <v>187</v>
      </c>
      <c r="L79" s="386" t="s">
        <v>1848</v>
      </c>
      <c r="M79" s="387" t="s">
        <v>1849</v>
      </c>
      <c r="N79" s="384">
        <v>0.6</v>
      </c>
      <c r="O79" s="388">
        <v>44214</v>
      </c>
      <c r="P79" s="388">
        <v>44235</v>
      </c>
      <c r="Q79" s="384">
        <v>1</v>
      </c>
      <c r="R79" s="384">
        <v>1</v>
      </c>
      <c r="S79" s="382">
        <v>1</v>
      </c>
      <c r="T79" s="384">
        <v>1</v>
      </c>
      <c r="U79" s="377">
        <v>1</v>
      </c>
      <c r="V79" s="389" t="s">
        <v>1850</v>
      </c>
      <c r="W79" s="389" t="s">
        <v>3990</v>
      </c>
      <c r="X79" s="379" t="str">
        <f t="shared" si="17"/>
        <v>Terminado</v>
      </c>
      <c r="Y79" s="379" t="str">
        <f t="shared" si="18"/>
        <v>Terminado</v>
      </c>
      <c r="Z79" s="1006"/>
      <c r="AA79" s="1026"/>
      <c r="AB79" s="1004"/>
      <c r="AC79" s="1027"/>
      <c r="AD79" s="1027"/>
      <c r="AE79" s="390"/>
      <c r="AF79" s="1014"/>
      <c r="AG79" s="1014"/>
      <c r="AH79" s="1014"/>
      <c r="AI79" s="1014"/>
      <c r="AJ79" s="1014"/>
      <c r="AK79" s="1014"/>
      <c r="AL79" s="1039" t="s">
        <v>2485</v>
      </c>
      <c r="AM79" s="1039" t="s">
        <v>2486</v>
      </c>
      <c r="AN79" s="1043" t="s">
        <v>2489</v>
      </c>
      <c r="AO79" s="1006" t="s">
        <v>2490</v>
      </c>
      <c r="AP79" s="1014"/>
      <c r="AQ79" s="1209">
        <v>1</v>
      </c>
      <c r="AR79" s="389" t="s">
        <v>2434</v>
      </c>
      <c r="AS79" s="408" t="s">
        <v>3862</v>
      </c>
      <c r="AT79" s="379" t="str">
        <f t="shared" si="19"/>
        <v>Terminado</v>
      </c>
      <c r="AU79" s="379" t="str">
        <f t="shared" si="20"/>
        <v>Terminado</v>
      </c>
      <c r="AV79" s="1109"/>
      <c r="AW79" s="998"/>
      <c r="AX79" s="999"/>
      <c r="AY79" s="1027"/>
      <c r="AZ79" s="1027"/>
      <c r="BA79" s="390"/>
      <c r="BB79" s="1109"/>
      <c r="BC79" s="1033"/>
      <c r="BD79" s="1033"/>
      <c r="BE79" s="1033"/>
      <c r="BF79" s="1033"/>
      <c r="BG79" s="1033"/>
      <c r="BH79" s="1033"/>
      <c r="BI79" s="1039" t="s">
        <v>2485</v>
      </c>
      <c r="BJ79" s="1043"/>
      <c r="BK79" s="1006" t="s">
        <v>2490</v>
      </c>
      <c r="BL79" s="1006"/>
      <c r="BM79" s="506">
        <v>1</v>
      </c>
      <c r="BN79" s="390" t="s">
        <v>2434</v>
      </c>
      <c r="BO79" s="1016"/>
      <c r="BP79" s="379" t="str">
        <f t="shared" si="43"/>
        <v>Terminado</v>
      </c>
      <c r="BQ79" s="379" t="str">
        <f t="shared" si="44"/>
        <v>Terminado</v>
      </c>
      <c r="BR79" s="1006"/>
      <c r="BS79" s="996"/>
      <c r="BT79" s="997"/>
      <c r="BU79" s="1027"/>
      <c r="BV79" s="1027"/>
      <c r="BW79" s="1006"/>
      <c r="BX79" s="1006"/>
      <c r="BY79" s="1107"/>
      <c r="BZ79" s="1014"/>
      <c r="CA79" s="1006"/>
      <c r="CB79" s="1014"/>
      <c r="CC79" s="1056"/>
      <c r="CD79" s="1056"/>
      <c r="CE79" s="1006"/>
      <c r="CF79" s="1006"/>
      <c r="CG79" s="1006"/>
      <c r="CH79" s="1006"/>
    </row>
    <row r="80" spans="2:86" ht="171.95" customHeight="1" x14ac:dyDescent="0.25">
      <c r="B80" s="1186"/>
      <c r="C80" s="1030"/>
      <c r="D80" s="384" t="s">
        <v>57</v>
      </c>
      <c r="E80" s="1024"/>
      <c r="F80" s="384" t="s">
        <v>28</v>
      </c>
      <c r="G80" s="384" t="s">
        <v>28</v>
      </c>
      <c r="H80" s="384" t="s">
        <v>326</v>
      </c>
      <c r="I80" s="384" t="s">
        <v>30</v>
      </c>
      <c r="J80" s="1025"/>
      <c r="K80" s="385" t="s">
        <v>187</v>
      </c>
      <c r="L80" s="386" t="s">
        <v>1851</v>
      </c>
      <c r="M80" s="387" t="s">
        <v>1852</v>
      </c>
      <c r="N80" s="384">
        <v>0.2</v>
      </c>
      <c r="O80" s="388">
        <v>44236</v>
      </c>
      <c r="P80" s="388">
        <v>44242</v>
      </c>
      <c r="Q80" s="384">
        <v>1</v>
      </c>
      <c r="R80" s="384">
        <v>1</v>
      </c>
      <c r="S80" s="382">
        <v>1</v>
      </c>
      <c r="T80" s="384">
        <v>1</v>
      </c>
      <c r="U80" s="377">
        <v>1</v>
      </c>
      <c r="V80" s="389" t="s">
        <v>1853</v>
      </c>
      <c r="W80" s="389" t="s">
        <v>3991</v>
      </c>
      <c r="X80" s="379" t="str">
        <f t="shared" si="17"/>
        <v>Terminado</v>
      </c>
      <c r="Y80" s="379" t="str">
        <f t="shared" si="18"/>
        <v>Terminado</v>
      </c>
      <c r="Z80" s="1006"/>
      <c r="AA80" s="1026"/>
      <c r="AB80" s="1004"/>
      <c r="AC80" s="1027"/>
      <c r="AD80" s="1027"/>
      <c r="AE80" s="390"/>
      <c r="AF80" s="1014"/>
      <c r="AG80" s="1014"/>
      <c r="AH80" s="1014"/>
      <c r="AI80" s="1014"/>
      <c r="AJ80" s="1014"/>
      <c r="AK80" s="1014"/>
      <c r="AL80" s="1039" t="s">
        <v>2485</v>
      </c>
      <c r="AM80" s="1039" t="s">
        <v>2486</v>
      </c>
      <c r="AN80" s="1043" t="s">
        <v>2489</v>
      </c>
      <c r="AO80" s="1006" t="s">
        <v>2490</v>
      </c>
      <c r="AP80" s="1014"/>
      <c r="AQ80" s="1209">
        <v>1</v>
      </c>
      <c r="AR80" s="389" t="s">
        <v>2434</v>
      </c>
      <c r="AS80" s="408" t="s">
        <v>3862</v>
      </c>
      <c r="AT80" s="379" t="str">
        <f t="shared" si="19"/>
        <v>Terminado</v>
      </c>
      <c r="AU80" s="379" t="str">
        <f t="shared" si="20"/>
        <v>Terminado</v>
      </c>
      <c r="AV80" s="1109"/>
      <c r="AW80" s="998"/>
      <c r="AX80" s="999"/>
      <c r="AY80" s="1027"/>
      <c r="AZ80" s="1027"/>
      <c r="BA80" s="390"/>
      <c r="BB80" s="1109"/>
      <c r="BC80" s="1033"/>
      <c r="BD80" s="1033"/>
      <c r="BE80" s="1033"/>
      <c r="BF80" s="1033"/>
      <c r="BG80" s="1033"/>
      <c r="BH80" s="1033"/>
      <c r="BI80" s="1039" t="s">
        <v>2485</v>
      </c>
      <c r="BJ80" s="1043"/>
      <c r="BK80" s="1006" t="s">
        <v>2490</v>
      </c>
      <c r="BL80" s="1006"/>
      <c r="BM80" s="506">
        <v>1</v>
      </c>
      <c r="BN80" s="390" t="s">
        <v>2434</v>
      </c>
      <c r="BO80" s="1016"/>
      <c r="BP80" s="379" t="str">
        <f t="shared" si="43"/>
        <v>Terminado</v>
      </c>
      <c r="BQ80" s="379" t="str">
        <f t="shared" si="44"/>
        <v>Terminado</v>
      </c>
      <c r="BR80" s="1006"/>
      <c r="BS80" s="996"/>
      <c r="BT80" s="997"/>
      <c r="BU80" s="1027"/>
      <c r="BV80" s="1027"/>
      <c r="BW80" s="1006"/>
      <c r="BX80" s="1006"/>
      <c r="BY80" s="1107"/>
      <c r="BZ80" s="1014"/>
      <c r="CA80" s="1006"/>
      <c r="CB80" s="1014"/>
      <c r="CC80" s="1056"/>
      <c r="CD80" s="1056"/>
      <c r="CE80" s="1006"/>
      <c r="CF80" s="1006"/>
      <c r="CG80" s="1006"/>
      <c r="CH80" s="1006"/>
    </row>
    <row r="81" spans="2:86" ht="171.95" customHeight="1" x14ac:dyDescent="0.25">
      <c r="B81" s="1186"/>
      <c r="C81" s="1000" t="s">
        <v>1854</v>
      </c>
      <c r="D81" s="448" t="s">
        <v>57</v>
      </c>
      <c r="E81" s="1001" t="s">
        <v>1206</v>
      </c>
      <c r="F81" s="448" t="s">
        <v>28</v>
      </c>
      <c r="G81" s="448" t="s">
        <v>28</v>
      </c>
      <c r="H81" s="448" t="s">
        <v>326</v>
      </c>
      <c r="I81" s="448" t="s">
        <v>30</v>
      </c>
      <c r="J81" s="1032" t="s">
        <v>2389</v>
      </c>
      <c r="K81" s="449" t="s">
        <v>187</v>
      </c>
      <c r="L81" s="450" t="s">
        <v>1855</v>
      </c>
      <c r="M81" s="451" t="s">
        <v>1856</v>
      </c>
      <c r="N81" s="448">
        <v>0.2</v>
      </c>
      <c r="O81" s="452">
        <v>44287</v>
      </c>
      <c r="P81" s="452">
        <v>44377</v>
      </c>
      <c r="Q81" s="448">
        <v>0</v>
      </c>
      <c r="R81" s="448">
        <v>1</v>
      </c>
      <c r="S81" s="453">
        <v>1</v>
      </c>
      <c r="T81" s="448">
        <v>1</v>
      </c>
      <c r="U81" s="377">
        <v>0</v>
      </c>
      <c r="V81" s="454" t="s">
        <v>2355</v>
      </c>
      <c r="W81" s="454"/>
      <c r="X81" s="455" t="str">
        <f t="shared" si="17"/>
        <v>Sin iniciar</v>
      </c>
      <c r="Y81" s="455" t="str">
        <f t="shared" si="18"/>
        <v>Sin iniciar</v>
      </c>
      <c r="Z81" s="990"/>
      <c r="AA81" s="1026">
        <f>SUMPRODUCT(N81:N83,U81:U83)</f>
        <v>0</v>
      </c>
      <c r="AB81" s="1004">
        <f>SUMPRODUCT(N81:N83,Q81:Q83)</f>
        <v>0</v>
      </c>
      <c r="AC81" s="1037" t="str">
        <f>IF(AB81&lt;1%,"Sin iniciar",IF(AB81=100%,"Terminado","En gestión"))</f>
        <v>Sin iniciar</v>
      </c>
      <c r="AD81" s="1037" t="str">
        <f>IF(AA81&lt;1%,"Sin iniciar",IF(AA81=100%,"Terminado","En gestión"))</f>
        <v>Sin iniciar</v>
      </c>
      <c r="AE81" s="456"/>
      <c r="AF81" s="992">
        <v>9475666.8000000007</v>
      </c>
      <c r="AG81" s="992">
        <v>0</v>
      </c>
      <c r="AH81" s="992">
        <v>0</v>
      </c>
      <c r="AI81" s="992">
        <v>72141200</v>
      </c>
      <c r="AJ81" s="992">
        <v>0</v>
      </c>
      <c r="AK81" s="992">
        <v>0</v>
      </c>
      <c r="AL81" s="993" t="s">
        <v>2485</v>
      </c>
      <c r="AM81" s="993" t="s">
        <v>2486</v>
      </c>
      <c r="AN81" s="994" t="s">
        <v>2489</v>
      </c>
      <c r="AO81" s="990" t="s">
        <v>2490</v>
      </c>
      <c r="AP81" s="992">
        <f>+AI81</f>
        <v>72141200</v>
      </c>
      <c r="AQ81" s="1209">
        <v>1</v>
      </c>
      <c r="AR81" s="454" t="s">
        <v>2434</v>
      </c>
      <c r="AS81" s="454" t="s">
        <v>3992</v>
      </c>
      <c r="AT81" s="455" t="str">
        <f t="shared" si="19"/>
        <v>Terminado</v>
      </c>
      <c r="AU81" s="455" t="str">
        <f t="shared" si="20"/>
        <v>Terminado</v>
      </c>
      <c r="AV81" s="990" t="s">
        <v>2390</v>
      </c>
      <c r="AW81" s="998">
        <f>SUMPRODUCT(N81:N83,AQ81:AQ83)</f>
        <v>0.67999999999999994</v>
      </c>
      <c r="AX81" s="999">
        <f>SUMPRODUCT(N81:N83,R81:R83)</f>
        <v>0.67999999999999994</v>
      </c>
      <c r="AY81" s="1037" t="str">
        <f>IF(AX81&lt;1%,"Sin iniciar",IF(AX81=100%,"Terminado","En gestión"))</f>
        <v>En gestión</v>
      </c>
      <c r="AZ81" s="1037" t="str">
        <f>IF(AW81&lt;1%,"Sin iniciar",IF(AW81=100%,"Terminado","En gestión"))</f>
        <v>En gestión</v>
      </c>
      <c r="BA81" s="456"/>
      <c r="BB81" s="990"/>
      <c r="BC81" s="1035">
        <v>9475666.8000000007</v>
      </c>
      <c r="BD81" s="1035">
        <v>30124126.480969697</v>
      </c>
      <c r="BE81" s="1035">
        <v>10526051.068965517</v>
      </c>
      <c r="BF81" s="1035">
        <v>72141200</v>
      </c>
      <c r="BG81" s="1035">
        <v>37661835</v>
      </c>
      <c r="BH81" s="1035">
        <v>12730800</v>
      </c>
      <c r="BI81" s="993" t="s">
        <v>2485</v>
      </c>
      <c r="BJ81" s="993" t="s">
        <v>2489</v>
      </c>
      <c r="BK81" s="990" t="s">
        <v>2490</v>
      </c>
      <c r="BL81" s="990" t="s">
        <v>2665</v>
      </c>
      <c r="BM81" s="506">
        <v>1</v>
      </c>
      <c r="BN81" s="456" t="s">
        <v>2875</v>
      </c>
      <c r="BO81" s="456" t="s">
        <v>37</v>
      </c>
      <c r="BP81" s="455" t="str">
        <f t="shared" si="43"/>
        <v>Terminado</v>
      </c>
      <c r="BQ81" s="455" t="str">
        <f t="shared" si="44"/>
        <v>Terminado</v>
      </c>
      <c r="BR81" s="454"/>
      <c r="BS81" s="996">
        <f>SUMPRODUCT(N81:N83,BM81:BM83)</f>
        <v>1</v>
      </c>
      <c r="BT81" s="997">
        <f>SUMPRODUCT(N81:N83,S81:S83)</f>
        <v>1</v>
      </c>
      <c r="BU81" s="1037" t="str">
        <f>IF(BT81&lt;1%,"Sin iniciar",IF(BT81=100%,"Terminado","En gestión"))</f>
        <v>Terminado</v>
      </c>
      <c r="BV81" s="1037" t="str">
        <f>IF(BS81&lt;1%,"Sin iniciar",IF(BS81=100%,"Terminado","En gestión"))</f>
        <v>Terminado</v>
      </c>
      <c r="BW81" s="990" t="s">
        <v>28</v>
      </c>
      <c r="BX81" s="990" t="s">
        <v>3965</v>
      </c>
      <c r="BY81" s="1106">
        <v>9475666.8000000007</v>
      </c>
      <c r="BZ81" s="992">
        <v>30124126.480969697</v>
      </c>
      <c r="CA81" s="1013">
        <f>BZ81*BS81</f>
        <v>30124126.480969697</v>
      </c>
      <c r="CB81" s="992">
        <v>72141200</v>
      </c>
      <c r="CC81" s="1061">
        <v>60400780.833333299</v>
      </c>
      <c r="CD81" s="1061">
        <v>35056993.3716667</v>
      </c>
      <c r="CE81" s="990" t="s">
        <v>3966</v>
      </c>
      <c r="CF81" s="990" t="s">
        <v>3577</v>
      </c>
      <c r="CG81" s="990" t="s">
        <v>3578</v>
      </c>
      <c r="CH81" s="990" t="s">
        <v>2665</v>
      </c>
    </row>
    <row r="82" spans="2:86" ht="171.95" customHeight="1" x14ac:dyDescent="0.25">
      <c r="B82" s="1186"/>
      <c r="C82" s="1000"/>
      <c r="D82" s="448" t="s">
        <v>57</v>
      </c>
      <c r="E82" s="1001"/>
      <c r="F82" s="448" t="s">
        <v>28</v>
      </c>
      <c r="G82" s="448" t="s">
        <v>28</v>
      </c>
      <c r="H82" s="448" t="s">
        <v>326</v>
      </c>
      <c r="I82" s="448" t="s">
        <v>30</v>
      </c>
      <c r="J82" s="1032"/>
      <c r="K82" s="449" t="s">
        <v>187</v>
      </c>
      <c r="L82" s="450" t="s">
        <v>1857</v>
      </c>
      <c r="M82" s="451" t="s">
        <v>1858</v>
      </c>
      <c r="N82" s="448">
        <v>0.6</v>
      </c>
      <c r="O82" s="452">
        <v>44316</v>
      </c>
      <c r="P82" s="452">
        <v>44407</v>
      </c>
      <c r="Q82" s="448">
        <v>0</v>
      </c>
      <c r="R82" s="448">
        <v>0.8</v>
      </c>
      <c r="S82" s="453">
        <v>1</v>
      </c>
      <c r="T82" s="448">
        <v>1</v>
      </c>
      <c r="U82" s="377">
        <v>0</v>
      </c>
      <c r="V82" s="454" t="s">
        <v>2355</v>
      </c>
      <c r="W82" s="454"/>
      <c r="X82" s="455" t="str">
        <f t="shared" si="17"/>
        <v>Sin iniciar</v>
      </c>
      <c r="Y82" s="455" t="str">
        <f t="shared" si="18"/>
        <v>Sin iniciar</v>
      </c>
      <c r="Z82" s="990"/>
      <c r="AA82" s="1026"/>
      <c r="AB82" s="1004"/>
      <c r="AC82" s="1037"/>
      <c r="AD82" s="1037"/>
      <c r="AE82" s="456"/>
      <c r="AF82" s="992"/>
      <c r="AG82" s="992"/>
      <c r="AH82" s="992"/>
      <c r="AI82" s="992"/>
      <c r="AJ82" s="992"/>
      <c r="AK82" s="992"/>
      <c r="AL82" s="993" t="s">
        <v>2485</v>
      </c>
      <c r="AM82" s="993" t="s">
        <v>2486</v>
      </c>
      <c r="AN82" s="994" t="s">
        <v>2489</v>
      </c>
      <c r="AO82" s="990" t="s">
        <v>2490</v>
      </c>
      <c r="AP82" s="992"/>
      <c r="AQ82" s="1209">
        <v>0.8</v>
      </c>
      <c r="AR82" s="454" t="s">
        <v>2013</v>
      </c>
      <c r="AS82" s="454" t="s">
        <v>3993</v>
      </c>
      <c r="AT82" s="455" t="str">
        <f t="shared" si="19"/>
        <v>En gestión</v>
      </c>
      <c r="AU82" s="455" t="str">
        <f t="shared" si="20"/>
        <v>En gestión</v>
      </c>
      <c r="AV82" s="990"/>
      <c r="AW82" s="998"/>
      <c r="AX82" s="999"/>
      <c r="AY82" s="1037"/>
      <c r="AZ82" s="1037"/>
      <c r="BA82" s="456"/>
      <c r="BB82" s="990"/>
      <c r="BC82" s="1035"/>
      <c r="BD82" s="1035"/>
      <c r="BE82" s="1035"/>
      <c r="BF82" s="1035"/>
      <c r="BG82" s="1035"/>
      <c r="BH82" s="1035"/>
      <c r="BI82" s="993" t="s">
        <v>2485</v>
      </c>
      <c r="BJ82" s="993" t="s">
        <v>2489</v>
      </c>
      <c r="BK82" s="990" t="s">
        <v>2490</v>
      </c>
      <c r="BL82" s="990"/>
      <c r="BM82" s="506">
        <v>1</v>
      </c>
      <c r="BN82" s="454" t="s">
        <v>3994</v>
      </c>
      <c r="BO82" s="454" t="s">
        <v>3995</v>
      </c>
      <c r="BP82" s="455" t="str">
        <f t="shared" si="43"/>
        <v>Terminado</v>
      </c>
      <c r="BQ82" s="455" t="str">
        <f t="shared" si="44"/>
        <v>Terminado</v>
      </c>
      <c r="BR82" s="454" t="s">
        <v>3996</v>
      </c>
      <c r="BS82" s="996"/>
      <c r="BT82" s="997"/>
      <c r="BU82" s="1037"/>
      <c r="BV82" s="1037"/>
      <c r="BW82" s="990"/>
      <c r="BX82" s="990"/>
      <c r="BY82" s="1106"/>
      <c r="BZ82" s="992"/>
      <c r="CA82" s="990"/>
      <c r="CB82" s="992"/>
      <c r="CC82" s="1061"/>
      <c r="CD82" s="1061"/>
      <c r="CE82" s="990"/>
      <c r="CF82" s="990"/>
      <c r="CG82" s="990"/>
      <c r="CH82" s="990"/>
    </row>
    <row r="83" spans="2:86" ht="171.95" customHeight="1" x14ac:dyDescent="0.25">
      <c r="B83" s="1186"/>
      <c r="C83" s="1000"/>
      <c r="D83" s="448" t="s">
        <v>57</v>
      </c>
      <c r="E83" s="1001"/>
      <c r="F83" s="448" t="s">
        <v>28</v>
      </c>
      <c r="G83" s="448" t="s">
        <v>28</v>
      </c>
      <c r="H83" s="448" t="s">
        <v>326</v>
      </c>
      <c r="I83" s="448" t="s">
        <v>30</v>
      </c>
      <c r="J83" s="1032"/>
      <c r="K83" s="449" t="s">
        <v>187</v>
      </c>
      <c r="L83" s="450" t="s">
        <v>1859</v>
      </c>
      <c r="M83" s="451" t="s">
        <v>1860</v>
      </c>
      <c r="N83" s="448">
        <v>0.2</v>
      </c>
      <c r="O83" s="452">
        <v>44410</v>
      </c>
      <c r="P83" s="452">
        <v>44435</v>
      </c>
      <c r="Q83" s="448">
        <v>0</v>
      </c>
      <c r="R83" s="448">
        <v>0</v>
      </c>
      <c r="S83" s="453">
        <v>1</v>
      </c>
      <c r="T83" s="448">
        <v>1</v>
      </c>
      <c r="U83" s="377">
        <v>0</v>
      </c>
      <c r="V83" s="454" t="s">
        <v>2355</v>
      </c>
      <c r="W83" s="454"/>
      <c r="X83" s="455" t="str">
        <f t="shared" si="17"/>
        <v>Sin iniciar</v>
      </c>
      <c r="Y83" s="455" t="str">
        <f t="shared" si="18"/>
        <v>Sin iniciar</v>
      </c>
      <c r="Z83" s="990"/>
      <c r="AA83" s="1026"/>
      <c r="AB83" s="1004"/>
      <c r="AC83" s="1037"/>
      <c r="AD83" s="1037"/>
      <c r="AE83" s="456"/>
      <c r="AF83" s="992"/>
      <c r="AG83" s="992"/>
      <c r="AH83" s="992"/>
      <c r="AI83" s="992"/>
      <c r="AJ83" s="992"/>
      <c r="AK83" s="992"/>
      <c r="AL83" s="993" t="s">
        <v>2485</v>
      </c>
      <c r="AM83" s="993" t="s">
        <v>2486</v>
      </c>
      <c r="AN83" s="994" t="s">
        <v>2489</v>
      </c>
      <c r="AO83" s="990" t="s">
        <v>2490</v>
      </c>
      <c r="AP83" s="992"/>
      <c r="AQ83" s="1209">
        <v>0</v>
      </c>
      <c r="AR83" s="454" t="s">
        <v>2437</v>
      </c>
      <c r="AS83" s="454"/>
      <c r="AT83" s="455" t="str">
        <f t="shared" si="19"/>
        <v>Sin iniciar</v>
      </c>
      <c r="AU83" s="455" t="str">
        <f t="shared" si="20"/>
        <v>Sin iniciar</v>
      </c>
      <c r="AV83" s="990"/>
      <c r="AW83" s="998"/>
      <c r="AX83" s="999"/>
      <c r="AY83" s="1037"/>
      <c r="AZ83" s="1037"/>
      <c r="BA83" s="456"/>
      <c r="BB83" s="990"/>
      <c r="BC83" s="1035"/>
      <c r="BD83" s="1035"/>
      <c r="BE83" s="1035"/>
      <c r="BF83" s="1035"/>
      <c r="BG83" s="1035"/>
      <c r="BH83" s="1035"/>
      <c r="BI83" s="993" t="s">
        <v>2485</v>
      </c>
      <c r="BJ83" s="993" t="s">
        <v>2489</v>
      </c>
      <c r="BK83" s="990" t="s">
        <v>2490</v>
      </c>
      <c r="BL83" s="990"/>
      <c r="BM83" s="506">
        <v>1</v>
      </c>
      <c r="BN83" s="454" t="s">
        <v>3997</v>
      </c>
      <c r="BO83" s="454" t="s">
        <v>3998</v>
      </c>
      <c r="BP83" s="455" t="str">
        <f t="shared" si="43"/>
        <v>Terminado</v>
      </c>
      <c r="BQ83" s="455" t="str">
        <f t="shared" si="44"/>
        <v>Terminado</v>
      </c>
      <c r="BR83" s="454" t="s">
        <v>3999</v>
      </c>
      <c r="BS83" s="996"/>
      <c r="BT83" s="997"/>
      <c r="BU83" s="1037"/>
      <c r="BV83" s="1037"/>
      <c r="BW83" s="990"/>
      <c r="BX83" s="990"/>
      <c r="BY83" s="1106"/>
      <c r="BZ83" s="992"/>
      <c r="CA83" s="990"/>
      <c r="CB83" s="992"/>
      <c r="CC83" s="1061"/>
      <c r="CD83" s="1061"/>
      <c r="CE83" s="990"/>
      <c r="CF83" s="990"/>
      <c r="CG83" s="990"/>
      <c r="CH83" s="990"/>
    </row>
    <row r="84" spans="2:86" ht="171.95" customHeight="1" x14ac:dyDescent="0.25">
      <c r="B84" s="1186"/>
      <c r="C84" s="1030" t="s">
        <v>1861</v>
      </c>
      <c r="D84" s="384" t="s">
        <v>57</v>
      </c>
      <c r="E84" s="1024" t="s">
        <v>1206</v>
      </c>
      <c r="F84" s="384" t="s">
        <v>28</v>
      </c>
      <c r="G84" s="384" t="s">
        <v>28</v>
      </c>
      <c r="H84" s="384" t="s">
        <v>326</v>
      </c>
      <c r="I84" s="384" t="s">
        <v>30</v>
      </c>
      <c r="J84" s="1025" t="s">
        <v>1862</v>
      </c>
      <c r="K84" s="385" t="s">
        <v>187</v>
      </c>
      <c r="L84" s="386" t="s">
        <v>1863</v>
      </c>
      <c r="M84" s="387" t="s">
        <v>1864</v>
      </c>
      <c r="N84" s="384">
        <v>0.2</v>
      </c>
      <c r="O84" s="388">
        <v>44378</v>
      </c>
      <c r="P84" s="388">
        <v>44498</v>
      </c>
      <c r="Q84" s="384">
        <v>0</v>
      </c>
      <c r="R84" s="384">
        <v>0</v>
      </c>
      <c r="S84" s="382">
        <v>0.8</v>
      </c>
      <c r="T84" s="384">
        <v>1</v>
      </c>
      <c r="U84" s="377">
        <v>0</v>
      </c>
      <c r="V84" s="389" t="s">
        <v>2355</v>
      </c>
      <c r="W84" s="389"/>
      <c r="X84" s="379" t="str">
        <f t="shared" si="17"/>
        <v>Sin iniciar</v>
      </c>
      <c r="Y84" s="379" t="str">
        <f t="shared" si="18"/>
        <v>Sin iniciar</v>
      </c>
      <c r="Z84" s="1006"/>
      <c r="AA84" s="1026">
        <f>SUMPRODUCT(N84:N86,U84:U86)</f>
        <v>0</v>
      </c>
      <c r="AB84" s="1004">
        <f>SUMPRODUCT(N84:N86,Q84:Q86)</f>
        <v>0</v>
      </c>
      <c r="AC84" s="1027" t="str">
        <f>IF(AB84&lt;1%,"Sin iniciar",IF(AB84=100%,"Terminado","En gestión"))</f>
        <v>Sin iniciar</v>
      </c>
      <c r="AD84" s="1027" t="str">
        <f>IF(AA84&lt;1%,"Sin iniciar",IF(AA84=100%,"Terminado","En gestión"))</f>
        <v>Sin iniciar</v>
      </c>
      <c r="AE84" s="390"/>
      <c r="AF84" s="1014">
        <v>12635750.16</v>
      </c>
      <c r="AG84" s="1014">
        <v>0</v>
      </c>
      <c r="AH84" s="1014">
        <v>0</v>
      </c>
      <c r="AI84" s="1014">
        <v>42436000</v>
      </c>
      <c r="AJ84" s="1014">
        <v>0</v>
      </c>
      <c r="AK84" s="1014">
        <v>0</v>
      </c>
      <c r="AL84" s="1039" t="s">
        <v>2485</v>
      </c>
      <c r="AM84" s="1039" t="s">
        <v>2486</v>
      </c>
      <c r="AN84" s="1043" t="s">
        <v>2489</v>
      </c>
      <c r="AO84" s="1006" t="s">
        <v>2490</v>
      </c>
      <c r="AP84" s="1014">
        <f>+AI84</f>
        <v>42436000</v>
      </c>
      <c r="AQ84" s="1209">
        <v>0</v>
      </c>
      <c r="AR84" s="389" t="s">
        <v>2437</v>
      </c>
      <c r="AS84" s="389"/>
      <c r="AT84" s="379" t="str">
        <f t="shared" si="19"/>
        <v>Sin iniciar</v>
      </c>
      <c r="AU84" s="379" t="str">
        <f t="shared" si="20"/>
        <v>Sin iniciar</v>
      </c>
      <c r="AV84" s="1006" t="s">
        <v>2437</v>
      </c>
      <c r="AW84" s="998">
        <f>SUMPRODUCT(N84:N86,AQ84:AQ86)</f>
        <v>0</v>
      </c>
      <c r="AX84" s="999">
        <f>SUMPRODUCT(N84:N86,R84:R86)</f>
        <v>0</v>
      </c>
      <c r="AY84" s="1027" t="str">
        <f>IF(AX84&lt;1%,"Sin iniciar",IF(AX84=100%,"Terminado","En gestión"))</f>
        <v>Sin iniciar</v>
      </c>
      <c r="AZ84" s="1027" t="str">
        <f>IF(AW84&lt;1%,"Sin iniciar",IF(AW84=100%,"Terminado","En gestión"))</f>
        <v>Sin iniciar</v>
      </c>
      <c r="BA84" s="390"/>
      <c r="BB84" s="1006"/>
      <c r="BC84" s="1033">
        <v>12635750.16</v>
      </c>
      <c r="BD84" s="1033">
        <v>30124126.480969697</v>
      </c>
      <c r="BE84" s="1033">
        <v>0</v>
      </c>
      <c r="BF84" s="1033">
        <v>42436000</v>
      </c>
      <c r="BG84" s="1033">
        <v>0</v>
      </c>
      <c r="BH84" s="1033">
        <v>0</v>
      </c>
      <c r="BI84" s="1039" t="s">
        <v>2485</v>
      </c>
      <c r="BJ84" s="1039" t="s">
        <v>2489</v>
      </c>
      <c r="BK84" s="1006" t="s">
        <v>2490</v>
      </c>
      <c r="BL84" s="1006" t="s">
        <v>2665</v>
      </c>
      <c r="BM84" s="506">
        <v>1</v>
      </c>
      <c r="BN84" s="389" t="s">
        <v>4000</v>
      </c>
      <c r="BO84" s="389" t="s">
        <v>4001</v>
      </c>
      <c r="BP84" s="379" t="str">
        <f t="shared" si="43"/>
        <v>En gestión</v>
      </c>
      <c r="BQ84" s="379" t="str">
        <f t="shared" si="44"/>
        <v>Terminado</v>
      </c>
      <c r="BR84" s="1006" t="s">
        <v>5189</v>
      </c>
      <c r="BS84" s="996">
        <f>SUMPRODUCT(N84:N86,BM84:BM86)</f>
        <v>0.8</v>
      </c>
      <c r="BT84" s="997">
        <f>SUMPRODUCT(N84:N86,S84:S86)</f>
        <v>0.64</v>
      </c>
      <c r="BU84" s="1027" t="str">
        <f>IF(BT84&lt;1%,"Sin iniciar",IF(BT84=100%,"Terminado","En gestión"))</f>
        <v>En gestión</v>
      </c>
      <c r="BV84" s="1027" t="str">
        <f>IF(BS84&lt;1%,"Sin iniciar",IF(BS84=100%,"Terminado","En gestión"))</f>
        <v>En gestión</v>
      </c>
      <c r="BW84" s="1006" t="s">
        <v>28</v>
      </c>
      <c r="BX84" s="1006" t="s">
        <v>3965</v>
      </c>
      <c r="BY84" s="1107">
        <v>12635750.16</v>
      </c>
      <c r="BZ84" s="1014">
        <v>30124126.480969697</v>
      </c>
      <c r="CA84" s="1034">
        <f>BZ84*BS84</f>
        <v>24099301.184775759</v>
      </c>
      <c r="CB84" s="1014">
        <v>42436000</v>
      </c>
      <c r="CC84" s="1056">
        <v>60400780.833333299</v>
      </c>
      <c r="CD84" s="1056">
        <v>35056993.3716667</v>
      </c>
      <c r="CE84" s="1006" t="s">
        <v>3966</v>
      </c>
      <c r="CF84" s="1006" t="s">
        <v>3577</v>
      </c>
      <c r="CG84" s="1006" t="s">
        <v>3578</v>
      </c>
      <c r="CH84" s="1006" t="s">
        <v>2665</v>
      </c>
    </row>
    <row r="85" spans="2:86" ht="171.95" customHeight="1" x14ac:dyDescent="0.25">
      <c r="B85" s="1186"/>
      <c r="C85" s="1030"/>
      <c r="D85" s="384" t="s">
        <v>57</v>
      </c>
      <c r="E85" s="1024"/>
      <c r="F85" s="384" t="s">
        <v>28</v>
      </c>
      <c r="G85" s="384" t="s">
        <v>28</v>
      </c>
      <c r="H85" s="384" t="s">
        <v>326</v>
      </c>
      <c r="I85" s="384" t="s">
        <v>30</v>
      </c>
      <c r="J85" s="1025"/>
      <c r="K85" s="385" t="s">
        <v>187</v>
      </c>
      <c r="L85" s="386" t="s">
        <v>1865</v>
      </c>
      <c r="M85" s="387" t="s">
        <v>1866</v>
      </c>
      <c r="N85" s="384">
        <v>0.6</v>
      </c>
      <c r="O85" s="388">
        <v>44392</v>
      </c>
      <c r="P85" s="388">
        <v>44498</v>
      </c>
      <c r="Q85" s="384">
        <v>0</v>
      </c>
      <c r="R85" s="384">
        <v>0</v>
      </c>
      <c r="S85" s="382">
        <v>0.8</v>
      </c>
      <c r="T85" s="384">
        <v>1</v>
      </c>
      <c r="U85" s="377">
        <v>0</v>
      </c>
      <c r="V85" s="389" t="s">
        <v>2355</v>
      </c>
      <c r="W85" s="389"/>
      <c r="X85" s="379" t="str">
        <f t="shared" si="17"/>
        <v>Sin iniciar</v>
      </c>
      <c r="Y85" s="379" t="str">
        <f t="shared" si="18"/>
        <v>Sin iniciar</v>
      </c>
      <c r="Z85" s="1006"/>
      <c r="AA85" s="1026"/>
      <c r="AB85" s="1004"/>
      <c r="AC85" s="1027"/>
      <c r="AD85" s="1027"/>
      <c r="AE85" s="390"/>
      <c r="AF85" s="1014"/>
      <c r="AG85" s="1014"/>
      <c r="AH85" s="1014"/>
      <c r="AI85" s="1014"/>
      <c r="AJ85" s="1014"/>
      <c r="AK85" s="1014"/>
      <c r="AL85" s="1039" t="s">
        <v>2485</v>
      </c>
      <c r="AM85" s="1039" t="s">
        <v>2486</v>
      </c>
      <c r="AN85" s="1043" t="s">
        <v>2489</v>
      </c>
      <c r="AO85" s="1006" t="s">
        <v>2490</v>
      </c>
      <c r="AP85" s="1014"/>
      <c r="AQ85" s="1209">
        <v>0</v>
      </c>
      <c r="AR85" s="389" t="s">
        <v>2437</v>
      </c>
      <c r="AS85" s="389"/>
      <c r="AT85" s="379" t="str">
        <f t="shared" si="19"/>
        <v>Sin iniciar</v>
      </c>
      <c r="AU85" s="379" t="str">
        <f t="shared" si="20"/>
        <v>Sin iniciar</v>
      </c>
      <c r="AV85" s="1006"/>
      <c r="AW85" s="998"/>
      <c r="AX85" s="999"/>
      <c r="AY85" s="1027"/>
      <c r="AZ85" s="1027"/>
      <c r="BA85" s="390"/>
      <c r="BB85" s="1006"/>
      <c r="BC85" s="1033"/>
      <c r="BD85" s="1033"/>
      <c r="BE85" s="1033"/>
      <c r="BF85" s="1033"/>
      <c r="BG85" s="1033"/>
      <c r="BH85" s="1033"/>
      <c r="BI85" s="1039" t="s">
        <v>2485</v>
      </c>
      <c r="BJ85" s="1039" t="s">
        <v>2489</v>
      </c>
      <c r="BK85" s="1006" t="s">
        <v>2490</v>
      </c>
      <c r="BL85" s="1006"/>
      <c r="BM85" s="506">
        <v>1</v>
      </c>
      <c r="BN85" s="389" t="s">
        <v>4002</v>
      </c>
      <c r="BO85" s="389" t="s">
        <v>4003</v>
      </c>
      <c r="BP85" s="379" t="str">
        <f t="shared" si="43"/>
        <v>En gestión</v>
      </c>
      <c r="BQ85" s="379" t="str">
        <f t="shared" si="44"/>
        <v>Terminado</v>
      </c>
      <c r="BR85" s="1006"/>
      <c r="BS85" s="996"/>
      <c r="BT85" s="997"/>
      <c r="BU85" s="1027"/>
      <c r="BV85" s="1027"/>
      <c r="BW85" s="1006"/>
      <c r="BX85" s="1006"/>
      <c r="BY85" s="1107"/>
      <c r="BZ85" s="1014"/>
      <c r="CA85" s="1006"/>
      <c r="CB85" s="1014"/>
      <c r="CC85" s="1056"/>
      <c r="CD85" s="1056"/>
      <c r="CE85" s="1006"/>
      <c r="CF85" s="1006"/>
      <c r="CG85" s="1006"/>
      <c r="CH85" s="1006"/>
    </row>
    <row r="86" spans="2:86" ht="171.95" customHeight="1" x14ac:dyDescent="0.25">
      <c r="B86" s="1186"/>
      <c r="C86" s="1030"/>
      <c r="D86" s="384" t="s">
        <v>57</v>
      </c>
      <c r="E86" s="1024"/>
      <c r="F86" s="384" t="s">
        <v>28</v>
      </c>
      <c r="G86" s="384" t="s">
        <v>28</v>
      </c>
      <c r="H86" s="384" t="s">
        <v>326</v>
      </c>
      <c r="I86" s="384" t="s">
        <v>30</v>
      </c>
      <c r="J86" s="1025"/>
      <c r="K86" s="385" t="s">
        <v>187</v>
      </c>
      <c r="L86" s="386" t="s">
        <v>1867</v>
      </c>
      <c r="M86" s="387" t="s">
        <v>1868</v>
      </c>
      <c r="N86" s="384">
        <v>0.2</v>
      </c>
      <c r="O86" s="388">
        <v>44508</v>
      </c>
      <c r="P86" s="388">
        <v>44530</v>
      </c>
      <c r="Q86" s="384">
        <v>0</v>
      </c>
      <c r="R86" s="384">
        <v>0</v>
      </c>
      <c r="S86" s="382">
        <v>0</v>
      </c>
      <c r="T86" s="384">
        <v>1</v>
      </c>
      <c r="U86" s="377">
        <v>0</v>
      </c>
      <c r="V86" s="389" t="s">
        <v>2355</v>
      </c>
      <c r="W86" s="389"/>
      <c r="X86" s="379" t="str">
        <f t="shared" si="17"/>
        <v>Sin iniciar</v>
      </c>
      <c r="Y86" s="379" t="str">
        <f t="shared" si="18"/>
        <v>Sin iniciar</v>
      </c>
      <c r="Z86" s="1006"/>
      <c r="AA86" s="1026"/>
      <c r="AB86" s="1004"/>
      <c r="AC86" s="1027"/>
      <c r="AD86" s="1027"/>
      <c r="AE86" s="390"/>
      <c r="AF86" s="1014"/>
      <c r="AG86" s="1014"/>
      <c r="AH86" s="1014"/>
      <c r="AI86" s="1014"/>
      <c r="AJ86" s="1014"/>
      <c r="AK86" s="1014"/>
      <c r="AL86" s="1039" t="s">
        <v>2485</v>
      </c>
      <c r="AM86" s="1039" t="s">
        <v>2486</v>
      </c>
      <c r="AN86" s="1043" t="s">
        <v>2489</v>
      </c>
      <c r="AO86" s="1006" t="s">
        <v>2490</v>
      </c>
      <c r="AP86" s="1014"/>
      <c r="AQ86" s="1209">
        <v>0</v>
      </c>
      <c r="AR86" s="389" t="s">
        <v>2437</v>
      </c>
      <c r="AS86" s="389"/>
      <c r="AT86" s="379" t="str">
        <f t="shared" si="19"/>
        <v>Sin iniciar</v>
      </c>
      <c r="AU86" s="379" t="str">
        <f t="shared" si="20"/>
        <v>Sin iniciar</v>
      </c>
      <c r="AV86" s="1006"/>
      <c r="AW86" s="998"/>
      <c r="AX86" s="999"/>
      <c r="AY86" s="1027"/>
      <c r="AZ86" s="1027"/>
      <c r="BA86" s="390"/>
      <c r="BB86" s="1006"/>
      <c r="BC86" s="1033"/>
      <c r="BD86" s="1033"/>
      <c r="BE86" s="1033"/>
      <c r="BF86" s="1033"/>
      <c r="BG86" s="1033"/>
      <c r="BH86" s="1033"/>
      <c r="BI86" s="1039" t="s">
        <v>2485</v>
      </c>
      <c r="BJ86" s="1039" t="s">
        <v>2489</v>
      </c>
      <c r="BK86" s="1006" t="s">
        <v>2490</v>
      </c>
      <c r="BL86" s="1006"/>
      <c r="BM86" s="506">
        <v>0</v>
      </c>
      <c r="BN86" s="390" t="s">
        <v>4004</v>
      </c>
      <c r="BO86" s="390" t="s">
        <v>28</v>
      </c>
      <c r="BP86" s="379" t="str">
        <f t="shared" si="43"/>
        <v>Sin iniciar</v>
      </c>
      <c r="BQ86" s="379" t="str">
        <f>IF(BM86&lt;1%,"Sin iniciar",IF(BM86=100%,"Terminado","En gestión"))</f>
        <v>Sin iniciar</v>
      </c>
      <c r="BR86" s="1006"/>
      <c r="BS86" s="996"/>
      <c r="BT86" s="997"/>
      <c r="BU86" s="1027"/>
      <c r="BV86" s="1027"/>
      <c r="BW86" s="1006"/>
      <c r="BX86" s="1006"/>
      <c r="BY86" s="1107"/>
      <c r="BZ86" s="1014"/>
      <c r="CA86" s="1006"/>
      <c r="CB86" s="1014"/>
      <c r="CC86" s="1056"/>
      <c r="CD86" s="1056"/>
      <c r="CE86" s="1006"/>
      <c r="CF86" s="1006"/>
      <c r="CG86" s="1006"/>
      <c r="CH86" s="1006"/>
    </row>
    <row r="87" spans="2:86" ht="171.95" customHeight="1" x14ac:dyDescent="0.25">
      <c r="B87" s="1186"/>
      <c r="C87" s="1000" t="s">
        <v>1869</v>
      </c>
      <c r="D87" s="448" t="s">
        <v>57</v>
      </c>
      <c r="E87" s="1001" t="s">
        <v>1828</v>
      </c>
      <c r="F87" s="448" t="s">
        <v>28</v>
      </c>
      <c r="G87" s="448" t="s">
        <v>28</v>
      </c>
      <c r="H87" s="448" t="s">
        <v>326</v>
      </c>
      <c r="I87" s="448" t="s">
        <v>194</v>
      </c>
      <c r="J87" s="1032" t="s">
        <v>1870</v>
      </c>
      <c r="K87" s="449" t="s">
        <v>187</v>
      </c>
      <c r="L87" s="450" t="s">
        <v>1871</v>
      </c>
      <c r="M87" s="451" t="s">
        <v>2391</v>
      </c>
      <c r="N87" s="448">
        <v>0.2</v>
      </c>
      <c r="O87" s="452">
        <v>44392</v>
      </c>
      <c r="P87" s="452">
        <v>44418</v>
      </c>
      <c r="Q87" s="448">
        <v>0</v>
      </c>
      <c r="R87" s="448">
        <v>0</v>
      </c>
      <c r="S87" s="453">
        <v>1</v>
      </c>
      <c r="T87" s="448">
        <v>1</v>
      </c>
      <c r="U87" s="377">
        <v>0</v>
      </c>
      <c r="V87" s="454" t="s">
        <v>2355</v>
      </c>
      <c r="W87" s="454"/>
      <c r="X87" s="455" t="str">
        <f t="shared" si="17"/>
        <v>Sin iniciar</v>
      </c>
      <c r="Y87" s="455" t="str">
        <f t="shared" si="18"/>
        <v>Sin iniciar</v>
      </c>
      <c r="Z87" s="990"/>
      <c r="AA87" s="1026">
        <f>SUMPRODUCT(N87:N89,U87:U89)</f>
        <v>0</v>
      </c>
      <c r="AB87" s="1004">
        <f>SUMPRODUCT(N87:N89,Q87:Q89)</f>
        <v>0</v>
      </c>
      <c r="AC87" s="1037" t="str">
        <f>IF(AB87&lt;1%,"Sin iniciar",IF(AB87=100%,"Terminado","En gestión"))</f>
        <v>Sin iniciar</v>
      </c>
      <c r="AD87" s="1037" t="str">
        <f>IF(AA87&lt;1%,"Sin iniciar",IF(AA87=100%,"Terminado","En gestión"))</f>
        <v>Sin iniciar</v>
      </c>
      <c r="AE87" s="456"/>
      <c r="AF87" s="992">
        <v>248222896.80000001</v>
      </c>
      <c r="AG87" s="992">
        <v>0</v>
      </c>
      <c r="AH87" s="992">
        <v>0</v>
      </c>
      <c r="AI87" s="992">
        <v>58719975</v>
      </c>
      <c r="AJ87" s="992">
        <v>0</v>
      </c>
      <c r="AK87" s="992">
        <v>0</v>
      </c>
      <c r="AL87" s="993" t="s">
        <v>2485</v>
      </c>
      <c r="AM87" s="993" t="s">
        <v>2486</v>
      </c>
      <c r="AN87" s="994" t="s">
        <v>2489</v>
      </c>
      <c r="AO87" s="990" t="s">
        <v>2490</v>
      </c>
      <c r="AP87" s="992">
        <f>+AI87</f>
        <v>58719975</v>
      </c>
      <c r="AQ87" s="1209">
        <v>0</v>
      </c>
      <c r="AR87" s="454" t="s">
        <v>2437</v>
      </c>
      <c r="AS87" s="454"/>
      <c r="AT87" s="455" t="str">
        <f t="shared" si="19"/>
        <v>Sin iniciar</v>
      </c>
      <c r="AU87" s="455" t="str">
        <f t="shared" si="20"/>
        <v>Sin iniciar</v>
      </c>
      <c r="AV87" s="990" t="s">
        <v>2437</v>
      </c>
      <c r="AW87" s="998">
        <f>SUMPRODUCT(N87:N89,AQ87:AQ89)</f>
        <v>0</v>
      </c>
      <c r="AX87" s="999">
        <f>SUMPRODUCT(N87:N89,R87:R89)</f>
        <v>0</v>
      </c>
      <c r="AY87" s="1037" t="str">
        <f>IF(AX87&lt;1%,"Sin iniciar",IF(AX87=100%,"Terminado","En gestión"))</f>
        <v>Sin iniciar</v>
      </c>
      <c r="AZ87" s="1037" t="str">
        <f>IF(AW87&lt;1%,"Sin iniciar",IF(AW87=100%,"Terminado","En gestión"))</f>
        <v>Sin iniciar</v>
      </c>
      <c r="BA87" s="456"/>
      <c r="BB87" s="990"/>
      <c r="BC87" s="1035">
        <v>248222896.80000001</v>
      </c>
      <c r="BD87" s="1035">
        <v>94007552.320969686</v>
      </c>
      <c r="BE87" s="1035">
        <v>0</v>
      </c>
      <c r="BF87" s="1035">
        <v>58719975</v>
      </c>
      <c r="BG87" s="1035">
        <v>0</v>
      </c>
      <c r="BH87" s="1035">
        <v>4370275</v>
      </c>
      <c r="BI87" s="993" t="s">
        <v>2485</v>
      </c>
      <c r="BJ87" s="993" t="s">
        <v>2489</v>
      </c>
      <c r="BK87" s="990" t="s">
        <v>2490</v>
      </c>
      <c r="BL87" s="990" t="s">
        <v>2665</v>
      </c>
      <c r="BM87" s="506">
        <v>1</v>
      </c>
      <c r="BN87" s="454" t="s">
        <v>4005</v>
      </c>
      <c r="BO87" s="454" t="s">
        <v>4006</v>
      </c>
      <c r="BP87" s="455" t="str">
        <f t="shared" si="43"/>
        <v>Terminado</v>
      </c>
      <c r="BQ87" s="455" t="str">
        <f>IF(BM87&lt;1%,"Sin iniciar",IF(BM87=100%,"Terminado","En gestión"))</f>
        <v>Terminado</v>
      </c>
      <c r="BR87" s="990" t="s">
        <v>5190</v>
      </c>
      <c r="BS87" s="996">
        <f>SUMPRODUCT(N87:N89,BM87:BM89)</f>
        <v>1</v>
      </c>
      <c r="BT87" s="997">
        <f>SUMPRODUCT(N87:N89,S87:S89)</f>
        <v>0.46</v>
      </c>
      <c r="BU87" s="1037" t="str">
        <f>IF(BT87&lt;1%,"Sin iniciar",IF(BT87=100%,"Terminado","En gestión"))</f>
        <v>En gestión</v>
      </c>
      <c r="BV87" s="1037" t="str">
        <f>IF(BS87&lt;1%,"Sin iniciar",IF(BS87=100%,"Terminado","En gestión"))</f>
        <v>Terminado</v>
      </c>
      <c r="BW87" s="990" t="s">
        <v>28</v>
      </c>
      <c r="BX87" s="990" t="s">
        <v>3965</v>
      </c>
      <c r="BY87" s="1106">
        <v>248222896.80000001</v>
      </c>
      <c r="BZ87" s="992">
        <v>94007552.320969686</v>
      </c>
      <c r="CA87" s="1013">
        <f>BZ87*BS87</f>
        <v>94007552.320969686</v>
      </c>
      <c r="CB87" s="992">
        <v>58719975</v>
      </c>
      <c r="CC87" s="1061">
        <v>60400780.833333299</v>
      </c>
      <c r="CD87" s="1061">
        <v>35056993.3716667</v>
      </c>
      <c r="CE87" s="990" t="s">
        <v>3966</v>
      </c>
      <c r="CF87" s="990" t="s">
        <v>3577</v>
      </c>
      <c r="CG87" s="990" t="s">
        <v>3578</v>
      </c>
      <c r="CH87" s="990" t="s">
        <v>2665</v>
      </c>
    </row>
    <row r="88" spans="2:86" ht="171.95" customHeight="1" x14ac:dyDescent="0.25">
      <c r="B88" s="1186"/>
      <c r="C88" s="1000"/>
      <c r="D88" s="448" t="s">
        <v>57</v>
      </c>
      <c r="E88" s="1001"/>
      <c r="F88" s="448" t="s">
        <v>28</v>
      </c>
      <c r="G88" s="448" t="s">
        <v>28</v>
      </c>
      <c r="H88" s="448" t="s">
        <v>326</v>
      </c>
      <c r="I88" s="448" t="s">
        <v>194</v>
      </c>
      <c r="J88" s="1032"/>
      <c r="K88" s="449" t="s">
        <v>187</v>
      </c>
      <c r="L88" s="450" t="s">
        <v>1872</v>
      </c>
      <c r="M88" s="451" t="s">
        <v>2392</v>
      </c>
      <c r="N88" s="448">
        <v>0.2</v>
      </c>
      <c r="O88" s="452">
        <v>44419</v>
      </c>
      <c r="P88" s="452">
        <v>44454</v>
      </c>
      <c r="Q88" s="448">
        <v>0</v>
      </c>
      <c r="R88" s="448">
        <v>0</v>
      </c>
      <c r="S88" s="453">
        <v>1</v>
      </c>
      <c r="T88" s="448">
        <v>1</v>
      </c>
      <c r="U88" s="377">
        <v>0</v>
      </c>
      <c r="V88" s="454" t="s">
        <v>2355</v>
      </c>
      <c r="W88" s="454"/>
      <c r="X88" s="455" t="str">
        <f t="shared" si="17"/>
        <v>Sin iniciar</v>
      </c>
      <c r="Y88" s="455" t="str">
        <f t="shared" si="18"/>
        <v>Sin iniciar</v>
      </c>
      <c r="Z88" s="990"/>
      <c r="AA88" s="1026"/>
      <c r="AB88" s="1004"/>
      <c r="AC88" s="1037"/>
      <c r="AD88" s="1037"/>
      <c r="AE88" s="456"/>
      <c r="AF88" s="992"/>
      <c r="AG88" s="992"/>
      <c r="AH88" s="992"/>
      <c r="AI88" s="992"/>
      <c r="AJ88" s="992"/>
      <c r="AK88" s="992"/>
      <c r="AL88" s="993" t="s">
        <v>2485</v>
      </c>
      <c r="AM88" s="993" t="s">
        <v>2486</v>
      </c>
      <c r="AN88" s="994" t="s">
        <v>2489</v>
      </c>
      <c r="AO88" s="990" t="s">
        <v>2490</v>
      </c>
      <c r="AP88" s="992"/>
      <c r="AQ88" s="1209">
        <v>0</v>
      </c>
      <c r="AR88" s="454" t="s">
        <v>2437</v>
      </c>
      <c r="AS88" s="454"/>
      <c r="AT88" s="455" t="str">
        <f t="shared" si="19"/>
        <v>Sin iniciar</v>
      </c>
      <c r="AU88" s="455" t="str">
        <f t="shared" si="20"/>
        <v>Sin iniciar</v>
      </c>
      <c r="AV88" s="990"/>
      <c r="AW88" s="998"/>
      <c r="AX88" s="999"/>
      <c r="AY88" s="1037"/>
      <c r="AZ88" s="1037"/>
      <c r="BA88" s="456"/>
      <c r="BB88" s="990"/>
      <c r="BC88" s="1035"/>
      <c r="BD88" s="1035"/>
      <c r="BE88" s="1035"/>
      <c r="BF88" s="1035"/>
      <c r="BG88" s="1035"/>
      <c r="BH88" s="1035"/>
      <c r="BI88" s="993" t="s">
        <v>2485</v>
      </c>
      <c r="BJ88" s="993" t="s">
        <v>2489</v>
      </c>
      <c r="BK88" s="990" t="s">
        <v>2490</v>
      </c>
      <c r="BL88" s="990"/>
      <c r="BM88" s="506">
        <v>1</v>
      </c>
      <c r="BN88" s="454" t="s">
        <v>4007</v>
      </c>
      <c r="BO88" s="454" t="s">
        <v>4008</v>
      </c>
      <c r="BP88" s="455" t="str">
        <f t="shared" si="43"/>
        <v>Terminado</v>
      </c>
      <c r="BQ88" s="455" t="str">
        <f>IF(BM88&lt;1%,"Sin iniciar",IF(BM88=100%,"Terminado","En gestión"))</f>
        <v>Terminado</v>
      </c>
      <c r="BR88" s="990"/>
      <c r="BS88" s="996"/>
      <c r="BT88" s="997"/>
      <c r="BU88" s="1037"/>
      <c r="BV88" s="1037"/>
      <c r="BW88" s="990"/>
      <c r="BX88" s="990"/>
      <c r="BY88" s="1106"/>
      <c r="BZ88" s="992"/>
      <c r="CA88" s="990"/>
      <c r="CB88" s="992"/>
      <c r="CC88" s="1061"/>
      <c r="CD88" s="1061"/>
      <c r="CE88" s="990"/>
      <c r="CF88" s="990"/>
      <c r="CG88" s="990"/>
      <c r="CH88" s="990"/>
    </row>
    <row r="89" spans="2:86" ht="171.95" customHeight="1" x14ac:dyDescent="0.25">
      <c r="B89" s="1186"/>
      <c r="C89" s="1000"/>
      <c r="D89" s="448" t="s">
        <v>57</v>
      </c>
      <c r="E89" s="1001"/>
      <c r="F89" s="448" t="s">
        <v>28</v>
      </c>
      <c r="G89" s="448" t="s">
        <v>28</v>
      </c>
      <c r="H89" s="448" t="s">
        <v>326</v>
      </c>
      <c r="I89" s="448" t="s">
        <v>194</v>
      </c>
      <c r="J89" s="1032"/>
      <c r="K89" s="449" t="s">
        <v>187</v>
      </c>
      <c r="L89" s="450" t="s">
        <v>1873</v>
      </c>
      <c r="M89" s="451" t="s">
        <v>2393</v>
      </c>
      <c r="N89" s="448">
        <v>0.6</v>
      </c>
      <c r="O89" s="452">
        <v>44455</v>
      </c>
      <c r="P89" s="452">
        <v>44553</v>
      </c>
      <c r="Q89" s="448">
        <v>0</v>
      </c>
      <c r="R89" s="448">
        <v>0</v>
      </c>
      <c r="S89" s="453">
        <v>0.1</v>
      </c>
      <c r="T89" s="448">
        <v>1</v>
      </c>
      <c r="U89" s="377">
        <v>0</v>
      </c>
      <c r="V89" s="454" t="s">
        <v>2355</v>
      </c>
      <c r="W89" s="454"/>
      <c r="X89" s="455" t="str">
        <f t="shared" si="17"/>
        <v>Sin iniciar</v>
      </c>
      <c r="Y89" s="455" t="str">
        <f t="shared" si="18"/>
        <v>Sin iniciar</v>
      </c>
      <c r="Z89" s="990"/>
      <c r="AA89" s="1026"/>
      <c r="AB89" s="1004"/>
      <c r="AC89" s="1037"/>
      <c r="AD89" s="1037"/>
      <c r="AE89" s="456"/>
      <c r="AF89" s="992"/>
      <c r="AG89" s="992"/>
      <c r="AH89" s="992"/>
      <c r="AI89" s="992"/>
      <c r="AJ89" s="992"/>
      <c r="AK89" s="992"/>
      <c r="AL89" s="993" t="s">
        <v>2485</v>
      </c>
      <c r="AM89" s="993" t="s">
        <v>2486</v>
      </c>
      <c r="AN89" s="994" t="s">
        <v>2489</v>
      </c>
      <c r="AO89" s="990" t="s">
        <v>2490</v>
      </c>
      <c r="AP89" s="992"/>
      <c r="AQ89" s="1209">
        <v>0</v>
      </c>
      <c r="AR89" s="454" t="s">
        <v>2437</v>
      </c>
      <c r="AS89" s="454"/>
      <c r="AT89" s="455" t="str">
        <f t="shared" si="19"/>
        <v>Sin iniciar</v>
      </c>
      <c r="AU89" s="455" t="str">
        <f t="shared" si="20"/>
        <v>Sin iniciar</v>
      </c>
      <c r="AV89" s="990"/>
      <c r="AW89" s="998"/>
      <c r="AX89" s="999"/>
      <c r="AY89" s="1037"/>
      <c r="AZ89" s="1037"/>
      <c r="BA89" s="456"/>
      <c r="BB89" s="990"/>
      <c r="BC89" s="1035"/>
      <c r="BD89" s="1035"/>
      <c r="BE89" s="1035"/>
      <c r="BF89" s="1035"/>
      <c r="BG89" s="1035"/>
      <c r="BH89" s="1035"/>
      <c r="BI89" s="993" t="s">
        <v>2485</v>
      </c>
      <c r="BJ89" s="993" t="s">
        <v>2489</v>
      </c>
      <c r="BK89" s="990" t="s">
        <v>2490</v>
      </c>
      <c r="BL89" s="990"/>
      <c r="BM89" s="506">
        <v>1</v>
      </c>
      <c r="BN89" s="454" t="s">
        <v>4009</v>
      </c>
      <c r="BO89" s="454" t="s">
        <v>4010</v>
      </c>
      <c r="BP89" s="455" t="str">
        <f t="shared" si="43"/>
        <v>En gestión</v>
      </c>
      <c r="BQ89" s="455" t="str">
        <f>IF(BM89&lt;1%,"Sin iniciar",IF(BM89=100%,"Terminado","En gestión"))</f>
        <v>Terminado</v>
      </c>
      <c r="BR89" s="990"/>
      <c r="BS89" s="996"/>
      <c r="BT89" s="997"/>
      <c r="BU89" s="1037"/>
      <c r="BV89" s="1037"/>
      <c r="BW89" s="990"/>
      <c r="BX89" s="990"/>
      <c r="BY89" s="1106"/>
      <c r="BZ89" s="992"/>
      <c r="CA89" s="990"/>
      <c r="CB89" s="992"/>
      <c r="CC89" s="1061"/>
      <c r="CD89" s="1061"/>
      <c r="CE89" s="990"/>
      <c r="CF89" s="990"/>
      <c r="CG89" s="990"/>
      <c r="CH89" s="990"/>
    </row>
    <row r="90" spans="2:86" ht="171.95" customHeight="1" x14ac:dyDescent="0.25">
      <c r="B90" s="1186"/>
      <c r="C90" s="1030" t="s">
        <v>1874</v>
      </c>
      <c r="D90" s="384" t="s">
        <v>57</v>
      </c>
      <c r="E90" s="1024" t="s">
        <v>1206</v>
      </c>
      <c r="F90" s="384" t="s">
        <v>28</v>
      </c>
      <c r="G90" s="384" t="s">
        <v>28</v>
      </c>
      <c r="H90" s="384" t="s">
        <v>326</v>
      </c>
      <c r="I90" s="384" t="s">
        <v>30</v>
      </c>
      <c r="J90" s="1025" t="s">
        <v>1875</v>
      </c>
      <c r="K90" s="385" t="s">
        <v>187</v>
      </c>
      <c r="L90" s="386" t="s">
        <v>1876</v>
      </c>
      <c r="M90" s="387" t="s">
        <v>1877</v>
      </c>
      <c r="N90" s="384">
        <v>0.4</v>
      </c>
      <c r="O90" s="388">
        <v>44200</v>
      </c>
      <c r="P90" s="388">
        <v>44225</v>
      </c>
      <c r="Q90" s="384">
        <v>1</v>
      </c>
      <c r="R90" s="384">
        <v>1</v>
      </c>
      <c r="S90" s="382">
        <v>1</v>
      </c>
      <c r="T90" s="384">
        <v>1</v>
      </c>
      <c r="U90" s="377">
        <v>1</v>
      </c>
      <c r="V90" s="389" t="s">
        <v>2394</v>
      </c>
      <c r="W90" s="389" t="s">
        <v>4011</v>
      </c>
      <c r="X90" s="379" t="str">
        <f t="shared" si="17"/>
        <v>Terminado</v>
      </c>
      <c r="Y90" s="379" t="str">
        <f t="shared" si="18"/>
        <v>Terminado</v>
      </c>
      <c r="Z90" s="1006" t="s">
        <v>2395</v>
      </c>
      <c r="AA90" s="1026">
        <f>SUMPRODUCT(N90:N92,U90:U92)</f>
        <v>1</v>
      </c>
      <c r="AB90" s="1004">
        <f>SUMPRODUCT(N90:N92,Q90:Q92)</f>
        <v>1</v>
      </c>
      <c r="AC90" s="1027" t="str">
        <f>IF(AB90&lt;1%,"Sin iniciar",IF(AB90=100%,"Terminado","En gestión"))</f>
        <v>Terminado</v>
      </c>
      <c r="AD90" s="1027" t="str">
        <f>IF(AA90&lt;1%,"Sin iniciar",IF(AA90=100%,"Terminado","En gestión"))</f>
        <v>Terminado</v>
      </c>
      <c r="AE90" s="390"/>
      <c r="AF90" s="1014">
        <v>69955471.079999998</v>
      </c>
      <c r="AG90" s="1014">
        <v>0</v>
      </c>
      <c r="AH90" s="1014">
        <v>69955471.079999998</v>
      </c>
      <c r="AI90" s="1014">
        <v>58905000</v>
      </c>
      <c r="AJ90" s="1014">
        <v>0</v>
      </c>
      <c r="AK90" s="1014">
        <v>15300000</v>
      </c>
      <c r="AL90" s="1039" t="s">
        <v>2485</v>
      </c>
      <c r="AM90" s="1039" t="s">
        <v>2486</v>
      </c>
      <c r="AN90" s="1043" t="s">
        <v>2491</v>
      </c>
      <c r="AO90" s="1006" t="s">
        <v>2492</v>
      </c>
      <c r="AP90" s="1014">
        <f>+AI90</f>
        <v>58905000</v>
      </c>
      <c r="AQ90" s="1209">
        <v>1</v>
      </c>
      <c r="AR90" s="389" t="s">
        <v>2434</v>
      </c>
      <c r="AS90" s="408" t="s">
        <v>3862</v>
      </c>
      <c r="AT90" s="379" t="str">
        <f t="shared" si="19"/>
        <v>Terminado</v>
      </c>
      <c r="AU90" s="379" t="str">
        <f t="shared" si="20"/>
        <v>Terminado</v>
      </c>
      <c r="AV90" s="1006" t="s">
        <v>2440</v>
      </c>
      <c r="AW90" s="998">
        <f>SUMPRODUCT(N90:N92,AQ90:AQ92)</f>
        <v>1</v>
      </c>
      <c r="AX90" s="999">
        <f>SUMPRODUCT(N90:N92,R90:R92)</f>
        <v>1</v>
      </c>
      <c r="AY90" s="1027" t="str">
        <f>IF(AX90&lt;1%,"Sin iniciar",IF(AX90=100%,"Terminado","En gestión"))</f>
        <v>Terminado</v>
      </c>
      <c r="AZ90" s="1027" t="str">
        <f>IF(AW90&lt;1%,"Sin iniciar",IF(AW90=100%,"Terminado","En gestión"))</f>
        <v>Terminado</v>
      </c>
      <c r="BA90" s="390"/>
      <c r="BB90" s="1109"/>
      <c r="BC90" s="1033">
        <v>69955471.079999998</v>
      </c>
      <c r="BD90" s="1033">
        <v>73886124.676969677</v>
      </c>
      <c r="BE90" s="1033">
        <v>71150569.647298858</v>
      </c>
      <c r="BF90" s="1033">
        <v>58905000</v>
      </c>
      <c r="BG90" s="1033">
        <v>0</v>
      </c>
      <c r="BH90" s="1033">
        <v>30584700</v>
      </c>
      <c r="BI90" s="1039" t="s">
        <v>2485</v>
      </c>
      <c r="BJ90" s="1039" t="s">
        <v>2491</v>
      </c>
      <c r="BK90" s="1006" t="s">
        <v>2492</v>
      </c>
      <c r="BL90" s="1006" t="s">
        <v>2699</v>
      </c>
      <c r="BM90" s="506">
        <v>1</v>
      </c>
      <c r="BN90" s="390" t="s">
        <v>2434</v>
      </c>
      <c r="BO90" s="1016" t="s">
        <v>28</v>
      </c>
      <c r="BP90" s="379" t="str">
        <f t="shared" si="43"/>
        <v>Terminado</v>
      </c>
      <c r="BQ90" s="379" t="str">
        <f t="shared" si="44"/>
        <v>Terminado</v>
      </c>
      <c r="BR90" s="1006" t="s">
        <v>28</v>
      </c>
      <c r="BS90" s="996">
        <f>SUMPRODUCT(N90:N92,BM90:BM92)</f>
        <v>1</v>
      </c>
      <c r="BT90" s="997">
        <f>SUMPRODUCT(N90:N92,S90:S92)</f>
        <v>1</v>
      </c>
      <c r="BU90" s="1027" t="str">
        <f>IF(BT90&lt;1%,"Sin iniciar",IF(BT90=100%,"Terminado","En gestión"))</f>
        <v>Terminado</v>
      </c>
      <c r="BV90" s="1027" t="str">
        <f>IF(BS90&lt;1%,"Sin iniciar",IF(BS90=100%,"Terminado","En gestión"))</f>
        <v>Terminado</v>
      </c>
      <c r="BW90" s="1006" t="s">
        <v>28</v>
      </c>
      <c r="BX90" s="1006" t="s">
        <v>3965</v>
      </c>
      <c r="BY90" s="1107">
        <v>69955471.079999998</v>
      </c>
      <c r="BZ90" s="1014">
        <v>73886124.676969677</v>
      </c>
      <c r="CA90" s="1034">
        <f>BZ90*BS90</f>
        <v>73886124.676969677</v>
      </c>
      <c r="CB90" s="1014">
        <v>58905000</v>
      </c>
      <c r="CC90" s="1056">
        <v>57766666.666666701</v>
      </c>
      <c r="CD90" s="1056">
        <v>35700000</v>
      </c>
      <c r="CE90" s="1006" t="s">
        <v>3966</v>
      </c>
      <c r="CF90" s="1006" t="s">
        <v>3583</v>
      </c>
      <c r="CG90" s="1006" t="s">
        <v>3584</v>
      </c>
      <c r="CH90" s="1006" t="s">
        <v>2699</v>
      </c>
    </row>
    <row r="91" spans="2:86" ht="171.95" customHeight="1" x14ac:dyDescent="0.25">
      <c r="B91" s="1186"/>
      <c r="C91" s="1030"/>
      <c r="D91" s="384" t="s">
        <v>57</v>
      </c>
      <c r="E91" s="1024"/>
      <c r="F91" s="384" t="s">
        <v>28</v>
      </c>
      <c r="G91" s="384" t="s">
        <v>28</v>
      </c>
      <c r="H91" s="384" t="s">
        <v>326</v>
      </c>
      <c r="I91" s="384" t="s">
        <v>30</v>
      </c>
      <c r="J91" s="1025"/>
      <c r="K91" s="385" t="s">
        <v>187</v>
      </c>
      <c r="L91" s="386" t="s">
        <v>1878</v>
      </c>
      <c r="M91" s="387" t="s">
        <v>1879</v>
      </c>
      <c r="N91" s="384">
        <v>0.3</v>
      </c>
      <c r="O91" s="388">
        <v>44228</v>
      </c>
      <c r="P91" s="388">
        <v>44270</v>
      </c>
      <c r="Q91" s="384">
        <v>1</v>
      </c>
      <c r="R91" s="384">
        <v>1</v>
      </c>
      <c r="S91" s="382">
        <v>1</v>
      </c>
      <c r="T91" s="384">
        <v>1</v>
      </c>
      <c r="U91" s="377">
        <v>1</v>
      </c>
      <c r="V91" s="389" t="s">
        <v>1880</v>
      </c>
      <c r="W91" s="389" t="s">
        <v>4012</v>
      </c>
      <c r="X91" s="379" t="str">
        <f t="shared" si="17"/>
        <v>Terminado</v>
      </c>
      <c r="Y91" s="379" t="str">
        <f t="shared" si="18"/>
        <v>Terminado</v>
      </c>
      <c r="Z91" s="1006"/>
      <c r="AA91" s="1026"/>
      <c r="AB91" s="1004"/>
      <c r="AC91" s="1027"/>
      <c r="AD91" s="1027"/>
      <c r="AE91" s="390"/>
      <c r="AF91" s="1014"/>
      <c r="AG91" s="1014"/>
      <c r="AH91" s="1014"/>
      <c r="AI91" s="1014"/>
      <c r="AJ91" s="1014"/>
      <c r="AK91" s="1014"/>
      <c r="AL91" s="1039" t="s">
        <v>2485</v>
      </c>
      <c r="AM91" s="1039" t="s">
        <v>2486</v>
      </c>
      <c r="AN91" s="1043" t="s">
        <v>2491</v>
      </c>
      <c r="AO91" s="1006" t="s">
        <v>2492</v>
      </c>
      <c r="AP91" s="1014"/>
      <c r="AQ91" s="1209">
        <v>1</v>
      </c>
      <c r="AR91" s="389" t="s">
        <v>2434</v>
      </c>
      <c r="AS91" s="408" t="s">
        <v>3862</v>
      </c>
      <c r="AT91" s="379" t="str">
        <f t="shared" si="19"/>
        <v>Terminado</v>
      </c>
      <c r="AU91" s="379" t="str">
        <f t="shared" si="20"/>
        <v>Terminado</v>
      </c>
      <c r="AV91" s="1109"/>
      <c r="AW91" s="998"/>
      <c r="AX91" s="999"/>
      <c r="AY91" s="1027"/>
      <c r="AZ91" s="1027"/>
      <c r="BA91" s="390"/>
      <c r="BB91" s="1109"/>
      <c r="BC91" s="1033"/>
      <c r="BD91" s="1033"/>
      <c r="BE91" s="1033"/>
      <c r="BF91" s="1033"/>
      <c r="BG91" s="1033"/>
      <c r="BH91" s="1033"/>
      <c r="BI91" s="1039" t="s">
        <v>2485</v>
      </c>
      <c r="BJ91" s="1039" t="s">
        <v>2491</v>
      </c>
      <c r="BK91" s="1006" t="s">
        <v>2492</v>
      </c>
      <c r="BL91" s="1006"/>
      <c r="BM91" s="506">
        <v>1</v>
      </c>
      <c r="BN91" s="390" t="s">
        <v>2434</v>
      </c>
      <c r="BO91" s="1016"/>
      <c r="BP91" s="379" t="str">
        <f t="shared" si="43"/>
        <v>Terminado</v>
      </c>
      <c r="BQ91" s="379" t="str">
        <f t="shared" si="44"/>
        <v>Terminado</v>
      </c>
      <c r="BR91" s="1006"/>
      <c r="BS91" s="996"/>
      <c r="BT91" s="997"/>
      <c r="BU91" s="1027"/>
      <c r="BV91" s="1027"/>
      <c r="BW91" s="1006"/>
      <c r="BX91" s="1006"/>
      <c r="BY91" s="1107"/>
      <c r="BZ91" s="1014"/>
      <c r="CA91" s="1006"/>
      <c r="CB91" s="1014"/>
      <c r="CC91" s="1056"/>
      <c r="CD91" s="1056"/>
      <c r="CE91" s="1006"/>
      <c r="CF91" s="1006"/>
      <c r="CG91" s="1006"/>
      <c r="CH91" s="1006"/>
    </row>
    <row r="92" spans="2:86" ht="171.95" customHeight="1" x14ac:dyDescent="0.25">
      <c r="B92" s="1186"/>
      <c r="C92" s="1030"/>
      <c r="D92" s="384" t="s">
        <v>57</v>
      </c>
      <c r="E92" s="1024"/>
      <c r="F92" s="384" t="s">
        <v>28</v>
      </c>
      <c r="G92" s="384" t="s">
        <v>28</v>
      </c>
      <c r="H92" s="384" t="s">
        <v>326</v>
      </c>
      <c r="I92" s="384" t="s">
        <v>30</v>
      </c>
      <c r="J92" s="1025"/>
      <c r="K92" s="385" t="s">
        <v>187</v>
      </c>
      <c r="L92" s="386" t="s">
        <v>1881</v>
      </c>
      <c r="M92" s="387" t="s">
        <v>1842</v>
      </c>
      <c r="N92" s="384">
        <v>0.3</v>
      </c>
      <c r="O92" s="388">
        <v>43906</v>
      </c>
      <c r="P92" s="388">
        <v>44281</v>
      </c>
      <c r="Q92" s="384">
        <v>1</v>
      </c>
      <c r="R92" s="384">
        <v>1</v>
      </c>
      <c r="S92" s="382">
        <v>1</v>
      </c>
      <c r="T92" s="384">
        <v>1</v>
      </c>
      <c r="U92" s="377">
        <v>1</v>
      </c>
      <c r="V92" s="389" t="s">
        <v>2396</v>
      </c>
      <c r="W92" s="389" t="s">
        <v>4013</v>
      </c>
      <c r="X92" s="379" t="str">
        <f t="shared" si="17"/>
        <v>Terminado</v>
      </c>
      <c r="Y92" s="379" t="str">
        <f t="shared" si="18"/>
        <v>Terminado</v>
      </c>
      <c r="Z92" s="1006"/>
      <c r="AA92" s="1026"/>
      <c r="AB92" s="1004"/>
      <c r="AC92" s="1027"/>
      <c r="AD92" s="1027"/>
      <c r="AE92" s="390"/>
      <c r="AF92" s="1014"/>
      <c r="AG92" s="1014"/>
      <c r="AH92" s="1014"/>
      <c r="AI92" s="1014"/>
      <c r="AJ92" s="1014"/>
      <c r="AK92" s="1014"/>
      <c r="AL92" s="1039" t="s">
        <v>2485</v>
      </c>
      <c r="AM92" s="1039" t="s">
        <v>2486</v>
      </c>
      <c r="AN92" s="1043" t="s">
        <v>2491</v>
      </c>
      <c r="AO92" s="1006" t="s">
        <v>2492</v>
      </c>
      <c r="AP92" s="1014"/>
      <c r="AQ92" s="1209">
        <v>1</v>
      </c>
      <c r="AR92" s="389" t="s">
        <v>2434</v>
      </c>
      <c r="AS92" s="408" t="s">
        <v>3862</v>
      </c>
      <c r="AT92" s="379" t="str">
        <f t="shared" si="19"/>
        <v>Terminado</v>
      </c>
      <c r="AU92" s="379" t="str">
        <f t="shared" si="20"/>
        <v>Terminado</v>
      </c>
      <c r="AV92" s="1109"/>
      <c r="AW92" s="998"/>
      <c r="AX92" s="999"/>
      <c r="AY92" s="1027"/>
      <c r="AZ92" s="1027"/>
      <c r="BA92" s="390"/>
      <c r="BB92" s="1109"/>
      <c r="BC92" s="1033"/>
      <c r="BD92" s="1033"/>
      <c r="BE92" s="1033"/>
      <c r="BF92" s="1033"/>
      <c r="BG92" s="1033"/>
      <c r="BH92" s="1033"/>
      <c r="BI92" s="1039" t="s">
        <v>2485</v>
      </c>
      <c r="BJ92" s="1039" t="s">
        <v>2491</v>
      </c>
      <c r="BK92" s="1006" t="s">
        <v>2492</v>
      </c>
      <c r="BL92" s="1006"/>
      <c r="BM92" s="506">
        <v>1</v>
      </c>
      <c r="BN92" s="390" t="s">
        <v>2434</v>
      </c>
      <c r="BO92" s="1016"/>
      <c r="BP92" s="379" t="str">
        <f t="shared" si="43"/>
        <v>Terminado</v>
      </c>
      <c r="BQ92" s="379" t="str">
        <f t="shared" si="44"/>
        <v>Terminado</v>
      </c>
      <c r="BR92" s="1006"/>
      <c r="BS92" s="996"/>
      <c r="BT92" s="997"/>
      <c r="BU92" s="1027"/>
      <c r="BV92" s="1027"/>
      <c r="BW92" s="1006"/>
      <c r="BX92" s="1006"/>
      <c r="BY92" s="1107"/>
      <c r="BZ92" s="1014"/>
      <c r="CA92" s="1006"/>
      <c r="CB92" s="1014"/>
      <c r="CC92" s="1056"/>
      <c r="CD92" s="1056"/>
      <c r="CE92" s="1006"/>
      <c r="CF92" s="1006"/>
      <c r="CG92" s="1006"/>
      <c r="CH92" s="1006"/>
    </row>
    <row r="93" spans="2:86" ht="171.95" customHeight="1" x14ac:dyDescent="0.25">
      <c r="B93" s="1186"/>
      <c r="C93" s="1000" t="s">
        <v>1882</v>
      </c>
      <c r="D93" s="448" t="s">
        <v>57</v>
      </c>
      <c r="E93" s="1001" t="s">
        <v>1206</v>
      </c>
      <c r="F93" s="448" t="s">
        <v>28</v>
      </c>
      <c r="G93" s="448" t="s">
        <v>28</v>
      </c>
      <c r="H93" s="448" t="s">
        <v>326</v>
      </c>
      <c r="I93" s="448" t="s">
        <v>30</v>
      </c>
      <c r="J93" s="1032" t="s">
        <v>1883</v>
      </c>
      <c r="K93" s="449" t="s">
        <v>187</v>
      </c>
      <c r="L93" s="450" t="s">
        <v>1884</v>
      </c>
      <c r="M93" s="451" t="s">
        <v>1885</v>
      </c>
      <c r="N93" s="448">
        <v>0.4</v>
      </c>
      <c r="O93" s="452">
        <v>44287</v>
      </c>
      <c r="P93" s="452">
        <v>44316</v>
      </c>
      <c r="Q93" s="448">
        <v>0</v>
      </c>
      <c r="R93" s="448">
        <v>1</v>
      </c>
      <c r="S93" s="453">
        <v>1</v>
      </c>
      <c r="T93" s="448">
        <v>1</v>
      </c>
      <c r="U93" s="377">
        <v>0</v>
      </c>
      <c r="V93" s="454" t="s">
        <v>2355</v>
      </c>
      <c r="W93" s="454"/>
      <c r="X93" s="455" t="str">
        <f t="shared" si="17"/>
        <v>Sin iniciar</v>
      </c>
      <c r="Y93" s="455" t="str">
        <f t="shared" si="18"/>
        <v>Sin iniciar</v>
      </c>
      <c r="Z93" s="990"/>
      <c r="AA93" s="1026">
        <f>SUMPRODUCT(N93:N95,U93:U95)</f>
        <v>0</v>
      </c>
      <c r="AB93" s="1004">
        <f>SUMPRODUCT(N93:N95,Q93:Q95)</f>
        <v>0</v>
      </c>
      <c r="AC93" s="1037" t="str">
        <f>IF(AB93&lt;1%,"Sin iniciar",IF(AB93=100%,"Terminado","En gestión"))</f>
        <v>Sin iniciar</v>
      </c>
      <c r="AD93" s="1037" t="str">
        <f>IF(AA93&lt;1%,"Sin iniciar",IF(AA93=100%,"Terminado","En gestión"))</f>
        <v>Sin iniciar</v>
      </c>
      <c r="AE93" s="456"/>
      <c r="AF93" s="992">
        <v>69955471.079999998</v>
      </c>
      <c r="AG93" s="992">
        <v>0</v>
      </c>
      <c r="AH93" s="992">
        <v>0</v>
      </c>
      <c r="AI93" s="992">
        <v>58905000</v>
      </c>
      <c r="AJ93" s="992">
        <v>0</v>
      </c>
      <c r="AK93" s="992">
        <v>0</v>
      </c>
      <c r="AL93" s="993" t="s">
        <v>2485</v>
      </c>
      <c r="AM93" s="993" t="s">
        <v>2486</v>
      </c>
      <c r="AN93" s="994" t="s">
        <v>2491</v>
      </c>
      <c r="AO93" s="990" t="s">
        <v>2492</v>
      </c>
      <c r="AP93" s="992">
        <f>+AI93</f>
        <v>58905000</v>
      </c>
      <c r="AQ93" s="1209">
        <v>1</v>
      </c>
      <c r="AR93" s="454" t="s">
        <v>2014</v>
      </c>
      <c r="AS93" s="454" t="s">
        <v>4014</v>
      </c>
      <c r="AT93" s="455" t="str">
        <f t="shared" si="19"/>
        <v>Terminado</v>
      </c>
      <c r="AU93" s="455" t="str">
        <f t="shared" si="20"/>
        <v>Terminado</v>
      </c>
      <c r="AV93" s="1002" t="s">
        <v>2443</v>
      </c>
      <c r="AW93" s="998">
        <f>SUMPRODUCT(N93:N95,AQ93:AQ95)</f>
        <v>1</v>
      </c>
      <c r="AX93" s="999">
        <f>SUMPRODUCT(N93:N95,R93:R95)</f>
        <v>1</v>
      </c>
      <c r="AY93" s="1037" t="str">
        <f>IF(AX93&lt;1%,"Sin iniciar",IF(AX93=100%,"Terminado","En gestión"))</f>
        <v>Terminado</v>
      </c>
      <c r="AZ93" s="1037" t="str">
        <f>IF(AW93&lt;1%,"Sin iniciar",IF(AW93=100%,"Terminado","En gestión"))</f>
        <v>Terminado</v>
      </c>
      <c r="BA93" s="456"/>
      <c r="BB93" s="990"/>
      <c r="BC93" s="1035">
        <v>69955471.079999998</v>
      </c>
      <c r="BD93" s="1035">
        <v>73997979.652969688</v>
      </c>
      <c r="BE93" s="1035">
        <v>19012909.057965517</v>
      </c>
      <c r="BF93" s="1035">
        <v>58905000</v>
      </c>
      <c r="BG93" s="1035">
        <v>0</v>
      </c>
      <c r="BH93" s="1035">
        <v>15330600</v>
      </c>
      <c r="BI93" s="993" t="s">
        <v>2485</v>
      </c>
      <c r="BJ93" s="993" t="s">
        <v>2491</v>
      </c>
      <c r="BK93" s="990" t="s">
        <v>2492</v>
      </c>
      <c r="BL93" s="990" t="s">
        <v>2699</v>
      </c>
      <c r="BM93" s="506">
        <v>1</v>
      </c>
      <c r="BN93" s="456" t="s">
        <v>2875</v>
      </c>
      <c r="BO93" s="991" t="s">
        <v>28</v>
      </c>
      <c r="BP93" s="455" t="str">
        <f t="shared" si="43"/>
        <v>Terminado</v>
      </c>
      <c r="BQ93" s="455" t="str">
        <f t="shared" si="44"/>
        <v>Terminado</v>
      </c>
      <c r="BR93" s="990" t="s">
        <v>28</v>
      </c>
      <c r="BS93" s="996">
        <f>SUMPRODUCT(N93:N95,BM93:BM95)</f>
        <v>1</v>
      </c>
      <c r="BT93" s="997">
        <f>SUMPRODUCT(N93:N95,S93:S95)</f>
        <v>1</v>
      </c>
      <c r="BU93" s="1037" t="str">
        <f>IF(BT93&lt;1%,"Sin iniciar",IF(BT93=100%,"Terminado","En gestión"))</f>
        <v>Terminado</v>
      </c>
      <c r="BV93" s="1037" t="str">
        <f>IF(BS93&lt;1%,"Sin iniciar",IF(BS93=100%,"Terminado","En gestión"))</f>
        <v>Terminado</v>
      </c>
      <c r="BW93" s="990" t="s">
        <v>28</v>
      </c>
      <c r="BX93" s="990" t="s">
        <v>3965</v>
      </c>
      <c r="BY93" s="1106">
        <v>69955471.079999998</v>
      </c>
      <c r="BZ93" s="992">
        <v>73997979.652969688</v>
      </c>
      <c r="CA93" s="1013">
        <f>BZ93*BS93</f>
        <v>73997979.652969688</v>
      </c>
      <c r="CB93" s="992">
        <v>58905000</v>
      </c>
      <c r="CC93" s="1061">
        <v>57766666.666666701</v>
      </c>
      <c r="CD93" s="1061">
        <v>35700000</v>
      </c>
      <c r="CE93" s="990" t="s">
        <v>3966</v>
      </c>
      <c r="CF93" s="990" t="s">
        <v>3583</v>
      </c>
      <c r="CG93" s="990" t="s">
        <v>3584</v>
      </c>
      <c r="CH93" s="990" t="s">
        <v>2699</v>
      </c>
    </row>
    <row r="94" spans="2:86" ht="171.95" customHeight="1" x14ac:dyDescent="0.25">
      <c r="B94" s="1186"/>
      <c r="C94" s="1000"/>
      <c r="D94" s="448" t="s">
        <v>57</v>
      </c>
      <c r="E94" s="1001"/>
      <c r="F94" s="448" t="s">
        <v>28</v>
      </c>
      <c r="G94" s="448" t="s">
        <v>28</v>
      </c>
      <c r="H94" s="448" t="s">
        <v>326</v>
      </c>
      <c r="I94" s="448" t="s">
        <v>30</v>
      </c>
      <c r="J94" s="1032"/>
      <c r="K94" s="449" t="s">
        <v>187</v>
      </c>
      <c r="L94" s="450" t="s">
        <v>1886</v>
      </c>
      <c r="M94" s="451" t="s">
        <v>1887</v>
      </c>
      <c r="N94" s="448">
        <v>0.3</v>
      </c>
      <c r="O94" s="452">
        <v>44319</v>
      </c>
      <c r="P94" s="452">
        <v>44362</v>
      </c>
      <c r="Q94" s="448">
        <v>0</v>
      </c>
      <c r="R94" s="448">
        <v>1</v>
      </c>
      <c r="S94" s="453">
        <v>1</v>
      </c>
      <c r="T94" s="448">
        <v>1</v>
      </c>
      <c r="U94" s="377">
        <v>0</v>
      </c>
      <c r="V94" s="454" t="s">
        <v>2355</v>
      </c>
      <c r="W94" s="454"/>
      <c r="X94" s="455" t="str">
        <f t="shared" si="17"/>
        <v>Sin iniciar</v>
      </c>
      <c r="Y94" s="455" t="str">
        <f t="shared" si="18"/>
        <v>Sin iniciar</v>
      </c>
      <c r="Z94" s="990"/>
      <c r="AA94" s="1026"/>
      <c r="AB94" s="1004"/>
      <c r="AC94" s="1037"/>
      <c r="AD94" s="1037"/>
      <c r="AE94" s="456"/>
      <c r="AF94" s="992"/>
      <c r="AG94" s="992"/>
      <c r="AH94" s="992"/>
      <c r="AI94" s="992">
        <v>58905000</v>
      </c>
      <c r="AJ94" s="992"/>
      <c r="AK94" s="992"/>
      <c r="AL94" s="993" t="s">
        <v>2485</v>
      </c>
      <c r="AM94" s="993" t="s">
        <v>2486</v>
      </c>
      <c r="AN94" s="994" t="s">
        <v>2491</v>
      </c>
      <c r="AO94" s="990" t="s">
        <v>2492</v>
      </c>
      <c r="AP94" s="992"/>
      <c r="AQ94" s="1209">
        <v>1</v>
      </c>
      <c r="AR94" s="454" t="s">
        <v>2015</v>
      </c>
      <c r="AS94" s="454" t="s">
        <v>4015</v>
      </c>
      <c r="AT94" s="455" t="str">
        <f t="shared" si="19"/>
        <v>Terminado</v>
      </c>
      <c r="AU94" s="455" t="str">
        <f t="shared" si="20"/>
        <v>Terminado</v>
      </c>
      <c r="AV94" s="1002"/>
      <c r="AW94" s="998"/>
      <c r="AX94" s="999"/>
      <c r="AY94" s="1037"/>
      <c r="AZ94" s="1037"/>
      <c r="BA94" s="456"/>
      <c r="BB94" s="990"/>
      <c r="BC94" s="1035"/>
      <c r="BD94" s="1035"/>
      <c r="BE94" s="1035"/>
      <c r="BF94" s="1035"/>
      <c r="BG94" s="1035"/>
      <c r="BH94" s="1035"/>
      <c r="BI94" s="993" t="s">
        <v>2485</v>
      </c>
      <c r="BJ94" s="993" t="s">
        <v>2491</v>
      </c>
      <c r="BK94" s="990" t="s">
        <v>2492</v>
      </c>
      <c r="BL94" s="990"/>
      <c r="BM94" s="506">
        <v>1</v>
      </c>
      <c r="BN94" s="456" t="s">
        <v>2875</v>
      </c>
      <c r="BO94" s="991"/>
      <c r="BP94" s="455" t="str">
        <f t="shared" si="43"/>
        <v>Terminado</v>
      </c>
      <c r="BQ94" s="455" t="str">
        <f t="shared" si="44"/>
        <v>Terminado</v>
      </c>
      <c r="BR94" s="990"/>
      <c r="BS94" s="996"/>
      <c r="BT94" s="997"/>
      <c r="BU94" s="1037"/>
      <c r="BV94" s="1037"/>
      <c r="BW94" s="990"/>
      <c r="BX94" s="990"/>
      <c r="BY94" s="1106"/>
      <c r="BZ94" s="992"/>
      <c r="CA94" s="990"/>
      <c r="CB94" s="992"/>
      <c r="CC94" s="1061"/>
      <c r="CD94" s="1061"/>
      <c r="CE94" s="990"/>
      <c r="CF94" s="990"/>
      <c r="CG94" s="990"/>
      <c r="CH94" s="990"/>
    </row>
    <row r="95" spans="2:86" ht="171.95" customHeight="1" x14ac:dyDescent="0.25">
      <c r="B95" s="1186"/>
      <c r="C95" s="1000"/>
      <c r="D95" s="448" t="s">
        <v>57</v>
      </c>
      <c r="E95" s="1001"/>
      <c r="F95" s="448" t="s">
        <v>28</v>
      </c>
      <c r="G95" s="448" t="s">
        <v>28</v>
      </c>
      <c r="H95" s="448" t="s">
        <v>326</v>
      </c>
      <c r="I95" s="448" t="s">
        <v>30</v>
      </c>
      <c r="J95" s="1032"/>
      <c r="K95" s="449" t="s">
        <v>187</v>
      </c>
      <c r="L95" s="450" t="s">
        <v>1888</v>
      </c>
      <c r="M95" s="451" t="s">
        <v>1889</v>
      </c>
      <c r="N95" s="448">
        <v>0.3</v>
      </c>
      <c r="O95" s="452">
        <v>44363</v>
      </c>
      <c r="P95" s="452">
        <v>44377</v>
      </c>
      <c r="Q95" s="448">
        <v>0</v>
      </c>
      <c r="R95" s="448">
        <v>1</v>
      </c>
      <c r="S95" s="453">
        <v>1</v>
      </c>
      <c r="T95" s="448">
        <v>1</v>
      </c>
      <c r="U95" s="377">
        <v>0</v>
      </c>
      <c r="V95" s="454" t="s">
        <v>2355</v>
      </c>
      <c r="W95" s="454"/>
      <c r="X95" s="455" t="str">
        <f t="shared" si="17"/>
        <v>Sin iniciar</v>
      </c>
      <c r="Y95" s="455" t="str">
        <f t="shared" si="18"/>
        <v>Sin iniciar</v>
      </c>
      <c r="Z95" s="990"/>
      <c r="AA95" s="1026"/>
      <c r="AB95" s="1004"/>
      <c r="AC95" s="1037"/>
      <c r="AD95" s="1037"/>
      <c r="AE95" s="456"/>
      <c r="AF95" s="992"/>
      <c r="AG95" s="992"/>
      <c r="AH95" s="992"/>
      <c r="AI95" s="992">
        <v>58905000</v>
      </c>
      <c r="AJ95" s="992"/>
      <c r="AK95" s="992"/>
      <c r="AL95" s="993" t="s">
        <v>2485</v>
      </c>
      <c r="AM95" s="993" t="s">
        <v>2486</v>
      </c>
      <c r="AN95" s="994" t="s">
        <v>2491</v>
      </c>
      <c r="AO95" s="990" t="s">
        <v>2492</v>
      </c>
      <c r="AP95" s="992"/>
      <c r="AQ95" s="1209">
        <v>1</v>
      </c>
      <c r="AR95" s="454" t="s">
        <v>2397</v>
      </c>
      <c r="AS95" s="454" t="s">
        <v>4016</v>
      </c>
      <c r="AT95" s="455" t="str">
        <f t="shared" si="19"/>
        <v>Terminado</v>
      </c>
      <c r="AU95" s="455" t="str">
        <f t="shared" si="20"/>
        <v>Terminado</v>
      </c>
      <c r="AV95" s="1002"/>
      <c r="AW95" s="998"/>
      <c r="AX95" s="999"/>
      <c r="AY95" s="1037"/>
      <c r="AZ95" s="1037"/>
      <c r="BA95" s="456"/>
      <c r="BB95" s="990"/>
      <c r="BC95" s="1035"/>
      <c r="BD95" s="1035"/>
      <c r="BE95" s="1035"/>
      <c r="BF95" s="1035"/>
      <c r="BG95" s="1035"/>
      <c r="BH95" s="1035"/>
      <c r="BI95" s="993" t="s">
        <v>2485</v>
      </c>
      <c r="BJ95" s="993" t="s">
        <v>2491</v>
      </c>
      <c r="BK95" s="990" t="s">
        <v>2492</v>
      </c>
      <c r="BL95" s="990"/>
      <c r="BM95" s="506">
        <v>1</v>
      </c>
      <c r="BN95" s="456" t="s">
        <v>2875</v>
      </c>
      <c r="BO95" s="991"/>
      <c r="BP95" s="455" t="str">
        <f t="shared" si="43"/>
        <v>Terminado</v>
      </c>
      <c r="BQ95" s="455" t="str">
        <f t="shared" si="44"/>
        <v>Terminado</v>
      </c>
      <c r="BR95" s="990"/>
      <c r="BS95" s="996"/>
      <c r="BT95" s="997"/>
      <c r="BU95" s="1037"/>
      <c r="BV95" s="1037"/>
      <c r="BW95" s="990"/>
      <c r="BX95" s="990"/>
      <c r="BY95" s="1106"/>
      <c r="BZ95" s="992"/>
      <c r="CA95" s="990"/>
      <c r="CB95" s="992"/>
      <c r="CC95" s="1061"/>
      <c r="CD95" s="1061"/>
      <c r="CE95" s="990"/>
      <c r="CF95" s="990"/>
      <c r="CG95" s="990"/>
      <c r="CH95" s="990"/>
    </row>
    <row r="96" spans="2:86" ht="171.95" customHeight="1" x14ac:dyDescent="0.25">
      <c r="B96" s="1186"/>
      <c r="C96" s="1030" t="s">
        <v>1890</v>
      </c>
      <c r="D96" s="384" t="s">
        <v>1040</v>
      </c>
      <c r="E96" s="1024" t="s">
        <v>2398</v>
      </c>
      <c r="F96" s="384" t="s">
        <v>28</v>
      </c>
      <c r="G96" s="384" t="s">
        <v>28</v>
      </c>
      <c r="H96" s="384" t="s">
        <v>326</v>
      </c>
      <c r="I96" s="384" t="s">
        <v>30</v>
      </c>
      <c r="J96" s="1025" t="s">
        <v>1891</v>
      </c>
      <c r="K96" s="385" t="s">
        <v>187</v>
      </c>
      <c r="L96" s="386" t="s">
        <v>1892</v>
      </c>
      <c r="M96" s="387" t="s">
        <v>1893</v>
      </c>
      <c r="N96" s="384">
        <v>0.2</v>
      </c>
      <c r="O96" s="388">
        <v>44242</v>
      </c>
      <c r="P96" s="388">
        <v>44438</v>
      </c>
      <c r="Q96" s="384">
        <v>0.2</v>
      </c>
      <c r="R96" s="384">
        <v>0.7</v>
      </c>
      <c r="S96" s="382">
        <v>1</v>
      </c>
      <c r="T96" s="384">
        <v>1</v>
      </c>
      <c r="U96" s="377">
        <v>0.2</v>
      </c>
      <c r="V96" s="389" t="s">
        <v>1894</v>
      </c>
      <c r="W96" s="431" t="s">
        <v>4017</v>
      </c>
      <c r="X96" s="379" t="str">
        <f t="shared" si="17"/>
        <v>En gestión</v>
      </c>
      <c r="Y96" s="379" t="str">
        <f t="shared" si="18"/>
        <v>En gestión</v>
      </c>
      <c r="Z96" s="1006" t="s">
        <v>2005</v>
      </c>
      <c r="AA96" s="1026">
        <f>SUMPRODUCT(N96:N99,U96:U99)</f>
        <v>0.13</v>
      </c>
      <c r="AB96" s="1004">
        <f>SUMPRODUCT(N96:N99,Q96:Q99)</f>
        <v>0.13</v>
      </c>
      <c r="AC96" s="1027" t="str">
        <f>IF(AB96&lt;1%,"Sin iniciar",IF(AB96=100%,"Terminado","En gestión"))</f>
        <v>En gestión</v>
      </c>
      <c r="AD96" s="1027" t="str">
        <f>IF(AA96&lt;1%,"Sin iniciar",IF(AA96=100%,"Terminado","En gestión"))</f>
        <v>En gestión</v>
      </c>
      <c r="AE96" s="390"/>
      <c r="AF96" s="1014">
        <v>268147057.32000002</v>
      </c>
      <c r="AG96" s="1014">
        <v>0</v>
      </c>
      <c r="AH96" s="1014">
        <v>5955834.9600000009</v>
      </c>
      <c r="AI96" s="1014">
        <v>93119776.5</v>
      </c>
      <c r="AJ96" s="1014">
        <v>0</v>
      </c>
      <c r="AK96" s="1014">
        <v>4600000</v>
      </c>
      <c r="AL96" s="1039" t="s">
        <v>2485</v>
      </c>
      <c r="AM96" s="1039" t="s">
        <v>2486</v>
      </c>
      <c r="AN96" s="1043" t="s">
        <v>2493</v>
      </c>
      <c r="AO96" s="1006" t="s">
        <v>2494</v>
      </c>
      <c r="AP96" s="1014">
        <f>+AI96</f>
        <v>93119776.5</v>
      </c>
      <c r="AQ96" s="1209">
        <v>0.7</v>
      </c>
      <c r="AR96" s="389" t="s">
        <v>2016</v>
      </c>
      <c r="AS96" s="431" t="s">
        <v>4018</v>
      </c>
      <c r="AT96" s="379" t="str">
        <f t="shared" si="19"/>
        <v>En gestión</v>
      </c>
      <c r="AU96" s="379" t="str">
        <f t="shared" si="20"/>
        <v>En gestión</v>
      </c>
      <c r="AV96" s="1006" t="s">
        <v>2035</v>
      </c>
      <c r="AW96" s="998">
        <f>SUMPRODUCT(N96:N98,AQ96:AQ98)</f>
        <v>0.45000000000000007</v>
      </c>
      <c r="AX96" s="999">
        <f>SUMPRODUCT(N96:N98,R96:R98)</f>
        <v>0.45000000000000007</v>
      </c>
      <c r="AY96" s="1027" t="str">
        <f>IF(AX96&lt;1%,"Sin iniciar",IF(AX96=100%,"Terminado","En gestión"))</f>
        <v>En gestión</v>
      </c>
      <c r="AZ96" s="1027" t="str">
        <f>IF(AW96&lt;1%,"Sin iniciar",IF(AW96=100%,"Terminado","En gestión"))</f>
        <v>En gestión</v>
      </c>
      <c r="BA96" s="390"/>
      <c r="BB96" s="1006"/>
      <c r="BC96" s="1033">
        <v>268147057.32000002</v>
      </c>
      <c r="BD96" s="1033">
        <v>288772972.10896969</v>
      </c>
      <c r="BE96" s="1033">
        <v>145391938.87529886</v>
      </c>
      <c r="BF96" s="1033">
        <v>93119776.5</v>
      </c>
      <c r="BG96" s="1033">
        <v>0</v>
      </c>
      <c r="BH96" s="1033">
        <v>22643600</v>
      </c>
      <c r="BI96" s="1039" t="s">
        <v>2485</v>
      </c>
      <c r="BJ96" s="1039" t="s">
        <v>2493</v>
      </c>
      <c r="BK96" s="1006" t="s">
        <v>2494</v>
      </c>
      <c r="BL96" s="1006" t="s">
        <v>2700</v>
      </c>
      <c r="BM96" s="507">
        <v>1</v>
      </c>
      <c r="BN96" s="389" t="s">
        <v>4019</v>
      </c>
      <c r="BO96" s="389" t="s">
        <v>4020</v>
      </c>
      <c r="BP96" s="379" t="str">
        <f t="shared" si="43"/>
        <v>Terminado</v>
      </c>
      <c r="BQ96" s="379" t="str">
        <f t="shared" si="44"/>
        <v>Terminado</v>
      </c>
      <c r="BR96" s="1006" t="s">
        <v>4021</v>
      </c>
      <c r="BS96" s="996">
        <f>SUMPRODUCT(N96:N99,BM96:BM99)</f>
        <v>0.86</v>
      </c>
      <c r="BT96" s="997">
        <f>SUMPRODUCT(N96:N98,S96:S98)</f>
        <v>0.73</v>
      </c>
      <c r="BU96" s="1027" t="str">
        <f>IF(BT96&lt;1%,"Sin iniciar",IF(BT96=100%,"Terminado","En gestión"))</f>
        <v>En gestión</v>
      </c>
      <c r="BV96" s="1027" t="str">
        <f>IF(BS96&lt;1%,"Sin iniciar",IF(BS96=100%,"Terminado","En gestión"))</f>
        <v>En gestión</v>
      </c>
      <c r="BW96" s="1006" t="s">
        <v>28</v>
      </c>
      <c r="BX96" s="1006" t="s">
        <v>3965</v>
      </c>
      <c r="BY96" s="1107">
        <v>268147057.32000002</v>
      </c>
      <c r="BZ96" s="1014">
        <v>288772972.10896969</v>
      </c>
      <c r="CA96" s="1034">
        <f>BZ96*BS96</f>
        <v>248344756.01371393</v>
      </c>
      <c r="CB96" s="1014">
        <v>93119776.5</v>
      </c>
      <c r="CC96" s="1056">
        <v>102126150</v>
      </c>
      <c r="CD96" s="1056">
        <v>65116200</v>
      </c>
      <c r="CE96" s="1006" t="s">
        <v>3966</v>
      </c>
      <c r="CF96" s="1006" t="s">
        <v>3599</v>
      </c>
      <c r="CG96" s="1006" t="s">
        <v>3600</v>
      </c>
      <c r="CH96" s="1006" t="s">
        <v>2700</v>
      </c>
    </row>
    <row r="97" spans="2:86" ht="171.95" customHeight="1" x14ac:dyDescent="0.25">
      <c r="B97" s="1186"/>
      <c r="C97" s="1030"/>
      <c r="D97" s="384" t="s">
        <v>1040</v>
      </c>
      <c r="E97" s="1024"/>
      <c r="F97" s="384" t="s">
        <v>28</v>
      </c>
      <c r="G97" s="384" t="s">
        <v>28</v>
      </c>
      <c r="H97" s="384" t="s">
        <v>326</v>
      </c>
      <c r="I97" s="384" t="s">
        <v>30</v>
      </c>
      <c r="J97" s="1025"/>
      <c r="K97" s="385" t="s">
        <v>187</v>
      </c>
      <c r="L97" s="386" t="s">
        <v>1895</v>
      </c>
      <c r="M97" s="387" t="s">
        <v>1896</v>
      </c>
      <c r="N97" s="384">
        <v>0.45</v>
      </c>
      <c r="O97" s="388">
        <v>44256</v>
      </c>
      <c r="P97" s="388">
        <v>44469</v>
      </c>
      <c r="Q97" s="384">
        <v>0.2</v>
      </c>
      <c r="R97" s="384">
        <v>0.6</v>
      </c>
      <c r="S97" s="382">
        <v>1</v>
      </c>
      <c r="T97" s="384">
        <v>1</v>
      </c>
      <c r="U97" s="377">
        <v>0.2</v>
      </c>
      <c r="V97" s="389" t="s">
        <v>1897</v>
      </c>
      <c r="W97" s="431" t="s">
        <v>4022</v>
      </c>
      <c r="X97" s="379" t="str">
        <f t="shared" si="17"/>
        <v>En gestión</v>
      </c>
      <c r="Y97" s="379" t="str">
        <f t="shared" si="18"/>
        <v>En gestión</v>
      </c>
      <c r="Z97" s="1006"/>
      <c r="AA97" s="1026"/>
      <c r="AB97" s="1004"/>
      <c r="AC97" s="1027"/>
      <c r="AD97" s="1027"/>
      <c r="AE97" s="390"/>
      <c r="AF97" s="1014"/>
      <c r="AG97" s="1014"/>
      <c r="AH97" s="1014"/>
      <c r="AI97" s="1014"/>
      <c r="AJ97" s="1014"/>
      <c r="AK97" s="1014"/>
      <c r="AL97" s="1039"/>
      <c r="AM97" s="1039"/>
      <c r="AN97" s="1043"/>
      <c r="AO97" s="1006"/>
      <c r="AP97" s="1014"/>
      <c r="AQ97" s="1209">
        <v>0.6</v>
      </c>
      <c r="AR97" s="389" t="s">
        <v>2017</v>
      </c>
      <c r="AS97" s="431" t="s">
        <v>4023</v>
      </c>
      <c r="AT97" s="379" t="str">
        <f t="shared" si="19"/>
        <v>En gestión</v>
      </c>
      <c r="AU97" s="379" t="str">
        <f t="shared" si="20"/>
        <v>En gestión</v>
      </c>
      <c r="AV97" s="1006"/>
      <c r="AW97" s="998"/>
      <c r="AX97" s="999"/>
      <c r="AY97" s="1027"/>
      <c r="AZ97" s="1027"/>
      <c r="BA97" s="390"/>
      <c r="BB97" s="1006"/>
      <c r="BC97" s="1033"/>
      <c r="BD97" s="1033"/>
      <c r="BE97" s="1033"/>
      <c r="BF97" s="1033"/>
      <c r="BG97" s="1033"/>
      <c r="BH97" s="1033"/>
      <c r="BI97" s="1039"/>
      <c r="BJ97" s="1039"/>
      <c r="BK97" s="1006"/>
      <c r="BL97" s="1006"/>
      <c r="BM97" s="507">
        <v>1</v>
      </c>
      <c r="BN97" s="389" t="s">
        <v>4024</v>
      </c>
      <c r="BO97" s="389" t="s">
        <v>4025</v>
      </c>
      <c r="BP97" s="379" t="str">
        <f t="shared" si="43"/>
        <v>Terminado</v>
      </c>
      <c r="BQ97" s="379" t="str">
        <f t="shared" si="44"/>
        <v>Terminado</v>
      </c>
      <c r="BR97" s="1006"/>
      <c r="BS97" s="996"/>
      <c r="BT97" s="997"/>
      <c r="BU97" s="1027"/>
      <c r="BV97" s="1027"/>
      <c r="BW97" s="1006"/>
      <c r="BX97" s="1006"/>
      <c r="BY97" s="1107"/>
      <c r="BZ97" s="1014"/>
      <c r="CA97" s="1034"/>
      <c r="CB97" s="1014"/>
      <c r="CC97" s="1056"/>
      <c r="CD97" s="1056"/>
      <c r="CE97" s="1006"/>
      <c r="CF97" s="1006"/>
      <c r="CG97" s="1006"/>
      <c r="CH97" s="1006"/>
    </row>
    <row r="98" spans="2:86" ht="171.95" customHeight="1" x14ac:dyDescent="0.25">
      <c r="B98" s="1186"/>
      <c r="C98" s="1030"/>
      <c r="D98" s="384" t="s">
        <v>1040</v>
      </c>
      <c r="E98" s="1024"/>
      <c r="F98" s="384" t="s">
        <v>28</v>
      </c>
      <c r="G98" s="384" t="s">
        <v>28</v>
      </c>
      <c r="H98" s="384" t="s">
        <v>326</v>
      </c>
      <c r="I98" s="384" t="s">
        <v>30</v>
      </c>
      <c r="J98" s="1025"/>
      <c r="K98" s="385" t="s">
        <v>187</v>
      </c>
      <c r="L98" s="386" t="s">
        <v>1898</v>
      </c>
      <c r="M98" s="387" t="s">
        <v>1899</v>
      </c>
      <c r="N98" s="384">
        <v>0.1</v>
      </c>
      <c r="O98" s="388">
        <v>44317</v>
      </c>
      <c r="P98" s="388">
        <v>44477</v>
      </c>
      <c r="Q98" s="384">
        <v>0</v>
      </c>
      <c r="R98" s="384">
        <v>0.4</v>
      </c>
      <c r="S98" s="382">
        <v>0.8</v>
      </c>
      <c r="T98" s="384">
        <v>1</v>
      </c>
      <c r="U98" s="377">
        <v>0</v>
      </c>
      <c r="V98" s="389" t="s">
        <v>37</v>
      </c>
      <c r="W98" s="389" t="s">
        <v>37</v>
      </c>
      <c r="X98" s="379" t="str">
        <f t="shared" si="17"/>
        <v>Sin iniciar</v>
      </c>
      <c r="Y98" s="379" t="str">
        <f t="shared" si="18"/>
        <v>Sin iniciar</v>
      </c>
      <c r="Z98" s="1006"/>
      <c r="AA98" s="1026"/>
      <c r="AB98" s="1004"/>
      <c r="AC98" s="1027"/>
      <c r="AD98" s="1027"/>
      <c r="AE98" s="390"/>
      <c r="AF98" s="1014"/>
      <c r="AG98" s="1014"/>
      <c r="AH98" s="1014"/>
      <c r="AI98" s="1014"/>
      <c r="AJ98" s="1014"/>
      <c r="AK98" s="1014"/>
      <c r="AL98" s="1039"/>
      <c r="AM98" s="1039"/>
      <c r="AN98" s="1043"/>
      <c r="AO98" s="1006"/>
      <c r="AP98" s="1014"/>
      <c r="AQ98" s="1209">
        <v>0.4</v>
      </c>
      <c r="AR98" s="389" t="s">
        <v>2018</v>
      </c>
      <c r="AS98" s="389" t="s">
        <v>4026</v>
      </c>
      <c r="AT98" s="379" t="str">
        <f t="shared" si="19"/>
        <v>En gestión</v>
      </c>
      <c r="AU98" s="379" t="str">
        <f t="shared" si="20"/>
        <v>En gestión</v>
      </c>
      <c r="AV98" s="1006"/>
      <c r="AW98" s="998"/>
      <c r="AX98" s="999"/>
      <c r="AY98" s="1027"/>
      <c r="AZ98" s="1027"/>
      <c r="BA98" s="390"/>
      <c r="BB98" s="1006"/>
      <c r="BC98" s="1033"/>
      <c r="BD98" s="1033"/>
      <c r="BE98" s="1033"/>
      <c r="BF98" s="1033"/>
      <c r="BG98" s="1033"/>
      <c r="BH98" s="1033"/>
      <c r="BI98" s="1039"/>
      <c r="BJ98" s="1039"/>
      <c r="BK98" s="1006"/>
      <c r="BL98" s="1006"/>
      <c r="BM98" s="507">
        <v>0.85</v>
      </c>
      <c r="BN98" s="389" t="s">
        <v>4027</v>
      </c>
      <c r="BO98" s="389" t="s">
        <v>4028</v>
      </c>
      <c r="BP98" s="379" t="str">
        <f t="shared" si="43"/>
        <v>En gestión</v>
      </c>
      <c r="BQ98" s="379" t="str">
        <f t="shared" si="44"/>
        <v>En gestión</v>
      </c>
      <c r="BR98" s="1006"/>
      <c r="BS98" s="996"/>
      <c r="BT98" s="997"/>
      <c r="BU98" s="1027"/>
      <c r="BV98" s="1027"/>
      <c r="BW98" s="1006"/>
      <c r="BX98" s="1006"/>
      <c r="BY98" s="1107"/>
      <c r="BZ98" s="1014"/>
      <c r="CA98" s="1034"/>
      <c r="CB98" s="1014"/>
      <c r="CC98" s="1056"/>
      <c r="CD98" s="1056"/>
      <c r="CE98" s="1006"/>
      <c r="CF98" s="1006"/>
      <c r="CG98" s="1006"/>
      <c r="CH98" s="1006"/>
    </row>
    <row r="99" spans="2:86" ht="171.95" customHeight="1" x14ac:dyDescent="0.25">
      <c r="B99" s="1186"/>
      <c r="C99" s="1030"/>
      <c r="D99" s="384" t="s">
        <v>1040</v>
      </c>
      <c r="E99" s="1024"/>
      <c r="F99" s="384" t="s">
        <v>28</v>
      </c>
      <c r="G99" s="384" t="s">
        <v>28</v>
      </c>
      <c r="H99" s="384" t="s">
        <v>326</v>
      </c>
      <c r="I99" s="384" t="s">
        <v>30</v>
      </c>
      <c r="J99" s="1025"/>
      <c r="K99" s="385" t="s">
        <v>187</v>
      </c>
      <c r="L99" s="386" t="s">
        <v>1900</v>
      </c>
      <c r="M99" s="387" t="s">
        <v>1901</v>
      </c>
      <c r="N99" s="384">
        <v>0.25</v>
      </c>
      <c r="O99" s="388">
        <v>44382</v>
      </c>
      <c r="P99" s="388">
        <v>44547</v>
      </c>
      <c r="Q99" s="384">
        <v>0</v>
      </c>
      <c r="R99" s="384">
        <v>0</v>
      </c>
      <c r="S99" s="382">
        <v>0.5</v>
      </c>
      <c r="T99" s="384">
        <v>1</v>
      </c>
      <c r="U99" s="377">
        <v>0</v>
      </c>
      <c r="V99" s="389" t="s">
        <v>37</v>
      </c>
      <c r="W99" s="389" t="s">
        <v>37</v>
      </c>
      <c r="X99" s="379" t="str">
        <f t="shared" si="17"/>
        <v>Sin iniciar</v>
      </c>
      <c r="Y99" s="379" t="str">
        <f t="shared" si="18"/>
        <v>Sin iniciar</v>
      </c>
      <c r="Z99" s="1006"/>
      <c r="AA99" s="1026"/>
      <c r="AB99" s="1004"/>
      <c r="AC99" s="1027"/>
      <c r="AD99" s="1027"/>
      <c r="AE99" s="390"/>
      <c r="AF99" s="1014"/>
      <c r="AG99" s="1014"/>
      <c r="AH99" s="1014"/>
      <c r="AI99" s="1014"/>
      <c r="AJ99" s="1014"/>
      <c r="AK99" s="1014"/>
      <c r="AL99" s="1039"/>
      <c r="AM99" s="1039"/>
      <c r="AN99" s="1043"/>
      <c r="AO99" s="1006"/>
      <c r="AP99" s="1014"/>
      <c r="AQ99" s="1209">
        <v>0</v>
      </c>
      <c r="AR99" s="389" t="s">
        <v>2437</v>
      </c>
      <c r="AS99" s="389"/>
      <c r="AT99" s="379" t="str">
        <f t="shared" si="19"/>
        <v>Sin iniciar</v>
      </c>
      <c r="AU99" s="379" t="str">
        <f t="shared" si="20"/>
        <v>Sin iniciar</v>
      </c>
      <c r="AV99" s="1006"/>
      <c r="AW99" s="998" t="e">
        <f>SUMPRODUCT(#REF!,AE99:AE101)</f>
        <v>#REF!</v>
      </c>
      <c r="AX99" s="999" t="e">
        <f>SUMPRODUCT(#REF!,E99:E101)</f>
        <v>#REF!</v>
      </c>
      <c r="AY99" s="1027"/>
      <c r="AZ99" s="1027"/>
      <c r="BA99" s="390"/>
      <c r="BB99" s="1006"/>
      <c r="BC99" s="1033"/>
      <c r="BD99" s="1033"/>
      <c r="BE99" s="1033"/>
      <c r="BF99" s="1033"/>
      <c r="BG99" s="1033"/>
      <c r="BH99" s="1033"/>
      <c r="BI99" s="1039"/>
      <c r="BJ99" s="1039"/>
      <c r="BK99" s="1006"/>
      <c r="BL99" s="1006"/>
      <c r="BM99" s="507">
        <v>0.5</v>
      </c>
      <c r="BN99" s="389" t="s">
        <v>4029</v>
      </c>
      <c r="BO99" s="389" t="s">
        <v>4030</v>
      </c>
      <c r="BP99" s="379" t="str">
        <f t="shared" si="43"/>
        <v>En gestión</v>
      </c>
      <c r="BQ99" s="379" t="str">
        <f t="shared" si="44"/>
        <v>En gestión</v>
      </c>
      <c r="BR99" s="1006"/>
      <c r="BS99" s="996" t="e">
        <f>SUMPRODUCT(#REF!,BA99:BA101)</f>
        <v>#REF!</v>
      </c>
      <c r="BT99" s="997" t="e">
        <f>SUMPRODUCT(#REF!,AA99:AA101)</f>
        <v>#REF!</v>
      </c>
      <c r="BU99" s="1027"/>
      <c r="BV99" s="1027"/>
      <c r="BW99" s="1006"/>
      <c r="BX99" s="1006"/>
      <c r="BY99" s="1107"/>
      <c r="BZ99" s="1014"/>
      <c r="CA99" s="1034"/>
      <c r="CB99" s="1014"/>
      <c r="CC99" s="1056"/>
      <c r="CD99" s="1056"/>
      <c r="CE99" s="1006" t="s">
        <v>3966</v>
      </c>
      <c r="CF99" s="1006"/>
      <c r="CG99" s="1006"/>
      <c r="CH99" s="1006"/>
    </row>
    <row r="100" spans="2:86" ht="171.95" customHeight="1" x14ac:dyDescent="0.25">
      <c r="B100" s="1186"/>
      <c r="C100" s="1000" t="s">
        <v>1902</v>
      </c>
      <c r="D100" s="448" t="s">
        <v>57</v>
      </c>
      <c r="E100" s="1001" t="s">
        <v>1206</v>
      </c>
      <c r="F100" s="448" t="s">
        <v>28</v>
      </c>
      <c r="G100" s="448" t="s">
        <v>28</v>
      </c>
      <c r="H100" s="448" t="s">
        <v>326</v>
      </c>
      <c r="I100" s="448" t="s">
        <v>30</v>
      </c>
      <c r="J100" s="1032" t="s">
        <v>1903</v>
      </c>
      <c r="K100" s="449" t="s">
        <v>187</v>
      </c>
      <c r="L100" s="450" t="s">
        <v>1904</v>
      </c>
      <c r="M100" s="451" t="s">
        <v>1905</v>
      </c>
      <c r="N100" s="448">
        <v>0.8</v>
      </c>
      <c r="O100" s="452">
        <v>44200</v>
      </c>
      <c r="P100" s="452">
        <v>44253</v>
      </c>
      <c r="Q100" s="448">
        <v>1</v>
      </c>
      <c r="R100" s="448">
        <v>1</v>
      </c>
      <c r="S100" s="453">
        <v>1</v>
      </c>
      <c r="T100" s="448">
        <v>1</v>
      </c>
      <c r="U100" s="377">
        <v>1</v>
      </c>
      <c r="V100" s="454" t="s">
        <v>1906</v>
      </c>
      <c r="W100" s="488" t="s">
        <v>4031</v>
      </c>
      <c r="X100" s="455" t="str">
        <f t="shared" si="17"/>
        <v>Terminado</v>
      </c>
      <c r="Y100" s="455" t="str">
        <f t="shared" si="18"/>
        <v>Terminado</v>
      </c>
      <c r="Z100" s="990" t="s">
        <v>2006</v>
      </c>
      <c r="AA100" s="1026">
        <f>SUMPRODUCT(N100:N101,U100:U101)</f>
        <v>1</v>
      </c>
      <c r="AB100" s="1004">
        <f>SUMPRODUCT(N100:N101,Q100:Q101)</f>
        <v>1</v>
      </c>
      <c r="AC100" s="1037" t="str">
        <f>IF(AB100&lt;1%,"Sin iniciar",IF(AB100=100%,"Terminado","En gestión"))</f>
        <v>Terminado</v>
      </c>
      <c r="AD100" s="1037" t="str">
        <f>IF(AA100&lt;1%,"Sin iniciar",IF(AA100=100%,"Terminado","En gestión"))</f>
        <v>Terminado</v>
      </c>
      <c r="AE100" s="456"/>
      <c r="AF100" s="992">
        <v>13216978.92</v>
      </c>
      <c r="AG100" s="992">
        <v>0</v>
      </c>
      <c r="AH100" s="992">
        <v>5955834.9600000009</v>
      </c>
      <c r="AI100" s="992">
        <v>29280840</v>
      </c>
      <c r="AJ100" s="992">
        <v>0</v>
      </c>
      <c r="AK100" s="992">
        <v>2546160</v>
      </c>
      <c r="AL100" s="993" t="s">
        <v>2485</v>
      </c>
      <c r="AM100" s="993" t="s">
        <v>2486</v>
      </c>
      <c r="AN100" s="994" t="s">
        <v>2495</v>
      </c>
      <c r="AO100" s="990" t="s">
        <v>2496</v>
      </c>
      <c r="AP100" s="992">
        <f>+AI100</f>
        <v>29280840</v>
      </c>
      <c r="AQ100" s="1209">
        <v>1</v>
      </c>
      <c r="AR100" s="454" t="s">
        <v>2434</v>
      </c>
      <c r="AS100" s="464" t="s">
        <v>3862</v>
      </c>
      <c r="AT100" s="455" t="str">
        <f t="shared" si="19"/>
        <v>Terminado</v>
      </c>
      <c r="AU100" s="455" t="str">
        <f t="shared" si="20"/>
        <v>Terminado</v>
      </c>
      <c r="AV100" s="990" t="s">
        <v>2440</v>
      </c>
      <c r="AW100" s="998">
        <f>SUMPRODUCT(N100:N101,AQ100:AQ101)</f>
        <v>1</v>
      </c>
      <c r="AX100" s="999">
        <f>SUMPRODUCT(N100:N101,R100:R101)</f>
        <v>1</v>
      </c>
      <c r="AY100" s="1037" t="str">
        <f>IF(AX100&lt;1%,"Sin iniciar",IF(AX100=100%,"Terminado","En gestión"))</f>
        <v>Terminado</v>
      </c>
      <c r="AZ100" s="1037" t="str">
        <f>IF(AW100&lt;1%,"Sin iniciar",IF(AW100=100%,"Terminado","En gestión"))</f>
        <v>Terminado</v>
      </c>
      <c r="BA100" s="456"/>
      <c r="BB100" s="1108"/>
      <c r="BC100" s="1035">
        <v>13216978.92</v>
      </c>
      <c r="BD100" s="1035">
        <v>30211565.956969693</v>
      </c>
      <c r="BE100" s="1035">
        <v>18260473.587298848</v>
      </c>
      <c r="BF100" s="1035">
        <v>29280840</v>
      </c>
      <c r="BG100" s="1035">
        <v>0</v>
      </c>
      <c r="BH100" s="1035">
        <v>10184640</v>
      </c>
      <c r="BI100" s="993" t="s">
        <v>2485</v>
      </c>
      <c r="BJ100" s="993" t="s">
        <v>2495</v>
      </c>
      <c r="BK100" s="990" t="s">
        <v>2496</v>
      </c>
      <c r="BL100" s="990" t="s">
        <v>2701</v>
      </c>
      <c r="BM100" s="506">
        <v>1</v>
      </c>
      <c r="BN100" s="456" t="s">
        <v>2434</v>
      </c>
      <c r="BO100" s="991" t="s">
        <v>37</v>
      </c>
      <c r="BP100" s="455" t="str">
        <f t="shared" si="43"/>
        <v>Terminado</v>
      </c>
      <c r="BQ100" s="455" t="str">
        <f t="shared" si="44"/>
        <v>Terminado</v>
      </c>
      <c r="BR100" s="990" t="s">
        <v>28</v>
      </c>
      <c r="BS100" s="996">
        <f>SUMPRODUCT(N100:N101,BM100:BM101)</f>
        <v>1</v>
      </c>
      <c r="BT100" s="997">
        <f>SUMPRODUCT(N100:N101,S100:S101)</f>
        <v>1</v>
      </c>
      <c r="BU100" s="1037" t="str">
        <f>IF(BT100&lt;1%,"Sin iniciar",IF(BT100=100%,"Terminado","En gestión"))</f>
        <v>Terminado</v>
      </c>
      <c r="BV100" s="1037" t="str">
        <f>IF(BS100&lt;1%,"Sin iniciar",IF(BS100=100%,"Terminado","En gestión"))</f>
        <v>Terminado</v>
      </c>
      <c r="BW100" s="990" t="s">
        <v>28</v>
      </c>
      <c r="BX100" s="990" t="s">
        <v>3965</v>
      </c>
      <c r="BY100" s="1106">
        <v>13216978.92</v>
      </c>
      <c r="BZ100" s="992">
        <v>30211565.956969693</v>
      </c>
      <c r="CA100" s="992">
        <v>210804269.639548</v>
      </c>
      <c r="CB100" s="992">
        <v>29280840</v>
      </c>
      <c r="CC100" s="1061">
        <v>23233710</v>
      </c>
      <c r="CD100" s="1061">
        <v>16126075</v>
      </c>
      <c r="CE100" s="990" t="s">
        <v>3966</v>
      </c>
      <c r="CF100" s="990" t="s">
        <v>4032</v>
      </c>
      <c r="CG100" s="990" t="s">
        <v>4033</v>
      </c>
      <c r="CH100" s="990" t="s">
        <v>4034</v>
      </c>
    </row>
    <row r="101" spans="2:86" ht="171.95" customHeight="1" x14ac:dyDescent="0.25">
      <c r="B101" s="1186"/>
      <c r="C101" s="1000"/>
      <c r="D101" s="448" t="s">
        <v>57</v>
      </c>
      <c r="E101" s="1001"/>
      <c r="F101" s="448" t="s">
        <v>28</v>
      </c>
      <c r="G101" s="448" t="s">
        <v>28</v>
      </c>
      <c r="H101" s="448" t="s">
        <v>326</v>
      </c>
      <c r="I101" s="448" t="s">
        <v>30</v>
      </c>
      <c r="J101" s="1032"/>
      <c r="K101" s="449" t="s">
        <v>187</v>
      </c>
      <c r="L101" s="450" t="s">
        <v>1907</v>
      </c>
      <c r="M101" s="451" t="s">
        <v>1908</v>
      </c>
      <c r="N101" s="448">
        <v>0.2</v>
      </c>
      <c r="O101" s="452">
        <v>44256</v>
      </c>
      <c r="P101" s="452">
        <v>44274</v>
      </c>
      <c r="Q101" s="448">
        <v>1</v>
      </c>
      <c r="R101" s="448">
        <v>1</v>
      </c>
      <c r="S101" s="453">
        <v>1</v>
      </c>
      <c r="T101" s="448">
        <v>1</v>
      </c>
      <c r="U101" s="377">
        <v>1</v>
      </c>
      <c r="V101" s="454" t="s">
        <v>1909</v>
      </c>
      <c r="W101" s="488" t="s">
        <v>4035</v>
      </c>
      <c r="X101" s="455" t="str">
        <f t="shared" si="17"/>
        <v>Terminado</v>
      </c>
      <c r="Y101" s="455" t="str">
        <f t="shared" si="18"/>
        <v>Terminado</v>
      </c>
      <c r="Z101" s="990"/>
      <c r="AA101" s="1026"/>
      <c r="AB101" s="1004"/>
      <c r="AC101" s="1037"/>
      <c r="AD101" s="1037"/>
      <c r="AE101" s="456"/>
      <c r="AF101" s="992"/>
      <c r="AG101" s="992"/>
      <c r="AH101" s="992"/>
      <c r="AI101" s="992"/>
      <c r="AJ101" s="992"/>
      <c r="AK101" s="992"/>
      <c r="AL101" s="993"/>
      <c r="AM101" s="993"/>
      <c r="AN101" s="994"/>
      <c r="AO101" s="990"/>
      <c r="AP101" s="992"/>
      <c r="AQ101" s="1209">
        <v>1</v>
      </c>
      <c r="AR101" s="454" t="s">
        <v>2434</v>
      </c>
      <c r="AS101" s="464" t="s">
        <v>3862</v>
      </c>
      <c r="AT101" s="455" t="str">
        <f t="shared" si="19"/>
        <v>Terminado</v>
      </c>
      <c r="AU101" s="455" t="str">
        <f t="shared" si="20"/>
        <v>Terminado</v>
      </c>
      <c r="AV101" s="1108"/>
      <c r="AW101" s="998"/>
      <c r="AX101" s="999"/>
      <c r="AY101" s="1037"/>
      <c r="AZ101" s="1037"/>
      <c r="BA101" s="456"/>
      <c r="BB101" s="1108"/>
      <c r="BC101" s="1035"/>
      <c r="BD101" s="1035"/>
      <c r="BE101" s="1035"/>
      <c r="BF101" s="1035"/>
      <c r="BG101" s="1035"/>
      <c r="BH101" s="1035"/>
      <c r="BI101" s="993"/>
      <c r="BJ101" s="993"/>
      <c r="BK101" s="990"/>
      <c r="BL101" s="990"/>
      <c r="BM101" s="506">
        <v>1</v>
      </c>
      <c r="BN101" s="456" t="s">
        <v>2434</v>
      </c>
      <c r="BO101" s="991"/>
      <c r="BP101" s="455" t="str">
        <f t="shared" si="43"/>
        <v>Terminado</v>
      </c>
      <c r="BQ101" s="455" t="str">
        <f t="shared" si="44"/>
        <v>Terminado</v>
      </c>
      <c r="BR101" s="990"/>
      <c r="BS101" s="996"/>
      <c r="BT101" s="997"/>
      <c r="BU101" s="1037"/>
      <c r="BV101" s="1037"/>
      <c r="BW101" s="990"/>
      <c r="BX101" s="990"/>
      <c r="BY101" s="1106"/>
      <c r="BZ101" s="992"/>
      <c r="CA101" s="992"/>
      <c r="CB101" s="992"/>
      <c r="CC101" s="1061"/>
      <c r="CD101" s="1061"/>
      <c r="CE101" s="990"/>
      <c r="CF101" s="990"/>
      <c r="CG101" s="990"/>
      <c r="CH101" s="990"/>
    </row>
    <row r="102" spans="2:86" ht="171.95" customHeight="1" x14ac:dyDescent="0.25">
      <c r="B102" s="1186"/>
      <c r="C102" s="1030" t="s">
        <v>1910</v>
      </c>
      <c r="D102" s="384" t="s">
        <v>1040</v>
      </c>
      <c r="E102" s="1024" t="s">
        <v>1206</v>
      </c>
      <c r="F102" s="384" t="s">
        <v>28</v>
      </c>
      <c r="G102" s="384" t="s">
        <v>28</v>
      </c>
      <c r="H102" s="384" t="s">
        <v>326</v>
      </c>
      <c r="I102" s="384" t="s">
        <v>30</v>
      </c>
      <c r="J102" s="1025" t="s">
        <v>1911</v>
      </c>
      <c r="K102" s="385" t="s">
        <v>187</v>
      </c>
      <c r="L102" s="386" t="s">
        <v>1912</v>
      </c>
      <c r="M102" s="387" t="s">
        <v>1913</v>
      </c>
      <c r="N102" s="384">
        <v>0.3</v>
      </c>
      <c r="O102" s="388">
        <v>44228</v>
      </c>
      <c r="P102" s="388">
        <v>44261</v>
      </c>
      <c r="Q102" s="384">
        <v>1</v>
      </c>
      <c r="R102" s="384">
        <v>1</v>
      </c>
      <c r="S102" s="382">
        <v>1</v>
      </c>
      <c r="T102" s="384">
        <v>1</v>
      </c>
      <c r="U102" s="377">
        <v>1</v>
      </c>
      <c r="V102" s="389" t="s">
        <v>1914</v>
      </c>
      <c r="W102" s="431" t="s">
        <v>4036</v>
      </c>
      <c r="X102" s="379" t="str">
        <f t="shared" si="17"/>
        <v>Terminado</v>
      </c>
      <c r="Y102" s="379" t="str">
        <f t="shared" si="18"/>
        <v>Terminado</v>
      </c>
      <c r="Z102" s="1006" t="s">
        <v>2007</v>
      </c>
      <c r="AA102" s="1026">
        <f>SUMPRODUCT(N102:N104,U102:U104)</f>
        <v>0.63</v>
      </c>
      <c r="AB102" s="1004">
        <f>SUMPRODUCT(N102:N104,Q102:Q104)</f>
        <v>0.63</v>
      </c>
      <c r="AC102" s="1027" t="str">
        <f>IF(AB102&lt;1%,"Sin iniciar",IF(AB102=100%,"Terminado","En gestión"))</f>
        <v>En gestión</v>
      </c>
      <c r="AD102" s="1027" t="str">
        <f>IF(AA102&lt;1%,"Sin iniciar",IF(AA102=100%,"Terminado","En gestión"))</f>
        <v>En gestión</v>
      </c>
      <c r="AE102" s="390"/>
      <c r="AF102" s="1014">
        <v>13216978.92</v>
      </c>
      <c r="AG102" s="1014">
        <v>0</v>
      </c>
      <c r="AH102" s="1014">
        <v>8326696.7196000004</v>
      </c>
      <c r="AI102" s="1014">
        <v>14806250</v>
      </c>
      <c r="AJ102" s="1014">
        <v>0</v>
      </c>
      <c r="AK102" s="1014">
        <v>1339000</v>
      </c>
      <c r="AL102" s="1039" t="s">
        <v>2485</v>
      </c>
      <c r="AM102" s="1039" t="s">
        <v>2486</v>
      </c>
      <c r="AN102" s="1043" t="s">
        <v>2497</v>
      </c>
      <c r="AO102" s="1006" t="s">
        <v>2498</v>
      </c>
      <c r="AP102" s="1014">
        <f>+AI102</f>
        <v>14806250</v>
      </c>
      <c r="AQ102" s="1209">
        <v>1</v>
      </c>
      <c r="AR102" s="389" t="s">
        <v>2434</v>
      </c>
      <c r="AS102" s="408" t="s">
        <v>3862</v>
      </c>
      <c r="AT102" s="379" t="str">
        <f t="shared" si="19"/>
        <v>Terminado</v>
      </c>
      <c r="AU102" s="379" t="str">
        <f t="shared" si="20"/>
        <v>Terminado</v>
      </c>
      <c r="AV102" s="1006" t="s">
        <v>2036</v>
      </c>
      <c r="AW102" s="998">
        <f>SUMPRODUCT(N102:N104,AQ102:AQ104)</f>
        <v>1</v>
      </c>
      <c r="AX102" s="999">
        <f>SUMPRODUCT(N102:N104,R102:R104)</f>
        <v>1</v>
      </c>
      <c r="AY102" s="1027" t="str">
        <f>IF(AX102&lt;1%,"Sin iniciar",IF(AX102=100%,"Terminado","En gestión"))</f>
        <v>Terminado</v>
      </c>
      <c r="AZ102" s="1027" t="str">
        <f>IF(AW102&lt;1%,"Sin iniciar",IF(AW102=100%,"Terminado","En gestión"))</f>
        <v>Terminado</v>
      </c>
      <c r="BA102" s="390"/>
      <c r="BB102" s="1006"/>
      <c r="BC102" s="1033">
        <v>13216978.92</v>
      </c>
      <c r="BD102" s="1033">
        <v>19989320.956969693</v>
      </c>
      <c r="BE102" s="1033">
        <v>13149351.087298851</v>
      </c>
      <c r="BF102" s="1033">
        <v>14806250</v>
      </c>
      <c r="BG102" s="1033">
        <v>0</v>
      </c>
      <c r="BH102" s="1033">
        <v>5356000</v>
      </c>
      <c r="BI102" s="1039" t="s">
        <v>2485</v>
      </c>
      <c r="BJ102" s="1039" t="s">
        <v>2497</v>
      </c>
      <c r="BK102" s="1006" t="s">
        <v>2498</v>
      </c>
      <c r="BL102" s="1006" t="s">
        <v>2702</v>
      </c>
      <c r="BM102" s="506">
        <v>1</v>
      </c>
      <c r="BN102" s="390" t="s">
        <v>2875</v>
      </c>
      <c r="BO102" s="1016" t="s">
        <v>37</v>
      </c>
      <c r="BP102" s="379" t="str">
        <f t="shared" si="43"/>
        <v>Terminado</v>
      </c>
      <c r="BQ102" s="379" t="str">
        <f t="shared" si="44"/>
        <v>Terminado</v>
      </c>
      <c r="BR102" s="1006" t="s">
        <v>28</v>
      </c>
      <c r="BS102" s="996">
        <f>SUMPRODUCT(N102:N104,BM102:BM104)</f>
        <v>1</v>
      </c>
      <c r="BT102" s="997">
        <f>SUMPRODUCT(N102:N104,S102:S104)</f>
        <v>1</v>
      </c>
      <c r="BU102" s="1027" t="str">
        <f>IF(BT102&lt;1%,"Sin iniciar",IF(BT102=100%,"Terminado","En gestión"))</f>
        <v>Terminado</v>
      </c>
      <c r="BV102" s="1027" t="str">
        <f>IF(BS102&lt;1%,"Sin iniciar",IF(BS102=100%,"Terminado","En gestión"))</f>
        <v>Terminado</v>
      </c>
      <c r="BW102" s="1006" t="s">
        <v>28</v>
      </c>
      <c r="BX102" s="1006" t="s">
        <v>3965</v>
      </c>
      <c r="BY102" s="1107">
        <v>13216978.92</v>
      </c>
      <c r="BZ102" s="1014">
        <v>19989320.956969693</v>
      </c>
      <c r="CA102" s="1034">
        <f>BZ102*BS102</f>
        <v>19989320.956969693</v>
      </c>
      <c r="CB102" s="1014">
        <v>14806250</v>
      </c>
      <c r="CC102" s="1056">
        <v>14806250</v>
      </c>
      <c r="CD102" s="1056">
        <v>9337273</v>
      </c>
      <c r="CE102" s="1006" t="s">
        <v>3966</v>
      </c>
      <c r="CF102" s="1006" t="s">
        <v>4037</v>
      </c>
      <c r="CG102" s="1006" t="s">
        <v>4038</v>
      </c>
      <c r="CH102" s="1006" t="s">
        <v>4039</v>
      </c>
    </row>
    <row r="103" spans="2:86" ht="171.95" customHeight="1" x14ac:dyDescent="0.25">
      <c r="B103" s="1186"/>
      <c r="C103" s="1030"/>
      <c r="D103" s="384" t="s">
        <v>57</v>
      </c>
      <c r="E103" s="1024"/>
      <c r="F103" s="384" t="s">
        <v>28</v>
      </c>
      <c r="G103" s="384" t="s">
        <v>28</v>
      </c>
      <c r="H103" s="384" t="s">
        <v>326</v>
      </c>
      <c r="I103" s="384" t="s">
        <v>30</v>
      </c>
      <c r="J103" s="1025"/>
      <c r="K103" s="385" t="s">
        <v>187</v>
      </c>
      <c r="L103" s="386" t="s">
        <v>1915</v>
      </c>
      <c r="M103" s="387" t="s">
        <v>1916</v>
      </c>
      <c r="N103" s="384">
        <v>0.55000000000000004</v>
      </c>
      <c r="O103" s="388">
        <v>44256</v>
      </c>
      <c r="P103" s="388">
        <v>44309</v>
      </c>
      <c r="Q103" s="384">
        <v>0.6</v>
      </c>
      <c r="R103" s="384">
        <v>1</v>
      </c>
      <c r="S103" s="382">
        <v>1</v>
      </c>
      <c r="T103" s="384">
        <v>1</v>
      </c>
      <c r="U103" s="377">
        <v>0.6</v>
      </c>
      <c r="V103" s="389" t="s">
        <v>1917</v>
      </c>
      <c r="W103" s="431" t="s">
        <v>4040</v>
      </c>
      <c r="X103" s="379" t="str">
        <f t="shared" si="17"/>
        <v>En gestión</v>
      </c>
      <c r="Y103" s="379" t="str">
        <f t="shared" si="18"/>
        <v>En gestión</v>
      </c>
      <c r="Z103" s="1006"/>
      <c r="AA103" s="1026"/>
      <c r="AB103" s="1004"/>
      <c r="AC103" s="1027"/>
      <c r="AD103" s="1027"/>
      <c r="AE103" s="390"/>
      <c r="AF103" s="1014"/>
      <c r="AG103" s="1014"/>
      <c r="AH103" s="1014"/>
      <c r="AI103" s="1014"/>
      <c r="AJ103" s="1014"/>
      <c r="AK103" s="1014"/>
      <c r="AL103" s="1039" t="s">
        <v>2485</v>
      </c>
      <c r="AM103" s="1039" t="s">
        <v>2486</v>
      </c>
      <c r="AN103" s="1043" t="s">
        <v>2497</v>
      </c>
      <c r="AO103" s="1006" t="s">
        <v>2498</v>
      </c>
      <c r="AP103" s="1014"/>
      <c r="AQ103" s="1209">
        <v>1</v>
      </c>
      <c r="AR103" s="389" t="s">
        <v>2019</v>
      </c>
      <c r="AS103" s="431" t="s">
        <v>4041</v>
      </c>
      <c r="AT103" s="379" t="str">
        <f t="shared" si="19"/>
        <v>Terminado</v>
      </c>
      <c r="AU103" s="379" t="str">
        <f t="shared" si="20"/>
        <v>Terminado</v>
      </c>
      <c r="AV103" s="1006"/>
      <c r="AW103" s="998"/>
      <c r="AX103" s="999"/>
      <c r="AY103" s="1027"/>
      <c r="AZ103" s="1027"/>
      <c r="BA103" s="390"/>
      <c r="BB103" s="1006"/>
      <c r="BC103" s="1033"/>
      <c r="BD103" s="1033"/>
      <c r="BE103" s="1033"/>
      <c r="BF103" s="1033"/>
      <c r="BG103" s="1033"/>
      <c r="BH103" s="1033"/>
      <c r="BI103" s="1039" t="s">
        <v>2485</v>
      </c>
      <c r="BJ103" s="1039" t="s">
        <v>2497</v>
      </c>
      <c r="BK103" s="1006" t="s">
        <v>2498</v>
      </c>
      <c r="BL103" s="1006"/>
      <c r="BM103" s="506">
        <v>1</v>
      </c>
      <c r="BN103" s="390" t="s">
        <v>2875</v>
      </c>
      <c r="BO103" s="1016"/>
      <c r="BP103" s="379" t="str">
        <f t="shared" si="43"/>
        <v>Terminado</v>
      </c>
      <c r="BQ103" s="379" t="str">
        <f t="shared" si="44"/>
        <v>Terminado</v>
      </c>
      <c r="BR103" s="1006"/>
      <c r="BS103" s="996"/>
      <c r="BT103" s="997"/>
      <c r="BU103" s="1027"/>
      <c r="BV103" s="1027"/>
      <c r="BW103" s="1006"/>
      <c r="BX103" s="1006"/>
      <c r="BY103" s="1107"/>
      <c r="BZ103" s="1014"/>
      <c r="CA103" s="1006"/>
      <c r="CB103" s="1014"/>
      <c r="CC103" s="1056"/>
      <c r="CD103" s="1056"/>
      <c r="CE103" s="1006"/>
      <c r="CF103" s="1006"/>
      <c r="CG103" s="1006"/>
      <c r="CH103" s="1006"/>
    </row>
    <row r="104" spans="2:86" ht="171.95" customHeight="1" x14ac:dyDescent="0.25">
      <c r="B104" s="1186"/>
      <c r="C104" s="1030"/>
      <c r="D104" s="384" t="s">
        <v>57</v>
      </c>
      <c r="E104" s="1024"/>
      <c r="F104" s="384" t="s">
        <v>28</v>
      </c>
      <c r="G104" s="384" t="s">
        <v>28</v>
      </c>
      <c r="H104" s="384" t="s">
        <v>326</v>
      </c>
      <c r="I104" s="384" t="s">
        <v>30</v>
      </c>
      <c r="J104" s="1025"/>
      <c r="K104" s="385" t="s">
        <v>187</v>
      </c>
      <c r="L104" s="386" t="s">
        <v>1918</v>
      </c>
      <c r="M104" s="387" t="s">
        <v>1919</v>
      </c>
      <c r="N104" s="384">
        <v>0.15</v>
      </c>
      <c r="O104" s="388">
        <v>44309</v>
      </c>
      <c r="P104" s="388">
        <v>44330</v>
      </c>
      <c r="Q104" s="384">
        <v>0</v>
      </c>
      <c r="R104" s="384">
        <v>1</v>
      </c>
      <c r="S104" s="382">
        <v>1</v>
      </c>
      <c r="T104" s="384">
        <v>1</v>
      </c>
      <c r="U104" s="377">
        <v>0</v>
      </c>
      <c r="V104" s="389" t="s">
        <v>37</v>
      </c>
      <c r="W104" s="389" t="s">
        <v>37</v>
      </c>
      <c r="X104" s="379" t="str">
        <f t="shared" si="17"/>
        <v>Sin iniciar</v>
      </c>
      <c r="Y104" s="379" t="str">
        <f t="shared" si="18"/>
        <v>Sin iniciar</v>
      </c>
      <c r="Z104" s="1006"/>
      <c r="AA104" s="1026"/>
      <c r="AB104" s="1004"/>
      <c r="AC104" s="1027"/>
      <c r="AD104" s="1027"/>
      <c r="AE104" s="390"/>
      <c r="AF104" s="1014"/>
      <c r="AG104" s="1014"/>
      <c r="AH104" s="1014"/>
      <c r="AI104" s="1014"/>
      <c r="AJ104" s="1014"/>
      <c r="AK104" s="1014"/>
      <c r="AL104" s="1039" t="s">
        <v>2485</v>
      </c>
      <c r="AM104" s="1039" t="s">
        <v>2486</v>
      </c>
      <c r="AN104" s="1043" t="s">
        <v>2497</v>
      </c>
      <c r="AO104" s="1006" t="s">
        <v>2498</v>
      </c>
      <c r="AP104" s="1014"/>
      <c r="AQ104" s="1209">
        <v>1</v>
      </c>
      <c r="AR104" s="389" t="s">
        <v>2020</v>
      </c>
      <c r="AS104" s="389" t="s">
        <v>4042</v>
      </c>
      <c r="AT104" s="379" t="str">
        <f t="shared" si="19"/>
        <v>Terminado</v>
      </c>
      <c r="AU104" s="379" t="str">
        <f t="shared" si="20"/>
        <v>Terminado</v>
      </c>
      <c r="AV104" s="1006"/>
      <c r="AW104" s="998"/>
      <c r="AX104" s="999"/>
      <c r="AY104" s="1027"/>
      <c r="AZ104" s="1027"/>
      <c r="BA104" s="390"/>
      <c r="BB104" s="1006"/>
      <c r="BC104" s="1033"/>
      <c r="BD104" s="1033"/>
      <c r="BE104" s="1033"/>
      <c r="BF104" s="1033"/>
      <c r="BG104" s="1033"/>
      <c r="BH104" s="1033"/>
      <c r="BI104" s="1039" t="s">
        <v>2485</v>
      </c>
      <c r="BJ104" s="1039" t="s">
        <v>2497</v>
      </c>
      <c r="BK104" s="1006" t="s">
        <v>2498</v>
      </c>
      <c r="BL104" s="1006"/>
      <c r="BM104" s="506">
        <v>1</v>
      </c>
      <c r="BN104" s="390" t="s">
        <v>2875</v>
      </c>
      <c r="BO104" s="1016"/>
      <c r="BP104" s="379" t="str">
        <f t="shared" si="43"/>
        <v>Terminado</v>
      </c>
      <c r="BQ104" s="379" t="str">
        <f t="shared" si="44"/>
        <v>Terminado</v>
      </c>
      <c r="BR104" s="1006"/>
      <c r="BS104" s="996"/>
      <c r="BT104" s="997"/>
      <c r="BU104" s="1027"/>
      <c r="BV104" s="1027"/>
      <c r="BW104" s="1006"/>
      <c r="BX104" s="1006"/>
      <c r="BY104" s="1107"/>
      <c r="BZ104" s="1014"/>
      <c r="CA104" s="1006"/>
      <c r="CB104" s="1014"/>
      <c r="CC104" s="1056"/>
      <c r="CD104" s="1056"/>
      <c r="CE104" s="1006"/>
      <c r="CF104" s="1006"/>
      <c r="CG104" s="1006"/>
      <c r="CH104" s="1006"/>
    </row>
    <row r="105" spans="2:86" ht="171.95" customHeight="1" x14ac:dyDescent="0.25">
      <c r="B105" s="1186"/>
      <c r="C105" s="1000" t="s">
        <v>1920</v>
      </c>
      <c r="D105" s="448" t="s">
        <v>57</v>
      </c>
      <c r="E105" s="1001" t="s">
        <v>1206</v>
      </c>
      <c r="F105" s="448" t="s">
        <v>28</v>
      </c>
      <c r="G105" s="448" t="s">
        <v>28</v>
      </c>
      <c r="H105" s="448" t="s">
        <v>326</v>
      </c>
      <c r="I105" s="448" t="s">
        <v>30</v>
      </c>
      <c r="J105" s="1032" t="s">
        <v>1921</v>
      </c>
      <c r="K105" s="449" t="s">
        <v>1922</v>
      </c>
      <c r="L105" s="450" t="s">
        <v>1923</v>
      </c>
      <c r="M105" s="451" t="s">
        <v>1924</v>
      </c>
      <c r="N105" s="448">
        <v>0.3</v>
      </c>
      <c r="O105" s="452">
        <v>44200</v>
      </c>
      <c r="P105" s="452">
        <v>44286</v>
      </c>
      <c r="Q105" s="448">
        <v>1</v>
      </c>
      <c r="R105" s="448">
        <v>1</v>
      </c>
      <c r="S105" s="453">
        <v>1</v>
      </c>
      <c r="T105" s="448">
        <v>1</v>
      </c>
      <c r="U105" s="377">
        <v>0.98</v>
      </c>
      <c r="V105" s="454" t="s">
        <v>1925</v>
      </c>
      <c r="W105" s="488" t="s">
        <v>4043</v>
      </c>
      <c r="X105" s="455" t="str">
        <f t="shared" si="17"/>
        <v>Terminado</v>
      </c>
      <c r="Y105" s="455" t="str">
        <f t="shared" si="18"/>
        <v>En gestión</v>
      </c>
      <c r="Z105" s="990" t="s">
        <v>2430</v>
      </c>
      <c r="AA105" s="1026">
        <f>SUMPRODUCT(N105:N107,U105:U107)</f>
        <v>0.45899999999999996</v>
      </c>
      <c r="AB105" s="1004">
        <f>SUMPRODUCT(N105:N107,Q105:Q107)</f>
        <v>0.46499999999999997</v>
      </c>
      <c r="AC105" s="1037" t="str">
        <f>IF(AB105&lt;1%,"Sin iniciar",IF(AB105=100%,"Terminado","En gestión"))</f>
        <v>En gestión</v>
      </c>
      <c r="AD105" s="1037" t="str">
        <f>IF(AA105&lt;1%,"Sin iniciar",IF(AA105=100%,"Terminado","En gestión"))</f>
        <v>En gestión</v>
      </c>
      <c r="AE105" s="454" t="s">
        <v>2008</v>
      </c>
      <c r="AF105" s="992">
        <v>48365343.719999999</v>
      </c>
      <c r="AG105" s="992">
        <v>0</v>
      </c>
      <c r="AH105" s="992">
        <v>22199692.767479997</v>
      </c>
      <c r="AI105" s="992">
        <v>15038257.5</v>
      </c>
      <c r="AJ105" s="992">
        <v>0</v>
      </c>
      <c r="AK105" s="992">
        <v>2864430</v>
      </c>
      <c r="AL105" s="993" t="s">
        <v>2485</v>
      </c>
      <c r="AM105" s="993" t="s">
        <v>2486</v>
      </c>
      <c r="AN105" s="994" t="s">
        <v>2495</v>
      </c>
      <c r="AO105" s="990" t="s">
        <v>2496</v>
      </c>
      <c r="AP105" s="992">
        <f>+AI105</f>
        <v>15038257.5</v>
      </c>
      <c r="AQ105" s="1209">
        <v>1</v>
      </c>
      <c r="AR105" s="454" t="s">
        <v>2021</v>
      </c>
      <c r="AS105" s="488" t="s">
        <v>4044</v>
      </c>
      <c r="AT105" s="455" t="str">
        <f t="shared" si="19"/>
        <v>Terminado</v>
      </c>
      <c r="AU105" s="455" t="str">
        <f t="shared" si="20"/>
        <v>Terminado</v>
      </c>
      <c r="AV105" s="990" t="s">
        <v>2037</v>
      </c>
      <c r="AW105" s="998">
        <f>SUMPRODUCT(N105:N107,AQ105:AQ107)</f>
        <v>0.8650000000000001</v>
      </c>
      <c r="AX105" s="999">
        <f>SUMPRODUCT(N105:N107,R105:R107)</f>
        <v>0.8650000000000001</v>
      </c>
      <c r="AY105" s="1037" t="str">
        <f>IF(AX105&lt;1%,"Sin iniciar",IF(AX105=100%,"Terminado","En gestión"))</f>
        <v>En gestión</v>
      </c>
      <c r="AZ105" s="1037" t="str">
        <f>IF(AW105&lt;1%,"Sin iniciar",IF(AW105=100%,"Terminado","En gestión"))</f>
        <v>En gestión</v>
      </c>
      <c r="BA105" s="454"/>
      <c r="BB105" s="990"/>
      <c r="BC105" s="1035">
        <v>48365343.719999999</v>
      </c>
      <c r="BD105" s="1035">
        <v>49250334.652969696</v>
      </c>
      <c r="BE105" s="1035">
        <v>31620609.44129885</v>
      </c>
      <c r="BF105" s="1035">
        <v>15038257.5</v>
      </c>
      <c r="BG105" s="1035">
        <v>0</v>
      </c>
      <c r="BH105" s="1035">
        <v>11457720</v>
      </c>
      <c r="BI105" s="993" t="s">
        <v>2485</v>
      </c>
      <c r="BJ105" s="993" t="s">
        <v>2495</v>
      </c>
      <c r="BK105" s="990" t="s">
        <v>2496</v>
      </c>
      <c r="BL105" s="990" t="s">
        <v>2701</v>
      </c>
      <c r="BM105" s="506">
        <v>1</v>
      </c>
      <c r="BN105" s="456" t="s">
        <v>2434</v>
      </c>
      <c r="BO105" s="991" t="s">
        <v>37</v>
      </c>
      <c r="BP105" s="455" t="str">
        <f t="shared" si="43"/>
        <v>Terminado</v>
      </c>
      <c r="BQ105" s="455" t="str">
        <f t="shared" si="44"/>
        <v>Terminado</v>
      </c>
      <c r="BR105" s="990" t="s">
        <v>4045</v>
      </c>
      <c r="BS105" s="996">
        <f>SUMPRODUCT(N105:N107,BM105:BM107)</f>
        <v>1</v>
      </c>
      <c r="BT105" s="997">
        <f>SUMPRODUCT(N105:N107,S105:S107)</f>
        <v>1</v>
      </c>
      <c r="BU105" s="1037" t="str">
        <f>IF(BT105&lt;1%,"Sin iniciar",IF(BT105=100%,"Terminado","En gestión"))</f>
        <v>Terminado</v>
      </c>
      <c r="BV105" s="1037" t="str">
        <f>IF(BS105&lt;1%,"Sin iniciar",IF(BS105=100%,"Terminado","En gestión"))</f>
        <v>Terminado</v>
      </c>
      <c r="BW105" s="990" t="s">
        <v>28</v>
      </c>
      <c r="BX105" s="990" t="s">
        <v>3965</v>
      </c>
      <c r="BY105" s="1106">
        <v>48365343.719999999</v>
      </c>
      <c r="BZ105" s="992">
        <v>49250334.652969696</v>
      </c>
      <c r="CA105" s="1013">
        <f>BZ105*BS105</f>
        <v>49250334.652969696</v>
      </c>
      <c r="CB105" s="992">
        <v>15038257.5</v>
      </c>
      <c r="CC105" s="1061">
        <v>23233710</v>
      </c>
      <c r="CD105" s="1061">
        <v>16126075</v>
      </c>
      <c r="CE105" s="990" t="s">
        <v>3966</v>
      </c>
      <c r="CF105" s="990" t="s">
        <v>4032</v>
      </c>
      <c r="CG105" s="990" t="s">
        <v>4033</v>
      </c>
      <c r="CH105" s="990" t="s">
        <v>4034</v>
      </c>
    </row>
    <row r="106" spans="2:86" ht="171.95" customHeight="1" x14ac:dyDescent="0.25">
      <c r="B106" s="1186"/>
      <c r="C106" s="1000"/>
      <c r="D106" s="448" t="s">
        <v>57</v>
      </c>
      <c r="E106" s="1001"/>
      <c r="F106" s="448" t="s">
        <v>28</v>
      </c>
      <c r="G106" s="448" t="s">
        <v>28</v>
      </c>
      <c r="H106" s="448" t="s">
        <v>326</v>
      </c>
      <c r="I106" s="448" t="s">
        <v>30</v>
      </c>
      <c r="J106" s="1032"/>
      <c r="K106" s="449" t="s">
        <v>1922</v>
      </c>
      <c r="L106" s="450" t="s">
        <v>1926</v>
      </c>
      <c r="M106" s="451" t="s">
        <v>1927</v>
      </c>
      <c r="N106" s="448">
        <v>0.55000000000000004</v>
      </c>
      <c r="O106" s="452">
        <v>44256</v>
      </c>
      <c r="P106" s="452">
        <v>44372</v>
      </c>
      <c r="Q106" s="448">
        <v>0.3</v>
      </c>
      <c r="R106" s="448">
        <v>1</v>
      </c>
      <c r="S106" s="453">
        <v>1</v>
      </c>
      <c r="T106" s="448">
        <v>1</v>
      </c>
      <c r="U106" s="377">
        <v>0.3</v>
      </c>
      <c r="V106" s="454" t="s">
        <v>1928</v>
      </c>
      <c r="W106" s="488" t="s">
        <v>4046</v>
      </c>
      <c r="X106" s="455" t="str">
        <f t="shared" si="17"/>
        <v>En gestión</v>
      </c>
      <c r="Y106" s="455" t="str">
        <f t="shared" si="18"/>
        <v>En gestión</v>
      </c>
      <c r="Z106" s="990"/>
      <c r="AA106" s="1026"/>
      <c r="AB106" s="1004"/>
      <c r="AC106" s="1037"/>
      <c r="AD106" s="1037"/>
      <c r="AE106" s="456"/>
      <c r="AF106" s="992"/>
      <c r="AG106" s="992"/>
      <c r="AH106" s="992"/>
      <c r="AI106" s="992"/>
      <c r="AJ106" s="992"/>
      <c r="AK106" s="992"/>
      <c r="AL106" s="993" t="s">
        <v>2485</v>
      </c>
      <c r="AM106" s="993" t="s">
        <v>2486</v>
      </c>
      <c r="AN106" s="994" t="s">
        <v>2495</v>
      </c>
      <c r="AO106" s="990" t="s">
        <v>2496</v>
      </c>
      <c r="AP106" s="992"/>
      <c r="AQ106" s="1209">
        <v>1</v>
      </c>
      <c r="AR106" s="454" t="s">
        <v>2022</v>
      </c>
      <c r="AS106" s="488" t="s">
        <v>4047</v>
      </c>
      <c r="AT106" s="455" t="str">
        <f t="shared" si="19"/>
        <v>Terminado</v>
      </c>
      <c r="AU106" s="455" t="str">
        <f t="shared" si="20"/>
        <v>Terminado</v>
      </c>
      <c r="AV106" s="990"/>
      <c r="AW106" s="998"/>
      <c r="AX106" s="999"/>
      <c r="AY106" s="1037"/>
      <c r="AZ106" s="1037"/>
      <c r="BA106" s="456"/>
      <c r="BB106" s="990"/>
      <c r="BC106" s="1035"/>
      <c r="BD106" s="1035"/>
      <c r="BE106" s="1035"/>
      <c r="BF106" s="1035"/>
      <c r="BG106" s="1035"/>
      <c r="BH106" s="1035"/>
      <c r="BI106" s="993" t="s">
        <v>2485</v>
      </c>
      <c r="BJ106" s="993" t="s">
        <v>2495</v>
      </c>
      <c r="BK106" s="990" t="s">
        <v>2496</v>
      </c>
      <c r="BL106" s="990"/>
      <c r="BM106" s="506">
        <v>1</v>
      </c>
      <c r="BN106" s="456" t="s">
        <v>2875</v>
      </c>
      <c r="BO106" s="991"/>
      <c r="BP106" s="455" t="str">
        <f t="shared" si="43"/>
        <v>Terminado</v>
      </c>
      <c r="BQ106" s="455" t="str">
        <f t="shared" si="44"/>
        <v>Terminado</v>
      </c>
      <c r="BR106" s="990"/>
      <c r="BS106" s="996"/>
      <c r="BT106" s="997"/>
      <c r="BU106" s="1037"/>
      <c r="BV106" s="1037"/>
      <c r="BW106" s="990"/>
      <c r="BX106" s="990"/>
      <c r="BY106" s="1106"/>
      <c r="BZ106" s="992"/>
      <c r="CA106" s="990"/>
      <c r="CB106" s="992"/>
      <c r="CC106" s="1061"/>
      <c r="CD106" s="1061"/>
      <c r="CE106" s="990"/>
      <c r="CF106" s="990"/>
      <c r="CG106" s="990"/>
      <c r="CH106" s="990"/>
    </row>
    <row r="107" spans="2:86" ht="171.95" customHeight="1" x14ac:dyDescent="0.25">
      <c r="B107" s="1186"/>
      <c r="C107" s="1000"/>
      <c r="D107" s="448" t="s">
        <v>57</v>
      </c>
      <c r="E107" s="1001"/>
      <c r="F107" s="448" t="s">
        <v>28</v>
      </c>
      <c r="G107" s="448" t="s">
        <v>28</v>
      </c>
      <c r="H107" s="448" t="s">
        <v>326</v>
      </c>
      <c r="I107" s="448" t="s">
        <v>30</v>
      </c>
      <c r="J107" s="1032"/>
      <c r="K107" s="449" t="s">
        <v>1922</v>
      </c>
      <c r="L107" s="450" t="s">
        <v>1929</v>
      </c>
      <c r="M107" s="451" t="s">
        <v>1930</v>
      </c>
      <c r="N107" s="448">
        <v>0.15</v>
      </c>
      <c r="O107" s="452">
        <v>44375</v>
      </c>
      <c r="P107" s="452">
        <v>44400</v>
      </c>
      <c r="Q107" s="448">
        <v>0</v>
      </c>
      <c r="R107" s="448">
        <v>0.1</v>
      </c>
      <c r="S107" s="453">
        <v>1</v>
      </c>
      <c r="T107" s="448">
        <v>1</v>
      </c>
      <c r="U107" s="377">
        <v>0</v>
      </c>
      <c r="V107" s="454" t="s">
        <v>37</v>
      </c>
      <c r="W107" s="454" t="s">
        <v>37</v>
      </c>
      <c r="X107" s="455" t="str">
        <f t="shared" ref="X107:X131" si="45">IF(Q107&lt;1%,"Sin iniciar",IF(Q107=100%,"Terminado","En gestión"))</f>
        <v>Sin iniciar</v>
      </c>
      <c r="Y107" s="455" t="str">
        <f t="shared" ref="Y107:Y131" si="46">IF(U107&lt;1%,"Sin iniciar",IF(U107=100%,"Terminado","En gestión"))</f>
        <v>Sin iniciar</v>
      </c>
      <c r="Z107" s="990"/>
      <c r="AA107" s="1026"/>
      <c r="AB107" s="1004"/>
      <c r="AC107" s="1037"/>
      <c r="AD107" s="1037"/>
      <c r="AE107" s="456"/>
      <c r="AF107" s="992"/>
      <c r="AG107" s="992"/>
      <c r="AH107" s="992"/>
      <c r="AI107" s="992"/>
      <c r="AJ107" s="992"/>
      <c r="AK107" s="992"/>
      <c r="AL107" s="993" t="s">
        <v>2485</v>
      </c>
      <c r="AM107" s="993" t="s">
        <v>2486</v>
      </c>
      <c r="AN107" s="994" t="s">
        <v>2495</v>
      </c>
      <c r="AO107" s="990" t="s">
        <v>2496</v>
      </c>
      <c r="AP107" s="992"/>
      <c r="AQ107" s="1209">
        <v>0.1</v>
      </c>
      <c r="AR107" s="454" t="s">
        <v>2023</v>
      </c>
      <c r="AS107" s="454" t="s">
        <v>4048</v>
      </c>
      <c r="AT107" s="455" t="str">
        <f t="shared" ref="AT107:AT131" si="47">IF(R107&lt;1%,"Sin iniciar",IF(R107=100%,"Terminado","En gestión"))</f>
        <v>En gestión</v>
      </c>
      <c r="AU107" s="455" t="str">
        <f t="shared" ref="AU107:AU131" si="48">IF(AQ107&lt;1%,"Sin iniciar",IF(AQ107=100%,"Terminado","En gestión"))</f>
        <v>En gestión</v>
      </c>
      <c r="AV107" s="990"/>
      <c r="AW107" s="998"/>
      <c r="AX107" s="999"/>
      <c r="AY107" s="1037"/>
      <c r="AZ107" s="1037"/>
      <c r="BA107" s="456"/>
      <c r="BB107" s="990"/>
      <c r="BC107" s="1035"/>
      <c r="BD107" s="1035"/>
      <c r="BE107" s="1035"/>
      <c r="BF107" s="1035"/>
      <c r="BG107" s="1035"/>
      <c r="BH107" s="1035"/>
      <c r="BI107" s="993" t="s">
        <v>2485</v>
      </c>
      <c r="BJ107" s="993" t="s">
        <v>2495</v>
      </c>
      <c r="BK107" s="990" t="s">
        <v>2496</v>
      </c>
      <c r="BL107" s="990"/>
      <c r="BM107" s="507">
        <v>1</v>
      </c>
      <c r="BN107" s="454" t="s">
        <v>4049</v>
      </c>
      <c r="BO107" s="454" t="s">
        <v>4050</v>
      </c>
      <c r="BP107" s="455" t="str">
        <f t="shared" si="43"/>
        <v>Terminado</v>
      </c>
      <c r="BQ107" s="455" t="str">
        <f t="shared" si="44"/>
        <v>Terminado</v>
      </c>
      <c r="BR107" s="990"/>
      <c r="BS107" s="996"/>
      <c r="BT107" s="997"/>
      <c r="BU107" s="1037"/>
      <c r="BV107" s="1037"/>
      <c r="BW107" s="990"/>
      <c r="BX107" s="990"/>
      <c r="BY107" s="1106"/>
      <c r="BZ107" s="992"/>
      <c r="CA107" s="990"/>
      <c r="CB107" s="992"/>
      <c r="CC107" s="1061"/>
      <c r="CD107" s="1061"/>
      <c r="CE107" s="990"/>
      <c r="CF107" s="990"/>
      <c r="CG107" s="990"/>
      <c r="CH107" s="990"/>
    </row>
    <row r="108" spans="2:86" ht="171.95" customHeight="1" x14ac:dyDescent="0.25">
      <c r="B108" s="1186"/>
      <c r="C108" s="1030" t="s">
        <v>1931</v>
      </c>
      <c r="D108" s="384" t="s">
        <v>57</v>
      </c>
      <c r="E108" s="1024" t="s">
        <v>1206</v>
      </c>
      <c r="F108" s="384" t="s">
        <v>28</v>
      </c>
      <c r="G108" s="384" t="s">
        <v>28</v>
      </c>
      <c r="H108" s="384" t="s">
        <v>326</v>
      </c>
      <c r="I108" s="384" t="s">
        <v>30</v>
      </c>
      <c r="J108" s="1025" t="s">
        <v>1932</v>
      </c>
      <c r="K108" s="385" t="s">
        <v>187</v>
      </c>
      <c r="L108" s="386" t="s">
        <v>1933</v>
      </c>
      <c r="M108" s="387" t="s">
        <v>1934</v>
      </c>
      <c r="N108" s="384">
        <v>0.3</v>
      </c>
      <c r="O108" s="388">
        <v>44256</v>
      </c>
      <c r="P108" s="388">
        <v>44337</v>
      </c>
      <c r="Q108" s="384">
        <v>0.3</v>
      </c>
      <c r="R108" s="384">
        <v>1</v>
      </c>
      <c r="S108" s="382">
        <v>1</v>
      </c>
      <c r="T108" s="384">
        <v>1</v>
      </c>
      <c r="U108" s="377">
        <v>0.3</v>
      </c>
      <c r="V108" s="432" t="s">
        <v>1935</v>
      </c>
      <c r="W108" s="389" t="s">
        <v>4051</v>
      </c>
      <c r="X108" s="379" t="str">
        <f t="shared" si="45"/>
        <v>En gestión</v>
      </c>
      <c r="Y108" s="379" t="str">
        <f t="shared" si="46"/>
        <v>En gestión</v>
      </c>
      <c r="Z108" s="1006" t="s">
        <v>2009</v>
      </c>
      <c r="AA108" s="1026">
        <f>SUMPRODUCT(N108:N110,U108:U110)</f>
        <v>0.09</v>
      </c>
      <c r="AB108" s="1004">
        <f>SUMPRODUCT(N108:N110,Q108:Q110)</f>
        <v>0.09</v>
      </c>
      <c r="AC108" s="1027" t="str">
        <f>IF(AB108&lt;1%,"Sin iniciar",IF(AB108=100%,"Terminado","En gestión"))</f>
        <v>En gestión</v>
      </c>
      <c r="AD108" s="1027" t="str">
        <f>IF(AA108&lt;1%,"Sin iniciar",IF(AA108=100%,"Terminado","En gestión"))</f>
        <v>En gestión</v>
      </c>
      <c r="AE108" s="390"/>
      <c r="AF108" s="1014">
        <v>23700044.52</v>
      </c>
      <c r="AG108" s="1014">
        <v>0</v>
      </c>
      <c r="AH108" s="1014">
        <v>2133004.0068000001</v>
      </c>
      <c r="AI108" s="1014">
        <v>23085184</v>
      </c>
      <c r="AJ108" s="1014">
        <v>0</v>
      </c>
      <c r="AK108" s="1014">
        <v>3182700</v>
      </c>
      <c r="AL108" s="1039" t="s">
        <v>2485</v>
      </c>
      <c r="AM108" s="1039" t="s">
        <v>2486</v>
      </c>
      <c r="AN108" s="1043" t="s">
        <v>2499</v>
      </c>
      <c r="AO108" s="1006" t="s">
        <v>2500</v>
      </c>
      <c r="AP108" s="1014">
        <f>+AI108</f>
        <v>23085184</v>
      </c>
      <c r="AQ108" s="1209">
        <v>1</v>
      </c>
      <c r="AR108" s="432" t="s">
        <v>2024</v>
      </c>
      <c r="AS108" s="389" t="s">
        <v>4052</v>
      </c>
      <c r="AT108" s="379" t="str">
        <f t="shared" si="47"/>
        <v>Terminado</v>
      </c>
      <c r="AU108" s="379" t="str">
        <f t="shared" si="48"/>
        <v>Terminado</v>
      </c>
      <c r="AV108" s="1006" t="s">
        <v>2038</v>
      </c>
      <c r="AW108" s="998">
        <f>SUMPRODUCT(N108:N110,AQ108:AQ110)</f>
        <v>0.46499999999999997</v>
      </c>
      <c r="AX108" s="999">
        <f>SUMPRODUCT(N108:N110,R108:R110)</f>
        <v>0.46499999999999997</v>
      </c>
      <c r="AY108" s="1027" t="str">
        <f>IF(AX108&lt;1%,"Sin iniciar",IF(AX108=100%,"Terminado","En gestión"))</f>
        <v>En gestión</v>
      </c>
      <c r="AZ108" s="1027" t="str">
        <f>IF(AW108&lt;1%,"Sin iniciar",IF(AW108=100%,"Terminado","En gestión"))</f>
        <v>En gestión</v>
      </c>
      <c r="BA108" s="390"/>
      <c r="BB108" s="1006"/>
      <c r="BC108" s="1033">
        <v>23700044.52</v>
      </c>
      <c r="BD108" s="1033">
        <v>19989320.956969693</v>
      </c>
      <c r="BE108" s="1033">
        <v>13149351.087298851</v>
      </c>
      <c r="BF108" s="1033">
        <v>23085184</v>
      </c>
      <c r="BG108" s="1033">
        <v>0</v>
      </c>
      <c r="BH108" s="1033">
        <v>12730800</v>
      </c>
      <c r="BI108" s="1039" t="s">
        <v>2485</v>
      </c>
      <c r="BJ108" s="1039" t="s">
        <v>2499</v>
      </c>
      <c r="BK108" s="1006" t="s">
        <v>2500</v>
      </c>
      <c r="BL108" s="1006" t="s">
        <v>2703</v>
      </c>
      <c r="BM108" s="506">
        <v>1</v>
      </c>
      <c r="BN108" s="390" t="s">
        <v>2875</v>
      </c>
      <c r="BO108" s="390" t="s">
        <v>37</v>
      </c>
      <c r="BP108" s="379" t="str">
        <f t="shared" si="43"/>
        <v>Terminado</v>
      </c>
      <c r="BQ108" s="379" t="str">
        <f t="shared" si="44"/>
        <v>Terminado</v>
      </c>
      <c r="BR108" s="1006" t="s">
        <v>4053</v>
      </c>
      <c r="BS108" s="996">
        <f>SUMPRODUCT(N108:N110,BM108:BM110)</f>
        <v>1</v>
      </c>
      <c r="BT108" s="997">
        <f>SUMPRODUCT(N108:N110,S108:S110)</f>
        <v>1</v>
      </c>
      <c r="BU108" s="1027" t="str">
        <f>IF(BT108&lt;1%,"Sin iniciar",IF(BT108=100%,"Terminado","En gestión"))</f>
        <v>Terminado</v>
      </c>
      <c r="BV108" s="1027" t="str">
        <f>IF(BS108&lt;1%,"Sin iniciar",IF(BS108=100%,"Terminado","En gestión"))</f>
        <v>Terminado</v>
      </c>
      <c r="BW108" s="1006" t="s">
        <v>28</v>
      </c>
      <c r="BX108" s="1006" t="s">
        <v>3965</v>
      </c>
      <c r="BY108" s="1107">
        <v>23700044.52</v>
      </c>
      <c r="BZ108" s="1014">
        <v>19989320.956969693</v>
      </c>
      <c r="CA108" s="1034">
        <f>BZ108*BS108</f>
        <v>19989320.956969693</v>
      </c>
      <c r="CB108" s="1014">
        <v>23085184</v>
      </c>
      <c r="CC108" s="1056">
        <v>23085184</v>
      </c>
      <c r="CD108" s="1056">
        <v>11523858.6666667</v>
      </c>
      <c r="CE108" s="1006" t="s">
        <v>3966</v>
      </c>
      <c r="CF108" s="1006" t="s">
        <v>4054</v>
      </c>
      <c r="CG108" s="1006" t="s">
        <v>4055</v>
      </c>
      <c r="CH108" s="1006" t="s">
        <v>4056</v>
      </c>
    </row>
    <row r="109" spans="2:86" ht="171.95" customHeight="1" x14ac:dyDescent="0.25">
      <c r="B109" s="1186"/>
      <c r="C109" s="1030"/>
      <c r="D109" s="384" t="s">
        <v>57</v>
      </c>
      <c r="E109" s="1024"/>
      <c r="F109" s="384" t="s">
        <v>28</v>
      </c>
      <c r="G109" s="384" t="s">
        <v>28</v>
      </c>
      <c r="H109" s="384" t="s">
        <v>326</v>
      </c>
      <c r="I109" s="384" t="s">
        <v>30</v>
      </c>
      <c r="J109" s="1025"/>
      <c r="K109" s="385" t="s">
        <v>187</v>
      </c>
      <c r="L109" s="386" t="s">
        <v>1936</v>
      </c>
      <c r="M109" s="387" t="s">
        <v>1937</v>
      </c>
      <c r="N109" s="384">
        <v>0.55000000000000004</v>
      </c>
      <c r="O109" s="388">
        <v>44340</v>
      </c>
      <c r="P109" s="388">
        <v>44414</v>
      </c>
      <c r="Q109" s="384">
        <v>0</v>
      </c>
      <c r="R109" s="384">
        <v>0.3</v>
      </c>
      <c r="S109" s="382">
        <v>1</v>
      </c>
      <c r="T109" s="384">
        <v>1</v>
      </c>
      <c r="U109" s="377">
        <v>0</v>
      </c>
      <c r="V109" s="389" t="s">
        <v>37</v>
      </c>
      <c r="W109" s="389" t="s">
        <v>37</v>
      </c>
      <c r="X109" s="379" t="str">
        <f t="shared" si="45"/>
        <v>Sin iniciar</v>
      </c>
      <c r="Y109" s="379" t="str">
        <f t="shared" si="46"/>
        <v>Sin iniciar</v>
      </c>
      <c r="Z109" s="1006"/>
      <c r="AA109" s="1026"/>
      <c r="AB109" s="1004"/>
      <c r="AC109" s="1027"/>
      <c r="AD109" s="1027"/>
      <c r="AE109" s="390"/>
      <c r="AF109" s="1014"/>
      <c r="AG109" s="1014"/>
      <c r="AH109" s="1014"/>
      <c r="AI109" s="1014"/>
      <c r="AJ109" s="1014"/>
      <c r="AK109" s="1014"/>
      <c r="AL109" s="1039" t="s">
        <v>2485</v>
      </c>
      <c r="AM109" s="1039" t="s">
        <v>2486</v>
      </c>
      <c r="AN109" s="1043" t="s">
        <v>2499</v>
      </c>
      <c r="AO109" s="1006" t="s">
        <v>2500</v>
      </c>
      <c r="AP109" s="1014"/>
      <c r="AQ109" s="1209">
        <v>0.3</v>
      </c>
      <c r="AR109" s="389" t="s">
        <v>2025</v>
      </c>
      <c r="AS109" s="389" t="s">
        <v>4057</v>
      </c>
      <c r="AT109" s="379" t="str">
        <f t="shared" si="47"/>
        <v>En gestión</v>
      </c>
      <c r="AU109" s="379" t="str">
        <f t="shared" si="48"/>
        <v>En gestión</v>
      </c>
      <c r="AV109" s="1006"/>
      <c r="AW109" s="998"/>
      <c r="AX109" s="999"/>
      <c r="AY109" s="1027"/>
      <c r="AZ109" s="1027"/>
      <c r="BA109" s="390"/>
      <c r="BB109" s="1006"/>
      <c r="BC109" s="1033"/>
      <c r="BD109" s="1033"/>
      <c r="BE109" s="1033"/>
      <c r="BF109" s="1033"/>
      <c r="BG109" s="1033"/>
      <c r="BH109" s="1033"/>
      <c r="BI109" s="1039" t="s">
        <v>2485</v>
      </c>
      <c r="BJ109" s="1039" t="s">
        <v>2499</v>
      </c>
      <c r="BK109" s="1006" t="s">
        <v>2500</v>
      </c>
      <c r="BL109" s="1006"/>
      <c r="BM109" s="507">
        <v>1</v>
      </c>
      <c r="BN109" s="389" t="s">
        <v>4058</v>
      </c>
      <c r="BO109" s="389" t="s">
        <v>4059</v>
      </c>
      <c r="BP109" s="379" t="str">
        <f t="shared" si="43"/>
        <v>Terminado</v>
      </c>
      <c r="BQ109" s="379" t="str">
        <f t="shared" si="44"/>
        <v>Terminado</v>
      </c>
      <c r="BR109" s="1006"/>
      <c r="BS109" s="996"/>
      <c r="BT109" s="997"/>
      <c r="BU109" s="1027"/>
      <c r="BV109" s="1027"/>
      <c r="BW109" s="1006"/>
      <c r="BX109" s="1006"/>
      <c r="BY109" s="1107"/>
      <c r="BZ109" s="1014"/>
      <c r="CA109" s="1006"/>
      <c r="CB109" s="1014"/>
      <c r="CC109" s="1056"/>
      <c r="CD109" s="1056"/>
      <c r="CE109" s="1006"/>
      <c r="CF109" s="1006"/>
      <c r="CG109" s="1006"/>
      <c r="CH109" s="1006"/>
    </row>
    <row r="110" spans="2:86" ht="171.95" customHeight="1" x14ac:dyDescent="0.25">
      <c r="B110" s="1186"/>
      <c r="C110" s="1030"/>
      <c r="D110" s="384" t="s">
        <v>57</v>
      </c>
      <c r="E110" s="1024"/>
      <c r="F110" s="384" t="s">
        <v>28</v>
      </c>
      <c r="G110" s="384" t="s">
        <v>28</v>
      </c>
      <c r="H110" s="384" t="s">
        <v>326</v>
      </c>
      <c r="I110" s="384" t="s">
        <v>30</v>
      </c>
      <c r="J110" s="1025"/>
      <c r="K110" s="385" t="s">
        <v>187</v>
      </c>
      <c r="L110" s="386" t="s">
        <v>1938</v>
      </c>
      <c r="M110" s="387" t="s">
        <v>1939</v>
      </c>
      <c r="N110" s="384">
        <v>0.15</v>
      </c>
      <c r="O110" s="388">
        <v>44417</v>
      </c>
      <c r="P110" s="388">
        <v>44442</v>
      </c>
      <c r="Q110" s="384">
        <v>0</v>
      </c>
      <c r="R110" s="384">
        <v>0</v>
      </c>
      <c r="S110" s="382">
        <v>1</v>
      </c>
      <c r="T110" s="384">
        <v>1</v>
      </c>
      <c r="U110" s="377">
        <v>0</v>
      </c>
      <c r="V110" s="389" t="s">
        <v>37</v>
      </c>
      <c r="W110" s="389" t="s">
        <v>37</v>
      </c>
      <c r="X110" s="379" t="str">
        <f t="shared" si="45"/>
        <v>Sin iniciar</v>
      </c>
      <c r="Y110" s="379" t="str">
        <f t="shared" si="46"/>
        <v>Sin iniciar</v>
      </c>
      <c r="Z110" s="1006"/>
      <c r="AA110" s="1026"/>
      <c r="AB110" s="1004"/>
      <c r="AC110" s="1027"/>
      <c r="AD110" s="1027"/>
      <c r="AE110" s="390"/>
      <c r="AF110" s="1014"/>
      <c r="AG110" s="1014"/>
      <c r="AH110" s="1014"/>
      <c r="AI110" s="1014"/>
      <c r="AJ110" s="1014"/>
      <c r="AK110" s="1014"/>
      <c r="AL110" s="1039" t="s">
        <v>2485</v>
      </c>
      <c r="AM110" s="1039" t="s">
        <v>2486</v>
      </c>
      <c r="AN110" s="1043" t="s">
        <v>2499</v>
      </c>
      <c r="AO110" s="1006" t="s">
        <v>2500</v>
      </c>
      <c r="AP110" s="1014"/>
      <c r="AQ110" s="1209">
        <v>0</v>
      </c>
      <c r="AR110" s="389" t="s">
        <v>2437</v>
      </c>
      <c r="AS110" s="389"/>
      <c r="AT110" s="379" t="str">
        <f t="shared" si="47"/>
        <v>Sin iniciar</v>
      </c>
      <c r="AU110" s="379" t="str">
        <f t="shared" si="48"/>
        <v>Sin iniciar</v>
      </c>
      <c r="AV110" s="1006"/>
      <c r="AW110" s="998"/>
      <c r="AX110" s="999"/>
      <c r="AY110" s="1027"/>
      <c r="AZ110" s="1027"/>
      <c r="BA110" s="390"/>
      <c r="BB110" s="1006"/>
      <c r="BC110" s="1033"/>
      <c r="BD110" s="1033"/>
      <c r="BE110" s="1033"/>
      <c r="BF110" s="1033"/>
      <c r="BG110" s="1033"/>
      <c r="BH110" s="1033"/>
      <c r="BI110" s="1039" t="s">
        <v>2485</v>
      </c>
      <c r="BJ110" s="1039" t="s">
        <v>2499</v>
      </c>
      <c r="BK110" s="1006" t="s">
        <v>2500</v>
      </c>
      <c r="BL110" s="1006"/>
      <c r="BM110" s="507">
        <v>1</v>
      </c>
      <c r="BN110" s="389" t="s">
        <v>4060</v>
      </c>
      <c r="BO110" s="389" t="s">
        <v>4061</v>
      </c>
      <c r="BP110" s="379" t="str">
        <f t="shared" si="43"/>
        <v>Terminado</v>
      </c>
      <c r="BQ110" s="379" t="str">
        <f t="shared" si="44"/>
        <v>Terminado</v>
      </c>
      <c r="BR110" s="1006"/>
      <c r="BS110" s="996"/>
      <c r="BT110" s="997"/>
      <c r="BU110" s="1027"/>
      <c r="BV110" s="1027"/>
      <c r="BW110" s="1006"/>
      <c r="BX110" s="1006"/>
      <c r="BY110" s="1107"/>
      <c r="BZ110" s="1014"/>
      <c r="CA110" s="1006"/>
      <c r="CB110" s="1014"/>
      <c r="CC110" s="1056"/>
      <c r="CD110" s="1056"/>
      <c r="CE110" s="1006"/>
      <c r="CF110" s="1006"/>
      <c r="CG110" s="1006"/>
      <c r="CH110" s="1006"/>
    </row>
    <row r="111" spans="2:86" ht="171.95" customHeight="1" x14ac:dyDescent="0.25">
      <c r="B111" s="1186"/>
      <c r="C111" s="1000" t="s">
        <v>1940</v>
      </c>
      <c r="D111" s="448" t="s">
        <v>57</v>
      </c>
      <c r="E111" s="1001" t="s">
        <v>1206</v>
      </c>
      <c r="F111" s="448" t="s">
        <v>28</v>
      </c>
      <c r="G111" s="448" t="s">
        <v>28</v>
      </c>
      <c r="H111" s="448" t="s">
        <v>326</v>
      </c>
      <c r="I111" s="448" t="s">
        <v>30</v>
      </c>
      <c r="J111" s="1032" t="s">
        <v>1941</v>
      </c>
      <c r="K111" s="449" t="s">
        <v>187</v>
      </c>
      <c r="L111" s="450" t="s">
        <v>1942</v>
      </c>
      <c r="M111" s="451" t="s">
        <v>1943</v>
      </c>
      <c r="N111" s="448">
        <v>0.3</v>
      </c>
      <c r="O111" s="452">
        <v>44319</v>
      </c>
      <c r="P111" s="452">
        <v>44379</v>
      </c>
      <c r="Q111" s="448">
        <v>0</v>
      </c>
      <c r="R111" s="448">
        <v>0.8</v>
      </c>
      <c r="S111" s="453">
        <v>1</v>
      </c>
      <c r="T111" s="448">
        <v>1</v>
      </c>
      <c r="U111" s="377">
        <v>0</v>
      </c>
      <c r="V111" s="454" t="s">
        <v>37</v>
      </c>
      <c r="W111" s="454" t="s">
        <v>37</v>
      </c>
      <c r="X111" s="455" t="str">
        <f t="shared" si="45"/>
        <v>Sin iniciar</v>
      </c>
      <c r="Y111" s="455" t="str">
        <f t="shared" si="46"/>
        <v>Sin iniciar</v>
      </c>
      <c r="Z111" s="990"/>
      <c r="AA111" s="1026">
        <f>SUMPRODUCT(N111:N113,U111:U113)</f>
        <v>0</v>
      </c>
      <c r="AB111" s="1004">
        <f>SUMPRODUCT(N111:N113,Q111:Q113)</f>
        <v>0</v>
      </c>
      <c r="AC111" s="1037" t="str">
        <f>IF(AB111&lt;1%,"Sin iniciar",IF(AB111=100%,"Terminado","En gestión"))</f>
        <v>Sin iniciar</v>
      </c>
      <c r="AD111" s="1037" t="str">
        <f>IF(AA111&lt;1%,"Sin iniciar",IF(AA111=100%,"Terminado","En gestión"))</f>
        <v>Sin iniciar</v>
      </c>
      <c r="AE111" s="456"/>
      <c r="AF111" s="992">
        <v>48365343.719999999</v>
      </c>
      <c r="AG111" s="992">
        <v>0</v>
      </c>
      <c r="AH111" s="992">
        <v>0</v>
      </c>
      <c r="AI111" s="992">
        <v>15038257.5</v>
      </c>
      <c r="AJ111" s="992">
        <v>0</v>
      </c>
      <c r="AK111" s="992">
        <v>0</v>
      </c>
      <c r="AL111" s="993" t="s">
        <v>2485</v>
      </c>
      <c r="AM111" s="993" t="s">
        <v>2486</v>
      </c>
      <c r="AN111" s="994" t="s">
        <v>2495</v>
      </c>
      <c r="AO111" s="990" t="s">
        <v>2496</v>
      </c>
      <c r="AP111" s="992">
        <f>+AI111</f>
        <v>15038257.5</v>
      </c>
      <c r="AQ111" s="1209">
        <v>0.8</v>
      </c>
      <c r="AR111" s="454" t="s">
        <v>2026</v>
      </c>
      <c r="AS111" s="454" t="s">
        <v>4062</v>
      </c>
      <c r="AT111" s="455" t="str">
        <f t="shared" si="47"/>
        <v>En gestión</v>
      </c>
      <c r="AU111" s="455" t="str">
        <f t="shared" si="48"/>
        <v>En gestión</v>
      </c>
      <c r="AV111" s="990" t="s">
        <v>2039</v>
      </c>
      <c r="AW111" s="998">
        <f>SUMPRODUCT(N111:N113,AQ111:AQ113)</f>
        <v>0.24</v>
      </c>
      <c r="AX111" s="999">
        <f>SUMPRODUCT(N111:N113,R111:R113)</f>
        <v>0.24</v>
      </c>
      <c r="AY111" s="1037" t="str">
        <f>IF(AX111&lt;1%,"Sin iniciar",IF(AX111=100%,"Terminado","En gestión"))</f>
        <v>En gestión</v>
      </c>
      <c r="AZ111" s="1037" t="str">
        <f>IF(AW111&lt;1%,"Sin iniciar",IF(AW111=100%,"Terminado","En gestión"))</f>
        <v>En gestión</v>
      </c>
      <c r="BA111" s="456"/>
      <c r="BB111" s="990"/>
      <c r="BC111" s="1035">
        <v>48365343.719999999</v>
      </c>
      <c r="BD111" s="1035">
        <v>49475918.308969691</v>
      </c>
      <c r="BE111" s="1035">
        <v>12882393.721965518</v>
      </c>
      <c r="BF111" s="1035">
        <v>15038257.5</v>
      </c>
      <c r="BG111" s="1035">
        <v>0</v>
      </c>
      <c r="BH111" s="1035">
        <v>0</v>
      </c>
      <c r="BI111" s="993" t="s">
        <v>2485</v>
      </c>
      <c r="BJ111" s="993" t="s">
        <v>2495</v>
      </c>
      <c r="BK111" s="990" t="s">
        <v>2496</v>
      </c>
      <c r="BL111" s="990" t="s">
        <v>2701</v>
      </c>
      <c r="BM111" s="507">
        <v>1</v>
      </c>
      <c r="BN111" s="454" t="s">
        <v>4063</v>
      </c>
      <c r="BO111" s="454" t="s">
        <v>4064</v>
      </c>
      <c r="BP111" s="455" t="str">
        <f t="shared" si="43"/>
        <v>Terminado</v>
      </c>
      <c r="BQ111" s="455" t="str">
        <f t="shared" si="44"/>
        <v>Terminado</v>
      </c>
      <c r="BR111" s="990" t="s">
        <v>4065</v>
      </c>
      <c r="BS111" s="996">
        <f>SUMPRODUCT(N111:N113,BM111:BM113)</f>
        <v>1</v>
      </c>
      <c r="BT111" s="997">
        <f>SUMPRODUCT(N111:N113,S111:S113)</f>
        <v>1</v>
      </c>
      <c r="BU111" s="1037" t="str">
        <f>IF(BT111&lt;1%,"Sin iniciar",IF(BT111=100%,"Terminado","En gestión"))</f>
        <v>Terminado</v>
      </c>
      <c r="BV111" s="1037" t="str">
        <f>IF(BS111&lt;1%,"Sin iniciar",IF(BS111=100%,"Terminado","En gestión"))</f>
        <v>Terminado</v>
      </c>
      <c r="BW111" s="990" t="s">
        <v>3946</v>
      </c>
      <c r="BX111" s="990" t="s">
        <v>3965</v>
      </c>
      <c r="BY111" s="1106">
        <v>48365343.719999999</v>
      </c>
      <c r="BZ111" s="992">
        <v>49475918.308969691</v>
      </c>
      <c r="CA111" s="1013">
        <f>BZ111*BS111</f>
        <v>49475918.308969691</v>
      </c>
      <c r="CB111" s="992">
        <v>15038257.5</v>
      </c>
      <c r="CC111" s="1061">
        <v>12889935</v>
      </c>
      <c r="CD111" s="1061">
        <v>2864430</v>
      </c>
      <c r="CE111" s="990" t="s">
        <v>3966</v>
      </c>
      <c r="CF111" s="990" t="s">
        <v>4066</v>
      </c>
      <c r="CG111" s="990" t="s">
        <v>4033</v>
      </c>
      <c r="CH111" s="990" t="s">
        <v>4034</v>
      </c>
    </row>
    <row r="112" spans="2:86" ht="171.95" customHeight="1" x14ac:dyDescent="0.25">
      <c r="B112" s="1186"/>
      <c r="C112" s="1000"/>
      <c r="D112" s="448" t="s">
        <v>57</v>
      </c>
      <c r="E112" s="1001"/>
      <c r="F112" s="448" t="s">
        <v>28</v>
      </c>
      <c r="G112" s="448" t="s">
        <v>28</v>
      </c>
      <c r="H112" s="448" t="s">
        <v>326</v>
      </c>
      <c r="I112" s="448" t="s">
        <v>30</v>
      </c>
      <c r="J112" s="1032"/>
      <c r="K112" s="449" t="s">
        <v>187</v>
      </c>
      <c r="L112" s="450" t="s">
        <v>1944</v>
      </c>
      <c r="M112" s="451" t="s">
        <v>1945</v>
      </c>
      <c r="N112" s="448">
        <v>0.55000000000000004</v>
      </c>
      <c r="O112" s="452">
        <v>44382</v>
      </c>
      <c r="P112" s="452">
        <v>44435</v>
      </c>
      <c r="Q112" s="448">
        <v>0</v>
      </c>
      <c r="R112" s="448">
        <v>0</v>
      </c>
      <c r="S112" s="453">
        <v>1</v>
      </c>
      <c r="T112" s="448">
        <v>1</v>
      </c>
      <c r="U112" s="377">
        <v>0</v>
      </c>
      <c r="V112" s="454" t="s">
        <v>37</v>
      </c>
      <c r="W112" s="454" t="s">
        <v>37</v>
      </c>
      <c r="X112" s="455" t="str">
        <f t="shared" si="45"/>
        <v>Sin iniciar</v>
      </c>
      <c r="Y112" s="455" t="str">
        <f t="shared" si="46"/>
        <v>Sin iniciar</v>
      </c>
      <c r="Z112" s="990"/>
      <c r="AA112" s="1026"/>
      <c r="AB112" s="1004"/>
      <c r="AC112" s="1037"/>
      <c r="AD112" s="1037"/>
      <c r="AE112" s="456"/>
      <c r="AF112" s="992"/>
      <c r="AG112" s="992"/>
      <c r="AH112" s="992"/>
      <c r="AI112" s="992"/>
      <c r="AJ112" s="992"/>
      <c r="AK112" s="992"/>
      <c r="AL112" s="993" t="s">
        <v>2485</v>
      </c>
      <c r="AM112" s="993" t="s">
        <v>2486</v>
      </c>
      <c r="AN112" s="994" t="s">
        <v>2495</v>
      </c>
      <c r="AO112" s="990" t="s">
        <v>2496</v>
      </c>
      <c r="AP112" s="992"/>
      <c r="AQ112" s="1209">
        <v>0</v>
      </c>
      <c r="AR112" s="454" t="s">
        <v>2437</v>
      </c>
      <c r="AS112" s="454"/>
      <c r="AT112" s="455" t="str">
        <f t="shared" si="47"/>
        <v>Sin iniciar</v>
      </c>
      <c r="AU112" s="455" t="str">
        <f t="shared" si="48"/>
        <v>Sin iniciar</v>
      </c>
      <c r="AV112" s="990"/>
      <c r="AW112" s="998"/>
      <c r="AX112" s="999"/>
      <c r="AY112" s="1037"/>
      <c r="AZ112" s="1037"/>
      <c r="BA112" s="456"/>
      <c r="BB112" s="990"/>
      <c r="BC112" s="1035"/>
      <c r="BD112" s="1035"/>
      <c r="BE112" s="1035"/>
      <c r="BF112" s="1035"/>
      <c r="BG112" s="1035"/>
      <c r="BH112" s="1035"/>
      <c r="BI112" s="993" t="s">
        <v>2485</v>
      </c>
      <c r="BJ112" s="993" t="s">
        <v>2495</v>
      </c>
      <c r="BK112" s="990" t="s">
        <v>2496</v>
      </c>
      <c r="BL112" s="990"/>
      <c r="BM112" s="507">
        <v>1</v>
      </c>
      <c r="BN112" s="454" t="s">
        <v>4067</v>
      </c>
      <c r="BO112" s="454" t="s">
        <v>4068</v>
      </c>
      <c r="BP112" s="455" t="str">
        <f t="shared" si="43"/>
        <v>Terminado</v>
      </c>
      <c r="BQ112" s="455" t="str">
        <f t="shared" si="44"/>
        <v>Terminado</v>
      </c>
      <c r="BR112" s="990"/>
      <c r="BS112" s="996"/>
      <c r="BT112" s="997"/>
      <c r="BU112" s="1037"/>
      <c r="BV112" s="1037"/>
      <c r="BW112" s="990"/>
      <c r="BX112" s="990"/>
      <c r="BY112" s="1106"/>
      <c r="BZ112" s="992"/>
      <c r="CA112" s="990"/>
      <c r="CB112" s="992"/>
      <c r="CC112" s="1061"/>
      <c r="CD112" s="1061"/>
      <c r="CE112" s="990"/>
      <c r="CF112" s="990"/>
      <c r="CG112" s="990"/>
      <c r="CH112" s="990"/>
    </row>
    <row r="113" spans="2:86" ht="171.95" customHeight="1" x14ac:dyDescent="0.25">
      <c r="B113" s="1186"/>
      <c r="C113" s="1000"/>
      <c r="D113" s="448" t="s">
        <v>57</v>
      </c>
      <c r="E113" s="1001"/>
      <c r="F113" s="448" t="s">
        <v>28</v>
      </c>
      <c r="G113" s="448" t="s">
        <v>28</v>
      </c>
      <c r="H113" s="448" t="s">
        <v>326</v>
      </c>
      <c r="I113" s="448" t="s">
        <v>30</v>
      </c>
      <c r="J113" s="1032"/>
      <c r="K113" s="449" t="s">
        <v>187</v>
      </c>
      <c r="L113" s="450" t="s">
        <v>1946</v>
      </c>
      <c r="M113" s="451" t="s">
        <v>1947</v>
      </c>
      <c r="N113" s="448">
        <v>0.15</v>
      </c>
      <c r="O113" s="452">
        <v>44438</v>
      </c>
      <c r="P113" s="452">
        <v>44469</v>
      </c>
      <c r="Q113" s="448">
        <v>0</v>
      </c>
      <c r="R113" s="448">
        <v>0</v>
      </c>
      <c r="S113" s="453">
        <v>1</v>
      </c>
      <c r="T113" s="448">
        <v>1</v>
      </c>
      <c r="U113" s="377">
        <v>0</v>
      </c>
      <c r="V113" s="454" t="s">
        <v>37</v>
      </c>
      <c r="W113" s="454" t="s">
        <v>37</v>
      </c>
      <c r="X113" s="455" t="str">
        <f t="shared" si="45"/>
        <v>Sin iniciar</v>
      </c>
      <c r="Y113" s="455" t="str">
        <f t="shared" si="46"/>
        <v>Sin iniciar</v>
      </c>
      <c r="Z113" s="990"/>
      <c r="AA113" s="1026"/>
      <c r="AB113" s="1004"/>
      <c r="AC113" s="1037"/>
      <c r="AD113" s="1037"/>
      <c r="AE113" s="456"/>
      <c r="AF113" s="992"/>
      <c r="AG113" s="992"/>
      <c r="AH113" s="992"/>
      <c r="AI113" s="992"/>
      <c r="AJ113" s="992"/>
      <c r="AK113" s="992"/>
      <c r="AL113" s="993" t="s">
        <v>2485</v>
      </c>
      <c r="AM113" s="993" t="s">
        <v>2486</v>
      </c>
      <c r="AN113" s="994" t="s">
        <v>2495</v>
      </c>
      <c r="AO113" s="990" t="s">
        <v>2496</v>
      </c>
      <c r="AP113" s="992"/>
      <c r="AQ113" s="1209">
        <v>0</v>
      </c>
      <c r="AR113" s="454" t="s">
        <v>2437</v>
      </c>
      <c r="AS113" s="454"/>
      <c r="AT113" s="455" t="str">
        <f t="shared" si="47"/>
        <v>Sin iniciar</v>
      </c>
      <c r="AU113" s="455" t="str">
        <f t="shared" si="48"/>
        <v>Sin iniciar</v>
      </c>
      <c r="AV113" s="990"/>
      <c r="AW113" s="998"/>
      <c r="AX113" s="999"/>
      <c r="AY113" s="1037"/>
      <c r="AZ113" s="1037"/>
      <c r="BA113" s="456"/>
      <c r="BB113" s="990"/>
      <c r="BC113" s="1035"/>
      <c r="BD113" s="1035"/>
      <c r="BE113" s="1035"/>
      <c r="BF113" s="1035"/>
      <c r="BG113" s="1035"/>
      <c r="BH113" s="1035"/>
      <c r="BI113" s="993" t="s">
        <v>2485</v>
      </c>
      <c r="BJ113" s="993" t="s">
        <v>2495</v>
      </c>
      <c r="BK113" s="990" t="s">
        <v>2496</v>
      </c>
      <c r="BL113" s="990"/>
      <c r="BM113" s="507">
        <v>1</v>
      </c>
      <c r="BN113" s="454" t="s">
        <v>4069</v>
      </c>
      <c r="BO113" s="454" t="s">
        <v>4070</v>
      </c>
      <c r="BP113" s="455" t="str">
        <f t="shared" si="43"/>
        <v>Terminado</v>
      </c>
      <c r="BQ113" s="455" t="str">
        <f t="shared" si="44"/>
        <v>Terminado</v>
      </c>
      <c r="BR113" s="990"/>
      <c r="BS113" s="996"/>
      <c r="BT113" s="997"/>
      <c r="BU113" s="1037"/>
      <c r="BV113" s="1037"/>
      <c r="BW113" s="990"/>
      <c r="BX113" s="990"/>
      <c r="BY113" s="1106"/>
      <c r="BZ113" s="992"/>
      <c r="CA113" s="990"/>
      <c r="CB113" s="992"/>
      <c r="CC113" s="1061"/>
      <c r="CD113" s="1061"/>
      <c r="CE113" s="990"/>
      <c r="CF113" s="990"/>
      <c r="CG113" s="990"/>
      <c r="CH113" s="990"/>
    </row>
    <row r="114" spans="2:86" ht="171.95" customHeight="1" x14ac:dyDescent="0.25">
      <c r="B114" s="1186"/>
      <c r="C114" s="1030" t="s">
        <v>1948</v>
      </c>
      <c r="D114" s="384" t="s">
        <v>57</v>
      </c>
      <c r="E114" s="1024" t="s">
        <v>1206</v>
      </c>
      <c r="F114" s="384" t="s">
        <v>28</v>
      </c>
      <c r="G114" s="384" t="s">
        <v>28</v>
      </c>
      <c r="H114" s="384" t="s">
        <v>326</v>
      </c>
      <c r="I114" s="384" t="s">
        <v>30</v>
      </c>
      <c r="J114" s="1025" t="s">
        <v>1949</v>
      </c>
      <c r="K114" s="385" t="s">
        <v>187</v>
      </c>
      <c r="L114" s="386" t="s">
        <v>1950</v>
      </c>
      <c r="M114" s="387" t="s">
        <v>1951</v>
      </c>
      <c r="N114" s="384">
        <v>0.3</v>
      </c>
      <c r="O114" s="388">
        <v>44348</v>
      </c>
      <c r="P114" s="388">
        <v>44393</v>
      </c>
      <c r="Q114" s="384">
        <v>0</v>
      </c>
      <c r="R114" s="384">
        <v>0.7</v>
      </c>
      <c r="S114" s="382">
        <v>1</v>
      </c>
      <c r="T114" s="384">
        <v>1</v>
      </c>
      <c r="U114" s="377">
        <v>0</v>
      </c>
      <c r="V114" s="389" t="s">
        <v>37</v>
      </c>
      <c r="W114" s="389" t="s">
        <v>37</v>
      </c>
      <c r="X114" s="379" t="str">
        <f t="shared" si="45"/>
        <v>Sin iniciar</v>
      </c>
      <c r="Y114" s="379" t="str">
        <f t="shared" si="46"/>
        <v>Sin iniciar</v>
      </c>
      <c r="Z114" s="1006"/>
      <c r="AA114" s="1026">
        <f>SUMPRODUCT(N114:N116,U114:U116)</f>
        <v>0</v>
      </c>
      <c r="AB114" s="1004">
        <f>SUMPRODUCT(N114:N116,Q114:Q116)</f>
        <v>0</v>
      </c>
      <c r="AC114" s="1027" t="str">
        <f>IF(AB114&lt;1%,"Sin iniciar",IF(AB114=100%,"Terminado","En gestión"))</f>
        <v>Sin iniciar</v>
      </c>
      <c r="AD114" s="1027" t="str">
        <f>IF(AA114&lt;1%,"Sin iniciar",IF(AA114=100%,"Terminado","En gestión"))</f>
        <v>Sin iniciar</v>
      </c>
      <c r="AE114" s="390"/>
      <c r="AF114" s="1014">
        <v>23700044.52</v>
      </c>
      <c r="AG114" s="1014">
        <v>0</v>
      </c>
      <c r="AH114" s="1014">
        <v>0</v>
      </c>
      <c r="AI114" s="1014">
        <v>23085184</v>
      </c>
      <c r="AJ114" s="1014">
        <v>0</v>
      </c>
      <c r="AK114" s="1014">
        <v>0</v>
      </c>
      <c r="AL114" s="1039" t="s">
        <v>2485</v>
      </c>
      <c r="AM114" s="1039" t="s">
        <v>2486</v>
      </c>
      <c r="AN114" s="1043" t="s">
        <v>2499</v>
      </c>
      <c r="AO114" s="1006" t="s">
        <v>2500</v>
      </c>
      <c r="AP114" s="1014">
        <f>+AI114</f>
        <v>23085184</v>
      </c>
      <c r="AQ114" s="1209">
        <v>0.7</v>
      </c>
      <c r="AR114" s="389" t="s">
        <v>2027</v>
      </c>
      <c r="AS114" s="389" t="s">
        <v>4071</v>
      </c>
      <c r="AT114" s="379" t="str">
        <f t="shared" si="47"/>
        <v>En gestión</v>
      </c>
      <c r="AU114" s="379" t="str">
        <f t="shared" si="48"/>
        <v>En gestión</v>
      </c>
      <c r="AV114" s="1006" t="s">
        <v>2040</v>
      </c>
      <c r="AW114" s="998">
        <f>SUMPRODUCT(N114:N116,AQ114:AQ116)</f>
        <v>0.21</v>
      </c>
      <c r="AX114" s="999">
        <f>SUMPRODUCT(N114:N116,R114:R116)</f>
        <v>0.21</v>
      </c>
      <c r="AY114" s="1027" t="str">
        <f>IF(AX114&lt;1%,"Sin iniciar",IF(AX114=100%,"Terminado","En gestión"))</f>
        <v>En gestión</v>
      </c>
      <c r="AZ114" s="1027" t="str">
        <f>IF(AW114&lt;1%,"Sin iniciar",IF(AW114=100%,"Terminado","En gestión"))</f>
        <v>En gestión</v>
      </c>
      <c r="BA114" s="390"/>
      <c r="BB114" s="1006"/>
      <c r="BC114" s="1033">
        <v>23700044.52</v>
      </c>
      <c r="BD114" s="1033">
        <v>20127033.700969696</v>
      </c>
      <c r="BE114" s="1033">
        <v>5545172.5699655171</v>
      </c>
      <c r="BF114" s="1033">
        <v>23085184</v>
      </c>
      <c r="BG114" s="1033">
        <v>0</v>
      </c>
      <c r="BH114" s="1033">
        <v>0</v>
      </c>
      <c r="BI114" s="1039" t="s">
        <v>2485</v>
      </c>
      <c r="BJ114" s="1039" t="s">
        <v>2499</v>
      </c>
      <c r="BK114" s="1006" t="s">
        <v>2500</v>
      </c>
      <c r="BL114" s="1006" t="s">
        <v>2703</v>
      </c>
      <c r="BM114" s="507">
        <v>1</v>
      </c>
      <c r="BN114" s="389" t="s">
        <v>4072</v>
      </c>
      <c r="BO114" s="389" t="s">
        <v>4073</v>
      </c>
      <c r="BP114" s="379" t="str">
        <f t="shared" si="43"/>
        <v>Terminado</v>
      </c>
      <c r="BQ114" s="379" t="str">
        <f t="shared" si="44"/>
        <v>Terminado</v>
      </c>
      <c r="BR114" s="1006" t="s">
        <v>4074</v>
      </c>
      <c r="BS114" s="996">
        <f>SUMPRODUCT(N114:N116,BM114:BM116)</f>
        <v>0.9850000000000001</v>
      </c>
      <c r="BT114" s="997">
        <f>SUMPRODUCT(N114:N116,S114:S116)</f>
        <v>0.9850000000000001</v>
      </c>
      <c r="BU114" s="1027" t="str">
        <f>IF(BT114&lt;1%,"Sin iniciar",IF(BT114=100%,"Terminado","En gestión"))</f>
        <v>En gestión</v>
      </c>
      <c r="BV114" s="1027" t="str">
        <f>IF(BS114&lt;1%,"Sin iniciar",IF(BS114=100%,"Terminado","En gestión"))</f>
        <v>En gestión</v>
      </c>
      <c r="BW114" s="1006" t="s">
        <v>28</v>
      </c>
      <c r="BX114" s="1006" t="s">
        <v>3965</v>
      </c>
      <c r="BY114" s="1107">
        <v>23700044.52</v>
      </c>
      <c r="BZ114" s="1014">
        <v>20127033.700969696</v>
      </c>
      <c r="CA114" s="1034">
        <f>BZ114*BS114</f>
        <v>19825128.195455153</v>
      </c>
      <c r="CB114" s="1014">
        <v>23085184</v>
      </c>
      <c r="CC114" s="1056">
        <v>23085184</v>
      </c>
      <c r="CD114" s="1056">
        <v>11523858.6666667</v>
      </c>
      <c r="CE114" s="1006" t="s">
        <v>3966</v>
      </c>
      <c r="CF114" s="1006" t="s">
        <v>4054</v>
      </c>
      <c r="CG114" s="1006" t="s">
        <v>4055</v>
      </c>
      <c r="CH114" s="1006" t="s">
        <v>4056</v>
      </c>
    </row>
    <row r="115" spans="2:86" ht="171.95" customHeight="1" x14ac:dyDescent="0.25">
      <c r="B115" s="1186"/>
      <c r="C115" s="1030"/>
      <c r="D115" s="384" t="s">
        <v>57</v>
      </c>
      <c r="E115" s="1024"/>
      <c r="F115" s="384" t="s">
        <v>28</v>
      </c>
      <c r="G115" s="384" t="s">
        <v>28</v>
      </c>
      <c r="H115" s="384" t="s">
        <v>326</v>
      </c>
      <c r="I115" s="384" t="s">
        <v>30</v>
      </c>
      <c r="J115" s="1025"/>
      <c r="K115" s="385" t="s">
        <v>187</v>
      </c>
      <c r="L115" s="386" t="s">
        <v>1952</v>
      </c>
      <c r="M115" s="387" t="s">
        <v>1953</v>
      </c>
      <c r="N115" s="384">
        <v>0.55000000000000004</v>
      </c>
      <c r="O115" s="388">
        <v>44396</v>
      </c>
      <c r="P115" s="388">
        <v>44463</v>
      </c>
      <c r="Q115" s="384">
        <v>0</v>
      </c>
      <c r="R115" s="384">
        <v>0</v>
      </c>
      <c r="S115" s="382">
        <v>1</v>
      </c>
      <c r="T115" s="384">
        <v>1</v>
      </c>
      <c r="U115" s="377">
        <v>0</v>
      </c>
      <c r="V115" s="389" t="s">
        <v>37</v>
      </c>
      <c r="W115" s="389" t="s">
        <v>37</v>
      </c>
      <c r="X115" s="379" t="str">
        <f t="shared" si="45"/>
        <v>Sin iniciar</v>
      </c>
      <c r="Y115" s="379" t="str">
        <f t="shared" si="46"/>
        <v>Sin iniciar</v>
      </c>
      <c r="Z115" s="1006"/>
      <c r="AA115" s="1026"/>
      <c r="AB115" s="1004"/>
      <c r="AC115" s="1027"/>
      <c r="AD115" s="1027"/>
      <c r="AE115" s="390"/>
      <c r="AF115" s="1014"/>
      <c r="AG115" s="1014"/>
      <c r="AH115" s="1014"/>
      <c r="AI115" s="1014"/>
      <c r="AJ115" s="1014"/>
      <c r="AK115" s="1014"/>
      <c r="AL115" s="1039" t="s">
        <v>2485</v>
      </c>
      <c r="AM115" s="1039" t="s">
        <v>2486</v>
      </c>
      <c r="AN115" s="1043" t="s">
        <v>2499</v>
      </c>
      <c r="AO115" s="1006" t="s">
        <v>2500</v>
      </c>
      <c r="AP115" s="1014"/>
      <c r="AQ115" s="1209">
        <v>0</v>
      </c>
      <c r="AR115" s="389" t="s">
        <v>2437</v>
      </c>
      <c r="AS115" s="389"/>
      <c r="AT115" s="379" t="str">
        <f t="shared" si="47"/>
        <v>Sin iniciar</v>
      </c>
      <c r="AU115" s="379" t="str">
        <f t="shared" si="48"/>
        <v>Sin iniciar</v>
      </c>
      <c r="AV115" s="1006"/>
      <c r="AW115" s="998"/>
      <c r="AX115" s="999"/>
      <c r="AY115" s="1027"/>
      <c r="AZ115" s="1027"/>
      <c r="BA115" s="390"/>
      <c r="BB115" s="1006"/>
      <c r="BC115" s="1033"/>
      <c r="BD115" s="1033"/>
      <c r="BE115" s="1033"/>
      <c r="BF115" s="1033"/>
      <c r="BG115" s="1033"/>
      <c r="BH115" s="1033"/>
      <c r="BI115" s="1039" t="s">
        <v>2485</v>
      </c>
      <c r="BJ115" s="1039" t="s">
        <v>2499</v>
      </c>
      <c r="BK115" s="1006" t="s">
        <v>2500</v>
      </c>
      <c r="BL115" s="1006"/>
      <c r="BM115" s="507">
        <v>1</v>
      </c>
      <c r="BN115" s="389" t="s">
        <v>4075</v>
      </c>
      <c r="BO115" s="389" t="s">
        <v>4076</v>
      </c>
      <c r="BP115" s="379" t="str">
        <f t="shared" si="43"/>
        <v>Terminado</v>
      </c>
      <c r="BQ115" s="379" t="str">
        <f t="shared" si="44"/>
        <v>Terminado</v>
      </c>
      <c r="BR115" s="1006"/>
      <c r="BS115" s="996"/>
      <c r="BT115" s="997"/>
      <c r="BU115" s="1027"/>
      <c r="BV115" s="1027"/>
      <c r="BW115" s="1006"/>
      <c r="BX115" s="1006"/>
      <c r="BY115" s="1107"/>
      <c r="BZ115" s="1014"/>
      <c r="CA115" s="1006"/>
      <c r="CB115" s="1014"/>
      <c r="CC115" s="1056"/>
      <c r="CD115" s="1056"/>
      <c r="CE115" s="1006"/>
      <c r="CF115" s="1006"/>
      <c r="CG115" s="1006"/>
      <c r="CH115" s="1006"/>
    </row>
    <row r="116" spans="2:86" ht="171.95" customHeight="1" x14ac:dyDescent="0.25">
      <c r="B116" s="1186"/>
      <c r="C116" s="1030"/>
      <c r="D116" s="384" t="s">
        <v>57</v>
      </c>
      <c r="E116" s="1024"/>
      <c r="F116" s="384" t="s">
        <v>28</v>
      </c>
      <c r="G116" s="384" t="s">
        <v>28</v>
      </c>
      <c r="H116" s="384" t="s">
        <v>326</v>
      </c>
      <c r="I116" s="384" t="s">
        <v>30</v>
      </c>
      <c r="J116" s="1025"/>
      <c r="K116" s="385" t="s">
        <v>187</v>
      </c>
      <c r="L116" s="386" t="s">
        <v>1954</v>
      </c>
      <c r="M116" s="387" t="s">
        <v>1955</v>
      </c>
      <c r="N116" s="384">
        <v>0.15</v>
      </c>
      <c r="O116" s="388">
        <v>44466</v>
      </c>
      <c r="P116" s="388">
        <v>44491</v>
      </c>
      <c r="Q116" s="384">
        <v>0</v>
      </c>
      <c r="R116" s="384">
        <v>0</v>
      </c>
      <c r="S116" s="382">
        <v>0.9</v>
      </c>
      <c r="T116" s="384">
        <v>1</v>
      </c>
      <c r="U116" s="377">
        <v>0</v>
      </c>
      <c r="V116" s="389" t="s">
        <v>37</v>
      </c>
      <c r="W116" s="389" t="s">
        <v>37</v>
      </c>
      <c r="X116" s="379" t="str">
        <f t="shared" si="45"/>
        <v>Sin iniciar</v>
      </c>
      <c r="Y116" s="379" t="str">
        <f t="shared" si="46"/>
        <v>Sin iniciar</v>
      </c>
      <c r="Z116" s="1006"/>
      <c r="AA116" s="1026"/>
      <c r="AB116" s="1004"/>
      <c r="AC116" s="1027"/>
      <c r="AD116" s="1027"/>
      <c r="AE116" s="390"/>
      <c r="AF116" s="1014"/>
      <c r="AG116" s="1014"/>
      <c r="AH116" s="1014"/>
      <c r="AI116" s="1014"/>
      <c r="AJ116" s="1014"/>
      <c r="AK116" s="1014"/>
      <c r="AL116" s="1039" t="s">
        <v>2485</v>
      </c>
      <c r="AM116" s="1039" t="s">
        <v>2486</v>
      </c>
      <c r="AN116" s="1043" t="s">
        <v>2499</v>
      </c>
      <c r="AO116" s="1006" t="s">
        <v>2500</v>
      </c>
      <c r="AP116" s="1014"/>
      <c r="AQ116" s="1209">
        <v>0</v>
      </c>
      <c r="AR116" s="389" t="s">
        <v>2437</v>
      </c>
      <c r="AS116" s="389"/>
      <c r="AT116" s="379" t="str">
        <f t="shared" si="47"/>
        <v>Sin iniciar</v>
      </c>
      <c r="AU116" s="379" t="str">
        <f t="shared" si="48"/>
        <v>Sin iniciar</v>
      </c>
      <c r="AV116" s="1006"/>
      <c r="AW116" s="998"/>
      <c r="AX116" s="999"/>
      <c r="AY116" s="1027"/>
      <c r="AZ116" s="1027"/>
      <c r="BA116" s="390"/>
      <c r="BB116" s="1006"/>
      <c r="BC116" s="1033"/>
      <c r="BD116" s="1033"/>
      <c r="BE116" s="1033"/>
      <c r="BF116" s="1033"/>
      <c r="BG116" s="1033"/>
      <c r="BH116" s="1033"/>
      <c r="BI116" s="1039" t="s">
        <v>2485</v>
      </c>
      <c r="BJ116" s="1039" t="s">
        <v>2499</v>
      </c>
      <c r="BK116" s="1006" t="s">
        <v>2500</v>
      </c>
      <c r="BL116" s="1006"/>
      <c r="BM116" s="507">
        <v>0.9</v>
      </c>
      <c r="BN116" s="389" t="s">
        <v>4077</v>
      </c>
      <c r="BO116" s="389" t="s">
        <v>4078</v>
      </c>
      <c r="BP116" s="379" t="str">
        <f t="shared" si="43"/>
        <v>En gestión</v>
      </c>
      <c r="BQ116" s="379" t="str">
        <f t="shared" si="44"/>
        <v>En gestión</v>
      </c>
      <c r="BR116" s="1006"/>
      <c r="BS116" s="996"/>
      <c r="BT116" s="997"/>
      <c r="BU116" s="1027"/>
      <c r="BV116" s="1027"/>
      <c r="BW116" s="1006"/>
      <c r="BX116" s="1006"/>
      <c r="BY116" s="1107"/>
      <c r="BZ116" s="1014"/>
      <c r="CA116" s="1006"/>
      <c r="CB116" s="1014"/>
      <c r="CC116" s="1056"/>
      <c r="CD116" s="1056"/>
      <c r="CE116" s="1006"/>
      <c r="CF116" s="1006"/>
      <c r="CG116" s="1006"/>
      <c r="CH116" s="1006"/>
    </row>
    <row r="117" spans="2:86" ht="171.95" customHeight="1" x14ac:dyDescent="0.25">
      <c r="B117" s="1186"/>
      <c r="C117" s="1000" t="s">
        <v>1956</v>
      </c>
      <c r="D117" s="448" t="s">
        <v>57</v>
      </c>
      <c r="E117" s="1001" t="s">
        <v>1206</v>
      </c>
      <c r="F117" s="448" t="s">
        <v>28</v>
      </c>
      <c r="G117" s="448" t="s">
        <v>28</v>
      </c>
      <c r="H117" s="448" t="s">
        <v>326</v>
      </c>
      <c r="I117" s="448" t="s">
        <v>30</v>
      </c>
      <c r="J117" s="1032" t="s">
        <v>1957</v>
      </c>
      <c r="K117" s="449" t="s">
        <v>187</v>
      </c>
      <c r="L117" s="450" t="s">
        <v>1958</v>
      </c>
      <c r="M117" s="451" t="s">
        <v>1959</v>
      </c>
      <c r="N117" s="448">
        <v>0.3</v>
      </c>
      <c r="O117" s="452">
        <v>44256</v>
      </c>
      <c r="P117" s="452">
        <v>44400</v>
      </c>
      <c r="Q117" s="448">
        <v>0.5</v>
      </c>
      <c r="R117" s="448">
        <v>1</v>
      </c>
      <c r="S117" s="453">
        <v>1</v>
      </c>
      <c r="T117" s="448">
        <v>1</v>
      </c>
      <c r="U117" s="377">
        <v>0.5</v>
      </c>
      <c r="V117" s="454" t="s">
        <v>1960</v>
      </c>
      <c r="W117" s="488" t="s">
        <v>4079</v>
      </c>
      <c r="X117" s="455" t="str">
        <f t="shared" si="45"/>
        <v>En gestión</v>
      </c>
      <c r="Y117" s="455" t="str">
        <f t="shared" si="46"/>
        <v>En gestión</v>
      </c>
      <c r="Z117" s="990" t="s">
        <v>1960</v>
      </c>
      <c r="AA117" s="1026">
        <f>SUMPRODUCT(N117:N119,U117:U119)</f>
        <v>0.15</v>
      </c>
      <c r="AB117" s="1004">
        <f>SUMPRODUCT(N117:N119,Q117:Q119)</f>
        <v>0.15</v>
      </c>
      <c r="AC117" s="1037" t="str">
        <f>IF(AB117&lt;1%,"Sin iniciar",IF(AB117=100%,"Terminado","En gestión"))</f>
        <v>En gestión</v>
      </c>
      <c r="AD117" s="1037" t="str">
        <f>IF(AA117&lt;1%,"Sin iniciar",IF(AA117=100%,"Terminado","En gestión"))</f>
        <v>En gestión</v>
      </c>
      <c r="AE117" s="456"/>
      <c r="AF117" s="992">
        <v>124967977.31999999</v>
      </c>
      <c r="AG117" s="992">
        <v>0</v>
      </c>
      <c r="AH117" s="992">
        <v>18745196.597999997</v>
      </c>
      <c r="AI117" s="992">
        <v>0</v>
      </c>
      <c r="AJ117" s="992">
        <v>0</v>
      </c>
      <c r="AK117" s="992">
        <v>0</v>
      </c>
      <c r="AL117" s="993" t="s">
        <v>2501</v>
      </c>
      <c r="AM117" s="993" t="s">
        <v>2502</v>
      </c>
      <c r="AN117" s="991"/>
      <c r="AO117" s="991" t="s">
        <v>2466</v>
      </c>
      <c r="AP117" s="992">
        <f>+AI117</f>
        <v>0</v>
      </c>
      <c r="AQ117" s="1209">
        <v>1</v>
      </c>
      <c r="AR117" s="454" t="s">
        <v>2028</v>
      </c>
      <c r="AS117" s="488" t="s">
        <v>4080</v>
      </c>
      <c r="AT117" s="455" t="str">
        <f t="shared" si="47"/>
        <v>Terminado</v>
      </c>
      <c r="AU117" s="455" t="str">
        <f t="shared" si="48"/>
        <v>Terminado</v>
      </c>
      <c r="AV117" s="990" t="s">
        <v>2399</v>
      </c>
      <c r="AW117" s="998">
        <f>SUMPRODUCT(N117:N119,AQ117:AQ119)</f>
        <v>0.52</v>
      </c>
      <c r="AX117" s="999">
        <f>SUMPRODUCT(N117:N119,R117:R119)</f>
        <v>0.52</v>
      </c>
      <c r="AY117" s="1037" t="str">
        <f>IF(AX117&lt;1%,"Sin iniciar",IF(AX117=100%,"Terminado","En gestión"))</f>
        <v>En gestión</v>
      </c>
      <c r="AZ117" s="1037" t="str">
        <f>IF(AW117&lt;1%,"Sin iniciar",IF(AW117=100%,"Terminado","En gestión"))</f>
        <v>En gestión</v>
      </c>
      <c r="BA117" s="456"/>
      <c r="BB117" s="990"/>
      <c r="BC117" s="1035">
        <v>124967977.31999999</v>
      </c>
      <c r="BD117" s="1035">
        <v>100137150.55696967</v>
      </c>
      <c r="BE117" s="1035">
        <v>54709257.08729884</v>
      </c>
      <c r="BF117" s="1035">
        <v>23085184</v>
      </c>
      <c r="BG117" s="1035">
        <v>0</v>
      </c>
      <c r="BH117" s="1035">
        <v>0</v>
      </c>
      <c r="BI117" s="993" t="s">
        <v>2501</v>
      </c>
      <c r="BJ117" s="993"/>
      <c r="BK117" s="990" t="s">
        <v>2466</v>
      </c>
      <c r="BL117" s="990"/>
      <c r="BM117" s="507">
        <v>1</v>
      </c>
      <c r="BN117" s="454" t="s">
        <v>37</v>
      </c>
      <c r="BO117" s="454" t="s">
        <v>37</v>
      </c>
      <c r="BP117" s="455" t="str">
        <f t="shared" si="43"/>
        <v>Terminado</v>
      </c>
      <c r="BQ117" s="455" t="str">
        <f t="shared" si="44"/>
        <v>Terminado</v>
      </c>
      <c r="BR117" s="990" t="s">
        <v>4081</v>
      </c>
      <c r="BS117" s="996">
        <f>SUMPRODUCT(N117:N119,BM117:BM119)</f>
        <v>0.85000000000000009</v>
      </c>
      <c r="BT117" s="997">
        <f>SUMPRODUCT(N117:N119,S117:S119)</f>
        <v>0.85000000000000009</v>
      </c>
      <c r="BU117" s="1037" t="str">
        <f>IF(BT117&lt;1%,"Sin iniciar",IF(BT117=100%,"Terminado","En gestión"))</f>
        <v>En gestión</v>
      </c>
      <c r="BV117" s="1037" t="str">
        <f>IF(BS117&lt;1%,"Sin iniciar",IF(BS117=100%,"Terminado","En gestión"))</f>
        <v>En gestión</v>
      </c>
      <c r="BW117" s="990" t="s">
        <v>28</v>
      </c>
      <c r="BX117" s="990" t="s">
        <v>3965</v>
      </c>
      <c r="BY117" s="1106">
        <v>124967977.31999999</v>
      </c>
      <c r="BZ117" s="992">
        <v>100137150.55696967</v>
      </c>
      <c r="CA117" s="1013">
        <f>BZ117*BS117</f>
        <v>85116577.973424226</v>
      </c>
      <c r="CB117" s="992">
        <v>23085184</v>
      </c>
      <c r="CC117" s="1061">
        <v>0</v>
      </c>
      <c r="CD117" s="1061"/>
      <c r="CE117" s="990"/>
      <c r="CF117" s="990"/>
      <c r="CG117" s="990"/>
      <c r="CH117" s="990"/>
    </row>
    <row r="118" spans="2:86" ht="171.95" customHeight="1" x14ac:dyDescent="0.25">
      <c r="B118" s="1186"/>
      <c r="C118" s="1000"/>
      <c r="D118" s="448" t="s">
        <v>57</v>
      </c>
      <c r="E118" s="1001"/>
      <c r="F118" s="448" t="s">
        <v>28</v>
      </c>
      <c r="G118" s="448" t="s">
        <v>28</v>
      </c>
      <c r="H118" s="448" t="s">
        <v>326</v>
      </c>
      <c r="I118" s="448" t="s">
        <v>30</v>
      </c>
      <c r="J118" s="1032"/>
      <c r="K118" s="449" t="s">
        <v>187</v>
      </c>
      <c r="L118" s="450" t="s">
        <v>1961</v>
      </c>
      <c r="M118" s="451" t="s">
        <v>1962</v>
      </c>
      <c r="N118" s="448">
        <v>0.55000000000000004</v>
      </c>
      <c r="O118" s="452">
        <v>44326</v>
      </c>
      <c r="P118" s="452">
        <v>44469</v>
      </c>
      <c r="Q118" s="448">
        <v>0</v>
      </c>
      <c r="R118" s="448">
        <v>0.4</v>
      </c>
      <c r="S118" s="453">
        <v>1</v>
      </c>
      <c r="T118" s="448">
        <v>1</v>
      </c>
      <c r="U118" s="377">
        <v>0</v>
      </c>
      <c r="V118" s="454" t="s">
        <v>37</v>
      </c>
      <c r="W118" s="454" t="s">
        <v>37</v>
      </c>
      <c r="X118" s="455" t="str">
        <f t="shared" si="45"/>
        <v>Sin iniciar</v>
      </c>
      <c r="Y118" s="455" t="str">
        <f t="shared" si="46"/>
        <v>Sin iniciar</v>
      </c>
      <c r="Z118" s="990"/>
      <c r="AA118" s="1026"/>
      <c r="AB118" s="1004"/>
      <c r="AC118" s="1037"/>
      <c r="AD118" s="1037"/>
      <c r="AE118" s="456"/>
      <c r="AF118" s="992"/>
      <c r="AG118" s="992"/>
      <c r="AH118" s="992"/>
      <c r="AI118" s="992"/>
      <c r="AJ118" s="992"/>
      <c r="AK118" s="992"/>
      <c r="AL118" s="993"/>
      <c r="AM118" s="993"/>
      <c r="AN118" s="991"/>
      <c r="AO118" s="991" t="s">
        <v>2466</v>
      </c>
      <c r="AP118" s="992"/>
      <c r="AQ118" s="1209">
        <v>0.4</v>
      </c>
      <c r="AR118" s="454" t="s">
        <v>2400</v>
      </c>
      <c r="AS118" s="454" t="s">
        <v>4082</v>
      </c>
      <c r="AT118" s="455" t="str">
        <f t="shared" si="47"/>
        <v>En gestión</v>
      </c>
      <c r="AU118" s="455" t="str">
        <f t="shared" si="48"/>
        <v>En gestión</v>
      </c>
      <c r="AV118" s="990"/>
      <c r="AW118" s="998"/>
      <c r="AX118" s="999"/>
      <c r="AY118" s="1037"/>
      <c r="AZ118" s="1037"/>
      <c r="BA118" s="456"/>
      <c r="BB118" s="990"/>
      <c r="BC118" s="1035"/>
      <c r="BD118" s="1035"/>
      <c r="BE118" s="1035"/>
      <c r="BF118" s="1035"/>
      <c r="BG118" s="1035"/>
      <c r="BH118" s="1035"/>
      <c r="BI118" s="993"/>
      <c r="BJ118" s="993"/>
      <c r="BK118" s="990" t="s">
        <v>2466</v>
      </c>
      <c r="BL118" s="990"/>
      <c r="BM118" s="507">
        <v>1</v>
      </c>
      <c r="BN118" s="454" t="s">
        <v>4083</v>
      </c>
      <c r="BO118" s="454" t="s">
        <v>4084</v>
      </c>
      <c r="BP118" s="455" t="str">
        <f t="shared" si="43"/>
        <v>Terminado</v>
      </c>
      <c r="BQ118" s="455" t="str">
        <f t="shared" si="44"/>
        <v>Terminado</v>
      </c>
      <c r="BR118" s="990"/>
      <c r="BS118" s="996"/>
      <c r="BT118" s="997"/>
      <c r="BU118" s="1037"/>
      <c r="BV118" s="1037"/>
      <c r="BW118" s="990"/>
      <c r="BX118" s="990"/>
      <c r="BY118" s="1106"/>
      <c r="BZ118" s="992"/>
      <c r="CA118" s="990"/>
      <c r="CB118" s="992"/>
      <c r="CC118" s="1061"/>
      <c r="CD118" s="1061"/>
      <c r="CE118" s="990"/>
      <c r="CF118" s="990"/>
      <c r="CG118" s="990"/>
      <c r="CH118" s="990"/>
    </row>
    <row r="119" spans="2:86" ht="171.95" customHeight="1" x14ac:dyDescent="0.25">
      <c r="B119" s="1186"/>
      <c r="C119" s="1000"/>
      <c r="D119" s="448" t="s">
        <v>57</v>
      </c>
      <c r="E119" s="1001"/>
      <c r="F119" s="448" t="s">
        <v>28</v>
      </c>
      <c r="G119" s="448" t="s">
        <v>28</v>
      </c>
      <c r="H119" s="448" t="s">
        <v>326</v>
      </c>
      <c r="I119" s="448" t="s">
        <v>30</v>
      </c>
      <c r="J119" s="1032"/>
      <c r="K119" s="449" t="s">
        <v>187</v>
      </c>
      <c r="L119" s="450" t="s">
        <v>1963</v>
      </c>
      <c r="M119" s="451" t="s">
        <v>1964</v>
      </c>
      <c r="N119" s="448">
        <v>0.15</v>
      </c>
      <c r="O119" s="452">
        <v>44473</v>
      </c>
      <c r="P119" s="452">
        <v>44498</v>
      </c>
      <c r="Q119" s="448">
        <v>0</v>
      </c>
      <c r="R119" s="448">
        <v>0</v>
      </c>
      <c r="S119" s="453">
        <v>0</v>
      </c>
      <c r="T119" s="448">
        <v>1</v>
      </c>
      <c r="U119" s="377">
        <v>0</v>
      </c>
      <c r="V119" s="454" t="s">
        <v>37</v>
      </c>
      <c r="W119" s="454" t="s">
        <v>37</v>
      </c>
      <c r="X119" s="455" t="str">
        <f t="shared" si="45"/>
        <v>Sin iniciar</v>
      </c>
      <c r="Y119" s="455" t="str">
        <f t="shared" si="46"/>
        <v>Sin iniciar</v>
      </c>
      <c r="Z119" s="990"/>
      <c r="AA119" s="1026"/>
      <c r="AB119" s="1004"/>
      <c r="AC119" s="1037"/>
      <c r="AD119" s="1037"/>
      <c r="AE119" s="456"/>
      <c r="AF119" s="992"/>
      <c r="AG119" s="992"/>
      <c r="AH119" s="992"/>
      <c r="AI119" s="992"/>
      <c r="AJ119" s="992"/>
      <c r="AK119" s="992"/>
      <c r="AL119" s="993"/>
      <c r="AM119" s="993"/>
      <c r="AN119" s="991"/>
      <c r="AO119" s="991" t="s">
        <v>2466</v>
      </c>
      <c r="AP119" s="992"/>
      <c r="AQ119" s="1209">
        <v>0</v>
      </c>
      <c r="AR119" s="454" t="s">
        <v>2437</v>
      </c>
      <c r="AS119" s="454"/>
      <c r="AT119" s="455" t="str">
        <f t="shared" si="47"/>
        <v>Sin iniciar</v>
      </c>
      <c r="AU119" s="455" t="str">
        <f t="shared" si="48"/>
        <v>Sin iniciar</v>
      </c>
      <c r="AV119" s="990"/>
      <c r="AW119" s="998"/>
      <c r="AX119" s="999"/>
      <c r="AY119" s="1037"/>
      <c r="AZ119" s="1037"/>
      <c r="BA119" s="456"/>
      <c r="BB119" s="990"/>
      <c r="BC119" s="1035"/>
      <c r="BD119" s="1035"/>
      <c r="BE119" s="1035"/>
      <c r="BF119" s="1035"/>
      <c r="BG119" s="1035"/>
      <c r="BH119" s="1035"/>
      <c r="BI119" s="993"/>
      <c r="BJ119" s="993"/>
      <c r="BK119" s="990" t="s">
        <v>2466</v>
      </c>
      <c r="BL119" s="990"/>
      <c r="BM119" s="507">
        <v>0</v>
      </c>
      <c r="BN119" s="454" t="s">
        <v>37</v>
      </c>
      <c r="BO119" s="454" t="s">
        <v>37</v>
      </c>
      <c r="BP119" s="455" t="str">
        <f t="shared" si="43"/>
        <v>Sin iniciar</v>
      </c>
      <c r="BQ119" s="455" t="str">
        <f t="shared" si="44"/>
        <v>Sin iniciar</v>
      </c>
      <c r="BR119" s="990"/>
      <c r="BS119" s="996"/>
      <c r="BT119" s="997"/>
      <c r="BU119" s="1037"/>
      <c r="BV119" s="1037"/>
      <c r="BW119" s="990"/>
      <c r="BX119" s="990"/>
      <c r="BY119" s="1106"/>
      <c r="BZ119" s="992"/>
      <c r="CA119" s="990"/>
      <c r="CB119" s="992"/>
      <c r="CC119" s="1061"/>
      <c r="CD119" s="1061"/>
      <c r="CE119" s="990"/>
      <c r="CF119" s="990"/>
      <c r="CG119" s="990"/>
      <c r="CH119" s="990"/>
    </row>
    <row r="120" spans="2:86" ht="171.95" customHeight="1" x14ac:dyDescent="0.25">
      <c r="B120" s="1186"/>
      <c r="C120" s="1030" t="s">
        <v>1965</v>
      </c>
      <c r="D120" s="384" t="s">
        <v>57</v>
      </c>
      <c r="E120" s="1024" t="s">
        <v>1206</v>
      </c>
      <c r="F120" s="384" t="s">
        <v>28</v>
      </c>
      <c r="G120" s="384" t="s">
        <v>28</v>
      </c>
      <c r="H120" s="384" t="s">
        <v>326</v>
      </c>
      <c r="I120" s="384" t="s">
        <v>30</v>
      </c>
      <c r="J120" s="1025" t="s">
        <v>1966</v>
      </c>
      <c r="K120" s="385" t="s">
        <v>187</v>
      </c>
      <c r="L120" s="386" t="s">
        <v>1967</v>
      </c>
      <c r="M120" s="387" t="s">
        <v>1968</v>
      </c>
      <c r="N120" s="384">
        <v>0.3</v>
      </c>
      <c r="O120" s="388">
        <v>44368</v>
      </c>
      <c r="P120" s="388">
        <v>44407</v>
      </c>
      <c r="Q120" s="384">
        <v>0</v>
      </c>
      <c r="R120" s="384">
        <v>0.5</v>
      </c>
      <c r="S120" s="382">
        <v>1</v>
      </c>
      <c r="T120" s="384">
        <v>1</v>
      </c>
      <c r="U120" s="377">
        <v>0</v>
      </c>
      <c r="V120" s="389" t="s">
        <v>37</v>
      </c>
      <c r="W120" s="389" t="s">
        <v>37</v>
      </c>
      <c r="X120" s="379" t="str">
        <f t="shared" si="45"/>
        <v>Sin iniciar</v>
      </c>
      <c r="Y120" s="379" t="str">
        <f t="shared" si="46"/>
        <v>Sin iniciar</v>
      </c>
      <c r="Z120" s="1006"/>
      <c r="AA120" s="1026">
        <f>SUMPRODUCT(N120:N122,U120:U122)</f>
        <v>0</v>
      </c>
      <c r="AB120" s="1004">
        <f>SUMPRODUCT(N120:N122,Q120:Q122)</f>
        <v>0</v>
      </c>
      <c r="AC120" s="1027" t="str">
        <f>IF(AB120&lt;1%,"Sin iniciar",IF(AB120=100%,"Terminado","En gestión"))</f>
        <v>Sin iniciar</v>
      </c>
      <c r="AD120" s="1027" t="str">
        <f>IF(AA120&lt;1%,"Sin iniciar",IF(AA120=100%,"Terminado","En gestión"))</f>
        <v>Sin iniciar</v>
      </c>
      <c r="AE120" s="390"/>
      <c r="AF120" s="1014">
        <v>23700044.52</v>
      </c>
      <c r="AG120" s="1014">
        <v>0</v>
      </c>
      <c r="AH120" s="1014">
        <v>0</v>
      </c>
      <c r="AI120" s="1014">
        <v>23085184</v>
      </c>
      <c r="AJ120" s="1014">
        <v>0</v>
      </c>
      <c r="AK120" s="1014">
        <v>0</v>
      </c>
      <c r="AL120" s="1039" t="s">
        <v>2485</v>
      </c>
      <c r="AM120" s="1039" t="s">
        <v>2486</v>
      </c>
      <c r="AN120" s="1043" t="s">
        <v>2499</v>
      </c>
      <c r="AO120" s="1006" t="s">
        <v>2500</v>
      </c>
      <c r="AP120" s="1014">
        <f>+AI120</f>
        <v>23085184</v>
      </c>
      <c r="AQ120" s="1209">
        <v>0.5</v>
      </c>
      <c r="AR120" s="389" t="s">
        <v>2029</v>
      </c>
      <c r="AS120" s="389" t="s">
        <v>4085</v>
      </c>
      <c r="AT120" s="379" t="str">
        <f t="shared" si="47"/>
        <v>En gestión</v>
      </c>
      <c r="AU120" s="379" t="str">
        <f t="shared" si="48"/>
        <v>En gestión</v>
      </c>
      <c r="AV120" s="1006" t="s">
        <v>2041</v>
      </c>
      <c r="AW120" s="998">
        <f>SUMPRODUCT(N120:N122,AQ120:AQ122)</f>
        <v>0.15</v>
      </c>
      <c r="AX120" s="999">
        <f>SUMPRODUCT(N120:N122,R120:R122)</f>
        <v>0.15</v>
      </c>
      <c r="AY120" s="1027" t="str">
        <f>IF(AX120&lt;1%,"Sin iniciar",IF(AX120=100%,"Terminado","En gestión"))</f>
        <v>En gestión</v>
      </c>
      <c r="AZ120" s="1027" t="str">
        <f>IF(AW120&lt;1%,"Sin iniciar",IF(AW120=100%,"Terminado","En gestión"))</f>
        <v>En gestión</v>
      </c>
      <c r="BA120" s="390"/>
      <c r="BB120" s="1006"/>
      <c r="BC120" s="1033">
        <v>23700044.52</v>
      </c>
      <c r="BD120" s="1033">
        <v>20127033.700969696</v>
      </c>
      <c r="BE120" s="1033">
        <v>5545172.5699655171</v>
      </c>
      <c r="BF120" s="1033">
        <v>23085184</v>
      </c>
      <c r="BG120" s="1033">
        <v>0</v>
      </c>
      <c r="BH120" s="1033">
        <v>4700000</v>
      </c>
      <c r="BI120" s="1039" t="s">
        <v>2485</v>
      </c>
      <c r="BJ120" s="1039" t="s">
        <v>2499</v>
      </c>
      <c r="BK120" s="1006" t="s">
        <v>2500</v>
      </c>
      <c r="BL120" s="1006" t="s">
        <v>2703</v>
      </c>
      <c r="BM120" s="507">
        <v>1</v>
      </c>
      <c r="BN120" s="389" t="s">
        <v>4086</v>
      </c>
      <c r="BO120" s="389" t="s">
        <v>4087</v>
      </c>
      <c r="BP120" s="379" t="str">
        <f t="shared" si="43"/>
        <v>Terminado</v>
      </c>
      <c r="BQ120" s="379" t="str">
        <f t="shared" si="44"/>
        <v>Terminado</v>
      </c>
      <c r="BR120" s="1006" t="s">
        <v>4088</v>
      </c>
      <c r="BS120" s="996">
        <f>SUMPRODUCT(N120:N122,BM120:BM122)</f>
        <v>0.68500000000000005</v>
      </c>
      <c r="BT120" s="997">
        <f>SUMPRODUCT(N120:N122,S120:S122)</f>
        <v>0.68500000000000005</v>
      </c>
      <c r="BU120" s="1027" t="str">
        <f>IF(BT120&lt;1%,"Sin iniciar",IF(BT120=100%,"Terminado","En gestión"))</f>
        <v>En gestión</v>
      </c>
      <c r="BV120" s="1027" t="str">
        <f>IF(BS120&lt;1%,"Sin iniciar",IF(BS120=100%,"Terminado","En gestión"))</f>
        <v>En gestión</v>
      </c>
      <c r="BW120" s="1006" t="s">
        <v>28</v>
      </c>
      <c r="BX120" s="1006" t="s">
        <v>3965</v>
      </c>
      <c r="BY120" s="1107">
        <v>23700044.52</v>
      </c>
      <c r="BZ120" s="1014">
        <v>20127033.700969696</v>
      </c>
      <c r="CA120" s="1034">
        <f>BZ120*BS120</f>
        <v>13787018.085164243</v>
      </c>
      <c r="CB120" s="1014">
        <v>23085184</v>
      </c>
      <c r="CC120" s="1056">
        <v>23085184</v>
      </c>
      <c r="CD120" s="1056">
        <v>11523858.6666667</v>
      </c>
      <c r="CE120" s="1006" t="s">
        <v>3966</v>
      </c>
      <c r="CF120" s="1006" t="s">
        <v>4054</v>
      </c>
      <c r="CG120" s="1006" t="s">
        <v>4055</v>
      </c>
      <c r="CH120" s="1006" t="s">
        <v>4056</v>
      </c>
    </row>
    <row r="121" spans="2:86" ht="171.95" customHeight="1" x14ac:dyDescent="0.25">
      <c r="B121" s="1186"/>
      <c r="C121" s="1030"/>
      <c r="D121" s="384" t="s">
        <v>57</v>
      </c>
      <c r="E121" s="1024"/>
      <c r="F121" s="384" t="s">
        <v>28</v>
      </c>
      <c r="G121" s="384" t="s">
        <v>28</v>
      </c>
      <c r="H121" s="384" t="s">
        <v>326</v>
      </c>
      <c r="I121" s="384" t="s">
        <v>30</v>
      </c>
      <c r="J121" s="1025"/>
      <c r="K121" s="385" t="s">
        <v>187</v>
      </c>
      <c r="L121" s="386" t="s">
        <v>1969</v>
      </c>
      <c r="M121" s="387" t="s">
        <v>1970</v>
      </c>
      <c r="N121" s="384">
        <v>0.55000000000000004</v>
      </c>
      <c r="O121" s="388">
        <v>44410</v>
      </c>
      <c r="P121" s="388">
        <v>44484</v>
      </c>
      <c r="Q121" s="384">
        <v>0</v>
      </c>
      <c r="R121" s="384">
        <v>0</v>
      </c>
      <c r="S121" s="382">
        <v>0.7</v>
      </c>
      <c r="T121" s="384">
        <v>1</v>
      </c>
      <c r="U121" s="377">
        <v>0</v>
      </c>
      <c r="V121" s="389" t="s">
        <v>37</v>
      </c>
      <c r="W121" s="389" t="s">
        <v>37</v>
      </c>
      <c r="X121" s="379" t="str">
        <f t="shared" si="45"/>
        <v>Sin iniciar</v>
      </c>
      <c r="Y121" s="379" t="str">
        <f t="shared" si="46"/>
        <v>Sin iniciar</v>
      </c>
      <c r="Z121" s="1006"/>
      <c r="AA121" s="1026"/>
      <c r="AB121" s="1004"/>
      <c r="AC121" s="1027"/>
      <c r="AD121" s="1027"/>
      <c r="AE121" s="390"/>
      <c r="AF121" s="1014"/>
      <c r="AG121" s="1014"/>
      <c r="AH121" s="1014"/>
      <c r="AI121" s="1014"/>
      <c r="AJ121" s="1014"/>
      <c r="AK121" s="1014"/>
      <c r="AL121" s="1039" t="s">
        <v>2485</v>
      </c>
      <c r="AM121" s="1039" t="s">
        <v>2486</v>
      </c>
      <c r="AN121" s="1043" t="s">
        <v>2499</v>
      </c>
      <c r="AO121" s="1006" t="s">
        <v>2500</v>
      </c>
      <c r="AP121" s="1014"/>
      <c r="AQ121" s="1209">
        <v>0</v>
      </c>
      <c r="AR121" s="389" t="s">
        <v>2437</v>
      </c>
      <c r="AS121" s="389"/>
      <c r="AT121" s="379" t="str">
        <f t="shared" si="47"/>
        <v>Sin iniciar</v>
      </c>
      <c r="AU121" s="379" t="str">
        <f t="shared" si="48"/>
        <v>Sin iniciar</v>
      </c>
      <c r="AV121" s="1006"/>
      <c r="AW121" s="998"/>
      <c r="AX121" s="999"/>
      <c r="AY121" s="1027"/>
      <c r="AZ121" s="1027"/>
      <c r="BA121" s="390"/>
      <c r="BB121" s="1006"/>
      <c r="BC121" s="1033"/>
      <c r="BD121" s="1033"/>
      <c r="BE121" s="1033"/>
      <c r="BF121" s="1033"/>
      <c r="BG121" s="1033"/>
      <c r="BH121" s="1033"/>
      <c r="BI121" s="1039" t="s">
        <v>2485</v>
      </c>
      <c r="BJ121" s="1039" t="s">
        <v>2499</v>
      </c>
      <c r="BK121" s="1006" t="s">
        <v>2500</v>
      </c>
      <c r="BL121" s="1006"/>
      <c r="BM121" s="507">
        <v>0.7</v>
      </c>
      <c r="BN121" s="389" t="s">
        <v>4089</v>
      </c>
      <c r="BO121" s="389" t="s">
        <v>4090</v>
      </c>
      <c r="BP121" s="379" t="str">
        <f t="shared" si="43"/>
        <v>En gestión</v>
      </c>
      <c r="BQ121" s="379" t="str">
        <f t="shared" si="44"/>
        <v>En gestión</v>
      </c>
      <c r="BR121" s="1006"/>
      <c r="BS121" s="996"/>
      <c r="BT121" s="997"/>
      <c r="BU121" s="1027"/>
      <c r="BV121" s="1027"/>
      <c r="BW121" s="1006"/>
      <c r="BX121" s="1006"/>
      <c r="BY121" s="1107"/>
      <c r="BZ121" s="1014"/>
      <c r="CA121" s="1006"/>
      <c r="CB121" s="1014"/>
      <c r="CC121" s="1056"/>
      <c r="CD121" s="1056"/>
      <c r="CE121" s="1006"/>
      <c r="CF121" s="1006"/>
      <c r="CG121" s="1006"/>
      <c r="CH121" s="1006"/>
    </row>
    <row r="122" spans="2:86" ht="171.95" customHeight="1" x14ac:dyDescent="0.25">
      <c r="B122" s="1186"/>
      <c r="C122" s="1030"/>
      <c r="D122" s="384" t="s">
        <v>57</v>
      </c>
      <c r="E122" s="1024"/>
      <c r="F122" s="384" t="s">
        <v>28</v>
      </c>
      <c r="G122" s="384" t="s">
        <v>28</v>
      </c>
      <c r="H122" s="384" t="s">
        <v>326</v>
      </c>
      <c r="I122" s="384" t="s">
        <v>30</v>
      </c>
      <c r="J122" s="1025"/>
      <c r="K122" s="385" t="s">
        <v>187</v>
      </c>
      <c r="L122" s="386" t="s">
        <v>1971</v>
      </c>
      <c r="M122" s="387" t="s">
        <v>1972</v>
      </c>
      <c r="N122" s="384">
        <v>0.15</v>
      </c>
      <c r="O122" s="388">
        <v>44487</v>
      </c>
      <c r="P122" s="388">
        <v>44512</v>
      </c>
      <c r="Q122" s="384">
        <v>0</v>
      </c>
      <c r="R122" s="384">
        <v>0</v>
      </c>
      <c r="S122" s="382">
        <v>0</v>
      </c>
      <c r="T122" s="384">
        <v>1</v>
      </c>
      <c r="U122" s="377">
        <v>0</v>
      </c>
      <c r="V122" s="389" t="s">
        <v>37</v>
      </c>
      <c r="W122" s="389" t="s">
        <v>37</v>
      </c>
      <c r="X122" s="379" t="str">
        <f t="shared" si="45"/>
        <v>Sin iniciar</v>
      </c>
      <c r="Y122" s="379" t="str">
        <f t="shared" si="46"/>
        <v>Sin iniciar</v>
      </c>
      <c r="Z122" s="1006"/>
      <c r="AA122" s="1026"/>
      <c r="AB122" s="1004"/>
      <c r="AC122" s="1027"/>
      <c r="AD122" s="1027"/>
      <c r="AE122" s="390"/>
      <c r="AF122" s="1014"/>
      <c r="AG122" s="1014"/>
      <c r="AH122" s="1014"/>
      <c r="AI122" s="1014"/>
      <c r="AJ122" s="1014"/>
      <c r="AK122" s="1014"/>
      <c r="AL122" s="1039" t="s">
        <v>2485</v>
      </c>
      <c r="AM122" s="1039" t="s">
        <v>2486</v>
      </c>
      <c r="AN122" s="1043" t="s">
        <v>2499</v>
      </c>
      <c r="AO122" s="1006" t="s">
        <v>2500</v>
      </c>
      <c r="AP122" s="1014"/>
      <c r="AQ122" s="1209">
        <v>0</v>
      </c>
      <c r="AR122" s="389" t="s">
        <v>2437</v>
      </c>
      <c r="AS122" s="389"/>
      <c r="AT122" s="379" t="str">
        <f t="shared" si="47"/>
        <v>Sin iniciar</v>
      </c>
      <c r="AU122" s="379" t="str">
        <f t="shared" si="48"/>
        <v>Sin iniciar</v>
      </c>
      <c r="AV122" s="1006"/>
      <c r="AW122" s="998"/>
      <c r="AX122" s="999"/>
      <c r="AY122" s="1027"/>
      <c r="AZ122" s="1027"/>
      <c r="BA122" s="390"/>
      <c r="BB122" s="1006"/>
      <c r="BC122" s="1033"/>
      <c r="BD122" s="1033"/>
      <c r="BE122" s="1033"/>
      <c r="BF122" s="1033"/>
      <c r="BG122" s="1033"/>
      <c r="BH122" s="1033"/>
      <c r="BI122" s="1039" t="s">
        <v>2485</v>
      </c>
      <c r="BJ122" s="1039" t="s">
        <v>2499</v>
      </c>
      <c r="BK122" s="1006" t="s">
        <v>2500</v>
      </c>
      <c r="BL122" s="1006"/>
      <c r="BM122" s="506">
        <v>0</v>
      </c>
      <c r="BN122" s="389" t="s">
        <v>37</v>
      </c>
      <c r="BO122" s="389" t="s">
        <v>37</v>
      </c>
      <c r="BP122" s="379" t="str">
        <f t="shared" si="43"/>
        <v>Sin iniciar</v>
      </c>
      <c r="BQ122" s="379" t="str">
        <f t="shared" si="44"/>
        <v>Sin iniciar</v>
      </c>
      <c r="BR122" s="1006"/>
      <c r="BS122" s="996"/>
      <c r="BT122" s="997"/>
      <c r="BU122" s="1027"/>
      <c r="BV122" s="1027"/>
      <c r="BW122" s="1006"/>
      <c r="BX122" s="1006"/>
      <c r="BY122" s="1107"/>
      <c r="BZ122" s="1014"/>
      <c r="CA122" s="1006"/>
      <c r="CB122" s="1014"/>
      <c r="CC122" s="1056"/>
      <c r="CD122" s="1056"/>
      <c r="CE122" s="1006"/>
      <c r="CF122" s="1006"/>
      <c r="CG122" s="1006"/>
      <c r="CH122" s="1006"/>
    </row>
    <row r="123" spans="2:86" ht="171.95" customHeight="1" x14ac:dyDescent="0.25">
      <c r="B123" s="1186"/>
      <c r="C123" s="1000" t="s">
        <v>1973</v>
      </c>
      <c r="D123" s="448" t="s">
        <v>57</v>
      </c>
      <c r="E123" s="1001" t="s">
        <v>1828</v>
      </c>
      <c r="F123" s="448" t="s">
        <v>28</v>
      </c>
      <c r="G123" s="448" t="s">
        <v>28</v>
      </c>
      <c r="H123" s="448" t="s">
        <v>326</v>
      </c>
      <c r="I123" s="448" t="s">
        <v>194</v>
      </c>
      <c r="J123" s="1032" t="s">
        <v>1974</v>
      </c>
      <c r="K123" s="449" t="s">
        <v>187</v>
      </c>
      <c r="L123" s="450" t="s">
        <v>1975</v>
      </c>
      <c r="M123" s="451" t="s">
        <v>1976</v>
      </c>
      <c r="N123" s="448">
        <v>0.2</v>
      </c>
      <c r="O123" s="452">
        <v>44211</v>
      </c>
      <c r="P123" s="452">
        <v>44530</v>
      </c>
      <c r="Q123" s="448">
        <v>0.25</v>
      </c>
      <c r="R123" s="448">
        <v>0.5</v>
      </c>
      <c r="S123" s="453">
        <v>0.75</v>
      </c>
      <c r="T123" s="448">
        <v>1</v>
      </c>
      <c r="U123" s="377">
        <v>0.25</v>
      </c>
      <c r="V123" s="454" t="s">
        <v>1977</v>
      </c>
      <c r="W123" s="454" t="s">
        <v>4091</v>
      </c>
      <c r="X123" s="455" t="str">
        <f t="shared" si="45"/>
        <v>En gestión</v>
      </c>
      <c r="Y123" s="455" t="str">
        <f t="shared" si="46"/>
        <v>En gestión</v>
      </c>
      <c r="Z123" s="990" t="s">
        <v>2401</v>
      </c>
      <c r="AA123" s="1026">
        <f>SUMPRODUCT(N123:N125,U123:U125)</f>
        <v>0.25</v>
      </c>
      <c r="AB123" s="1004">
        <f>SUMPRODUCT(N123:N125,Q123:Q125)</f>
        <v>0.25</v>
      </c>
      <c r="AC123" s="1037" t="str">
        <f>IF(AB123&lt;1%,"Sin iniciar",IF(AB123=100%,"Terminado","En gestión"))</f>
        <v>En gestión</v>
      </c>
      <c r="AD123" s="1037" t="str">
        <f>IF(AA123&lt;1%,"Sin iniciar",IF(AA123=100%,"Terminado","En gestión"))</f>
        <v>En gestión</v>
      </c>
      <c r="AE123" s="456"/>
      <c r="AF123" s="992">
        <v>90137696.879999995</v>
      </c>
      <c r="AG123" s="992">
        <v>0</v>
      </c>
      <c r="AH123" s="992">
        <v>22534424.219999999</v>
      </c>
      <c r="AI123" s="992">
        <v>145963875</v>
      </c>
      <c r="AJ123" s="992">
        <v>0</v>
      </c>
      <c r="AK123" s="992">
        <v>10458620</v>
      </c>
      <c r="AL123" s="993" t="s">
        <v>2485</v>
      </c>
      <c r="AM123" s="993" t="s">
        <v>2486</v>
      </c>
      <c r="AN123" s="994" t="s">
        <v>2489</v>
      </c>
      <c r="AO123" s="990" t="s">
        <v>2490</v>
      </c>
      <c r="AP123" s="992">
        <f>+AI123</f>
        <v>145963875</v>
      </c>
      <c r="AQ123" s="1209">
        <v>0.5</v>
      </c>
      <c r="AR123" s="454" t="s">
        <v>1977</v>
      </c>
      <c r="AS123" s="454" t="s">
        <v>4091</v>
      </c>
      <c r="AT123" s="455" t="str">
        <f t="shared" si="47"/>
        <v>En gestión</v>
      </c>
      <c r="AU123" s="455" t="str">
        <f t="shared" si="48"/>
        <v>En gestión</v>
      </c>
      <c r="AV123" s="990" t="s">
        <v>2042</v>
      </c>
      <c r="AW123" s="998">
        <f>SUMPRODUCT(N123:N125,AQ123:AQ125)</f>
        <v>0.5</v>
      </c>
      <c r="AX123" s="999">
        <f>SUMPRODUCT(N123:N125,R123:R125)</f>
        <v>0.5</v>
      </c>
      <c r="AY123" s="1037" t="str">
        <f>IF(AX123&lt;1%,"Sin iniciar",IF(AX123=100%,"Terminado","En gestión"))</f>
        <v>En gestión</v>
      </c>
      <c r="AZ123" s="1037" t="str">
        <f>IF(AW123&lt;1%,"Sin iniciar",IF(AW123=100%,"Terminado","En gestión"))</f>
        <v>En gestión</v>
      </c>
      <c r="BA123" s="456"/>
      <c r="BB123" s="990"/>
      <c r="BC123" s="1035">
        <v>90137696.879999995</v>
      </c>
      <c r="BD123" s="1035">
        <v>90476734.660969675</v>
      </c>
      <c r="BE123" s="1035">
        <v>66815547.60329885</v>
      </c>
      <c r="BF123" s="1035">
        <v>145963875</v>
      </c>
      <c r="BG123" s="1035">
        <v>0</v>
      </c>
      <c r="BH123" s="1035">
        <v>51602552.795999996</v>
      </c>
      <c r="BI123" s="993" t="s">
        <v>2485</v>
      </c>
      <c r="BJ123" s="993" t="s">
        <v>2489</v>
      </c>
      <c r="BK123" s="990" t="s">
        <v>2490</v>
      </c>
      <c r="BL123" s="990" t="s">
        <v>2665</v>
      </c>
      <c r="BM123" s="507">
        <v>0.75</v>
      </c>
      <c r="BN123" s="454" t="s">
        <v>4092</v>
      </c>
      <c r="BO123" s="454" t="s">
        <v>4093</v>
      </c>
      <c r="BP123" s="455" t="str">
        <f t="shared" si="43"/>
        <v>En gestión</v>
      </c>
      <c r="BQ123" s="455" t="str">
        <f t="shared" si="44"/>
        <v>En gestión</v>
      </c>
      <c r="BR123" s="990" t="s">
        <v>4094</v>
      </c>
      <c r="BS123" s="996">
        <f>SUMPRODUCT(N123:N125,BM123:BM125)</f>
        <v>0.75</v>
      </c>
      <c r="BT123" s="997">
        <f>SUMPRODUCT(N123:N125,S123:S125)</f>
        <v>0.75</v>
      </c>
      <c r="BU123" s="1037" t="str">
        <f>IF(BT123&lt;1%,"Sin iniciar",IF(BT123=100%,"Terminado","En gestión"))</f>
        <v>En gestión</v>
      </c>
      <c r="BV123" s="1037" t="str">
        <f>IF(BS123&lt;1%,"Sin iniciar",IF(BS123=100%,"Terminado","En gestión"))</f>
        <v>En gestión</v>
      </c>
      <c r="BW123" s="990" t="s">
        <v>28</v>
      </c>
      <c r="BX123" s="990" t="s">
        <v>3965</v>
      </c>
      <c r="BY123" s="1106">
        <v>90137696.879999995</v>
      </c>
      <c r="BZ123" s="992">
        <v>90476734.660969675</v>
      </c>
      <c r="CA123" s="1013">
        <f>BZ123*BS123</f>
        <v>67857550.995727256</v>
      </c>
      <c r="CB123" s="992">
        <v>145963875</v>
      </c>
      <c r="CC123" s="1061">
        <v>60400780.833333299</v>
      </c>
      <c r="CD123" s="1061">
        <v>35056993.3716667</v>
      </c>
      <c r="CE123" s="990" t="s">
        <v>3966</v>
      </c>
      <c r="CF123" s="990" t="s">
        <v>3577</v>
      </c>
      <c r="CG123" s="990" t="s">
        <v>3578</v>
      </c>
      <c r="CH123" s="990" t="s">
        <v>2665</v>
      </c>
    </row>
    <row r="124" spans="2:86" ht="171.95" customHeight="1" x14ac:dyDescent="0.25">
      <c r="B124" s="1186"/>
      <c r="C124" s="1000"/>
      <c r="D124" s="448" t="s">
        <v>57</v>
      </c>
      <c r="E124" s="1001"/>
      <c r="F124" s="448" t="s">
        <v>28</v>
      </c>
      <c r="G124" s="448" t="s">
        <v>28</v>
      </c>
      <c r="H124" s="448" t="s">
        <v>326</v>
      </c>
      <c r="I124" s="448" t="s">
        <v>194</v>
      </c>
      <c r="J124" s="1032"/>
      <c r="K124" s="449" t="s">
        <v>187</v>
      </c>
      <c r="L124" s="450" t="s">
        <v>1978</v>
      </c>
      <c r="M124" s="451" t="s">
        <v>1979</v>
      </c>
      <c r="N124" s="448">
        <v>0.6</v>
      </c>
      <c r="O124" s="452">
        <v>44228</v>
      </c>
      <c r="P124" s="452">
        <v>44547</v>
      </c>
      <c r="Q124" s="448">
        <v>0.25</v>
      </c>
      <c r="R124" s="448">
        <v>0.5</v>
      </c>
      <c r="S124" s="453">
        <v>0.75</v>
      </c>
      <c r="T124" s="448">
        <v>1</v>
      </c>
      <c r="U124" s="377">
        <v>0.25</v>
      </c>
      <c r="V124" s="454" t="s">
        <v>1980</v>
      </c>
      <c r="W124" s="454" t="s">
        <v>4095</v>
      </c>
      <c r="X124" s="455" t="str">
        <f t="shared" si="45"/>
        <v>En gestión</v>
      </c>
      <c r="Y124" s="455" t="str">
        <f t="shared" si="46"/>
        <v>En gestión</v>
      </c>
      <c r="Z124" s="990"/>
      <c r="AA124" s="1026"/>
      <c r="AB124" s="1004"/>
      <c r="AC124" s="1037"/>
      <c r="AD124" s="1037"/>
      <c r="AE124" s="456"/>
      <c r="AF124" s="992"/>
      <c r="AG124" s="992"/>
      <c r="AH124" s="992"/>
      <c r="AI124" s="992"/>
      <c r="AJ124" s="992"/>
      <c r="AK124" s="992"/>
      <c r="AL124" s="993" t="s">
        <v>2485</v>
      </c>
      <c r="AM124" s="993" t="s">
        <v>2486</v>
      </c>
      <c r="AN124" s="994" t="s">
        <v>2489</v>
      </c>
      <c r="AO124" s="990" t="s">
        <v>2490</v>
      </c>
      <c r="AP124" s="992"/>
      <c r="AQ124" s="1209">
        <v>0.5</v>
      </c>
      <c r="AR124" s="454" t="s">
        <v>1980</v>
      </c>
      <c r="AS124" s="454" t="s">
        <v>4095</v>
      </c>
      <c r="AT124" s="455" t="str">
        <f t="shared" si="47"/>
        <v>En gestión</v>
      </c>
      <c r="AU124" s="455" t="str">
        <f t="shared" si="48"/>
        <v>En gestión</v>
      </c>
      <c r="AV124" s="990"/>
      <c r="AW124" s="998"/>
      <c r="AX124" s="999"/>
      <c r="AY124" s="1037"/>
      <c r="AZ124" s="1037"/>
      <c r="BA124" s="456"/>
      <c r="BB124" s="990"/>
      <c r="BC124" s="1035"/>
      <c r="BD124" s="1035"/>
      <c r="BE124" s="1035"/>
      <c r="BF124" s="1035"/>
      <c r="BG124" s="1035"/>
      <c r="BH124" s="1035"/>
      <c r="BI124" s="993" t="s">
        <v>2485</v>
      </c>
      <c r="BJ124" s="993" t="s">
        <v>2489</v>
      </c>
      <c r="BK124" s="990" t="s">
        <v>2490</v>
      </c>
      <c r="BL124" s="990"/>
      <c r="BM124" s="507">
        <v>0.75</v>
      </c>
      <c r="BN124" s="454" t="s">
        <v>4096</v>
      </c>
      <c r="BO124" s="454" t="s">
        <v>4097</v>
      </c>
      <c r="BP124" s="455" t="str">
        <f t="shared" si="43"/>
        <v>En gestión</v>
      </c>
      <c r="BQ124" s="455" t="str">
        <f t="shared" si="44"/>
        <v>En gestión</v>
      </c>
      <c r="BR124" s="990"/>
      <c r="BS124" s="996"/>
      <c r="BT124" s="997"/>
      <c r="BU124" s="1037"/>
      <c r="BV124" s="1037"/>
      <c r="BW124" s="990"/>
      <c r="BX124" s="990"/>
      <c r="BY124" s="1106"/>
      <c r="BZ124" s="992"/>
      <c r="CA124" s="990"/>
      <c r="CB124" s="992"/>
      <c r="CC124" s="1061"/>
      <c r="CD124" s="1061"/>
      <c r="CE124" s="990"/>
      <c r="CF124" s="990"/>
      <c r="CG124" s="990"/>
      <c r="CH124" s="990"/>
    </row>
    <row r="125" spans="2:86" ht="171.95" customHeight="1" x14ac:dyDescent="0.25">
      <c r="B125" s="1186"/>
      <c r="C125" s="1000"/>
      <c r="D125" s="448" t="s">
        <v>57</v>
      </c>
      <c r="E125" s="1001"/>
      <c r="F125" s="448" t="s">
        <v>28</v>
      </c>
      <c r="G125" s="448" t="s">
        <v>28</v>
      </c>
      <c r="H125" s="448" t="s">
        <v>326</v>
      </c>
      <c r="I125" s="448" t="s">
        <v>194</v>
      </c>
      <c r="J125" s="1032"/>
      <c r="K125" s="449" t="s">
        <v>187</v>
      </c>
      <c r="L125" s="450" t="s">
        <v>1981</v>
      </c>
      <c r="M125" s="451" t="s">
        <v>1982</v>
      </c>
      <c r="N125" s="448">
        <v>0.2</v>
      </c>
      <c r="O125" s="452">
        <v>44272</v>
      </c>
      <c r="P125" s="452">
        <v>44560</v>
      </c>
      <c r="Q125" s="448">
        <v>0.25</v>
      </c>
      <c r="R125" s="448">
        <v>0.5</v>
      </c>
      <c r="S125" s="453">
        <v>0.75</v>
      </c>
      <c r="T125" s="448">
        <v>1</v>
      </c>
      <c r="U125" s="377">
        <v>0.25</v>
      </c>
      <c r="V125" s="454" t="s">
        <v>1983</v>
      </c>
      <c r="W125" s="454" t="s">
        <v>4098</v>
      </c>
      <c r="X125" s="455" t="str">
        <f t="shared" si="45"/>
        <v>En gestión</v>
      </c>
      <c r="Y125" s="455" t="str">
        <f t="shared" si="46"/>
        <v>En gestión</v>
      </c>
      <c r="Z125" s="990"/>
      <c r="AA125" s="1026"/>
      <c r="AB125" s="1004"/>
      <c r="AC125" s="1037"/>
      <c r="AD125" s="1037"/>
      <c r="AE125" s="456"/>
      <c r="AF125" s="992"/>
      <c r="AG125" s="992"/>
      <c r="AH125" s="992"/>
      <c r="AI125" s="992"/>
      <c r="AJ125" s="992"/>
      <c r="AK125" s="992"/>
      <c r="AL125" s="993" t="s">
        <v>2485</v>
      </c>
      <c r="AM125" s="993" t="s">
        <v>2486</v>
      </c>
      <c r="AN125" s="994" t="s">
        <v>2489</v>
      </c>
      <c r="AO125" s="990" t="s">
        <v>2490</v>
      </c>
      <c r="AP125" s="992"/>
      <c r="AQ125" s="1209">
        <v>0.5</v>
      </c>
      <c r="AR125" s="454" t="s">
        <v>1983</v>
      </c>
      <c r="AS125" s="454" t="s">
        <v>4098</v>
      </c>
      <c r="AT125" s="455" t="str">
        <f t="shared" si="47"/>
        <v>En gestión</v>
      </c>
      <c r="AU125" s="455" t="str">
        <f t="shared" si="48"/>
        <v>En gestión</v>
      </c>
      <c r="AV125" s="990"/>
      <c r="AW125" s="998"/>
      <c r="AX125" s="999"/>
      <c r="AY125" s="1037"/>
      <c r="AZ125" s="1037"/>
      <c r="BA125" s="456"/>
      <c r="BB125" s="990"/>
      <c r="BC125" s="1035"/>
      <c r="BD125" s="1035"/>
      <c r="BE125" s="1035"/>
      <c r="BF125" s="1035"/>
      <c r="BG125" s="1035"/>
      <c r="BH125" s="1035"/>
      <c r="BI125" s="993" t="s">
        <v>2485</v>
      </c>
      <c r="BJ125" s="993" t="s">
        <v>2489</v>
      </c>
      <c r="BK125" s="990" t="s">
        <v>2490</v>
      </c>
      <c r="BL125" s="990"/>
      <c r="BM125" s="507">
        <v>0.75</v>
      </c>
      <c r="BN125" s="454" t="s">
        <v>4099</v>
      </c>
      <c r="BO125" s="454" t="s">
        <v>4100</v>
      </c>
      <c r="BP125" s="455" t="str">
        <f t="shared" si="43"/>
        <v>En gestión</v>
      </c>
      <c r="BQ125" s="455" t="str">
        <f t="shared" si="44"/>
        <v>En gestión</v>
      </c>
      <c r="BR125" s="990"/>
      <c r="BS125" s="996"/>
      <c r="BT125" s="997"/>
      <c r="BU125" s="1037"/>
      <c r="BV125" s="1037"/>
      <c r="BW125" s="990"/>
      <c r="BX125" s="990"/>
      <c r="BY125" s="1106"/>
      <c r="BZ125" s="992"/>
      <c r="CA125" s="990"/>
      <c r="CB125" s="992"/>
      <c r="CC125" s="1061"/>
      <c r="CD125" s="1061"/>
      <c r="CE125" s="990"/>
      <c r="CF125" s="990"/>
      <c r="CG125" s="990"/>
      <c r="CH125" s="990"/>
    </row>
    <row r="126" spans="2:86" ht="171.95" customHeight="1" x14ac:dyDescent="0.25">
      <c r="B126" s="1186"/>
      <c r="C126" s="1030" t="s">
        <v>1984</v>
      </c>
      <c r="D126" s="384" t="s">
        <v>267</v>
      </c>
      <c r="E126" s="1024" t="s">
        <v>1985</v>
      </c>
      <c r="F126" s="384" t="s">
        <v>28</v>
      </c>
      <c r="G126" s="384" t="s">
        <v>28</v>
      </c>
      <c r="H126" s="384" t="s">
        <v>326</v>
      </c>
      <c r="I126" s="384" t="s">
        <v>30</v>
      </c>
      <c r="J126" s="1025" t="s">
        <v>1986</v>
      </c>
      <c r="K126" s="385" t="s">
        <v>187</v>
      </c>
      <c r="L126" s="386" t="s">
        <v>1987</v>
      </c>
      <c r="M126" s="387" t="s">
        <v>1988</v>
      </c>
      <c r="N126" s="384">
        <v>0.4</v>
      </c>
      <c r="O126" s="388">
        <v>44221</v>
      </c>
      <c r="P126" s="388">
        <v>44510</v>
      </c>
      <c r="Q126" s="384">
        <v>0.25</v>
      </c>
      <c r="R126" s="384">
        <v>0.5</v>
      </c>
      <c r="S126" s="382">
        <v>0.75</v>
      </c>
      <c r="T126" s="384">
        <v>1</v>
      </c>
      <c r="U126" s="377">
        <v>0.25</v>
      </c>
      <c r="V126" s="389" t="s">
        <v>1989</v>
      </c>
      <c r="W126" s="389" t="s">
        <v>4101</v>
      </c>
      <c r="X126" s="379" t="str">
        <f t="shared" si="45"/>
        <v>En gestión</v>
      </c>
      <c r="Y126" s="379" t="str">
        <f t="shared" si="46"/>
        <v>En gestión</v>
      </c>
      <c r="Z126" s="1006" t="s">
        <v>2010</v>
      </c>
      <c r="AA126" s="1026">
        <f>SUMPRODUCT(N126:N128,U126:U128)</f>
        <v>0.25</v>
      </c>
      <c r="AB126" s="1004">
        <f>SUMPRODUCT(N126:N128,Q126:Q128)</f>
        <v>0.25</v>
      </c>
      <c r="AC126" s="1027" t="str">
        <f>IF(AB126&lt;1%,"Sin iniciar",IF(AB126=100%,"Terminado","En gestión"))</f>
        <v>En gestión</v>
      </c>
      <c r="AD126" s="1027" t="str">
        <f>IF(AA126&lt;1%,"Sin iniciar",IF(AA126=100%,"Terminado","En gestión"))</f>
        <v>En gestión</v>
      </c>
      <c r="AE126" s="390"/>
      <c r="AF126" s="1014">
        <v>118842552.47999999</v>
      </c>
      <c r="AG126" s="1014">
        <v>0</v>
      </c>
      <c r="AH126" s="1014">
        <v>29710638.119999997</v>
      </c>
      <c r="AI126" s="1014">
        <v>316845510</v>
      </c>
      <c r="AJ126" s="1014">
        <v>0</v>
      </c>
      <c r="AK126" s="1014">
        <v>41773620</v>
      </c>
      <c r="AL126" s="1039" t="s">
        <v>2485</v>
      </c>
      <c r="AM126" s="1039" t="s">
        <v>2486</v>
      </c>
      <c r="AN126" s="1043" t="s">
        <v>2503</v>
      </c>
      <c r="AO126" s="1006" t="s">
        <v>2504</v>
      </c>
      <c r="AP126" s="1014">
        <f>+AI126</f>
        <v>316845510</v>
      </c>
      <c r="AQ126" s="1209">
        <v>0.5</v>
      </c>
      <c r="AR126" s="389" t="s">
        <v>1989</v>
      </c>
      <c r="AS126" s="389" t="s">
        <v>4101</v>
      </c>
      <c r="AT126" s="379" t="str">
        <f t="shared" si="47"/>
        <v>En gestión</v>
      </c>
      <c r="AU126" s="379" t="str">
        <f t="shared" si="48"/>
        <v>En gestión</v>
      </c>
      <c r="AV126" s="1006" t="s">
        <v>2010</v>
      </c>
      <c r="AW126" s="998">
        <f>SUMPRODUCT(N126:N128,AQ126:AQ128)</f>
        <v>0.5</v>
      </c>
      <c r="AX126" s="999">
        <f>SUMPRODUCT(N126:N128,R126:R128)</f>
        <v>0.5</v>
      </c>
      <c r="AY126" s="1027" t="str">
        <f>IF(AX126&lt;1%,"Sin iniciar",IF(AX126=100%,"Terminado","En gestión"))</f>
        <v>En gestión</v>
      </c>
      <c r="AZ126" s="1027" t="str">
        <f>IF(AW126&lt;1%,"Sin iniciar",IF(AW126=100%,"Terminado","En gestión"))</f>
        <v>En gestión</v>
      </c>
      <c r="BA126" s="390"/>
      <c r="BB126" s="1006"/>
      <c r="BC126" s="1033">
        <v>118842552.47999999</v>
      </c>
      <c r="BD126" s="1033">
        <v>121345768.51096968</v>
      </c>
      <c r="BE126" s="1033">
        <v>69310243.656298861</v>
      </c>
      <c r="BF126" s="1033">
        <v>316845510</v>
      </c>
      <c r="BG126" s="1033">
        <v>0</v>
      </c>
      <c r="BH126" s="1033">
        <v>115908381.972</v>
      </c>
      <c r="BI126" s="1039" t="s">
        <v>2485</v>
      </c>
      <c r="BJ126" s="1039" t="s">
        <v>2503</v>
      </c>
      <c r="BK126" s="1006" t="s">
        <v>2504</v>
      </c>
      <c r="BL126" s="1006" t="s">
        <v>2704</v>
      </c>
      <c r="BM126" s="507">
        <v>0.75</v>
      </c>
      <c r="BN126" s="389" t="s">
        <v>4102</v>
      </c>
      <c r="BO126" s="389" t="s">
        <v>4101</v>
      </c>
      <c r="BP126" s="379" t="str">
        <f t="shared" si="43"/>
        <v>En gestión</v>
      </c>
      <c r="BQ126" s="379" t="str">
        <f t="shared" si="44"/>
        <v>En gestión</v>
      </c>
      <c r="BR126" s="1006" t="s">
        <v>4103</v>
      </c>
      <c r="BS126" s="996">
        <f>SUMPRODUCT(N126:N128,BM126:BM128)</f>
        <v>0.75000000000000011</v>
      </c>
      <c r="BT126" s="997">
        <f>SUMPRODUCT(N126:N128,S126:S128)</f>
        <v>0.75000000000000011</v>
      </c>
      <c r="BU126" s="1027" t="str">
        <f>IF(BT126&lt;1%,"Sin iniciar",IF(BT126=100%,"Terminado","En gestión"))</f>
        <v>En gestión</v>
      </c>
      <c r="BV126" s="1027" t="str">
        <f>IF(BS126&lt;1%,"Sin iniciar",IF(BS126=100%,"Terminado","En gestión"))</f>
        <v>En gestión</v>
      </c>
      <c r="BW126" s="1006" t="s">
        <v>28</v>
      </c>
      <c r="BX126" s="1006" t="s">
        <v>3965</v>
      </c>
      <c r="BY126" s="1107">
        <v>118842552.47999999</v>
      </c>
      <c r="BZ126" s="1014">
        <v>121345768.51096968</v>
      </c>
      <c r="CA126" s="1034">
        <f>BZ126*BS126</f>
        <v>91009326.383227274</v>
      </c>
      <c r="CB126" s="1014">
        <v>316845510</v>
      </c>
      <c r="CC126" s="1056">
        <v>324204840</v>
      </c>
      <c r="CD126" s="1056">
        <v>230770327.84</v>
      </c>
      <c r="CE126" s="1006" t="s">
        <v>3966</v>
      </c>
      <c r="CF126" s="1006" t="s">
        <v>2503</v>
      </c>
      <c r="CG126" s="1006" t="s">
        <v>4104</v>
      </c>
      <c r="CH126" s="1006" t="s">
        <v>4105</v>
      </c>
    </row>
    <row r="127" spans="2:86" ht="171.95" customHeight="1" x14ac:dyDescent="0.25">
      <c r="B127" s="1186"/>
      <c r="C127" s="1030"/>
      <c r="D127" s="384" t="s">
        <v>267</v>
      </c>
      <c r="E127" s="1024"/>
      <c r="F127" s="384" t="s">
        <v>28</v>
      </c>
      <c r="G127" s="384" t="s">
        <v>28</v>
      </c>
      <c r="H127" s="384" t="s">
        <v>326</v>
      </c>
      <c r="I127" s="384" t="s">
        <v>30</v>
      </c>
      <c r="J127" s="1025"/>
      <c r="K127" s="385" t="s">
        <v>187</v>
      </c>
      <c r="L127" s="386" t="s">
        <v>1990</v>
      </c>
      <c r="M127" s="387" t="s">
        <v>1991</v>
      </c>
      <c r="N127" s="384">
        <v>0.4</v>
      </c>
      <c r="O127" s="388">
        <v>44225</v>
      </c>
      <c r="P127" s="388">
        <v>44512</v>
      </c>
      <c r="Q127" s="384">
        <v>0.25</v>
      </c>
      <c r="R127" s="384">
        <v>0.5</v>
      </c>
      <c r="S127" s="382">
        <v>0.75</v>
      </c>
      <c r="T127" s="384">
        <v>1</v>
      </c>
      <c r="U127" s="377">
        <v>0.25</v>
      </c>
      <c r="V127" s="389" t="s">
        <v>2402</v>
      </c>
      <c r="W127" s="389" t="s">
        <v>4106</v>
      </c>
      <c r="X127" s="379" t="str">
        <f t="shared" si="45"/>
        <v>En gestión</v>
      </c>
      <c r="Y127" s="379" t="str">
        <f t="shared" si="46"/>
        <v>En gestión</v>
      </c>
      <c r="Z127" s="1006"/>
      <c r="AA127" s="1026"/>
      <c r="AB127" s="1004"/>
      <c r="AC127" s="1027"/>
      <c r="AD127" s="1027"/>
      <c r="AE127" s="390"/>
      <c r="AF127" s="1014"/>
      <c r="AG127" s="1014"/>
      <c r="AH127" s="1014"/>
      <c r="AI127" s="1014"/>
      <c r="AJ127" s="1014"/>
      <c r="AK127" s="1014"/>
      <c r="AL127" s="1039" t="s">
        <v>2485</v>
      </c>
      <c r="AM127" s="1039" t="s">
        <v>2486</v>
      </c>
      <c r="AN127" s="1043" t="s">
        <v>2503</v>
      </c>
      <c r="AO127" s="1006" t="s">
        <v>2504</v>
      </c>
      <c r="AP127" s="1014"/>
      <c r="AQ127" s="1209">
        <v>0.5</v>
      </c>
      <c r="AR127" s="389" t="s">
        <v>2403</v>
      </c>
      <c r="AS127" s="389" t="s">
        <v>4106</v>
      </c>
      <c r="AT127" s="379" t="str">
        <f t="shared" si="47"/>
        <v>En gestión</v>
      </c>
      <c r="AU127" s="379" t="str">
        <f t="shared" si="48"/>
        <v>En gestión</v>
      </c>
      <c r="AV127" s="1006"/>
      <c r="AW127" s="998"/>
      <c r="AX127" s="999"/>
      <c r="AY127" s="1027"/>
      <c r="AZ127" s="1027"/>
      <c r="BA127" s="390"/>
      <c r="BB127" s="1006"/>
      <c r="BC127" s="1033"/>
      <c r="BD127" s="1033"/>
      <c r="BE127" s="1033"/>
      <c r="BF127" s="1033"/>
      <c r="BG127" s="1033"/>
      <c r="BH127" s="1033"/>
      <c r="BI127" s="1039" t="s">
        <v>2485</v>
      </c>
      <c r="BJ127" s="1039" t="s">
        <v>2503</v>
      </c>
      <c r="BK127" s="1006" t="s">
        <v>2504</v>
      </c>
      <c r="BL127" s="1006"/>
      <c r="BM127" s="507">
        <v>0.75</v>
      </c>
      <c r="BN127" s="389" t="s">
        <v>4107</v>
      </c>
      <c r="BO127" s="389" t="s">
        <v>4106</v>
      </c>
      <c r="BP127" s="379" t="str">
        <f t="shared" ref="BP127:BP131" si="49">IF(S127&lt;1%,"Sin iniciar",IF(S127=100%,"Terminado","En gestión"))</f>
        <v>En gestión</v>
      </c>
      <c r="BQ127" s="379" t="str">
        <f t="shared" ref="BQ127:BQ131" si="50">IF(BM127&lt;1%,"Sin iniciar",IF(BM127=100%,"Terminado","En gestión"))</f>
        <v>En gestión</v>
      </c>
      <c r="BR127" s="1006"/>
      <c r="BS127" s="996"/>
      <c r="BT127" s="997"/>
      <c r="BU127" s="1027"/>
      <c r="BV127" s="1027"/>
      <c r="BW127" s="1006"/>
      <c r="BX127" s="1006"/>
      <c r="BY127" s="1107"/>
      <c r="BZ127" s="1014"/>
      <c r="CA127" s="1006"/>
      <c r="CB127" s="1014"/>
      <c r="CC127" s="1056"/>
      <c r="CD127" s="1056"/>
      <c r="CE127" s="1006"/>
      <c r="CF127" s="1006"/>
      <c r="CG127" s="1006"/>
      <c r="CH127" s="1006"/>
    </row>
    <row r="128" spans="2:86" ht="171.95" customHeight="1" x14ac:dyDescent="0.25">
      <c r="B128" s="1186"/>
      <c r="C128" s="1030"/>
      <c r="D128" s="384" t="s">
        <v>267</v>
      </c>
      <c r="E128" s="1024"/>
      <c r="F128" s="384" t="s">
        <v>28</v>
      </c>
      <c r="G128" s="384" t="s">
        <v>28</v>
      </c>
      <c r="H128" s="384" t="s">
        <v>326</v>
      </c>
      <c r="I128" s="384" t="s">
        <v>30</v>
      </c>
      <c r="J128" s="1025"/>
      <c r="K128" s="385" t="s">
        <v>187</v>
      </c>
      <c r="L128" s="386" t="s">
        <v>1992</v>
      </c>
      <c r="M128" s="387" t="s">
        <v>1993</v>
      </c>
      <c r="N128" s="384">
        <v>0.2</v>
      </c>
      <c r="O128" s="388">
        <v>44232</v>
      </c>
      <c r="P128" s="388">
        <v>44516</v>
      </c>
      <c r="Q128" s="384">
        <v>0.25</v>
      </c>
      <c r="R128" s="384">
        <v>0.5</v>
      </c>
      <c r="S128" s="382">
        <v>0.75</v>
      </c>
      <c r="T128" s="384">
        <v>1</v>
      </c>
      <c r="U128" s="377">
        <v>0.25</v>
      </c>
      <c r="V128" s="389" t="s">
        <v>1994</v>
      </c>
      <c r="W128" s="389" t="s">
        <v>4108</v>
      </c>
      <c r="X128" s="379" t="str">
        <f t="shared" si="45"/>
        <v>En gestión</v>
      </c>
      <c r="Y128" s="379" t="str">
        <f t="shared" si="46"/>
        <v>En gestión</v>
      </c>
      <c r="Z128" s="1006"/>
      <c r="AA128" s="1026"/>
      <c r="AB128" s="1004"/>
      <c r="AC128" s="1027"/>
      <c r="AD128" s="1027"/>
      <c r="AE128" s="390"/>
      <c r="AF128" s="1014"/>
      <c r="AG128" s="1014"/>
      <c r="AH128" s="1014"/>
      <c r="AI128" s="1014"/>
      <c r="AJ128" s="1014"/>
      <c r="AK128" s="1014"/>
      <c r="AL128" s="1039" t="s">
        <v>2485</v>
      </c>
      <c r="AM128" s="1039" t="s">
        <v>2486</v>
      </c>
      <c r="AN128" s="1043" t="s">
        <v>2503</v>
      </c>
      <c r="AO128" s="1006" t="s">
        <v>2504</v>
      </c>
      <c r="AP128" s="1014"/>
      <c r="AQ128" s="1209">
        <v>0.5</v>
      </c>
      <c r="AR128" s="389" t="s">
        <v>2030</v>
      </c>
      <c r="AS128" s="389" t="s">
        <v>4108</v>
      </c>
      <c r="AT128" s="379" t="str">
        <f t="shared" si="47"/>
        <v>En gestión</v>
      </c>
      <c r="AU128" s="379" t="str">
        <f t="shared" si="48"/>
        <v>En gestión</v>
      </c>
      <c r="AV128" s="1006"/>
      <c r="AW128" s="998"/>
      <c r="AX128" s="999"/>
      <c r="AY128" s="1027"/>
      <c r="AZ128" s="1027"/>
      <c r="BA128" s="390"/>
      <c r="BB128" s="1006"/>
      <c r="BC128" s="1033"/>
      <c r="BD128" s="1033"/>
      <c r="BE128" s="1033"/>
      <c r="BF128" s="1033"/>
      <c r="BG128" s="1033"/>
      <c r="BH128" s="1033"/>
      <c r="BI128" s="1039" t="s">
        <v>2485</v>
      </c>
      <c r="BJ128" s="1039" t="s">
        <v>2503</v>
      </c>
      <c r="BK128" s="1006" t="s">
        <v>2504</v>
      </c>
      <c r="BL128" s="1006"/>
      <c r="BM128" s="507">
        <v>0.75</v>
      </c>
      <c r="BN128" s="389" t="s">
        <v>4109</v>
      </c>
      <c r="BO128" s="389" t="s">
        <v>4108</v>
      </c>
      <c r="BP128" s="379" t="str">
        <f t="shared" si="49"/>
        <v>En gestión</v>
      </c>
      <c r="BQ128" s="379" t="str">
        <f t="shared" si="50"/>
        <v>En gestión</v>
      </c>
      <c r="BR128" s="1006"/>
      <c r="BS128" s="996"/>
      <c r="BT128" s="997"/>
      <c r="BU128" s="1027"/>
      <c r="BV128" s="1027"/>
      <c r="BW128" s="1006"/>
      <c r="BX128" s="1006"/>
      <c r="BY128" s="1107"/>
      <c r="BZ128" s="1014"/>
      <c r="CA128" s="1006"/>
      <c r="CB128" s="1014"/>
      <c r="CC128" s="1056"/>
      <c r="CD128" s="1056"/>
      <c r="CE128" s="1006"/>
      <c r="CF128" s="1006"/>
      <c r="CG128" s="1006"/>
      <c r="CH128" s="1006"/>
    </row>
    <row r="129" spans="2:86" ht="171.95" customHeight="1" x14ac:dyDescent="0.25">
      <c r="B129" s="1186"/>
      <c r="C129" s="1000" t="s">
        <v>1995</v>
      </c>
      <c r="D129" s="448" t="s">
        <v>57</v>
      </c>
      <c r="E129" s="1001" t="s">
        <v>1206</v>
      </c>
      <c r="F129" s="448" t="s">
        <v>28</v>
      </c>
      <c r="G129" s="448" t="s">
        <v>28</v>
      </c>
      <c r="H129" s="448" t="s">
        <v>326</v>
      </c>
      <c r="I129" s="448" t="s">
        <v>30</v>
      </c>
      <c r="J129" s="1032" t="s">
        <v>1996</v>
      </c>
      <c r="K129" s="449" t="s">
        <v>187</v>
      </c>
      <c r="L129" s="450" t="s">
        <v>1997</v>
      </c>
      <c r="M129" s="451" t="s">
        <v>1998</v>
      </c>
      <c r="N129" s="448">
        <v>0.4</v>
      </c>
      <c r="O129" s="452">
        <v>44201</v>
      </c>
      <c r="P129" s="452">
        <v>44540</v>
      </c>
      <c r="Q129" s="448">
        <v>0.25</v>
      </c>
      <c r="R129" s="448">
        <v>0.5</v>
      </c>
      <c r="S129" s="453">
        <v>0.75</v>
      </c>
      <c r="T129" s="448">
        <v>1</v>
      </c>
      <c r="U129" s="377">
        <v>0.25</v>
      </c>
      <c r="V129" s="454" t="s">
        <v>1999</v>
      </c>
      <c r="W129" s="454" t="s">
        <v>4110</v>
      </c>
      <c r="X129" s="455" t="str">
        <f t="shared" si="45"/>
        <v>En gestión</v>
      </c>
      <c r="Y129" s="455" t="str">
        <f t="shared" si="46"/>
        <v>En gestión</v>
      </c>
      <c r="Z129" s="990" t="s">
        <v>2011</v>
      </c>
      <c r="AA129" s="1026">
        <f>SUMPRODUCT(N129:N131,U129:U131)</f>
        <v>0.25</v>
      </c>
      <c r="AB129" s="1004">
        <f>SUMPRODUCT(N129:N131,Q129:Q131)</f>
        <v>0.25</v>
      </c>
      <c r="AC129" s="1037" t="str">
        <f>IF(AB129&lt;1%,"Sin iniciar",IF(AB129=100%,"Terminado","En gestión"))</f>
        <v>En gestión</v>
      </c>
      <c r="AD129" s="1037" t="str">
        <f>IF(AA129&lt;1%,"Sin iniciar",IF(AA129=100%,"Terminado","En gestión"))</f>
        <v>En gestión</v>
      </c>
      <c r="AE129" s="456"/>
      <c r="AF129" s="992">
        <v>53480253.840000004</v>
      </c>
      <c r="AG129" s="992">
        <v>0</v>
      </c>
      <c r="AH129" s="992">
        <v>13370063.460000001</v>
      </c>
      <c r="AI129" s="992">
        <v>301428985</v>
      </c>
      <c r="AJ129" s="992">
        <v>0</v>
      </c>
      <c r="AK129" s="992">
        <v>40522620</v>
      </c>
      <c r="AL129" s="993" t="s">
        <v>2485</v>
      </c>
      <c r="AM129" s="993" t="s">
        <v>2486</v>
      </c>
      <c r="AN129" s="994" t="s">
        <v>2505</v>
      </c>
      <c r="AO129" s="990" t="s">
        <v>2506</v>
      </c>
      <c r="AP129" s="992">
        <f>+AI129</f>
        <v>301428985</v>
      </c>
      <c r="AQ129" s="1209">
        <v>0.5</v>
      </c>
      <c r="AR129" s="454" t="s">
        <v>2031</v>
      </c>
      <c r="AS129" s="454" t="s">
        <v>4110</v>
      </c>
      <c r="AT129" s="455" t="str">
        <f t="shared" si="47"/>
        <v>En gestión</v>
      </c>
      <c r="AU129" s="455" t="str">
        <f t="shared" si="48"/>
        <v>En gestión</v>
      </c>
      <c r="AV129" s="990" t="s">
        <v>2011</v>
      </c>
      <c r="AW129" s="998">
        <f>SUMPRODUCT(N129:N131,AQ129:AQ131)</f>
        <v>0.5</v>
      </c>
      <c r="AX129" s="999">
        <f>SUMPRODUCT(N129:N131,R129:R131)</f>
        <v>0.5</v>
      </c>
      <c r="AY129" s="1037" t="str">
        <f>IF(AX129&lt;1%,"Sin iniciar",IF(AX129=100%,"Terminado","En gestión"))</f>
        <v>En gestión</v>
      </c>
      <c r="AZ129" s="1037" t="str">
        <f>IF(AW129&lt;1%,"Sin iniciar",IF(AW129=100%,"Terminado","En gestión"))</f>
        <v>En gestión</v>
      </c>
      <c r="BA129" s="456"/>
      <c r="BB129" s="990"/>
      <c r="BC129" s="1035">
        <v>53480253.840000004</v>
      </c>
      <c r="BD129" s="1035">
        <v>121386657.49096969</v>
      </c>
      <c r="BE129" s="1035">
        <v>66260800.741333336</v>
      </c>
      <c r="BF129" s="1035">
        <v>301428985</v>
      </c>
      <c r="BG129" s="1035">
        <v>0</v>
      </c>
      <c r="BH129" s="1035">
        <v>114998631.972</v>
      </c>
      <c r="BI129" s="993" t="s">
        <v>2485</v>
      </c>
      <c r="BJ129" s="993" t="s">
        <v>2505</v>
      </c>
      <c r="BK129" s="990" t="s">
        <v>2506</v>
      </c>
      <c r="BL129" s="990" t="s">
        <v>2704</v>
      </c>
      <c r="BM129" s="507">
        <v>0.75</v>
      </c>
      <c r="BN129" s="454" t="s">
        <v>4111</v>
      </c>
      <c r="BO129" s="454" t="s">
        <v>4110</v>
      </c>
      <c r="BP129" s="455" t="str">
        <f t="shared" si="49"/>
        <v>En gestión</v>
      </c>
      <c r="BQ129" s="455" t="str">
        <f t="shared" si="50"/>
        <v>En gestión</v>
      </c>
      <c r="BR129" s="990" t="s">
        <v>4112</v>
      </c>
      <c r="BS129" s="996">
        <f>SUMPRODUCT(N129:N131,BM129:BM131)</f>
        <v>0.75000000000000011</v>
      </c>
      <c r="BT129" s="997">
        <f>SUMPRODUCT(N129:N131,S129:S131)</f>
        <v>0.75000000000000011</v>
      </c>
      <c r="BU129" s="1037" t="str">
        <f>IF(BT129&lt;1%,"Sin iniciar",IF(BT129=100%,"Terminado","En gestión"))</f>
        <v>En gestión</v>
      </c>
      <c r="BV129" s="1037" t="str">
        <f>IF(BS129&lt;1%,"Sin iniciar",IF(BS129=100%,"Terminado","En gestión"))</f>
        <v>En gestión</v>
      </c>
      <c r="BW129" s="990" t="s">
        <v>28</v>
      </c>
      <c r="BX129" s="990" t="s">
        <v>3965</v>
      </c>
      <c r="BY129" s="1106">
        <v>53480253.840000004</v>
      </c>
      <c r="BZ129" s="992">
        <v>121386657.49096969</v>
      </c>
      <c r="CA129" s="1013">
        <f>BZ129*BS129</f>
        <v>91039993.118227273</v>
      </c>
      <c r="CB129" s="992">
        <v>301428985</v>
      </c>
      <c r="CC129" s="1061">
        <v>304505810</v>
      </c>
      <c r="CD129" s="1061">
        <v>194467090.84</v>
      </c>
      <c r="CE129" s="990" t="s">
        <v>3966</v>
      </c>
      <c r="CF129" s="990" t="s">
        <v>4113</v>
      </c>
      <c r="CG129" s="990" t="s">
        <v>4114</v>
      </c>
      <c r="CH129" s="990" t="s">
        <v>4115</v>
      </c>
    </row>
    <row r="130" spans="2:86" ht="171.95" customHeight="1" x14ac:dyDescent="0.25">
      <c r="B130" s="1186"/>
      <c r="C130" s="1000"/>
      <c r="D130" s="448" t="s">
        <v>57</v>
      </c>
      <c r="E130" s="1001"/>
      <c r="F130" s="448" t="s">
        <v>28</v>
      </c>
      <c r="G130" s="448" t="s">
        <v>28</v>
      </c>
      <c r="H130" s="448" t="s">
        <v>326</v>
      </c>
      <c r="I130" s="448" t="s">
        <v>30</v>
      </c>
      <c r="J130" s="1032"/>
      <c r="K130" s="449" t="s">
        <v>187</v>
      </c>
      <c r="L130" s="450" t="s">
        <v>2000</v>
      </c>
      <c r="M130" s="451" t="s">
        <v>2001</v>
      </c>
      <c r="N130" s="448">
        <v>0.4</v>
      </c>
      <c r="O130" s="452">
        <v>44207</v>
      </c>
      <c r="P130" s="452">
        <v>44543</v>
      </c>
      <c r="Q130" s="448">
        <v>0.25</v>
      </c>
      <c r="R130" s="448">
        <v>0.5</v>
      </c>
      <c r="S130" s="453">
        <v>0.75</v>
      </c>
      <c r="T130" s="448">
        <v>1</v>
      </c>
      <c r="U130" s="377">
        <v>0.25</v>
      </c>
      <c r="V130" s="454" t="s">
        <v>2404</v>
      </c>
      <c r="W130" s="454" t="s">
        <v>4116</v>
      </c>
      <c r="X130" s="455" t="str">
        <f t="shared" si="45"/>
        <v>En gestión</v>
      </c>
      <c r="Y130" s="455" t="str">
        <f t="shared" si="46"/>
        <v>En gestión</v>
      </c>
      <c r="Z130" s="990"/>
      <c r="AA130" s="1026"/>
      <c r="AB130" s="1004"/>
      <c r="AC130" s="1037"/>
      <c r="AD130" s="1037"/>
      <c r="AE130" s="456"/>
      <c r="AF130" s="992"/>
      <c r="AG130" s="992"/>
      <c r="AH130" s="992"/>
      <c r="AI130" s="992"/>
      <c r="AJ130" s="992"/>
      <c r="AK130" s="992"/>
      <c r="AL130" s="993" t="s">
        <v>2485</v>
      </c>
      <c r="AM130" s="993" t="s">
        <v>2486</v>
      </c>
      <c r="AN130" s="994" t="s">
        <v>2505</v>
      </c>
      <c r="AO130" s="990" t="s">
        <v>2506</v>
      </c>
      <c r="AP130" s="992"/>
      <c r="AQ130" s="1209">
        <v>0.5</v>
      </c>
      <c r="AR130" s="454" t="s">
        <v>2405</v>
      </c>
      <c r="AS130" s="454" t="s">
        <v>4116</v>
      </c>
      <c r="AT130" s="455" t="str">
        <f t="shared" si="47"/>
        <v>En gestión</v>
      </c>
      <c r="AU130" s="455" t="str">
        <f t="shared" si="48"/>
        <v>En gestión</v>
      </c>
      <c r="AV130" s="990"/>
      <c r="AW130" s="998"/>
      <c r="AX130" s="999"/>
      <c r="AY130" s="1037"/>
      <c r="AZ130" s="1037"/>
      <c r="BA130" s="456"/>
      <c r="BB130" s="990"/>
      <c r="BC130" s="1035"/>
      <c r="BD130" s="1035"/>
      <c r="BE130" s="1035"/>
      <c r="BF130" s="1035"/>
      <c r="BG130" s="1035"/>
      <c r="BH130" s="1035"/>
      <c r="BI130" s="993" t="s">
        <v>2485</v>
      </c>
      <c r="BJ130" s="993" t="s">
        <v>2505</v>
      </c>
      <c r="BK130" s="990" t="s">
        <v>2506</v>
      </c>
      <c r="BL130" s="990"/>
      <c r="BM130" s="507">
        <v>0.75</v>
      </c>
      <c r="BN130" s="454" t="s">
        <v>4117</v>
      </c>
      <c r="BO130" s="454" t="s">
        <v>4116</v>
      </c>
      <c r="BP130" s="455" t="str">
        <f t="shared" si="49"/>
        <v>En gestión</v>
      </c>
      <c r="BQ130" s="455" t="str">
        <f t="shared" si="50"/>
        <v>En gestión</v>
      </c>
      <c r="BR130" s="990"/>
      <c r="BS130" s="996"/>
      <c r="BT130" s="997"/>
      <c r="BU130" s="1037"/>
      <c r="BV130" s="1037"/>
      <c r="BW130" s="990"/>
      <c r="BX130" s="990"/>
      <c r="BY130" s="1106"/>
      <c r="BZ130" s="992"/>
      <c r="CA130" s="990"/>
      <c r="CB130" s="992"/>
      <c r="CC130" s="1061"/>
      <c r="CD130" s="1061"/>
      <c r="CE130" s="990"/>
      <c r="CF130" s="990"/>
      <c r="CG130" s="990"/>
      <c r="CH130" s="990"/>
    </row>
    <row r="131" spans="2:86" ht="171.95" customHeight="1" x14ac:dyDescent="0.25">
      <c r="B131" s="1187"/>
      <c r="C131" s="1000"/>
      <c r="D131" s="448" t="s">
        <v>57</v>
      </c>
      <c r="E131" s="1001"/>
      <c r="F131" s="448" t="s">
        <v>28</v>
      </c>
      <c r="G131" s="448" t="s">
        <v>28</v>
      </c>
      <c r="H131" s="448" t="s">
        <v>326</v>
      </c>
      <c r="I131" s="448" t="s">
        <v>30</v>
      </c>
      <c r="J131" s="1032"/>
      <c r="K131" s="449" t="s">
        <v>187</v>
      </c>
      <c r="L131" s="450" t="s">
        <v>2002</v>
      </c>
      <c r="M131" s="451" t="s">
        <v>2003</v>
      </c>
      <c r="N131" s="448">
        <v>0.2</v>
      </c>
      <c r="O131" s="452">
        <v>44209</v>
      </c>
      <c r="P131" s="452">
        <v>44547</v>
      </c>
      <c r="Q131" s="448">
        <v>0.25</v>
      </c>
      <c r="R131" s="448">
        <v>0.5</v>
      </c>
      <c r="S131" s="453">
        <v>0.75</v>
      </c>
      <c r="T131" s="448">
        <v>1</v>
      </c>
      <c r="U131" s="377">
        <v>0.25</v>
      </c>
      <c r="V131" s="454" t="s">
        <v>2004</v>
      </c>
      <c r="W131" s="454" t="s">
        <v>4118</v>
      </c>
      <c r="X131" s="455" t="str">
        <f t="shared" si="45"/>
        <v>En gestión</v>
      </c>
      <c r="Y131" s="455" t="str">
        <f t="shared" si="46"/>
        <v>En gestión</v>
      </c>
      <c r="Z131" s="990"/>
      <c r="AA131" s="1026"/>
      <c r="AB131" s="1004"/>
      <c r="AC131" s="1037"/>
      <c r="AD131" s="1037"/>
      <c r="AE131" s="456"/>
      <c r="AF131" s="992"/>
      <c r="AG131" s="992"/>
      <c r="AH131" s="992"/>
      <c r="AI131" s="992"/>
      <c r="AJ131" s="992"/>
      <c r="AK131" s="992"/>
      <c r="AL131" s="993" t="s">
        <v>2485</v>
      </c>
      <c r="AM131" s="993" t="s">
        <v>2486</v>
      </c>
      <c r="AN131" s="994" t="s">
        <v>2505</v>
      </c>
      <c r="AO131" s="990" t="s">
        <v>2506</v>
      </c>
      <c r="AP131" s="992"/>
      <c r="AQ131" s="1209">
        <v>0.5</v>
      </c>
      <c r="AR131" s="454" t="s">
        <v>2032</v>
      </c>
      <c r="AS131" s="454" t="s">
        <v>4118</v>
      </c>
      <c r="AT131" s="455" t="str">
        <f t="shared" si="47"/>
        <v>En gestión</v>
      </c>
      <c r="AU131" s="455" t="str">
        <f t="shared" si="48"/>
        <v>En gestión</v>
      </c>
      <c r="AV131" s="990"/>
      <c r="AW131" s="998"/>
      <c r="AX131" s="999"/>
      <c r="AY131" s="1037"/>
      <c r="AZ131" s="1037"/>
      <c r="BA131" s="456"/>
      <c r="BB131" s="990"/>
      <c r="BC131" s="1035"/>
      <c r="BD131" s="1035"/>
      <c r="BE131" s="1035"/>
      <c r="BF131" s="1035"/>
      <c r="BG131" s="1035"/>
      <c r="BH131" s="1035"/>
      <c r="BI131" s="993" t="s">
        <v>2485</v>
      </c>
      <c r="BJ131" s="993" t="s">
        <v>2505</v>
      </c>
      <c r="BK131" s="990" t="s">
        <v>2506</v>
      </c>
      <c r="BL131" s="990"/>
      <c r="BM131" s="507">
        <v>0.75</v>
      </c>
      <c r="BN131" s="454" t="s">
        <v>4119</v>
      </c>
      <c r="BO131" s="454" t="s">
        <v>4118</v>
      </c>
      <c r="BP131" s="455" t="str">
        <f t="shared" si="49"/>
        <v>En gestión</v>
      </c>
      <c r="BQ131" s="455" t="str">
        <f t="shared" si="50"/>
        <v>En gestión</v>
      </c>
      <c r="BR131" s="990"/>
      <c r="BS131" s="996"/>
      <c r="BT131" s="997"/>
      <c r="BU131" s="1037"/>
      <c r="BV131" s="1037"/>
      <c r="BW131" s="990"/>
      <c r="BX131" s="990"/>
      <c r="BY131" s="1106"/>
      <c r="BZ131" s="992"/>
      <c r="CA131" s="990"/>
      <c r="CB131" s="992"/>
      <c r="CC131" s="1061"/>
      <c r="CD131" s="1061"/>
      <c r="CE131" s="990"/>
      <c r="CF131" s="990"/>
      <c r="CG131" s="990"/>
      <c r="CH131" s="990"/>
    </row>
    <row r="132" spans="2:86" ht="171.95" customHeight="1" x14ac:dyDescent="0.25">
      <c r="B132" s="1188" t="s">
        <v>5275</v>
      </c>
      <c r="C132" s="1115" t="s">
        <v>2043</v>
      </c>
      <c r="D132" s="1116" t="s">
        <v>1045</v>
      </c>
      <c r="E132" s="1116" t="s">
        <v>2406</v>
      </c>
      <c r="F132" s="1116" t="s">
        <v>28</v>
      </c>
      <c r="G132" s="1116" t="s">
        <v>28</v>
      </c>
      <c r="H132" s="1116" t="s">
        <v>59</v>
      </c>
      <c r="I132" s="433" t="s">
        <v>1389</v>
      </c>
      <c r="J132" s="1117" t="s">
        <v>2044</v>
      </c>
      <c r="K132" s="412" t="s">
        <v>164</v>
      </c>
      <c r="L132" s="434" t="s">
        <v>2045</v>
      </c>
      <c r="M132" s="387" t="s">
        <v>2046</v>
      </c>
      <c r="N132" s="433">
        <v>0.1</v>
      </c>
      <c r="O132" s="388">
        <v>44197</v>
      </c>
      <c r="P132" s="388">
        <v>44561</v>
      </c>
      <c r="Q132" s="435">
        <v>0.25</v>
      </c>
      <c r="R132" s="435">
        <v>0.5</v>
      </c>
      <c r="S132" s="436">
        <v>0.75</v>
      </c>
      <c r="T132" s="433">
        <v>1</v>
      </c>
      <c r="U132" s="381">
        <v>0.25</v>
      </c>
      <c r="V132" s="437" t="s">
        <v>2047</v>
      </c>
      <c r="W132" s="437" t="s">
        <v>4120</v>
      </c>
      <c r="X132" s="379" t="str">
        <f t="shared" ref="X132:X195" si="51">IF(Q132&lt;1%,"Sin iniciar",IF(Q132=100%,"Terminado","En gestión"))</f>
        <v>En gestión</v>
      </c>
      <c r="Y132" s="379" t="str">
        <f t="shared" ref="Y132:Y195" si="52">IF(U132&lt;1%,"Sin iniciar",IF(U132=100%,"Terminado","En gestión"))</f>
        <v>En gestión</v>
      </c>
      <c r="Z132" s="1113" t="s">
        <v>2273</v>
      </c>
      <c r="AA132" s="1120">
        <f>SUMPRODUCT(N132:N137,U132:U137)</f>
        <v>0.247</v>
      </c>
      <c r="AB132" s="1121">
        <f>SUMPRODUCT(N132:N137,Q132:Q137)</f>
        <v>0.247</v>
      </c>
      <c r="AC132" s="1122" t="str">
        <f>IF(AB132&lt;1%,"Sin iniciar",IF(AB132=100%,"Terminado","En gestión"))</f>
        <v>En gestión</v>
      </c>
      <c r="AD132" s="1122" t="str">
        <f>IF(AA132&lt;1%,"Sin iniciar",IF(AA132=100%,"Terminado","En gestión"))</f>
        <v>En gestión</v>
      </c>
      <c r="AE132" s="438"/>
      <c r="AF132" s="1005">
        <v>148708908</v>
      </c>
      <c r="AG132" s="1005"/>
      <c r="AH132" s="1005">
        <v>37177227</v>
      </c>
      <c r="AI132" s="1005">
        <v>6228550083</v>
      </c>
      <c r="AJ132" s="1005"/>
      <c r="AK132" s="1005">
        <v>3506464068</v>
      </c>
      <c r="AL132" s="1112" t="s">
        <v>2507</v>
      </c>
      <c r="AM132" s="1112" t="s">
        <v>2508</v>
      </c>
      <c r="AN132" s="1112" t="s">
        <v>2509</v>
      </c>
      <c r="AO132" s="1113" t="s">
        <v>2510</v>
      </c>
      <c r="AP132" s="1114">
        <v>7700000000</v>
      </c>
      <c r="AQ132" s="1215">
        <v>0.5</v>
      </c>
      <c r="AR132" s="437" t="s">
        <v>2047</v>
      </c>
      <c r="AS132" s="437" t="s">
        <v>4121</v>
      </c>
      <c r="AT132" s="379" t="str">
        <f t="shared" ref="AT132:AT195" si="53">IF(R132&lt;1%,"Sin iniciar",IF(R132=100%,"Terminado","En gestión"))</f>
        <v>En gestión</v>
      </c>
      <c r="AU132" s="379" t="str">
        <f t="shared" ref="AU132:AU195" si="54">IF(AQ132&lt;1%,"Sin iniciar",IF(AQ132=100%,"Terminado","En gestión"))</f>
        <v>En gestión</v>
      </c>
      <c r="AV132" s="1113" t="s">
        <v>2343</v>
      </c>
      <c r="AW132" s="1110">
        <f>SUMPRODUCT(N132:N137,AQ132:AQ137)</f>
        <v>0.5</v>
      </c>
      <c r="AX132" s="1111">
        <f>SUMPRODUCT(N132:N137,R132:R137)</f>
        <v>0.49399999999999999</v>
      </c>
      <c r="AY132" s="1122" t="str">
        <f>IF(AX132&lt;1%,"Sin iniciar",IF(AX132=100%,"Terminado","En gestión"))</f>
        <v>En gestión</v>
      </c>
      <c r="AZ132" s="1122" t="str">
        <f>IF(AW132&lt;1%,"Sin iniciar",IF(AW132=100%,"Terminado","En gestión"))</f>
        <v>En gestión</v>
      </c>
      <c r="BA132" s="437"/>
      <c r="BB132" s="1011">
        <v>148708908</v>
      </c>
      <c r="BC132" s="1011">
        <v>148708908</v>
      </c>
      <c r="BD132" s="1132">
        <v>74354454</v>
      </c>
      <c r="BE132" s="1011">
        <v>6228550083</v>
      </c>
      <c r="BF132" s="1011">
        <v>6228550083</v>
      </c>
      <c r="BG132" s="1132">
        <f>110303500+4315778518</f>
        <v>4426082018</v>
      </c>
      <c r="BH132" s="1043" t="s">
        <v>2666</v>
      </c>
      <c r="BI132" s="1043"/>
      <c r="BJ132" s="1043" t="s">
        <v>2667</v>
      </c>
      <c r="BK132" s="1007" t="s">
        <v>2668</v>
      </c>
      <c r="BL132" s="1119" t="s">
        <v>2706</v>
      </c>
      <c r="BM132" s="506">
        <v>0.75</v>
      </c>
      <c r="BN132" s="439" t="s">
        <v>2047</v>
      </c>
      <c r="BO132" s="439" t="s">
        <v>4122</v>
      </c>
      <c r="BP132" s="379" t="str">
        <f t="shared" ref="BP132:BP137" si="55">IF(S132&lt;1%,"Sin iniciar",IF(S132=100%,"Terminado","En gestión"))</f>
        <v>En gestión</v>
      </c>
      <c r="BQ132" s="379" t="str">
        <f t="shared" ref="BQ132:BQ137" si="56">IF(BM132&lt;1%,"Sin iniciar",IF(BM132=100%,"Terminado","En gestión"))</f>
        <v>En gestión</v>
      </c>
      <c r="BR132" s="1007" t="s">
        <v>4123</v>
      </c>
      <c r="BS132" s="1130">
        <f>SUMPRODUCT(N132:N137,BM132:BM137)</f>
        <v>0.79999999999999993</v>
      </c>
      <c r="BT132" s="1131">
        <f>SUMPRODUCT(N132:N137,S132:S137)</f>
        <v>0.7410000000000001</v>
      </c>
      <c r="BU132" s="1122" t="str">
        <f>IF(BT132&lt;1%,"Sin iniciar",IF(BT132=100%,"Terminado","En gestión"))</f>
        <v>En gestión</v>
      </c>
      <c r="BV132" s="1122" t="str">
        <f>IF(BS132&lt;1%,"Sin iniciar",IF(BS132=100%,"Terminado","En gestión"))</f>
        <v>En gestión</v>
      </c>
      <c r="BW132" s="1016" t="s">
        <v>28</v>
      </c>
      <c r="BX132" s="1007" t="s">
        <v>3631</v>
      </c>
      <c r="BY132" s="1005">
        <v>148708908</v>
      </c>
      <c r="BZ132" s="1005">
        <v>152590226</v>
      </c>
      <c r="CA132" s="1005">
        <v>114442670</v>
      </c>
      <c r="CB132" s="1005">
        <v>6228550083</v>
      </c>
      <c r="CC132" s="1005">
        <f>186317500+6007943083</f>
        <v>6194260583</v>
      </c>
      <c r="CD132" s="1005">
        <f>120714878+5161860801</f>
        <v>5282575679</v>
      </c>
      <c r="CE132" s="1043" t="s">
        <v>4124</v>
      </c>
      <c r="CF132" s="1043" t="s">
        <v>2667</v>
      </c>
      <c r="CG132" s="1043" t="s">
        <v>2668</v>
      </c>
      <c r="CH132" s="1043" t="s">
        <v>2706</v>
      </c>
    </row>
    <row r="133" spans="2:86" ht="171.95" customHeight="1" x14ac:dyDescent="0.25">
      <c r="B133" s="1189"/>
      <c r="C133" s="1115"/>
      <c r="D133" s="1116"/>
      <c r="E133" s="1116"/>
      <c r="F133" s="1116"/>
      <c r="G133" s="1116"/>
      <c r="H133" s="1116"/>
      <c r="I133" s="433" t="s">
        <v>1039</v>
      </c>
      <c r="J133" s="1117"/>
      <c r="K133" s="412" t="s">
        <v>164</v>
      </c>
      <c r="L133" s="434" t="s">
        <v>2048</v>
      </c>
      <c r="M133" s="387" t="s">
        <v>1325</v>
      </c>
      <c r="N133" s="433">
        <v>0.2</v>
      </c>
      <c r="O133" s="388">
        <v>44197</v>
      </c>
      <c r="P133" s="388">
        <v>44561</v>
      </c>
      <c r="Q133" s="435">
        <v>0.25</v>
      </c>
      <c r="R133" s="435">
        <v>0.5</v>
      </c>
      <c r="S133" s="436">
        <v>0.75</v>
      </c>
      <c r="T133" s="433">
        <v>1</v>
      </c>
      <c r="U133" s="381">
        <v>0.25</v>
      </c>
      <c r="V133" s="437" t="s">
        <v>2049</v>
      </c>
      <c r="W133" s="437" t="s">
        <v>4125</v>
      </c>
      <c r="X133" s="379" t="str">
        <f t="shared" si="51"/>
        <v>En gestión</v>
      </c>
      <c r="Y133" s="379" t="str">
        <f t="shared" si="52"/>
        <v>En gestión</v>
      </c>
      <c r="Z133" s="1113"/>
      <c r="AA133" s="1120"/>
      <c r="AB133" s="1121"/>
      <c r="AC133" s="1122"/>
      <c r="AD133" s="1122"/>
      <c r="AE133" s="438"/>
      <c r="AF133" s="1005"/>
      <c r="AG133" s="1005"/>
      <c r="AH133" s="1005"/>
      <c r="AI133" s="1005"/>
      <c r="AJ133" s="1005"/>
      <c r="AK133" s="1005"/>
      <c r="AL133" s="1112"/>
      <c r="AM133" s="1112"/>
      <c r="AN133" s="1112"/>
      <c r="AO133" s="1113"/>
      <c r="AP133" s="1114"/>
      <c r="AQ133" s="1215">
        <v>0.5</v>
      </c>
      <c r="AR133" s="437" t="s">
        <v>2291</v>
      </c>
      <c r="AS133" s="437" t="s">
        <v>4126</v>
      </c>
      <c r="AT133" s="379" t="str">
        <f t="shared" si="53"/>
        <v>En gestión</v>
      </c>
      <c r="AU133" s="379" t="str">
        <f t="shared" si="54"/>
        <v>En gestión</v>
      </c>
      <c r="AV133" s="1113"/>
      <c r="AW133" s="1110"/>
      <c r="AX133" s="1111"/>
      <c r="AY133" s="1122"/>
      <c r="AZ133" s="1122"/>
      <c r="BA133" s="437"/>
      <c r="BB133" s="1011"/>
      <c r="BC133" s="1011"/>
      <c r="BD133" s="1132"/>
      <c r="BE133" s="1011"/>
      <c r="BF133" s="1011"/>
      <c r="BG133" s="1132"/>
      <c r="BH133" s="1043"/>
      <c r="BI133" s="1043"/>
      <c r="BJ133" s="1043"/>
      <c r="BK133" s="1007"/>
      <c r="BL133" s="1119"/>
      <c r="BM133" s="506">
        <v>1</v>
      </c>
      <c r="BN133" s="439" t="s">
        <v>4127</v>
      </c>
      <c r="BO133" s="439" t="s">
        <v>4128</v>
      </c>
      <c r="BP133" s="379" t="str">
        <f t="shared" si="55"/>
        <v>En gestión</v>
      </c>
      <c r="BQ133" s="379" t="str">
        <f t="shared" si="56"/>
        <v>Terminado</v>
      </c>
      <c r="BR133" s="1007"/>
      <c r="BS133" s="1130"/>
      <c r="BT133" s="1131"/>
      <c r="BU133" s="1122"/>
      <c r="BV133" s="1122"/>
      <c r="BW133" s="1016"/>
      <c r="BX133" s="1007"/>
      <c r="BY133" s="1005"/>
      <c r="BZ133" s="1005"/>
      <c r="CA133" s="1005"/>
      <c r="CB133" s="1005"/>
      <c r="CC133" s="1005"/>
      <c r="CD133" s="1005"/>
      <c r="CE133" s="1043"/>
      <c r="CF133" s="1043"/>
      <c r="CG133" s="1043"/>
      <c r="CH133" s="1043"/>
    </row>
    <row r="134" spans="2:86" ht="171.95" customHeight="1" x14ac:dyDescent="0.25">
      <c r="B134" s="1189"/>
      <c r="C134" s="1115"/>
      <c r="D134" s="1116"/>
      <c r="E134" s="1116"/>
      <c r="F134" s="1116"/>
      <c r="G134" s="1116"/>
      <c r="H134" s="1116"/>
      <c r="I134" s="433" t="s">
        <v>132</v>
      </c>
      <c r="J134" s="1117"/>
      <c r="K134" s="412" t="s">
        <v>164</v>
      </c>
      <c r="L134" s="434" t="s">
        <v>2050</v>
      </c>
      <c r="M134" s="387" t="s">
        <v>2051</v>
      </c>
      <c r="N134" s="433">
        <v>0.1</v>
      </c>
      <c r="O134" s="388">
        <v>44197</v>
      </c>
      <c r="P134" s="388">
        <v>44561</v>
      </c>
      <c r="Q134" s="435">
        <v>0.25</v>
      </c>
      <c r="R134" s="435">
        <v>0.5</v>
      </c>
      <c r="S134" s="436">
        <v>0.75</v>
      </c>
      <c r="T134" s="433">
        <v>1</v>
      </c>
      <c r="U134" s="381">
        <v>0.25</v>
      </c>
      <c r="V134" s="437" t="s">
        <v>2052</v>
      </c>
      <c r="W134" s="437" t="s">
        <v>4129</v>
      </c>
      <c r="X134" s="379" t="str">
        <f t="shared" si="51"/>
        <v>En gestión</v>
      </c>
      <c r="Y134" s="379" t="str">
        <f t="shared" si="52"/>
        <v>En gestión</v>
      </c>
      <c r="Z134" s="1113"/>
      <c r="AA134" s="1120"/>
      <c r="AB134" s="1121"/>
      <c r="AC134" s="1122"/>
      <c r="AD134" s="1122"/>
      <c r="AE134" s="438"/>
      <c r="AF134" s="1005"/>
      <c r="AG134" s="1005"/>
      <c r="AH134" s="1005"/>
      <c r="AI134" s="1005"/>
      <c r="AJ134" s="1005"/>
      <c r="AK134" s="1005"/>
      <c r="AL134" s="1112" t="s">
        <v>2511</v>
      </c>
      <c r="AM134" s="1112" t="s">
        <v>2512</v>
      </c>
      <c r="AN134" s="1112" t="s">
        <v>2513</v>
      </c>
      <c r="AO134" s="1113" t="s">
        <v>2514</v>
      </c>
      <c r="AP134" s="1114">
        <v>100000000</v>
      </c>
      <c r="AQ134" s="1215">
        <v>0.5</v>
      </c>
      <c r="AR134" s="437" t="s">
        <v>2292</v>
      </c>
      <c r="AS134" s="437" t="s">
        <v>4130</v>
      </c>
      <c r="AT134" s="379" t="str">
        <f t="shared" si="53"/>
        <v>En gestión</v>
      </c>
      <c r="AU134" s="379" t="str">
        <f t="shared" si="54"/>
        <v>En gestión</v>
      </c>
      <c r="AV134" s="1113"/>
      <c r="AW134" s="1110"/>
      <c r="AX134" s="1111"/>
      <c r="AY134" s="1122"/>
      <c r="AZ134" s="1122"/>
      <c r="BA134" s="437"/>
      <c r="BB134" s="1011"/>
      <c r="BC134" s="1011"/>
      <c r="BD134" s="1132"/>
      <c r="BE134" s="1011"/>
      <c r="BF134" s="1011"/>
      <c r="BG134" s="1132"/>
      <c r="BH134" s="1043"/>
      <c r="BI134" s="1043"/>
      <c r="BJ134" s="1043" t="s">
        <v>2707</v>
      </c>
      <c r="BK134" s="1007" t="s">
        <v>2690</v>
      </c>
      <c r="BL134" s="1119" t="s">
        <v>2708</v>
      </c>
      <c r="BM134" s="506">
        <v>0.75</v>
      </c>
      <c r="BN134" s="389" t="s">
        <v>4131</v>
      </c>
      <c r="BO134" s="439" t="s">
        <v>4132</v>
      </c>
      <c r="BP134" s="379" t="str">
        <f t="shared" si="55"/>
        <v>En gestión</v>
      </c>
      <c r="BQ134" s="379" t="str">
        <f t="shared" si="56"/>
        <v>En gestión</v>
      </c>
      <c r="BR134" s="1007"/>
      <c r="BS134" s="1130"/>
      <c r="BT134" s="1131"/>
      <c r="BU134" s="1122"/>
      <c r="BV134" s="1122"/>
      <c r="BW134" s="1016"/>
      <c r="BX134" s="1007"/>
      <c r="BY134" s="1005"/>
      <c r="BZ134" s="1005"/>
      <c r="CA134" s="1005"/>
      <c r="CB134" s="1005"/>
      <c r="CC134" s="1005"/>
      <c r="CD134" s="1005"/>
      <c r="CE134" s="412" t="s">
        <v>4124</v>
      </c>
      <c r="CF134" s="412" t="s">
        <v>2707</v>
      </c>
      <c r="CG134" s="439" t="s">
        <v>2690</v>
      </c>
      <c r="CH134" s="440" t="s">
        <v>2708</v>
      </c>
    </row>
    <row r="135" spans="2:86" ht="171.95" customHeight="1" x14ac:dyDescent="0.25">
      <c r="B135" s="1189"/>
      <c r="C135" s="1115"/>
      <c r="D135" s="1116"/>
      <c r="E135" s="1116"/>
      <c r="F135" s="1116"/>
      <c r="G135" s="1116"/>
      <c r="H135" s="1116"/>
      <c r="I135" s="433" t="s">
        <v>185</v>
      </c>
      <c r="J135" s="1117"/>
      <c r="K135" s="412" t="s">
        <v>164</v>
      </c>
      <c r="L135" s="434" t="s">
        <v>2053</v>
      </c>
      <c r="M135" s="387" t="s">
        <v>1331</v>
      </c>
      <c r="N135" s="433">
        <v>0.2</v>
      </c>
      <c r="O135" s="388">
        <v>44197</v>
      </c>
      <c r="P135" s="388">
        <v>44561</v>
      </c>
      <c r="Q135" s="435">
        <v>0.25</v>
      </c>
      <c r="R135" s="435">
        <v>0.5</v>
      </c>
      <c r="S135" s="436">
        <v>0.75</v>
      </c>
      <c r="T135" s="433">
        <v>1</v>
      </c>
      <c r="U135" s="381">
        <v>0.25</v>
      </c>
      <c r="V135" s="437" t="s">
        <v>2054</v>
      </c>
      <c r="W135" s="437" t="s">
        <v>4133</v>
      </c>
      <c r="X135" s="379" t="str">
        <f t="shared" si="51"/>
        <v>En gestión</v>
      </c>
      <c r="Y135" s="379" t="str">
        <f t="shared" si="52"/>
        <v>En gestión</v>
      </c>
      <c r="Z135" s="1113"/>
      <c r="AA135" s="1120"/>
      <c r="AB135" s="1121"/>
      <c r="AC135" s="1122"/>
      <c r="AD135" s="1122"/>
      <c r="AE135" s="438"/>
      <c r="AF135" s="1005"/>
      <c r="AG135" s="1005"/>
      <c r="AH135" s="1005"/>
      <c r="AI135" s="1005"/>
      <c r="AJ135" s="1005"/>
      <c r="AK135" s="1005"/>
      <c r="AL135" s="1112"/>
      <c r="AM135" s="1112"/>
      <c r="AN135" s="1112"/>
      <c r="AO135" s="1113"/>
      <c r="AP135" s="1114"/>
      <c r="AQ135" s="1215">
        <v>0.5</v>
      </c>
      <c r="AR135" s="437" t="s">
        <v>2293</v>
      </c>
      <c r="AS135" s="437" t="s">
        <v>4134</v>
      </c>
      <c r="AT135" s="379" t="str">
        <f t="shared" si="53"/>
        <v>En gestión</v>
      </c>
      <c r="AU135" s="379" t="str">
        <f t="shared" si="54"/>
        <v>En gestión</v>
      </c>
      <c r="AV135" s="1113"/>
      <c r="AW135" s="1110"/>
      <c r="AX135" s="1111"/>
      <c r="AY135" s="1122"/>
      <c r="AZ135" s="1122"/>
      <c r="BA135" s="437"/>
      <c r="BB135" s="1011"/>
      <c r="BC135" s="1011"/>
      <c r="BD135" s="1132"/>
      <c r="BE135" s="1011"/>
      <c r="BF135" s="1011"/>
      <c r="BG135" s="1132"/>
      <c r="BH135" s="1043"/>
      <c r="BI135" s="1043"/>
      <c r="BJ135" s="1043"/>
      <c r="BK135" s="1007"/>
      <c r="BL135" s="1119"/>
      <c r="BM135" s="506">
        <v>0.75</v>
      </c>
      <c r="BN135" s="439" t="s">
        <v>4135</v>
      </c>
      <c r="BO135" s="439" t="s">
        <v>4136</v>
      </c>
      <c r="BP135" s="379" t="str">
        <f t="shared" si="55"/>
        <v>En gestión</v>
      </c>
      <c r="BQ135" s="379" t="str">
        <f t="shared" si="56"/>
        <v>En gestión</v>
      </c>
      <c r="BR135" s="1007"/>
      <c r="BS135" s="1130"/>
      <c r="BT135" s="1131"/>
      <c r="BU135" s="1122"/>
      <c r="BV135" s="1122"/>
      <c r="BW135" s="1016"/>
      <c r="BX135" s="1007"/>
      <c r="BY135" s="1005"/>
      <c r="BZ135" s="1005"/>
      <c r="CA135" s="1005"/>
      <c r="CB135" s="1005"/>
      <c r="CC135" s="1005"/>
      <c r="CD135" s="1005"/>
      <c r="CE135" s="1043" t="s">
        <v>4137</v>
      </c>
      <c r="CF135" s="1043" t="s">
        <v>4138</v>
      </c>
      <c r="CG135" s="1043" t="s">
        <v>4139</v>
      </c>
      <c r="CH135" s="1043" t="s">
        <v>4140</v>
      </c>
    </row>
    <row r="136" spans="2:86" ht="171.95" customHeight="1" x14ac:dyDescent="0.25">
      <c r="B136" s="1189"/>
      <c r="C136" s="1115"/>
      <c r="D136" s="1116"/>
      <c r="E136" s="1116"/>
      <c r="F136" s="1116"/>
      <c r="G136" s="1116"/>
      <c r="H136" s="1116"/>
      <c r="I136" s="433" t="s">
        <v>191</v>
      </c>
      <c r="J136" s="1117"/>
      <c r="K136" s="412" t="s">
        <v>164</v>
      </c>
      <c r="L136" s="434" t="s">
        <v>2055</v>
      </c>
      <c r="M136" s="387" t="s">
        <v>1334</v>
      </c>
      <c r="N136" s="433">
        <v>0.1</v>
      </c>
      <c r="O136" s="388">
        <v>44197</v>
      </c>
      <c r="P136" s="388">
        <v>44561</v>
      </c>
      <c r="Q136" s="435">
        <v>0.25</v>
      </c>
      <c r="R136" s="435">
        <v>0.5</v>
      </c>
      <c r="S136" s="436">
        <v>0.75</v>
      </c>
      <c r="T136" s="433">
        <v>1</v>
      </c>
      <c r="U136" s="381">
        <v>0.25</v>
      </c>
      <c r="V136" s="437" t="s">
        <v>2056</v>
      </c>
      <c r="W136" s="437" t="s">
        <v>4133</v>
      </c>
      <c r="X136" s="379" t="str">
        <f t="shared" si="51"/>
        <v>En gestión</v>
      </c>
      <c r="Y136" s="379" t="str">
        <f t="shared" si="52"/>
        <v>En gestión</v>
      </c>
      <c r="Z136" s="1113"/>
      <c r="AA136" s="1120"/>
      <c r="AB136" s="1121"/>
      <c r="AC136" s="1122"/>
      <c r="AD136" s="1122"/>
      <c r="AE136" s="438"/>
      <c r="AF136" s="1005"/>
      <c r="AG136" s="1005"/>
      <c r="AH136" s="1005"/>
      <c r="AI136" s="1005"/>
      <c r="AJ136" s="1005"/>
      <c r="AK136" s="1005"/>
      <c r="AL136" s="1112" t="s">
        <v>2511</v>
      </c>
      <c r="AM136" s="1112" t="s">
        <v>2512</v>
      </c>
      <c r="AN136" s="1112" t="s">
        <v>2515</v>
      </c>
      <c r="AO136" s="1113" t="s">
        <v>2516</v>
      </c>
      <c r="AP136" s="1114">
        <v>63000000</v>
      </c>
      <c r="AQ136" s="1215">
        <v>0.5</v>
      </c>
      <c r="AR136" s="437" t="s">
        <v>2294</v>
      </c>
      <c r="AS136" s="437" t="s">
        <v>4134</v>
      </c>
      <c r="AT136" s="379" t="str">
        <f t="shared" si="53"/>
        <v>En gestión</v>
      </c>
      <c r="AU136" s="379" t="str">
        <f t="shared" si="54"/>
        <v>En gestión</v>
      </c>
      <c r="AV136" s="1113"/>
      <c r="AW136" s="1110"/>
      <c r="AX136" s="1111"/>
      <c r="AY136" s="1122"/>
      <c r="AZ136" s="1122"/>
      <c r="BA136" s="437"/>
      <c r="BB136" s="1011"/>
      <c r="BC136" s="1011"/>
      <c r="BD136" s="1132"/>
      <c r="BE136" s="1011"/>
      <c r="BF136" s="1011"/>
      <c r="BG136" s="1132"/>
      <c r="BH136" s="1043"/>
      <c r="BI136" s="1043"/>
      <c r="BJ136" s="1043"/>
      <c r="BK136" s="1007"/>
      <c r="BL136" s="1119"/>
      <c r="BM136" s="506">
        <v>0.75</v>
      </c>
      <c r="BN136" s="439" t="s">
        <v>4141</v>
      </c>
      <c r="BO136" s="439" t="s">
        <v>4136</v>
      </c>
      <c r="BP136" s="379" t="str">
        <f t="shared" si="55"/>
        <v>En gestión</v>
      </c>
      <c r="BQ136" s="379" t="str">
        <f t="shared" si="56"/>
        <v>En gestión</v>
      </c>
      <c r="BR136" s="1007"/>
      <c r="BS136" s="1130"/>
      <c r="BT136" s="1131"/>
      <c r="BU136" s="1122"/>
      <c r="BV136" s="1122"/>
      <c r="BW136" s="1016"/>
      <c r="BX136" s="1007"/>
      <c r="BY136" s="1005"/>
      <c r="BZ136" s="1005"/>
      <c r="CA136" s="1005"/>
      <c r="CB136" s="1005"/>
      <c r="CC136" s="1005"/>
      <c r="CD136" s="1005"/>
      <c r="CE136" s="1043"/>
      <c r="CF136" s="1043"/>
      <c r="CG136" s="1043"/>
      <c r="CH136" s="1043"/>
    </row>
    <row r="137" spans="2:86" ht="171.95" customHeight="1" x14ac:dyDescent="0.25">
      <c r="B137" s="1189"/>
      <c r="C137" s="1115"/>
      <c r="D137" s="1116"/>
      <c r="E137" s="1116"/>
      <c r="F137" s="1116"/>
      <c r="G137" s="1116"/>
      <c r="H137" s="1116"/>
      <c r="I137" s="433" t="s">
        <v>194</v>
      </c>
      <c r="J137" s="1117"/>
      <c r="K137" s="412" t="s">
        <v>164</v>
      </c>
      <c r="L137" s="434" t="s">
        <v>2057</v>
      </c>
      <c r="M137" s="387" t="s">
        <v>2058</v>
      </c>
      <c r="N137" s="433">
        <v>0.3</v>
      </c>
      <c r="O137" s="388">
        <v>44197</v>
      </c>
      <c r="P137" s="388">
        <v>44561</v>
      </c>
      <c r="Q137" s="435">
        <v>0.24</v>
      </c>
      <c r="R137" s="435">
        <v>0.48</v>
      </c>
      <c r="S137" s="436">
        <v>0.72</v>
      </c>
      <c r="T137" s="433">
        <v>1</v>
      </c>
      <c r="U137" s="381">
        <v>0.24</v>
      </c>
      <c r="V137" s="437" t="s">
        <v>2056</v>
      </c>
      <c r="W137" s="437" t="s">
        <v>4133</v>
      </c>
      <c r="X137" s="379" t="str">
        <f t="shared" si="51"/>
        <v>En gestión</v>
      </c>
      <c r="Y137" s="379" t="str">
        <f t="shared" si="52"/>
        <v>En gestión</v>
      </c>
      <c r="Z137" s="1113"/>
      <c r="AA137" s="1120"/>
      <c r="AB137" s="1121"/>
      <c r="AC137" s="1122"/>
      <c r="AD137" s="1122"/>
      <c r="AE137" s="438"/>
      <c r="AF137" s="1005"/>
      <c r="AG137" s="1005"/>
      <c r="AH137" s="1005"/>
      <c r="AI137" s="1005"/>
      <c r="AJ137" s="1005"/>
      <c r="AK137" s="1005"/>
      <c r="AL137" s="1112"/>
      <c r="AM137" s="1112"/>
      <c r="AN137" s="1112"/>
      <c r="AO137" s="1113"/>
      <c r="AP137" s="1114"/>
      <c r="AQ137" s="1215">
        <v>0.5</v>
      </c>
      <c r="AR137" s="437" t="s">
        <v>2295</v>
      </c>
      <c r="AS137" s="437" t="s">
        <v>4134</v>
      </c>
      <c r="AT137" s="379" t="str">
        <f t="shared" si="53"/>
        <v>En gestión</v>
      </c>
      <c r="AU137" s="379" t="str">
        <f t="shared" si="54"/>
        <v>En gestión</v>
      </c>
      <c r="AV137" s="1113"/>
      <c r="AW137" s="1110"/>
      <c r="AX137" s="1111"/>
      <c r="AY137" s="1122"/>
      <c r="AZ137" s="1122"/>
      <c r="BA137" s="437"/>
      <c r="BB137" s="1011"/>
      <c r="BC137" s="1011"/>
      <c r="BD137" s="1132"/>
      <c r="BE137" s="1011"/>
      <c r="BF137" s="1011"/>
      <c r="BG137" s="1132"/>
      <c r="BH137" s="1043"/>
      <c r="BI137" s="1043"/>
      <c r="BJ137" s="1043"/>
      <c r="BK137" s="1007"/>
      <c r="BL137" s="1119"/>
      <c r="BM137" s="506">
        <v>0.75</v>
      </c>
      <c r="BN137" s="439" t="s">
        <v>4141</v>
      </c>
      <c r="BO137" s="439" t="s">
        <v>4136</v>
      </c>
      <c r="BP137" s="379" t="str">
        <f t="shared" si="55"/>
        <v>En gestión</v>
      </c>
      <c r="BQ137" s="379" t="str">
        <f t="shared" si="56"/>
        <v>En gestión</v>
      </c>
      <c r="BR137" s="1007"/>
      <c r="BS137" s="1130"/>
      <c r="BT137" s="1131"/>
      <c r="BU137" s="1122"/>
      <c r="BV137" s="1122"/>
      <c r="BW137" s="1016"/>
      <c r="BX137" s="1007"/>
      <c r="BY137" s="1005"/>
      <c r="BZ137" s="1005"/>
      <c r="CA137" s="1005"/>
      <c r="CB137" s="1005"/>
      <c r="CC137" s="1005"/>
      <c r="CD137" s="1005"/>
      <c r="CE137" s="1043"/>
      <c r="CF137" s="1043"/>
      <c r="CG137" s="1043"/>
      <c r="CH137" s="1043"/>
    </row>
    <row r="138" spans="2:86" ht="171.95" customHeight="1" x14ac:dyDescent="0.25">
      <c r="B138" s="1189"/>
      <c r="C138" s="1126" t="s">
        <v>2059</v>
      </c>
      <c r="D138" s="1118" t="s">
        <v>1045</v>
      </c>
      <c r="E138" s="1118" t="s">
        <v>2060</v>
      </c>
      <c r="F138" s="1118" t="s">
        <v>28</v>
      </c>
      <c r="G138" s="1118" t="s">
        <v>28</v>
      </c>
      <c r="H138" s="1118" t="s">
        <v>59</v>
      </c>
      <c r="I138" s="489" t="s">
        <v>1047</v>
      </c>
      <c r="J138" s="1127" t="s">
        <v>2061</v>
      </c>
      <c r="K138" s="994" t="s">
        <v>164</v>
      </c>
      <c r="L138" s="490" t="s">
        <v>2062</v>
      </c>
      <c r="M138" s="451" t="s">
        <v>2046</v>
      </c>
      <c r="N138" s="489">
        <v>0.1</v>
      </c>
      <c r="O138" s="452">
        <v>44197</v>
      </c>
      <c r="P138" s="452">
        <v>44561</v>
      </c>
      <c r="Q138" s="491">
        <v>0.25</v>
      </c>
      <c r="R138" s="491">
        <v>0.5</v>
      </c>
      <c r="S138" s="492">
        <v>0.75</v>
      </c>
      <c r="T138" s="489">
        <v>1</v>
      </c>
      <c r="U138" s="381">
        <v>0.25</v>
      </c>
      <c r="V138" s="493" t="s">
        <v>2063</v>
      </c>
      <c r="W138" s="493" t="s">
        <v>4142</v>
      </c>
      <c r="X138" s="455" t="str">
        <f t="shared" si="51"/>
        <v>En gestión</v>
      </c>
      <c r="Y138" s="455" t="str">
        <f t="shared" si="52"/>
        <v>En gestión</v>
      </c>
      <c r="Z138" s="1125" t="s">
        <v>2274</v>
      </c>
      <c r="AA138" s="1120">
        <f>SUMPRODUCT(N138:N142,U138:U142)</f>
        <v>0.25</v>
      </c>
      <c r="AB138" s="1121">
        <f>SUMPRODUCT(N138:N142,Q138:Q142)</f>
        <v>0.25</v>
      </c>
      <c r="AC138" s="1124" t="str">
        <f>IF(AB138&lt;1%,"Sin iniciar",IF(AB138=100%,"Terminado","En gestión"))</f>
        <v>En gestión</v>
      </c>
      <c r="AD138" s="1124" t="str">
        <f>IF(AA138&lt;1%,"Sin iniciar",IF(AA138=100%,"Terminado","En gestión"))</f>
        <v>En gestión</v>
      </c>
      <c r="AE138" s="494"/>
      <c r="AF138" s="1008">
        <v>0</v>
      </c>
      <c r="AG138" s="1008">
        <v>0</v>
      </c>
      <c r="AH138" s="1008">
        <v>0</v>
      </c>
      <c r="AI138" s="1008">
        <v>8376000000</v>
      </c>
      <c r="AJ138" s="1008">
        <v>0</v>
      </c>
      <c r="AK138" s="1008">
        <v>0</v>
      </c>
      <c r="AL138" s="495" t="s">
        <v>2507</v>
      </c>
      <c r="AM138" s="495" t="s">
        <v>2508</v>
      </c>
      <c r="AN138" s="495" t="s">
        <v>2517</v>
      </c>
      <c r="AO138" s="493" t="s">
        <v>2518</v>
      </c>
      <c r="AP138" s="496">
        <v>6992000000</v>
      </c>
      <c r="AQ138" s="1215">
        <v>0.5</v>
      </c>
      <c r="AR138" s="493" t="s">
        <v>2063</v>
      </c>
      <c r="AS138" s="493" t="s">
        <v>4143</v>
      </c>
      <c r="AT138" s="455" t="str">
        <f t="shared" si="53"/>
        <v>En gestión</v>
      </c>
      <c r="AU138" s="455" t="str">
        <f t="shared" si="54"/>
        <v>En gestión</v>
      </c>
      <c r="AV138" s="1125" t="s">
        <v>2274</v>
      </c>
      <c r="AW138" s="1110">
        <f>SUMPRODUCT(N138:N142,AQ138:AQ142)</f>
        <v>0.5</v>
      </c>
      <c r="AX138" s="1111">
        <f>SUMPRODUCT(N138:N142,R138:R142)</f>
        <v>0.5</v>
      </c>
      <c r="AY138" s="1124" t="str">
        <f>IF(AX138&lt;1%,"Sin iniciar",IF(AX138=100%,"Terminado","En gestión"))</f>
        <v>En gestión</v>
      </c>
      <c r="AZ138" s="1124" t="str">
        <f>IF(AW138&lt;1%,"Sin iniciar",IF(AW138=100%,"Terminado","En gestión"))</f>
        <v>En gestión</v>
      </c>
      <c r="BA138" s="493"/>
      <c r="BB138" s="1128">
        <v>113081855</v>
      </c>
      <c r="BC138" s="1128">
        <v>113081855</v>
      </c>
      <c r="BD138" s="1128">
        <v>56540927</v>
      </c>
      <c r="BE138" s="1128">
        <v>102787000</v>
      </c>
      <c r="BF138" s="1128">
        <f>77695000+2098249668</f>
        <v>2175944668</v>
      </c>
      <c r="BG138" s="1128">
        <f>25193030+1102385994</f>
        <v>1127579024</v>
      </c>
      <c r="BH138" s="1128" t="s">
        <v>2666</v>
      </c>
      <c r="BI138" s="1128"/>
      <c r="BJ138" s="994" t="s">
        <v>2709</v>
      </c>
      <c r="BK138" s="1012" t="s">
        <v>2710</v>
      </c>
      <c r="BL138" s="1123" t="s">
        <v>2711</v>
      </c>
      <c r="BM138" s="508">
        <v>0.75</v>
      </c>
      <c r="BN138" s="497" t="s">
        <v>2063</v>
      </c>
      <c r="BO138" s="497" t="s">
        <v>4144</v>
      </c>
      <c r="BP138" s="455" t="str">
        <f>IF(AN138&lt;1%,"Sin iniciar",IF(AN138=100%,"Terminado","En gestión"))</f>
        <v>En gestión</v>
      </c>
      <c r="BQ138" s="455" t="str">
        <f>IF(BL138&lt;1%,"Sin iniciar",IF(BL138=100%,"Terminado","En gestión"))</f>
        <v>En gestión</v>
      </c>
      <c r="BR138" s="497" t="s">
        <v>4145</v>
      </c>
      <c r="BS138" s="1130">
        <f>SUMPRODUCT(N138:N142,BM138:BM142)</f>
        <v>0.75</v>
      </c>
      <c r="BT138" s="1131">
        <f>SUMPRODUCT(N138:N142,S138:S142)</f>
        <v>0.75</v>
      </c>
      <c r="BU138" s="1124" t="str">
        <f>IF(BT138&lt;1%,"Sin iniciar",IF(BT138=100%,"Terminado","En gestión"))</f>
        <v>En gestión</v>
      </c>
      <c r="BV138" s="1124" t="str">
        <f>IF(BS138&lt;1%,"Sin iniciar",IF(BS138=100%,"Terminado","En gestión"))</f>
        <v>En gestión</v>
      </c>
      <c r="BW138" s="991" t="s">
        <v>28</v>
      </c>
      <c r="BX138" s="1012" t="s">
        <v>3631</v>
      </c>
      <c r="BY138" s="1008">
        <v>113081855</v>
      </c>
      <c r="BZ138" s="1008">
        <v>116033305</v>
      </c>
      <c r="CA138" s="1008">
        <v>87024979</v>
      </c>
      <c r="CB138" s="1008">
        <v>102787000</v>
      </c>
      <c r="CC138" s="1008">
        <f>77695000+2098249668</f>
        <v>2175944668</v>
      </c>
      <c r="CD138" s="1008">
        <f>61505455+1600317831</f>
        <v>1661823286</v>
      </c>
      <c r="CE138" s="471" t="s">
        <v>2666</v>
      </c>
      <c r="CF138" s="471" t="s">
        <v>2709</v>
      </c>
      <c r="CG138" s="497" t="s">
        <v>2710</v>
      </c>
      <c r="CH138" s="498" t="s">
        <v>2711</v>
      </c>
    </row>
    <row r="139" spans="2:86" ht="171.95" customHeight="1" x14ac:dyDescent="0.25">
      <c r="B139" s="1189"/>
      <c r="C139" s="1126"/>
      <c r="D139" s="1118"/>
      <c r="E139" s="1118"/>
      <c r="F139" s="1118"/>
      <c r="G139" s="1118"/>
      <c r="H139" s="1118"/>
      <c r="I139" s="489" t="s">
        <v>1039</v>
      </c>
      <c r="J139" s="1127"/>
      <c r="K139" s="994"/>
      <c r="L139" s="490" t="s">
        <v>2064</v>
      </c>
      <c r="M139" s="451" t="s">
        <v>4146</v>
      </c>
      <c r="N139" s="489">
        <v>0.1</v>
      </c>
      <c r="O139" s="452">
        <v>44197</v>
      </c>
      <c r="P139" s="452">
        <v>44561</v>
      </c>
      <c r="Q139" s="491">
        <v>0.25</v>
      </c>
      <c r="R139" s="491">
        <v>0.5</v>
      </c>
      <c r="S139" s="492">
        <v>0.75</v>
      </c>
      <c r="T139" s="489">
        <v>1</v>
      </c>
      <c r="U139" s="381">
        <v>0.25</v>
      </c>
      <c r="V139" s="493" t="s">
        <v>2065</v>
      </c>
      <c r="W139" s="493" t="s">
        <v>4147</v>
      </c>
      <c r="X139" s="455" t="str">
        <f t="shared" si="51"/>
        <v>En gestión</v>
      </c>
      <c r="Y139" s="455" t="str">
        <f t="shared" si="52"/>
        <v>En gestión</v>
      </c>
      <c r="Z139" s="1125"/>
      <c r="AA139" s="1120"/>
      <c r="AB139" s="1121"/>
      <c r="AC139" s="1124"/>
      <c r="AD139" s="1124"/>
      <c r="AE139" s="494"/>
      <c r="AF139" s="1008"/>
      <c r="AG139" s="1008"/>
      <c r="AH139" s="1008"/>
      <c r="AI139" s="1008"/>
      <c r="AJ139" s="1008"/>
      <c r="AK139" s="1008"/>
      <c r="AL139" s="495" t="s">
        <v>2507</v>
      </c>
      <c r="AM139" s="495" t="s">
        <v>2508</v>
      </c>
      <c r="AN139" s="495" t="s">
        <v>2519</v>
      </c>
      <c r="AO139" s="493" t="s">
        <v>2520</v>
      </c>
      <c r="AP139" s="496">
        <v>1384000000</v>
      </c>
      <c r="AQ139" s="1215">
        <v>0.5</v>
      </c>
      <c r="AR139" s="493" t="s">
        <v>2065</v>
      </c>
      <c r="AS139" s="493" t="s">
        <v>4148</v>
      </c>
      <c r="AT139" s="455" t="str">
        <f t="shared" si="53"/>
        <v>En gestión</v>
      </c>
      <c r="AU139" s="455" t="str">
        <f t="shared" si="54"/>
        <v>En gestión</v>
      </c>
      <c r="AV139" s="1125"/>
      <c r="AW139" s="1110"/>
      <c r="AX139" s="1111"/>
      <c r="AY139" s="1124"/>
      <c r="AZ139" s="1124"/>
      <c r="BA139" s="493"/>
      <c r="BB139" s="1128"/>
      <c r="BC139" s="1128"/>
      <c r="BD139" s="1128"/>
      <c r="BE139" s="1128"/>
      <c r="BF139" s="1128"/>
      <c r="BG139" s="1128"/>
      <c r="BH139" s="1128"/>
      <c r="BI139" s="1128"/>
      <c r="BJ139" s="994"/>
      <c r="BK139" s="1012"/>
      <c r="BL139" s="1123"/>
      <c r="BM139" s="508">
        <v>0.75</v>
      </c>
      <c r="BN139" s="497" t="s">
        <v>2065</v>
      </c>
      <c r="BO139" s="497" t="s">
        <v>4149</v>
      </c>
      <c r="BP139" s="455" t="str">
        <f>IF(AN139&lt;1%,"Sin iniciar",IF(AN139=100%,"Terminado","En gestión"))</f>
        <v>En gestión</v>
      </c>
      <c r="BQ139" s="455" t="str">
        <f>IF(BL139&lt;1%,"Sin iniciar",IF(BL139=100%,"Terminado","En gestión"))</f>
        <v>Sin iniciar</v>
      </c>
      <c r="BR139" s="497" t="s">
        <v>4150</v>
      </c>
      <c r="BS139" s="1130"/>
      <c r="BT139" s="1131"/>
      <c r="BU139" s="1124"/>
      <c r="BV139" s="1124"/>
      <c r="BW139" s="991"/>
      <c r="BX139" s="1012"/>
      <c r="BY139" s="1008"/>
      <c r="BZ139" s="1008"/>
      <c r="CA139" s="1008"/>
      <c r="CB139" s="1008"/>
      <c r="CC139" s="1008"/>
      <c r="CD139" s="1008"/>
      <c r="CE139" s="471" t="s">
        <v>2666</v>
      </c>
      <c r="CF139" s="471" t="s">
        <v>2712</v>
      </c>
      <c r="CG139" s="497" t="s">
        <v>2713</v>
      </c>
      <c r="CH139" s="498" t="s">
        <v>2714</v>
      </c>
    </row>
    <row r="140" spans="2:86" ht="171.95" customHeight="1" x14ac:dyDescent="0.25">
      <c r="B140" s="1189"/>
      <c r="C140" s="1126"/>
      <c r="D140" s="1118"/>
      <c r="E140" s="1118"/>
      <c r="F140" s="1118"/>
      <c r="G140" s="1118"/>
      <c r="H140" s="1118"/>
      <c r="I140" s="489" t="s">
        <v>185</v>
      </c>
      <c r="J140" s="1127"/>
      <c r="K140" s="994"/>
      <c r="L140" s="490" t="s">
        <v>2066</v>
      </c>
      <c r="M140" s="451" t="s">
        <v>2069</v>
      </c>
      <c r="N140" s="489">
        <v>0.3</v>
      </c>
      <c r="O140" s="452">
        <v>44197</v>
      </c>
      <c r="P140" s="452">
        <v>44561</v>
      </c>
      <c r="Q140" s="491">
        <v>0.25</v>
      </c>
      <c r="R140" s="491">
        <v>0.5</v>
      </c>
      <c r="S140" s="492">
        <v>0.75</v>
      </c>
      <c r="T140" s="489">
        <v>1</v>
      </c>
      <c r="U140" s="381">
        <v>0.25</v>
      </c>
      <c r="V140" s="493" t="s">
        <v>2070</v>
      </c>
      <c r="W140" s="493" t="s">
        <v>4151</v>
      </c>
      <c r="X140" s="455" t="str">
        <f t="shared" si="51"/>
        <v>En gestión</v>
      </c>
      <c r="Y140" s="455" t="str">
        <f t="shared" si="52"/>
        <v>En gestión</v>
      </c>
      <c r="Z140" s="1125"/>
      <c r="AA140" s="1120"/>
      <c r="AB140" s="1121"/>
      <c r="AC140" s="1124"/>
      <c r="AD140" s="1124"/>
      <c r="AE140" s="494"/>
      <c r="AF140" s="1008"/>
      <c r="AG140" s="1008"/>
      <c r="AH140" s="1008"/>
      <c r="AI140" s="1008"/>
      <c r="AJ140" s="1008"/>
      <c r="AK140" s="1008"/>
      <c r="AL140" s="495" t="s">
        <v>2521</v>
      </c>
      <c r="AM140" s="495" t="s">
        <v>2522</v>
      </c>
      <c r="AN140" s="495" t="s">
        <v>2523</v>
      </c>
      <c r="AO140" s="493" t="s">
        <v>2524</v>
      </c>
      <c r="AP140" s="496">
        <v>270000000</v>
      </c>
      <c r="AQ140" s="1215">
        <v>0.5</v>
      </c>
      <c r="AR140" s="493" t="s">
        <v>2444</v>
      </c>
      <c r="AS140" s="493" t="s">
        <v>4152</v>
      </c>
      <c r="AT140" s="455" t="str">
        <f t="shared" si="53"/>
        <v>En gestión</v>
      </c>
      <c r="AU140" s="455" t="str">
        <f t="shared" si="54"/>
        <v>En gestión</v>
      </c>
      <c r="AV140" s="1125"/>
      <c r="AW140" s="1110"/>
      <c r="AX140" s="1111"/>
      <c r="AY140" s="1124"/>
      <c r="AZ140" s="1124"/>
      <c r="BA140" s="493"/>
      <c r="BB140" s="1128"/>
      <c r="BC140" s="1128"/>
      <c r="BD140" s="1128"/>
      <c r="BE140" s="1128"/>
      <c r="BF140" s="1128"/>
      <c r="BG140" s="1128"/>
      <c r="BH140" s="1128"/>
      <c r="BI140" s="1128"/>
      <c r="BJ140" s="994" t="s">
        <v>2712</v>
      </c>
      <c r="BK140" s="1012" t="s">
        <v>2713</v>
      </c>
      <c r="BL140" s="1123" t="s">
        <v>2714</v>
      </c>
      <c r="BM140" s="508">
        <v>0.75</v>
      </c>
      <c r="BN140" s="497" t="s">
        <v>2444</v>
      </c>
      <c r="BO140" s="497" t="s">
        <v>4153</v>
      </c>
      <c r="BP140" s="455" t="str">
        <f>IF(AN140&lt;1%,"Sin iniciar",IF(AN140=100%,"Terminado","En gestión"))</f>
        <v>En gestión</v>
      </c>
      <c r="BQ140" s="455" t="str">
        <f>IF(BL140&lt;1%,"Sin iniciar",IF(BL140=100%,"Terminado","En gestión"))</f>
        <v>En gestión</v>
      </c>
      <c r="BR140" s="497" t="s">
        <v>2274</v>
      </c>
      <c r="BS140" s="1130"/>
      <c r="BT140" s="1131"/>
      <c r="BU140" s="1124"/>
      <c r="BV140" s="1124"/>
      <c r="BW140" s="991"/>
      <c r="BX140" s="1012"/>
      <c r="BY140" s="1008"/>
      <c r="BZ140" s="1008"/>
      <c r="CA140" s="1008"/>
      <c r="CB140" s="1008"/>
      <c r="CC140" s="1008"/>
      <c r="CD140" s="1008"/>
      <c r="CE140" s="994" t="s">
        <v>4137</v>
      </c>
      <c r="CF140" s="994" t="s">
        <v>4138</v>
      </c>
      <c r="CG140" s="994" t="s">
        <v>4139</v>
      </c>
      <c r="CH140" s="994" t="s">
        <v>4154</v>
      </c>
    </row>
    <row r="141" spans="2:86" ht="171.95" customHeight="1" x14ac:dyDescent="0.25">
      <c r="B141" s="1189"/>
      <c r="C141" s="1126"/>
      <c r="D141" s="1118"/>
      <c r="E141" s="1118"/>
      <c r="F141" s="1118"/>
      <c r="G141" s="1118"/>
      <c r="H141" s="1118"/>
      <c r="I141" s="489" t="s">
        <v>191</v>
      </c>
      <c r="J141" s="1127"/>
      <c r="K141" s="994"/>
      <c r="L141" s="490" t="s">
        <v>2068</v>
      </c>
      <c r="M141" s="451" t="s">
        <v>1334</v>
      </c>
      <c r="N141" s="489">
        <v>0.2</v>
      </c>
      <c r="O141" s="452">
        <v>44197</v>
      </c>
      <c r="P141" s="452">
        <v>44561</v>
      </c>
      <c r="Q141" s="491">
        <v>0.25</v>
      </c>
      <c r="R141" s="491">
        <v>0.5</v>
      </c>
      <c r="S141" s="492">
        <v>0.75</v>
      </c>
      <c r="T141" s="489">
        <v>1</v>
      </c>
      <c r="U141" s="381">
        <v>0.25</v>
      </c>
      <c r="V141" s="493" t="s">
        <v>2072</v>
      </c>
      <c r="W141" s="493" t="s">
        <v>4155</v>
      </c>
      <c r="X141" s="455" t="str">
        <f t="shared" si="51"/>
        <v>En gestión</v>
      </c>
      <c r="Y141" s="455" t="str">
        <f t="shared" si="52"/>
        <v>En gestión</v>
      </c>
      <c r="Z141" s="1125"/>
      <c r="AA141" s="1120"/>
      <c r="AB141" s="1121"/>
      <c r="AC141" s="1124"/>
      <c r="AD141" s="1124"/>
      <c r="AE141" s="494"/>
      <c r="AF141" s="1008"/>
      <c r="AG141" s="1008"/>
      <c r="AH141" s="1008"/>
      <c r="AI141" s="1008"/>
      <c r="AJ141" s="1008"/>
      <c r="AK141" s="1008"/>
      <c r="AL141" s="495" t="s">
        <v>2521</v>
      </c>
      <c r="AM141" s="495" t="s">
        <v>2522</v>
      </c>
      <c r="AN141" s="495" t="s">
        <v>2525</v>
      </c>
      <c r="AO141" s="493" t="s">
        <v>2526</v>
      </c>
      <c r="AP141" s="496">
        <v>50000000</v>
      </c>
      <c r="AQ141" s="1215">
        <v>0.5</v>
      </c>
      <c r="AR141" s="493" t="s">
        <v>2072</v>
      </c>
      <c r="AS141" s="493" t="s">
        <v>4152</v>
      </c>
      <c r="AT141" s="455" t="str">
        <f t="shared" si="53"/>
        <v>En gestión</v>
      </c>
      <c r="AU141" s="455" t="str">
        <f t="shared" si="54"/>
        <v>En gestión</v>
      </c>
      <c r="AV141" s="1125"/>
      <c r="AW141" s="1110"/>
      <c r="AX141" s="1111"/>
      <c r="AY141" s="1124"/>
      <c r="AZ141" s="1124"/>
      <c r="BA141" s="493"/>
      <c r="BB141" s="1128"/>
      <c r="BC141" s="1128"/>
      <c r="BD141" s="1128"/>
      <c r="BE141" s="1128"/>
      <c r="BF141" s="1128"/>
      <c r="BG141" s="1128"/>
      <c r="BH141" s="1128"/>
      <c r="BI141" s="1128"/>
      <c r="BJ141" s="994"/>
      <c r="BK141" s="1012"/>
      <c r="BL141" s="1123"/>
      <c r="BM141" s="508">
        <v>0.75</v>
      </c>
      <c r="BN141" s="497" t="s">
        <v>2072</v>
      </c>
      <c r="BO141" s="497" t="s">
        <v>4156</v>
      </c>
      <c r="BP141" s="455" t="str">
        <f>IF(AN141&lt;1%,"Sin iniciar",IF(AN141=100%,"Terminado","En gestión"))</f>
        <v>En gestión</v>
      </c>
      <c r="BQ141" s="455" t="str">
        <f>IF(BL141&lt;1%,"Sin iniciar",IF(BL141=100%,"Terminado","En gestión"))</f>
        <v>Sin iniciar</v>
      </c>
      <c r="BR141" s="497" t="s">
        <v>2274</v>
      </c>
      <c r="BS141" s="1130"/>
      <c r="BT141" s="1131"/>
      <c r="BU141" s="1124"/>
      <c r="BV141" s="1124"/>
      <c r="BW141" s="991"/>
      <c r="BX141" s="1012"/>
      <c r="BY141" s="1008"/>
      <c r="BZ141" s="1008"/>
      <c r="CA141" s="1008"/>
      <c r="CB141" s="1008"/>
      <c r="CC141" s="1008"/>
      <c r="CD141" s="1008"/>
      <c r="CE141" s="994"/>
      <c r="CF141" s="994"/>
      <c r="CG141" s="994"/>
      <c r="CH141" s="994"/>
    </row>
    <row r="142" spans="2:86" ht="171.95" customHeight="1" x14ac:dyDescent="0.25">
      <c r="B142" s="1189"/>
      <c r="C142" s="1126"/>
      <c r="D142" s="1118"/>
      <c r="E142" s="1118"/>
      <c r="F142" s="1118"/>
      <c r="G142" s="1118"/>
      <c r="H142" s="1118"/>
      <c r="I142" s="489" t="s">
        <v>194</v>
      </c>
      <c r="J142" s="1127"/>
      <c r="K142" s="994"/>
      <c r="L142" s="490" t="s">
        <v>2071</v>
      </c>
      <c r="M142" s="451" t="s">
        <v>2058</v>
      </c>
      <c r="N142" s="489">
        <v>0.3</v>
      </c>
      <c r="O142" s="452">
        <v>44197</v>
      </c>
      <c r="P142" s="452">
        <v>44561</v>
      </c>
      <c r="Q142" s="491">
        <v>0.25</v>
      </c>
      <c r="R142" s="491">
        <v>0.5</v>
      </c>
      <c r="S142" s="492">
        <v>0.75</v>
      </c>
      <c r="T142" s="489">
        <v>1</v>
      </c>
      <c r="U142" s="381">
        <v>0.25</v>
      </c>
      <c r="V142" s="493" t="s">
        <v>2073</v>
      </c>
      <c r="W142" s="493" t="s">
        <v>4157</v>
      </c>
      <c r="X142" s="455" t="str">
        <f t="shared" si="51"/>
        <v>En gestión</v>
      </c>
      <c r="Y142" s="455" t="str">
        <f t="shared" si="52"/>
        <v>En gestión</v>
      </c>
      <c r="Z142" s="1125"/>
      <c r="AA142" s="1120"/>
      <c r="AB142" s="1121"/>
      <c r="AC142" s="1124"/>
      <c r="AD142" s="1124"/>
      <c r="AE142" s="494"/>
      <c r="AF142" s="1008"/>
      <c r="AG142" s="1008"/>
      <c r="AH142" s="1008"/>
      <c r="AI142" s="1008"/>
      <c r="AJ142" s="1008"/>
      <c r="AK142" s="1008"/>
      <c r="AL142" s="495" t="s">
        <v>2521</v>
      </c>
      <c r="AM142" s="495" t="s">
        <v>2522</v>
      </c>
      <c r="AN142" s="495" t="s">
        <v>2527</v>
      </c>
      <c r="AO142" s="493" t="s">
        <v>2528</v>
      </c>
      <c r="AP142" s="496">
        <v>50000000</v>
      </c>
      <c r="AQ142" s="1215">
        <v>0.5</v>
      </c>
      <c r="AR142" s="493" t="s">
        <v>2073</v>
      </c>
      <c r="AS142" s="493" t="s">
        <v>4158</v>
      </c>
      <c r="AT142" s="455" t="str">
        <f t="shared" si="53"/>
        <v>En gestión</v>
      </c>
      <c r="AU142" s="455" t="str">
        <f t="shared" si="54"/>
        <v>En gestión</v>
      </c>
      <c r="AV142" s="1125"/>
      <c r="AW142" s="1110"/>
      <c r="AX142" s="1111"/>
      <c r="AY142" s="1124"/>
      <c r="AZ142" s="1124"/>
      <c r="BA142" s="493"/>
      <c r="BB142" s="1128"/>
      <c r="BC142" s="1128"/>
      <c r="BD142" s="1128"/>
      <c r="BE142" s="1128"/>
      <c r="BF142" s="1128"/>
      <c r="BG142" s="1128"/>
      <c r="BH142" s="1128"/>
      <c r="BI142" s="1128"/>
      <c r="BJ142" s="994"/>
      <c r="BK142" s="1012"/>
      <c r="BL142" s="1123"/>
      <c r="BM142" s="508">
        <v>0.75</v>
      </c>
      <c r="BN142" s="497" t="s">
        <v>2073</v>
      </c>
      <c r="BO142" s="497" t="s">
        <v>4159</v>
      </c>
      <c r="BP142" s="455" t="str">
        <f>IF(AN142&lt;1%,"Sin iniciar",IF(AN142=100%,"Terminado","En gestión"))</f>
        <v>En gestión</v>
      </c>
      <c r="BQ142" s="455" t="str">
        <f>IF(BL142&lt;1%,"Sin iniciar",IF(BL142=100%,"Terminado","En gestión"))</f>
        <v>Sin iniciar</v>
      </c>
      <c r="BR142" s="497" t="s">
        <v>2274</v>
      </c>
      <c r="BS142" s="1130"/>
      <c r="BT142" s="1131"/>
      <c r="BU142" s="1124"/>
      <c r="BV142" s="1124"/>
      <c r="BW142" s="991"/>
      <c r="BX142" s="1012"/>
      <c r="BY142" s="1008"/>
      <c r="BZ142" s="1008"/>
      <c r="CA142" s="1008"/>
      <c r="CB142" s="1008"/>
      <c r="CC142" s="1008"/>
      <c r="CD142" s="1008"/>
      <c r="CE142" s="994"/>
      <c r="CF142" s="994"/>
      <c r="CG142" s="994"/>
      <c r="CH142" s="994"/>
    </row>
    <row r="143" spans="2:86" ht="171.95" customHeight="1" x14ac:dyDescent="0.25">
      <c r="B143" s="1189"/>
      <c r="C143" s="1115" t="s">
        <v>2074</v>
      </c>
      <c r="D143" s="1116" t="s">
        <v>1045</v>
      </c>
      <c r="E143" s="1116" t="s">
        <v>2407</v>
      </c>
      <c r="F143" s="1116" t="s">
        <v>28</v>
      </c>
      <c r="G143" s="1116" t="s">
        <v>28</v>
      </c>
      <c r="H143" s="1116" t="s">
        <v>59</v>
      </c>
      <c r="I143" s="433" t="s">
        <v>1047</v>
      </c>
      <c r="J143" s="1117" t="s">
        <v>2075</v>
      </c>
      <c r="K143" s="1043" t="s">
        <v>164</v>
      </c>
      <c r="L143" s="434" t="s">
        <v>2076</v>
      </c>
      <c r="M143" s="387" t="s">
        <v>2046</v>
      </c>
      <c r="N143" s="433">
        <v>0.1</v>
      </c>
      <c r="O143" s="388">
        <v>44197</v>
      </c>
      <c r="P143" s="388">
        <v>44561</v>
      </c>
      <c r="Q143" s="435">
        <v>0.25</v>
      </c>
      <c r="R143" s="435">
        <v>0.5</v>
      </c>
      <c r="S143" s="436">
        <v>0.75</v>
      </c>
      <c r="T143" s="433">
        <v>1</v>
      </c>
      <c r="U143" s="381">
        <v>0.25</v>
      </c>
      <c r="V143" s="437" t="s">
        <v>2077</v>
      </c>
      <c r="W143" s="437" t="s">
        <v>4160</v>
      </c>
      <c r="X143" s="379" t="str">
        <f t="shared" si="51"/>
        <v>En gestión</v>
      </c>
      <c r="Y143" s="379" t="str">
        <f t="shared" si="52"/>
        <v>En gestión</v>
      </c>
      <c r="Z143" s="1113" t="s">
        <v>2275</v>
      </c>
      <c r="AA143" s="1120">
        <f>SUMPRODUCT(N143:N148,U143:U148)</f>
        <v>0.3</v>
      </c>
      <c r="AB143" s="1121">
        <f>SUMPRODUCT(N143:N148,Q143:Q148)</f>
        <v>0.25</v>
      </c>
      <c r="AC143" s="1122" t="str">
        <f>IF(AB143&lt;1%,"Sin iniciar",IF(AB143=100%,"Terminado","En gestión"))</f>
        <v>En gestión</v>
      </c>
      <c r="AD143" s="1122" t="str">
        <f>IF(AA143&lt;1%,"Sin iniciar",IF(AA143=100%,"Terminado","En gestión"))</f>
        <v>En gestión</v>
      </c>
      <c r="AE143" s="438"/>
      <c r="AF143" s="1011">
        <v>51210816</v>
      </c>
      <c r="AG143" s="1005"/>
      <c r="AH143" s="1005">
        <v>12802704</v>
      </c>
      <c r="AI143" s="1011">
        <f>127518000+13193910194</f>
        <v>13321428194</v>
      </c>
      <c r="AJ143" s="1005"/>
      <c r="AK143" s="1005">
        <f>31879500+7938159166</f>
        <v>7970038666</v>
      </c>
      <c r="AL143" s="441"/>
      <c r="AM143" s="441"/>
      <c r="AN143" s="441"/>
      <c r="AO143" s="441"/>
      <c r="AP143" s="441"/>
      <c r="AQ143" s="1215">
        <v>0.5</v>
      </c>
      <c r="AR143" s="437" t="s">
        <v>2077</v>
      </c>
      <c r="AS143" s="437" t="s">
        <v>4161</v>
      </c>
      <c r="AT143" s="379" t="str">
        <f t="shared" si="53"/>
        <v>En gestión</v>
      </c>
      <c r="AU143" s="379" t="str">
        <f t="shared" si="54"/>
        <v>En gestión</v>
      </c>
      <c r="AV143" s="1113" t="s">
        <v>2344</v>
      </c>
      <c r="AW143" s="1110">
        <f>SUMPRODUCT(N143:N148,AQ143:AQ148)</f>
        <v>0.53500000000000003</v>
      </c>
      <c r="AX143" s="1111">
        <f>SUMPRODUCT(N143:N148,R143:R148)</f>
        <v>0.5</v>
      </c>
      <c r="AY143" s="1122" t="str">
        <f>IF(AX143&lt;1%,"Sin iniciar",IF(AX143=100%,"Terminado","En gestión"))</f>
        <v>En gestión</v>
      </c>
      <c r="AZ143" s="1122" t="str">
        <f>IF(AW143&lt;1%,"Sin iniciar",IF(AW143=100%,"Terminado","En gestión"))</f>
        <v>En gestión</v>
      </c>
      <c r="BA143" s="437"/>
      <c r="BB143" s="1011">
        <v>51210816</v>
      </c>
      <c r="BC143" s="1011">
        <v>51210816</v>
      </c>
      <c r="BD143" s="1011">
        <v>25605408</v>
      </c>
      <c r="BE143" s="1011">
        <f>127518000+13193910194</f>
        <v>13321428194</v>
      </c>
      <c r="BF143" s="1011">
        <f>127518000+13193910194</f>
        <v>13321428194</v>
      </c>
      <c r="BG143" s="1011">
        <f>63759000+9690076442</f>
        <v>9753835442</v>
      </c>
      <c r="BH143" s="1011" t="s">
        <v>2680</v>
      </c>
      <c r="BI143" s="1011"/>
      <c r="BJ143" s="1011" t="s">
        <v>2693</v>
      </c>
      <c r="BK143" s="1011" t="s">
        <v>2691</v>
      </c>
      <c r="BL143" s="1011" t="s">
        <v>2694</v>
      </c>
      <c r="BM143" s="509">
        <v>0.75</v>
      </c>
      <c r="BN143" s="389" t="s">
        <v>2077</v>
      </c>
      <c r="BO143" s="389" t="s">
        <v>4161</v>
      </c>
      <c r="BP143" s="379" t="str">
        <f t="shared" ref="BP143:BP174" si="57">IF(S143&lt;1%,"Sin iniciar",IF(S143=100%,"Terminado","En gestión"))</f>
        <v>En gestión</v>
      </c>
      <c r="BQ143" s="379" t="str">
        <f t="shared" ref="BQ143:BQ206" si="58">IF(BM143&lt;1%,"Sin iniciar",IF(BM143=100%,"Terminado","En gestión"))</f>
        <v>En gestión</v>
      </c>
      <c r="BR143" s="1006" t="s">
        <v>4162</v>
      </c>
      <c r="BS143" s="1130">
        <f>SUMPRODUCT(N143:N148,BM143:BM148)</f>
        <v>0.78</v>
      </c>
      <c r="BT143" s="1131">
        <f>SUMPRODUCT(N143:N148,S143:S148)</f>
        <v>0.75000000000000011</v>
      </c>
      <c r="BU143" s="1122" t="str">
        <f>IF(BT143&lt;1%,"Sin iniciar",IF(BT143=100%,"Terminado","En gestión"))</f>
        <v>En gestión</v>
      </c>
      <c r="BV143" s="1122" t="str">
        <f>IF(BS143&lt;1%,"Sin iniciar",IF(BS143=100%,"Terminado","En gestión"))</f>
        <v>En gestión</v>
      </c>
      <c r="BW143" s="1016" t="s">
        <v>28</v>
      </c>
      <c r="BX143" s="1006" t="s">
        <v>3631</v>
      </c>
      <c r="BY143" s="1011">
        <v>51210816</v>
      </c>
      <c r="BZ143" s="1011">
        <v>45978996</v>
      </c>
      <c r="CA143" s="1011">
        <v>36126354</v>
      </c>
      <c r="CB143" s="1011">
        <f>127518000+13193910194</f>
        <v>13321428194</v>
      </c>
      <c r="CC143" s="1011"/>
      <c r="CD143" s="1011">
        <f>95008500+11441993318</f>
        <v>11537001818</v>
      </c>
      <c r="CE143" s="442" t="s">
        <v>2680</v>
      </c>
      <c r="CF143" s="442" t="s">
        <v>2693</v>
      </c>
      <c r="CG143" s="442" t="s">
        <v>2691</v>
      </c>
      <c r="CH143" s="442" t="s">
        <v>2694</v>
      </c>
    </row>
    <row r="144" spans="2:86" ht="171.95" customHeight="1" x14ac:dyDescent="0.25">
      <c r="B144" s="1189"/>
      <c r="C144" s="1115"/>
      <c r="D144" s="1116"/>
      <c r="E144" s="1116"/>
      <c r="F144" s="1116"/>
      <c r="G144" s="1116"/>
      <c r="H144" s="1116"/>
      <c r="I144" s="433" t="s">
        <v>1039</v>
      </c>
      <c r="J144" s="1117"/>
      <c r="K144" s="1043"/>
      <c r="L144" s="434" t="s">
        <v>2078</v>
      </c>
      <c r="M144" s="387" t="s">
        <v>2079</v>
      </c>
      <c r="N144" s="433">
        <v>0.1</v>
      </c>
      <c r="O144" s="388">
        <v>44197</v>
      </c>
      <c r="P144" s="388">
        <v>44561</v>
      </c>
      <c r="Q144" s="435">
        <v>0.25</v>
      </c>
      <c r="R144" s="435">
        <v>0.5</v>
      </c>
      <c r="S144" s="436">
        <v>0.75</v>
      </c>
      <c r="T144" s="433">
        <v>1</v>
      </c>
      <c r="U144" s="381">
        <v>0.5</v>
      </c>
      <c r="V144" s="437" t="s">
        <v>2080</v>
      </c>
      <c r="W144" s="437" t="s">
        <v>4163</v>
      </c>
      <c r="X144" s="379" t="str">
        <f t="shared" si="51"/>
        <v>En gestión</v>
      </c>
      <c r="Y144" s="379" t="str">
        <f t="shared" si="52"/>
        <v>En gestión</v>
      </c>
      <c r="Z144" s="1113"/>
      <c r="AA144" s="1120"/>
      <c r="AB144" s="1121"/>
      <c r="AC144" s="1122"/>
      <c r="AD144" s="1122"/>
      <c r="AE144" s="438"/>
      <c r="AF144" s="1005"/>
      <c r="AG144" s="1005"/>
      <c r="AH144" s="1005"/>
      <c r="AI144" s="1005"/>
      <c r="AJ144" s="1005"/>
      <c r="AK144" s="1005"/>
      <c r="AL144" s="441"/>
      <c r="AM144" s="441"/>
      <c r="AN144" s="441"/>
      <c r="AO144" s="441"/>
      <c r="AP144" s="441"/>
      <c r="AQ144" s="1215">
        <v>0.6</v>
      </c>
      <c r="AR144" s="437" t="s">
        <v>2296</v>
      </c>
      <c r="AS144" s="437" t="s">
        <v>4164</v>
      </c>
      <c r="AT144" s="379" t="str">
        <f t="shared" si="53"/>
        <v>En gestión</v>
      </c>
      <c r="AU144" s="379" t="str">
        <f t="shared" si="54"/>
        <v>En gestión</v>
      </c>
      <c r="AV144" s="1113"/>
      <c r="AW144" s="1110"/>
      <c r="AX144" s="1111"/>
      <c r="AY144" s="1122"/>
      <c r="AZ144" s="1122"/>
      <c r="BA144" s="437"/>
      <c r="BB144" s="1011"/>
      <c r="BC144" s="1011"/>
      <c r="BD144" s="1011"/>
      <c r="BE144" s="1011"/>
      <c r="BF144" s="1011"/>
      <c r="BG144" s="1011"/>
      <c r="BH144" s="1011"/>
      <c r="BI144" s="1011"/>
      <c r="BJ144" s="1011"/>
      <c r="BK144" s="1011"/>
      <c r="BL144" s="1011"/>
      <c r="BM144" s="509">
        <v>0.8</v>
      </c>
      <c r="BN144" s="389" t="s">
        <v>4165</v>
      </c>
      <c r="BO144" s="389" t="s">
        <v>4166</v>
      </c>
      <c r="BP144" s="379" t="str">
        <f t="shared" si="57"/>
        <v>En gestión</v>
      </c>
      <c r="BQ144" s="379" t="str">
        <f t="shared" si="58"/>
        <v>En gestión</v>
      </c>
      <c r="BR144" s="1006"/>
      <c r="BS144" s="1130"/>
      <c r="BT144" s="1131"/>
      <c r="BU144" s="1122"/>
      <c r="BV144" s="1122"/>
      <c r="BW144" s="1016"/>
      <c r="BX144" s="1006"/>
      <c r="BY144" s="1011"/>
      <c r="BZ144" s="1011"/>
      <c r="CA144" s="1011"/>
      <c r="CB144" s="1011"/>
      <c r="CC144" s="1011"/>
      <c r="CD144" s="1011"/>
      <c r="CE144" s="1132" t="s">
        <v>4137</v>
      </c>
      <c r="CF144" s="1132" t="s">
        <v>4138</v>
      </c>
      <c r="CG144" s="1132" t="s">
        <v>4139</v>
      </c>
      <c r="CH144" s="1132" t="s">
        <v>4167</v>
      </c>
    </row>
    <row r="145" spans="2:86" ht="171.95" customHeight="1" x14ac:dyDescent="0.25">
      <c r="B145" s="1189"/>
      <c r="C145" s="1115"/>
      <c r="D145" s="1116"/>
      <c r="E145" s="1116"/>
      <c r="F145" s="1116"/>
      <c r="G145" s="1116"/>
      <c r="H145" s="1116"/>
      <c r="I145" s="433" t="s">
        <v>132</v>
      </c>
      <c r="J145" s="1117"/>
      <c r="K145" s="1043"/>
      <c r="L145" s="434" t="s">
        <v>2081</v>
      </c>
      <c r="M145" s="387" t="s">
        <v>2051</v>
      </c>
      <c r="N145" s="433">
        <v>0.1</v>
      </c>
      <c r="O145" s="388">
        <v>44197</v>
      </c>
      <c r="P145" s="388">
        <v>44561</v>
      </c>
      <c r="Q145" s="435">
        <v>0.25</v>
      </c>
      <c r="R145" s="435">
        <v>0.5</v>
      </c>
      <c r="S145" s="436">
        <v>0.75</v>
      </c>
      <c r="T145" s="433">
        <v>1</v>
      </c>
      <c r="U145" s="381">
        <v>0.5</v>
      </c>
      <c r="V145" s="437" t="s">
        <v>2082</v>
      </c>
      <c r="W145" s="437" t="s">
        <v>4168</v>
      </c>
      <c r="X145" s="379" t="str">
        <f t="shared" si="51"/>
        <v>En gestión</v>
      </c>
      <c r="Y145" s="379" t="str">
        <f t="shared" si="52"/>
        <v>En gestión</v>
      </c>
      <c r="Z145" s="1113"/>
      <c r="AA145" s="1120"/>
      <c r="AB145" s="1121"/>
      <c r="AC145" s="1122"/>
      <c r="AD145" s="1122"/>
      <c r="AE145" s="438"/>
      <c r="AF145" s="1005"/>
      <c r="AG145" s="1005"/>
      <c r="AH145" s="1005"/>
      <c r="AI145" s="1005"/>
      <c r="AJ145" s="1005"/>
      <c r="AK145" s="1005"/>
      <c r="AL145" s="441"/>
      <c r="AM145" s="441"/>
      <c r="AN145" s="441"/>
      <c r="AO145" s="441"/>
      <c r="AP145" s="441"/>
      <c r="AQ145" s="1215">
        <v>0.75</v>
      </c>
      <c r="AR145" s="437" t="s">
        <v>2297</v>
      </c>
      <c r="AS145" s="437" t="s">
        <v>4169</v>
      </c>
      <c r="AT145" s="379" t="str">
        <f t="shared" si="53"/>
        <v>En gestión</v>
      </c>
      <c r="AU145" s="379" t="str">
        <f t="shared" si="54"/>
        <v>En gestión</v>
      </c>
      <c r="AV145" s="1113"/>
      <c r="AW145" s="1110"/>
      <c r="AX145" s="1111"/>
      <c r="AY145" s="1122"/>
      <c r="AZ145" s="1122"/>
      <c r="BA145" s="437"/>
      <c r="BB145" s="1011"/>
      <c r="BC145" s="1011"/>
      <c r="BD145" s="1011"/>
      <c r="BE145" s="1011"/>
      <c r="BF145" s="1011"/>
      <c r="BG145" s="1011"/>
      <c r="BH145" s="1011"/>
      <c r="BI145" s="1011"/>
      <c r="BJ145" s="1011"/>
      <c r="BK145" s="1011"/>
      <c r="BL145" s="1011"/>
      <c r="BM145" s="509">
        <v>1</v>
      </c>
      <c r="BN145" s="389" t="s">
        <v>4170</v>
      </c>
      <c r="BO145" s="389" t="s">
        <v>4171</v>
      </c>
      <c r="BP145" s="379" t="str">
        <f t="shared" si="57"/>
        <v>En gestión</v>
      </c>
      <c r="BQ145" s="379" t="str">
        <f t="shared" si="58"/>
        <v>Terminado</v>
      </c>
      <c r="BR145" s="1006"/>
      <c r="BS145" s="1130"/>
      <c r="BT145" s="1131"/>
      <c r="BU145" s="1122"/>
      <c r="BV145" s="1122"/>
      <c r="BW145" s="1016"/>
      <c r="BX145" s="1006"/>
      <c r="BY145" s="1011"/>
      <c r="BZ145" s="1011"/>
      <c r="CA145" s="1011"/>
      <c r="CB145" s="1011"/>
      <c r="CC145" s="1011"/>
      <c r="CD145" s="1011"/>
      <c r="CE145" s="1132"/>
      <c r="CF145" s="1132"/>
      <c r="CG145" s="1132"/>
      <c r="CH145" s="1132"/>
    </row>
    <row r="146" spans="2:86" ht="171.95" customHeight="1" x14ac:dyDescent="0.25">
      <c r="B146" s="1189"/>
      <c r="C146" s="1115"/>
      <c r="D146" s="1116"/>
      <c r="E146" s="1116"/>
      <c r="F146" s="1116"/>
      <c r="G146" s="1116"/>
      <c r="H146" s="1116"/>
      <c r="I146" s="433" t="s">
        <v>185</v>
      </c>
      <c r="J146" s="1117"/>
      <c r="K146" s="1043"/>
      <c r="L146" s="434" t="s">
        <v>2083</v>
      </c>
      <c r="M146" s="387" t="s">
        <v>2084</v>
      </c>
      <c r="N146" s="433">
        <v>0.2</v>
      </c>
      <c r="O146" s="388">
        <v>44197</v>
      </c>
      <c r="P146" s="388">
        <v>44561</v>
      </c>
      <c r="Q146" s="435">
        <v>0.25</v>
      </c>
      <c r="R146" s="435">
        <v>0.5</v>
      </c>
      <c r="S146" s="436">
        <v>0.75</v>
      </c>
      <c r="T146" s="433">
        <v>1</v>
      </c>
      <c r="U146" s="381">
        <v>0.25</v>
      </c>
      <c r="V146" s="437" t="s">
        <v>2085</v>
      </c>
      <c r="W146" s="443" t="s">
        <v>4172</v>
      </c>
      <c r="X146" s="379" t="str">
        <f t="shared" si="51"/>
        <v>En gestión</v>
      </c>
      <c r="Y146" s="379" t="str">
        <f t="shared" si="52"/>
        <v>En gestión</v>
      </c>
      <c r="Z146" s="1113"/>
      <c r="AA146" s="1120"/>
      <c r="AB146" s="1121"/>
      <c r="AC146" s="1122"/>
      <c r="AD146" s="1122"/>
      <c r="AE146" s="438"/>
      <c r="AF146" s="1005"/>
      <c r="AG146" s="1005"/>
      <c r="AH146" s="1005"/>
      <c r="AI146" s="1005"/>
      <c r="AJ146" s="1005"/>
      <c r="AK146" s="1005"/>
      <c r="AL146" s="441"/>
      <c r="AM146" s="441"/>
      <c r="AN146" s="441"/>
      <c r="AO146" s="441"/>
      <c r="AP146" s="441"/>
      <c r="AQ146" s="1215">
        <v>0.5</v>
      </c>
      <c r="AR146" s="437" t="s">
        <v>2085</v>
      </c>
      <c r="AS146" s="443" t="s">
        <v>4173</v>
      </c>
      <c r="AT146" s="379" t="str">
        <f t="shared" si="53"/>
        <v>En gestión</v>
      </c>
      <c r="AU146" s="379" t="str">
        <f t="shared" si="54"/>
        <v>En gestión</v>
      </c>
      <c r="AV146" s="1113"/>
      <c r="AW146" s="1110"/>
      <c r="AX146" s="1111"/>
      <c r="AY146" s="1122"/>
      <c r="AZ146" s="1122"/>
      <c r="BA146" s="437"/>
      <c r="BB146" s="1011"/>
      <c r="BC146" s="1011"/>
      <c r="BD146" s="1011"/>
      <c r="BE146" s="1011"/>
      <c r="BF146" s="1011"/>
      <c r="BG146" s="1011"/>
      <c r="BH146" s="1011"/>
      <c r="BI146" s="1011"/>
      <c r="BJ146" s="1011"/>
      <c r="BK146" s="1011"/>
      <c r="BL146" s="1011"/>
      <c r="BM146" s="509">
        <v>0.75</v>
      </c>
      <c r="BN146" s="389" t="s">
        <v>2085</v>
      </c>
      <c r="BO146" s="389" t="s">
        <v>4174</v>
      </c>
      <c r="BP146" s="379" t="str">
        <f t="shared" si="57"/>
        <v>En gestión</v>
      </c>
      <c r="BQ146" s="379" t="str">
        <f t="shared" si="58"/>
        <v>En gestión</v>
      </c>
      <c r="BR146" s="1006"/>
      <c r="BS146" s="1130"/>
      <c r="BT146" s="1131"/>
      <c r="BU146" s="1122"/>
      <c r="BV146" s="1122"/>
      <c r="BW146" s="1016"/>
      <c r="BX146" s="1006"/>
      <c r="BY146" s="1011"/>
      <c r="BZ146" s="1011"/>
      <c r="CA146" s="1011"/>
      <c r="CB146" s="1011"/>
      <c r="CC146" s="1011"/>
      <c r="CD146" s="1011"/>
      <c r="CE146" s="1132"/>
      <c r="CF146" s="1132"/>
      <c r="CG146" s="1132"/>
      <c r="CH146" s="1132"/>
    </row>
    <row r="147" spans="2:86" ht="171.95" customHeight="1" x14ac:dyDescent="0.25">
      <c r="B147" s="1189"/>
      <c r="C147" s="1115"/>
      <c r="D147" s="1116"/>
      <c r="E147" s="1116"/>
      <c r="F147" s="1116"/>
      <c r="G147" s="1116"/>
      <c r="H147" s="1116"/>
      <c r="I147" s="433" t="s">
        <v>191</v>
      </c>
      <c r="J147" s="1117"/>
      <c r="K147" s="1043"/>
      <c r="L147" s="434" t="s">
        <v>2086</v>
      </c>
      <c r="M147" s="387" t="s">
        <v>1334</v>
      </c>
      <c r="N147" s="433">
        <v>0.2</v>
      </c>
      <c r="O147" s="388">
        <v>44197</v>
      </c>
      <c r="P147" s="388">
        <v>44561</v>
      </c>
      <c r="Q147" s="435">
        <v>0.25</v>
      </c>
      <c r="R147" s="435">
        <v>0.5</v>
      </c>
      <c r="S147" s="436">
        <v>0.75</v>
      </c>
      <c r="T147" s="433">
        <v>1</v>
      </c>
      <c r="U147" s="381">
        <v>0.25</v>
      </c>
      <c r="V147" s="437" t="s">
        <v>2087</v>
      </c>
      <c r="W147" s="437" t="s">
        <v>4175</v>
      </c>
      <c r="X147" s="379" t="str">
        <f t="shared" si="51"/>
        <v>En gestión</v>
      </c>
      <c r="Y147" s="379" t="str">
        <f t="shared" si="52"/>
        <v>En gestión</v>
      </c>
      <c r="Z147" s="1113"/>
      <c r="AA147" s="1120"/>
      <c r="AB147" s="1121"/>
      <c r="AC147" s="1122"/>
      <c r="AD147" s="1122"/>
      <c r="AE147" s="438"/>
      <c r="AF147" s="1005"/>
      <c r="AG147" s="1005"/>
      <c r="AH147" s="1005"/>
      <c r="AI147" s="1005"/>
      <c r="AJ147" s="1005"/>
      <c r="AK147" s="1005"/>
      <c r="AL147" s="441"/>
      <c r="AM147" s="441"/>
      <c r="AN147" s="441"/>
      <c r="AO147" s="441"/>
      <c r="AP147" s="441"/>
      <c r="AQ147" s="1215">
        <v>0.5</v>
      </c>
      <c r="AR147" s="437" t="s">
        <v>2087</v>
      </c>
      <c r="AS147" s="437" t="s">
        <v>4176</v>
      </c>
      <c r="AT147" s="379" t="str">
        <f t="shared" si="53"/>
        <v>En gestión</v>
      </c>
      <c r="AU147" s="379" t="str">
        <f t="shared" si="54"/>
        <v>En gestión</v>
      </c>
      <c r="AV147" s="1113"/>
      <c r="AW147" s="1110"/>
      <c r="AX147" s="1111"/>
      <c r="AY147" s="1122"/>
      <c r="AZ147" s="1122"/>
      <c r="BA147" s="437"/>
      <c r="BB147" s="1011"/>
      <c r="BC147" s="1011"/>
      <c r="BD147" s="1011"/>
      <c r="BE147" s="1011"/>
      <c r="BF147" s="1011"/>
      <c r="BG147" s="1011"/>
      <c r="BH147" s="1011"/>
      <c r="BI147" s="1011"/>
      <c r="BJ147" s="1011"/>
      <c r="BK147" s="1011"/>
      <c r="BL147" s="1011"/>
      <c r="BM147" s="509">
        <v>0.75</v>
      </c>
      <c r="BN147" s="389" t="s">
        <v>2087</v>
      </c>
      <c r="BO147" s="389" t="s">
        <v>4177</v>
      </c>
      <c r="BP147" s="379" t="str">
        <f t="shared" si="57"/>
        <v>En gestión</v>
      </c>
      <c r="BQ147" s="379" t="str">
        <f t="shared" si="58"/>
        <v>En gestión</v>
      </c>
      <c r="BR147" s="1006"/>
      <c r="BS147" s="1130"/>
      <c r="BT147" s="1131"/>
      <c r="BU147" s="1122"/>
      <c r="BV147" s="1122"/>
      <c r="BW147" s="1016"/>
      <c r="BX147" s="1006"/>
      <c r="BY147" s="1011"/>
      <c r="BZ147" s="1011"/>
      <c r="CA147" s="1011"/>
      <c r="CB147" s="1011"/>
      <c r="CC147" s="1011"/>
      <c r="CD147" s="1011"/>
      <c r="CE147" s="1132"/>
      <c r="CF147" s="1132"/>
      <c r="CG147" s="1132"/>
      <c r="CH147" s="1132"/>
    </row>
    <row r="148" spans="2:86" ht="171.95" customHeight="1" x14ac:dyDescent="0.25">
      <c r="B148" s="1189"/>
      <c r="C148" s="1115"/>
      <c r="D148" s="1116"/>
      <c r="E148" s="1116"/>
      <c r="F148" s="1116"/>
      <c r="G148" s="1116"/>
      <c r="H148" s="1116"/>
      <c r="I148" s="433" t="s">
        <v>194</v>
      </c>
      <c r="J148" s="1117"/>
      <c r="K148" s="1043"/>
      <c r="L148" s="434" t="s">
        <v>2088</v>
      </c>
      <c r="M148" s="387" t="s">
        <v>2089</v>
      </c>
      <c r="N148" s="433">
        <v>0.3</v>
      </c>
      <c r="O148" s="388">
        <v>44197</v>
      </c>
      <c r="P148" s="388">
        <v>44561</v>
      </c>
      <c r="Q148" s="435">
        <v>0.25</v>
      </c>
      <c r="R148" s="435">
        <v>0.5</v>
      </c>
      <c r="S148" s="436">
        <v>0.75</v>
      </c>
      <c r="T148" s="433">
        <v>1</v>
      </c>
      <c r="U148" s="381">
        <v>0.25</v>
      </c>
      <c r="V148" s="437" t="s">
        <v>2090</v>
      </c>
      <c r="W148" s="437" t="s">
        <v>4178</v>
      </c>
      <c r="X148" s="379" t="str">
        <f t="shared" si="51"/>
        <v>En gestión</v>
      </c>
      <c r="Y148" s="379" t="str">
        <f t="shared" si="52"/>
        <v>En gestión</v>
      </c>
      <c r="Z148" s="1113"/>
      <c r="AA148" s="1120"/>
      <c r="AB148" s="1121"/>
      <c r="AC148" s="1122"/>
      <c r="AD148" s="1122"/>
      <c r="AE148" s="438"/>
      <c r="AF148" s="1005"/>
      <c r="AG148" s="1005"/>
      <c r="AH148" s="1005"/>
      <c r="AI148" s="1005"/>
      <c r="AJ148" s="1005"/>
      <c r="AK148" s="1005"/>
      <c r="AL148" s="441"/>
      <c r="AM148" s="441"/>
      <c r="AN148" s="441"/>
      <c r="AO148" s="441"/>
      <c r="AP148" s="441"/>
      <c r="AQ148" s="1215">
        <v>0.5</v>
      </c>
      <c r="AR148" s="437" t="s">
        <v>2090</v>
      </c>
      <c r="AS148" s="437" t="s">
        <v>4179</v>
      </c>
      <c r="AT148" s="379" t="str">
        <f t="shared" si="53"/>
        <v>En gestión</v>
      </c>
      <c r="AU148" s="379" t="str">
        <f t="shared" si="54"/>
        <v>En gestión</v>
      </c>
      <c r="AV148" s="1113"/>
      <c r="AW148" s="1110"/>
      <c r="AX148" s="1111"/>
      <c r="AY148" s="1122"/>
      <c r="AZ148" s="1122"/>
      <c r="BA148" s="437"/>
      <c r="BB148" s="1011"/>
      <c r="BC148" s="1011"/>
      <c r="BD148" s="1011"/>
      <c r="BE148" s="1011"/>
      <c r="BF148" s="1011"/>
      <c r="BG148" s="1011"/>
      <c r="BH148" s="1011"/>
      <c r="BI148" s="1011"/>
      <c r="BJ148" s="1011"/>
      <c r="BK148" s="1011"/>
      <c r="BL148" s="1011"/>
      <c r="BM148" s="509">
        <v>0.75</v>
      </c>
      <c r="BN148" s="389" t="s">
        <v>2090</v>
      </c>
      <c r="BO148" s="389" t="s">
        <v>4180</v>
      </c>
      <c r="BP148" s="379" t="str">
        <f t="shared" si="57"/>
        <v>En gestión</v>
      </c>
      <c r="BQ148" s="379" t="str">
        <f t="shared" si="58"/>
        <v>En gestión</v>
      </c>
      <c r="BR148" s="1006"/>
      <c r="BS148" s="1130"/>
      <c r="BT148" s="1131"/>
      <c r="BU148" s="1122"/>
      <c r="BV148" s="1122"/>
      <c r="BW148" s="1016"/>
      <c r="BX148" s="1006"/>
      <c r="BY148" s="1011"/>
      <c r="BZ148" s="1011"/>
      <c r="CA148" s="1011"/>
      <c r="CB148" s="1011"/>
      <c r="CC148" s="1011"/>
      <c r="CD148" s="1011"/>
      <c r="CE148" s="1132"/>
      <c r="CF148" s="1132"/>
      <c r="CG148" s="1132"/>
      <c r="CH148" s="1132"/>
    </row>
    <row r="149" spans="2:86" ht="171.95" customHeight="1" x14ac:dyDescent="0.25">
      <c r="B149" s="1189"/>
      <c r="C149" s="1126" t="s">
        <v>2091</v>
      </c>
      <c r="D149" s="1118" t="s">
        <v>1045</v>
      </c>
      <c r="E149" s="1118" t="s">
        <v>2092</v>
      </c>
      <c r="F149" s="1118" t="s">
        <v>28</v>
      </c>
      <c r="G149" s="1118" t="s">
        <v>28</v>
      </c>
      <c r="H149" s="1118" t="s">
        <v>59</v>
      </c>
      <c r="I149" s="489" t="s">
        <v>1047</v>
      </c>
      <c r="J149" s="1127" t="s">
        <v>2093</v>
      </c>
      <c r="K149" s="994" t="s">
        <v>164</v>
      </c>
      <c r="L149" s="490" t="s">
        <v>2094</v>
      </c>
      <c r="M149" s="451" t="s">
        <v>2046</v>
      </c>
      <c r="N149" s="489">
        <v>0.1</v>
      </c>
      <c r="O149" s="452">
        <v>44197</v>
      </c>
      <c r="P149" s="452">
        <v>44561</v>
      </c>
      <c r="Q149" s="489">
        <v>0.25</v>
      </c>
      <c r="R149" s="491">
        <v>0.5</v>
      </c>
      <c r="S149" s="492">
        <v>0.75</v>
      </c>
      <c r="T149" s="489">
        <v>1</v>
      </c>
      <c r="U149" s="381">
        <v>0.25</v>
      </c>
      <c r="V149" s="493" t="s">
        <v>2095</v>
      </c>
      <c r="W149" s="493" t="s">
        <v>4181</v>
      </c>
      <c r="X149" s="455" t="str">
        <f t="shared" si="51"/>
        <v>En gestión</v>
      </c>
      <c r="Y149" s="455" t="str">
        <f t="shared" si="52"/>
        <v>En gestión</v>
      </c>
      <c r="Z149" s="1125" t="s">
        <v>2276</v>
      </c>
      <c r="AA149" s="1120">
        <f>SUMPRODUCT(N149:N154,U149:U154)</f>
        <v>0.15000000000000002</v>
      </c>
      <c r="AB149" s="1121">
        <f>SUMPRODUCT(N149:N154,Q149:Q154)</f>
        <v>0.2</v>
      </c>
      <c r="AC149" s="1124" t="str">
        <f>IF(AB149&lt;1%,"Sin iniciar",IF(AB149=100%,"Terminado","En gestión"))</f>
        <v>En gestión</v>
      </c>
      <c r="AD149" s="1124" t="str">
        <f>IF(AA149&lt;1%,"Sin iniciar",IF(AA149=100%,"Terminado","En gestión"))</f>
        <v>En gestión</v>
      </c>
      <c r="AE149" s="493"/>
      <c r="AF149" s="1008">
        <v>27657821</v>
      </c>
      <c r="AG149" s="1008">
        <v>0</v>
      </c>
      <c r="AH149" s="1008">
        <v>6614455</v>
      </c>
      <c r="AI149" s="1008">
        <f>34605000+2165584968</f>
        <v>2200189968</v>
      </c>
      <c r="AJ149" s="1008">
        <v>0</v>
      </c>
      <c r="AK149" s="1008">
        <f>9235000+30972100</f>
        <v>40207100</v>
      </c>
      <c r="AL149" s="499"/>
      <c r="AM149" s="499"/>
      <c r="AN149" s="499"/>
      <c r="AO149" s="499"/>
      <c r="AP149" s="499"/>
      <c r="AQ149" s="1215">
        <v>0.5</v>
      </c>
      <c r="AR149" s="493" t="s">
        <v>2298</v>
      </c>
      <c r="AS149" s="493" t="s">
        <v>4182</v>
      </c>
      <c r="AT149" s="455" t="str">
        <f t="shared" si="53"/>
        <v>En gestión</v>
      </c>
      <c r="AU149" s="455" t="str">
        <f t="shared" si="54"/>
        <v>En gestión</v>
      </c>
      <c r="AV149" s="1125" t="s">
        <v>2345</v>
      </c>
      <c r="AW149" s="1110">
        <f>SUMPRODUCT(N149:N154,AQ149:AQ154)</f>
        <v>0.34500000000000003</v>
      </c>
      <c r="AX149" s="1111">
        <f>SUMPRODUCT(N149:N154,R149:R154)</f>
        <v>0.42500000000000004</v>
      </c>
      <c r="AY149" s="1124" t="str">
        <f>IF(AX149&lt;1%,"Sin iniciar",IF(AX149=100%,"Terminado","En gestión"))</f>
        <v>En gestión</v>
      </c>
      <c r="AZ149" s="1124" t="str">
        <f>IF(AW149&lt;1%,"Sin iniciar",IF(AW149=100%,"Terminado","En gestión"))</f>
        <v>En gestión</v>
      </c>
      <c r="BA149" s="493"/>
      <c r="BB149" s="1128">
        <v>27657821</v>
      </c>
      <c r="BC149" s="1128">
        <v>33295097</v>
      </c>
      <c r="BD149" s="1128">
        <v>14634296</v>
      </c>
      <c r="BE149" s="1128">
        <f>34605000+2165584968</f>
        <v>2200189968</v>
      </c>
      <c r="BF149" s="1128">
        <f>34605000+2165584968</f>
        <v>2200189968</v>
      </c>
      <c r="BG149" s="1128">
        <f>23087500+742509723</f>
        <v>765597223</v>
      </c>
      <c r="BH149" s="1128" t="s">
        <v>2680</v>
      </c>
      <c r="BI149" s="1128"/>
      <c r="BJ149" s="1010" t="s">
        <v>2681</v>
      </c>
      <c r="BK149" s="1010" t="s">
        <v>2715</v>
      </c>
      <c r="BL149" s="1010" t="s">
        <v>2716</v>
      </c>
      <c r="BM149" s="506">
        <v>0.75</v>
      </c>
      <c r="BN149" s="454" t="s">
        <v>4183</v>
      </c>
      <c r="BO149" s="454" t="s">
        <v>4184</v>
      </c>
      <c r="BP149" s="455" t="str">
        <f t="shared" si="57"/>
        <v>En gestión</v>
      </c>
      <c r="BQ149" s="455" t="str">
        <f t="shared" si="58"/>
        <v>En gestión</v>
      </c>
      <c r="BR149" s="990" t="s">
        <v>4185</v>
      </c>
      <c r="BS149" s="1130">
        <f>SUMPRODUCT(N149:N154,BM149:BM154)</f>
        <v>0.75050000000000006</v>
      </c>
      <c r="BT149" s="1131">
        <f>SUMPRODUCT(N149:N154,S149:S154)</f>
        <v>0.75250000000000006</v>
      </c>
      <c r="BU149" s="1124" t="str">
        <f>IF(BT149&lt;1%,"Sin iniciar",IF(BT149=100%,"Terminado","En gestión"))</f>
        <v>En gestión</v>
      </c>
      <c r="BV149" s="1124" t="str">
        <f>IF(BS149&lt;1%,"Sin iniciar",IF(BS149=100%,"Terminado","En gestión"))</f>
        <v>En gestión</v>
      </c>
      <c r="BW149" s="456" t="s">
        <v>28</v>
      </c>
      <c r="BX149" s="990" t="s">
        <v>3631</v>
      </c>
      <c r="BY149" s="1008">
        <v>27657821</v>
      </c>
      <c r="BZ149" s="1008">
        <v>34164104</v>
      </c>
      <c r="CA149" s="1008">
        <v>24590147</v>
      </c>
      <c r="CB149" s="1008">
        <f>34605000+2165584968</f>
        <v>2200189968</v>
      </c>
      <c r="CC149" s="1008">
        <f>46157500+2165584968</f>
        <v>2211742468</v>
      </c>
      <c r="CD149" s="1008">
        <f>39257500+2165584968</f>
        <v>2204842468</v>
      </c>
      <c r="CE149" s="1010" t="s">
        <v>2680</v>
      </c>
      <c r="CF149" s="500" t="s">
        <v>2681</v>
      </c>
      <c r="CG149" s="500" t="s">
        <v>2715</v>
      </c>
      <c r="CH149" s="500" t="s">
        <v>2716</v>
      </c>
    </row>
    <row r="150" spans="2:86" ht="171.95" customHeight="1" x14ac:dyDescent="0.25">
      <c r="B150" s="1189"/>
      <c r="C150" s="1126"/>
      <c r="D150" s="1118"/>
      <c r="E150" s="1118"/>
      <c r="F150" s="1118"/>
      <c r="G150" s="1118"/>
      <c r="H150" s="1118"/>
      <c r="I150" s="489" t="s">
        <v>1039</v>
      </c>
      <c r="J150" s="1127"/>
      <c r="K150" s="994"/>
      <c r="L150" s="490" t="s">
        <v>2096</v>
      </c>
      <c r="M150" s="451" t="s">
        <v>2097</v>
      </c>
      <c r="N150" s="489">
        <v>0.1</v>
      </c>
      <c r="O150" s="452">
        <v>44228</v>
      </c>
      <c r="P150" s="452" t="s">
        <v>279</v>
      </c>
      <c r="Q150" s="489">
        <v>0.25</v>
      </c>
      <c r="R150" s="491">
        <v>1</v>
      </c>
      <c r="S150" s="492">
        <v>1</v>
      </c>
      <c r="T150" s="489">
        <v>1</v>
      </c>
      <c r="U150" s="381">
        <v>0.5</v>
      </c>
      <c r="V150" s="493" t="s">
        <v>2098</v>
      </c>
      <c r="W150" s="493" t="s">
        <v>3668</v>
      </c>
      <c r="X150" s="455" t="str">
        <f t="shared" si="51"/>
        <v>En gestión</v>
      </c>
      <c r="Y150" s="455" t="str">
        <f t="shared" si="52"/>
        <v>En gestión</v>
      </c>
      <c r="Z150" s="1125"/>
      <c r="AA150" s="1120"/>
      <c r="AB150" s="1121"/>
      <c r="AC150" s="1124"/>
      <c r="AD150" s="1124"/>
      <c r="AE150" s="493"/>
      <c r="AF150" s="1008"/>
      <c r="AG150" s="1008"/>
      <c r="AH150" s="1008"/>
      <c r="AI150" s="1008"/>
      <c r="AJ150" s="1008"/>
      <c r="AK150" s="1008"/>
      <c r="AL150" s="499"/>
      <c r="AM150" s="499"/>
      <c r="AN150" s="499"/>
      <c r="AO150" s="499"/>
      <c r="AP150" s="499"/>
      <c r="AQ150" s="1215">
        <v>0.95</v>
      </c>
      <c r="AR150" s="493" t="s">
        <v>1427</v>
      </c>
      <c r="AS150" s="493" t="s">
        <v>3668</v>
      </c>
      <c r="AT150" s="455" t="str">
        <f t="shared" si="53"/>
        <v>Terminado</v>
      </c>
      <c r="AU150" s="455" t="str">
        <f t="shared" si="54"/>
        <v>En gestión</v>
      </c>
      <c r="AV150" s="1125"/>
      <c r="AW150" s="1110"/>
      <c r="AX150" s="1111"/>
      <c r="AY150" s="1124"/>
      <c r="AZ150" s="1124"/>
      <c r="BA150" s="493"/>
      <c r="BB150" s="1128"/>
      <c r="BC150" s="1128"/>
      <c r="BD150" s="1128"/>
      <c r="BE150" s="1128"/>
      <c r="BF150" s="1128"/>
      <c r="BG150" s="1128"/>
      <c r="BH150" s="1128"/>
      <c r="BI150" s="1128"/>
      <c r="BJ150" s="1010"/>
      <c r="BK150" s="1010"/>
      <c r="BL150" s="1010"/>
      <c r="BM150" s="506">
        <v>0.98</v>
      </c>
      <c r="BN150" s="454" t="s">
        <v>3670</v>
      </c>
      <c r="BO150" s="454" t="s">
        <v>4186</v>
      </c>
      <c r="BP150" s="455" t="str">
        <f t="shared" si="57"/>
        <v>Terminado</v>
      </c>
      <c r="BQ150" s="455" t="str">
        <f t="shared" si="58"/>
        <v>En gestión</v>
      </c>
      <c r="BR150" s="990"/>
      <c r="BS150" s="1130"/>
      <c r="BT150" s="1131"/>
      <c r="BU150" s="1124"/>
      <c r="BV150" s="1124"/>
      <c r="BW150" s="454" t="s">
        <v>4187</v>
      </c>
      <c r="BX150" s="990"/>
      <c r="BY150" s="1008"/>
      <c r="BZ150" s="1008"/>
      <c r="CA150" s="1008"/>
      <c r="CB150" s="1008"/>
      <c r="CC150" s="1008"/>
      <c r="CD150" s="1008"/>
      <c r="CE150" s="1010"/>
      <c r="CF150" s="500" t="s">
        <v>2718</v>
      </c>
      <c r="CG150" s="500" t="s">
        <v>2685</v>
      </c>
      <c r="CH150" s="500" t="s">
        <v>2717</v>
      </c>
    </row>
    <row r="151" spans="2:86" ht="171.95" customHeight="1" x14ac:dyDescent="0.25">
      <c r="B151" s="1189"/>
      <c r="C151" s="1126"/>
      <c r="D151" s="1118"/>
      <c r="E151" s="1118"/>
      <c r="F151" s="1118"/>
      <c r="G151" s="1118"/>
      <c r="H151" s="1118"/>
      <c r="I151" s="489" t="s">
        <v>132</v>
      </c>
      <c r="J151" s="1127"/>
      <c r="K151" s="994"/>
      <c r="L151" s="490" t="s">
        <v>2099</v>
      </c>
      <c r="M151" s="451" t="s">
        <v>2100</v>
      </c>
      <c r="N151" s="489">
        <v>0.15</v>
      </c>
      <c r="O151" s="452">
        <v>44197</v>
      </c>
      <c r="P151" s="452">
        <v>44348</v>
      </c>
      <c r="Q151" s="489">
        <v>0.25</v>
      </c>
      <c r="R151" s="491">
        <v>1</v>
      </c>
      <c r="S151" s="492">
        <v>1</v>
      </c>
      <c r="T151" s="489">
        <v>1</v>
      </c>
      <c r="U151" s="381">
        <v>0.5</v>
      </c>
      <c r="V151" s="493" t="s">
        <v>2101</v>
      </c>
      <c r="W151" s="493" t="s">
        <v>4188</v>
      </c>
      <c r="X151" s="455" t="str">
        <f t="shared" si="51"/>
        <v>En gestión</v>
      </c>
      <c r="Y151" s="455" t="str">
        <f t="shared" si="52"/>
        <v>En gestión</v>
      </c>
      <c r="Z151" s="1125"/>
      <c r="AA151" s="1120"/>
      <c r="AB151" s="1121"/>
      <c r="AC151" s="1124"/>
      <c r="AD151" s="1124"/>
      <c r="AE151" s="493"/>
      <c r="AF151" s="1008"/>
      <c r="AG151" s="1008"/>
      <c r="AH151" s="1008"/>
      <c r="AI151" s="1008"/>
      <c r="AJ151" s="1008"/>
      <c r="AK151" s="1008"/>
      <c r="AL151" s="499"/>
      <c r="AM151" s="499"/>
      <c r="AN151" s="499"/>
      <c r="AO151" s="499"/>
      <c r="AP151" s="499"/>
      <c r="AQ151" s="1215">
        <v>1</v>
      </c>
      <c r="AR151" s="493" t="s">
        <v>2299</v>
      </c>
      <c r="AS151" s="493" t="s">
        <v>4189</v>
      </c>
      <c r="AT151" s="455" t="str">
        <f t="shared" si="53"/>
        <v>Terminado</v>
      </c>
      <c r="AU151" s="455" t="str">
        <f t="shared" si="54"/>
        <v>Terminado</v>
      </c>
      <c r="AV151" s="1125"/>
      <c r="AW151" s="1110"/>
      <c r="AX151" s="1111"/>
      <c r="AY151" s="1124"/>
      <c r="AZ151" s="1124"/>
      <c r="BA151" s="493"/>
      <c r="BB151" s="1128"/>
      <c r="BC151" s="1128"/>
      <c r="BD151" s="1128"/>
      <c r="BE151" s="1128"/>
      <c r="BF151" s="1128"/>
      <c r="BG151" s="1128"/>
      <c r="BH151" s="1128"/>
      <c r="BI151" s="1128"/>
      <c r="BJ151" s="1010"/>
      <c r="BK151" s="1010"/>
      <c r="BL151" s="1010"/>
      <c r="BM151" s="506">
        <v>1</v>
      </c>
      <c r="BN151" s="454" t="s">
        <v>3786</v>
      </c>
      <c r="BO151" s="454" t="s">
        <v>541</v>
      </c>
      <c r="BP151" s="455" t="str">
        <f t="shared" si="57"/>
        <v>Terminado</v>
      </c>
      <c r="BQ151" s="455" t="str">
        <f t="shared" si="58"/>
        <v>Terminado</v>
      </c>
      <c r="BR151" s="990"/>
      <c r="BS151" s="1130"/>
      <c r="BT151" s="1131"/>
      <c r="BU151" s="1124"/>
      <c r="BV151" s="1124"/>
      <c r="BW151" s="991" t="s">
        <v>28</v>
      </c>
      <c r="BX151" s="990"/>
      <c r="BY151" s="1008"/>
      <c r="BZ151" s="1008"/>
      <c r="CA151" s="1008"/>
      <c r="CB151" s="1008"/>
      <c r="CC151" s="1008"/>
      <c r="CD151" s="1008"/>
      <c r="CE151" s="1010" t="s">
        <v>4137</v>
      </c>
      <c r="CF151" s="1010" t="s">
        <v>4138</v>
      </c>
      <c r="CG151" s="1010" t="s">
        <v>4139</v>
      </c>
      <c r="CH151" s="1010" t="s">
        <v>4190</v>
      </c>
    </row>
    <row r="152" spans="2:86" ht="171.95" customHeight="1" x14ac:dyDescent="0.25">
      <c r="B152" s="1189"/>
      <c r="C152" s="1126"/>
      <c r="D152" s="1118"/>
      <c r="E152" s="1118"/>
      <c r="F152" s="1118"/>
      <c r="G152" s="1118"/>
      <c r="H152" s="1118"/>
      <c r="I152" s="489" t="s">
        <v>185</v>
      </c>
      <c r="J152" s="1127"/>
      <c r="K152" s="994"/>
      <c r="L152" s="490" t="s">
        <v>2102</v>
      </c>
      <c r="M152" s="451" t="s">
        <v>2084</v>
      </c>
      <c r="N152" s="489">
        <v>0.2</v>
      </c>
      <c r="O152" s="452">
        <v>44197</v>
      </c>
      <c r="P152" s="452">
        <v>44469</v>
      </c>
      <c r="Q152" s="489">
        <v>0.25</v>
      </c>
      <c r="R152" s="491">
        <v>0.25</v>
      </c>
      <c r="S152" s="492">
        <v>1</v>
      </c>
      <c r="T152" s="489">
        <v>1</v>
      </c>
      <c r="U152" s="381">
        <v>0</v>
      </c>
      <c r="V152" s="493" t="s">
        <v>1416</v>
      </c>
      <c r="W152" s="493"/>
      <c r="X152" s="455" t="str">
        <f t="shared" si="51"/>
        <v>En gestión</v>
      </c>
      <c r="Y152" s="455" t="str">
        <f t="shared" si="52"/>
        <v>Sin iniciar</v>
      </c>
      <c r="Z152" s="1125"/>
      <c r="AA152" s="1120"/>
      <c r="AB152" s="1121"/>
      <c r="AC152" s="1124"/>
      <c r="AD152" s="1124"/>
      <c r="AE152" s="493"/>
      <c r="AF152" s="1008"/>
      <c r="AG152" s="1008"/>
      <c r="AH152" s="1008"/>
      <c r="AI152" s="1008"/>
      <c r="AJ152" s="1008"/>
      <c r="AK152" s="1008"/>
      <c r="AL152" s="499"/>
      <c r="AM152" s="499"/>
      <c r="AN152" s="499"/>
      <c r="AO152" s="499"/>
      <c r="AP152" s="499"/>
      <c r="AQ152" s="1215">
        <v>0.25</v>
      </c>
      <c r="AR152" s="493" t="s">
        <v>1429</v>
      </c>
      <c r="AS152" s="493" t="s">
        <v>4191</v>
      </c>
      <c r="AT152" s="455" t="str">
        <f t="shared" si="53"/>
        <v>En gestión</v>
      </c>
      <c r="AU152" s="455" t="str">
        <f t="shared" si="54"/>
        <v>En gestión</v>
      </c>
      <c r="AV152" s="1125"/>
      <c r="AW152" s="1110"/>
      <c r="AX152" s="1111"/>
      <c r="AY152" s="1124"/>
      <c r="AZ152" s="1124"/>
      <c r="BA152" s="493"/>
      <c r="BB152" s="1128"/>
      <c r="BC152" s="1128"/>
      <c r="BD152" s="1128"/>
      <c r="BE152" s="1128"/>
      <c r="BF152" s="1128"/>
      <c r="BG152" s="1128"/>
      <c r="BH152" s="1128"/>
      <c r="BI152" s="1128"/>
      <c r="BJ152" s="1010" t="s">
        <v>2718</v>
      </c>
      <c r="BK152" s="1010" t="s">
        <v>2685</v>
      </c>
      <c r="BL152" s="1010" t="s">
        <v>2717</v>
      </c>
      <c r="BM152" s="506">
        <v>1</v>
      </c>
      <c r="BN152" s="454" t="s">
        <v>4192</v>
      </c>
      <c r="BO152" s="454" t="s">
        <v>4193</v>
      </c>
      <c r="BP152" s="455" t="str">
        <f t="shared" si="57"/>
        <v>Terminado</v>
      </c>
      <c r="BQ152" s="455" t="str">
        <f t="shared" si="58"/>
        <v>Terminado</v>
      </c>
      <c r="BR152" s="990"/>
      <c r="BS152" s="1130"/>
      <c r="BT152" s="1131"/>
      <c r="BU152" s="1124"/>
      <c r="BV152" s="1124"/>
      <c r="BW152" s="991"/>
      <c r="BX152" s="990"/>
      <c r="BY152" s="1008"/>
      <c r="BZ152" s="1008"/>
      <c r="CA152" s="1008"/>
      <c r="CB152" s="1008"/>
      <c r="CC152" s="1008"/>
      <c r="CD152" s="1008"/>
      <c r="CE152" s="1010"/>
      <c r="CF152" s="1010"/>
      <c r="CG152" s="1010"/>
      <c r="CH152" s="1010"/>
    </row>
    <row r="153" spans="2:86" ht="171.95" customHeight="1" x14ac:dyDescent="0.25">
      <c r="B153" s="1189"/>
      <c r="C153" s="1126"/>
      <c r="D153" s="1118"/>
      <c r="E153" s="1118"/>
      <c r="F153" s="1118"/>
      <c r="G153" s="1118"/>
      <c r="H153" s="1118"/>
      <c r="I153" s="489" t="s">
        <v>191</v>
      </c>
      <c r="J153" s="1127"/>
      <c r="K153" s="994"/>
      <c r="L153" s="490" t="s">
        <v>2103</v>
      </c>
      <c r="M153" s="451" t="s">
        <v>1334</v>
      </c>
      <c r="N153" s="489">
        <v>0.2</v>
      </c>
      <c r="O153" s="452">
        <v>44378</v>
      </c>
      <c r="P153" s="452" t="s">
        <v>2104</v>
      </c>
      <c r="Q153" s="489">
        <v>0</v>
      </c>
      <c r="R153" s="491">
        <v>0</v>
      </c>
      <c r="S153" s="492">
        <v>0.7</v>
      </c>
      <c r="T153" s="489">
        <v>1</v>
      </c>
      <c r="U153" s="381">
        <v>0</v>
      </c>
      <c r="V153" s="493" t="s">
        <v>1416</v>
      </c>
      <c r="W153" s="493"/>
      <c r="X153" s="455" t="str">
        <f t="shared" si="51"/>
        <v>Sin iniciar</v>
      </c>
      <c r="Y153" s="455" t="str">
        <f t="shared" si="52"/>
        <v>Sin iniciar</v>
      </c>
      <c r="Z153" s="1125"/>
      <c r="AA153" s="1120"/>
      <c r="AB153" s="1121"/>
      <c r="AC153" s="1124"/>
      <c r="AD153" s="1124"/>
      <c r="AE153" s="493" t="s">
        <v>2439</v>
      </c>
      <c r="AF153" s="1008"/>
      <c r="AG153" s="1008"/>
      <c r="AH153" s="1008"/>
      <c r="AI153" s="1008"/>
      <c r="AJ153" s="1008"/>
      <c r="AK153" s="1008"/>
      <c r="AL153" s="499"/>
      <c r="AM153" s="499"/>
      <c r="AN153" s="499"/>
      <c r="AO153" s="499"/>
      <c r="AP153" s="499"/>
      <c r="AQ153" s="1215">
        <v>0</v>
      </c>
      <c r="AR153" s="493" t="s">
        <v>2300</v>
      </c>
      <c r="AS153" s="493" t="s">
        <v>28</v>
      </c>
      <c r="AT153" s="455" t="str">
        <f t="shared" si="53"/>
        <v>Sin iniciar</v>
      </c>
      <c r="AU153" s="455" t="str">
        <f t="shared" si="54"/>
        <v>Sin iniciar</v>
      </c>
      <c r="AV153" s="1125"/>
      <c r="AW153" s="1110"/>
      <c r="AX153" s="1111"/>
      <c r="AY153" s="1124"/>
      <c r="AZ153" s="1124"/>
      <c r="BA153" s="493"/>
      <c r="BB153" s="1128"/>
      <c r="BC153" s="1128"/>
      <c r="BD153" s="1128"/>
      <c r="BE153" s="1128"/>
      <c r="BF153" s="1128"/>
      <c r="BG153" s="1128"/>
      <c r="BH153" s="1128"/>
      <c r="BI153" s="1128"/>
      <c r="BJ153" s="1010"/>
      <c r="BK153" s="1010"/>
      <c r="BL153" s="1010"/>
      <c r="BM153" s="506">
        <v>0.7</v>
      </c>
      <c r="BN153" s="454" t="s">
        <v>4194</v>
      </c>
      <c r="BO153" s="454" t="s">
        <v>4195</v>
      </c>
      <c r="BP153" s="455" t="str">
        <f t="shared" si="57"/>
        <v>En gestión</v>
      </c>
      <c r="BQ153" s="455" t="str">
        <f t="shared" si="58"/>
        <v>En gestión</v>
      </c>
      <c r="BR153" s="990"/>
      <c r="BS153" s="1130"/>
      <c r="BT153" s="1131"/>
      <c r="BU153" s="1124"/>
      <c r="BV153" s="1124"/>
      <c r="BW153" s="991"/>
      <c r="BX153" s="990"/>
      <c r="BY153" s="1008"/>
      <c r="BZ153" s="1008"/>
      <c r="CA153" s="1008"/>
      <c r="CB153" s="1008"/>
      <c r="CC153" s="1008"/>
      <c r="CD153" s="1008"/>
      <c r="CE153" s="1010"/>
      <c r="CF153" s="1010"/>
      <c r="CG153" s="1010"/>
      <c r="CH153" s="1010"/>
    </row>
    <row r="154" spans="2:86" ht="171.95" customHeight="1" x14ac:dyDescent="0.25">
      <c r="B154" s="1189"/>
      <c r="C154" s="1126"/>
      <c r="D154" s="1118"/>
      <c r="E154" s="1118"/>
      <c r="F154" s="1118"/>
      <c r="G154" s="1118"/>
      <c r="H154" s="1118"/>
      <c r="I154" s="489" t="s">
        <v>194</v>
      </c>
      <c r="J154" s="1127"/>
      <c r="K154" s="994"/>
      <c r="L154" s="490" t="s">
        <v>2105</v>
      </c>
      <c r="M154" s="451" t="s">
        <v>2089</v>
      </c>
      <c r="N154" s="489">
        <v>0.25</v>
      </c>
      <c r="O154" s="452">
        <v>44197</v>
      </c>
      <c r="P154" s="452">
        <v>44561</v>
      </c>
      <c r="Q154" s="489">
        <v>0.25</v>
      </c>
      <c r="R154" s="491">
        <v>0.3</v>
      </c>
      <c r="S154" s="492">
        <v>0.35</v>
      </c>
      <c r="T154" s="489">
        <v>1</v>
      </c>
      <c r="U154" s="381">
        <v>0</v>
      </c>
      <c r="V154" s="493" t="s">
        <v>1416</v>
      </c>
      <c r="W154" s="493"/>
      <c r="X154" s="455" t="str">
        <f t="shared" si="51"/>
        <v>En gestión</v>
      </c>
      <c r="Y154" s="455" t="str">
        <f t="shared" si="52"/>
        <v>Sin iniciar</v>
      </c>
      <c r="Z154" s="1125"/>
      <c r="AA154" s="1120"/>
      <c r="AB154" s="1121"/>
      <c r="AC154" s="1124"/>
      <c r="AD154" s="1124"/>
      <c r="AE154" s="493" t="s">
        <v>2439</v>
      </c>
      <c r="AF154" s="1008"/>
      <c r="AG154" s="1008"/>
      <c r="AH154" s="1008"/>
      <c r="AI154" s="1008"/>
      <c r="AJ154" s="1008"/>
      <c r="AK154" s="1008"/>
      <c r="AL154" s="499"/>
      <c r="AM154" s="499"/>
      <c r="AN154" s="499"/>
      <c r="AO154" s="499"/>
      <c r="AP154" s="499"/>
      <c r="AQ154" s="1215">
        <v>0</v>
      </c>
      <c r="AR154" s="493" t="s">
        <v>2300</v>
      </c>
      <c r="AS154" s="493" t="s">
        <v>28</v>
      </c>
      <c r="AT154" s="455" t="str">
        <f t="shared" si="53"/>
        <v>En gestión</v>
      </c>
      <c r="AU154" s="455" t="str">
        <f t="shared" si="54"/>
        <v>Sin iniciar</v>
      </c>
      <c r="AV154" s="1125"/>
      <c r="AW154" s="1110"/>
      <c r="AX154" s="1111"/>
      <c r="AY154" s="1124"/>
      <c r="AZ154" s="1124"/>
      <c r="BA154" s="493"/>
      <c r="BB154" s="1128"/>
      <c r="BC154" s="1128"/>
      <c r="BD154" s="1128"/>
      <c r="BE154" s="1128"/>
      <c r="BF154" s="1128"/>
      <c r="BG154" s="1128"/>
      <c r="BH154" s="1128"/>
      <c r="BI154" s="1128"/>
      <c r="BJ154" s="1010"/>
      <c r="BK154" s="1010"/>
      <c r="BL154" s="1010"/>
      <c r="BM154" s="506">
        <v>0.35</v>
      </c>
      <c r="BN154" s="454" t="s">
        <v>4196</v>
      </c>
      <c r="BO154" s="454" t="s">
        <v>3678</v>
      </c>
      <c r="BP154" s="455" t="str">
        <f t="shared" si="57"/>
        <v>En gestión</v>
      </c>
      <c r="BQ154" s="455" t="str">
        <f t="shared" si="58"/>
        <v>En gestión</v>
      </c>
      <c r="BR154" s="990"/>
      <c r="BS154" s="1130"/>
      <c r="BT154" s="1131"/>
      <c r="BU154" s="1124"/>
      <c r="BV154" s="1124"/>
      <c r="BW154" s="991"/>
      <c r="BX154" s="990"/>
      <c r="BY154" s="1008"/>
      <c r="BZ154" s="1008"/>
      <c r="CA154" s="1008"/>
      <c r="CB154" s="1008"/>
      <c r="CC154" s="1008"/>
      <c r="CD154" s="1008"/>
      <c r="CE154" s="1010"/>
      <c r="CF154" s="1010"/>
      <c r="CG154" s="1010"/>
      <c r="CH154" s="1010"/>
    </row>
    <row r="155" spans="2:86" ht="171.95" customHeight="1" x14ac:dyDescent="0.25">
      <c r="B155" s="1189"/>
      <c r="C155" s="1115" t="s">
        <v>2106</v>
      </c>
      <c r="D155" s="1116" t="s">
        <v>1045</v>
      </c>
      <c r="E155" s="1116" t="s">
        <v>2107</v>
      </c>
      <c r="F155" s="1116" t="s">
        <v>28</v>
      </c>
      <c r="G155" s="1116" t="s">
        <v>28</v>
      </c>
      <c r="H155" s="1116" t="s">
        <v>59</v>
      </c>
      <c r="I155" s="433" t="s">
        <v>1047</v>
      </c>
      <c r="J155" s="1117" t="s">
        <v>4197</v>
      </c>
      <c r="K155" s="1043" t="s">
        <v>164</v>
      </c>
      <c r="L155" s="434" t="s">
        <v>2108</v>
      </c>
      <c r="M155" s="387" t="s">
        <v>2046</v>
      </c>
      <c r="N155" s="433">
        <v>0.2</v>
      </c>
      <c r="O155" s="388">
        <v>44197</v>
      </c>
      <c r="P155" s="388">
        <v>44561</v>
      </c>
      <c r="Q155" s="433">
        <v>0.25</v>
      </c>
      <c r="R155" s="435">
        <v>0.5</v>
      </c>
      <c r="S155" s="436">
        <v>0.75</v>
      </c>
      <c r="T155" s="433">
        <v>1</v>
      </c>
      <c r="U155" s="381">
        <v>0.25</v>
      </c>
      <c r="V155" s="437" t="s">
        <v>2095</v>
      </c>
      <c r="W155" s="437" t="s">
        <v>4198</v>
      </c>
      <c r="X155" s="379" t="str">
        <f t="shared" si="51"/>
        <v>En gestión</v>
      </c>
      <c r="Y155" s="379" t="str">
        <f t="shared" si="52"/>
        <v>En gestión</v>
      </c>
      <c r="Z155" s="1113" t="s">
        <v>2277</v>
      </c>
      <c r="AA155" s="1120">
        <f>SUMPRODUCT(N155:N158,U155:U158)</f>
        <v>0.1125</v>
      </c>
      <c r="AB155" s="1121">
        <f>SUMPRODUCT(N155:N158,Q155:Q158)</f>
        <v>0.25</v>
      </c>
      <c r="AC155" s="1122" t="str">
        <f>IF(AB155&lt;1%,"Sin iniciar",IF(AB155=100%,"Terminado","En gestión"))</f>
        <v>En gestión</v>
      </c>
      <c r="AD155" s="1122" t="str">
        <f>IF(AA155&lt;1%,"Sin iniciar",IF(AA155=100%,"Terminado","En gestión"))</f>
        <v>En gestión</v>
      </c>
      <c r="AE155" s="438"/>
      <c r="AF155" s="1005">
        <v>104445307</v>
      </c>
      <c r="AG155" s="1005">
        <v>0</v>
      </c>
      <c r="AH155" s="1005">
        <v>26111317</v>
      </c>
      <c r="AI155" s="1005">
        <f>40000000+290859841</f>
        <v>330859841</v>
      </c>
      <c r="AJ155" s="1005">
        <v>0</v>
      </c>
      <c r="AK155" s="1005">
        <f>4000000+0</f>
        <v>4000000</v>
      </c>
      <c r="AL155" s="441"/>
      <c r="AM155" s="441"/>
      <c r="AN155" s="441"/>
      <c r="AO155" s="441"/>
      <c r="AP155" s="441"/>
      <c r="AQ155" s="1215">
        <v>0.5</v>
      </c>
      <c r="AR155" s="437" t="s">
        <v>2298</v>
      </c>
      <c r="AS155" s="437" t="s">
        <v>4182</v>
      </c>
      <c r="AT155" s="379" t="str">
        <f t="shared" si="53"/>
        <v>En gestión</v>
      </c>
      <c r="AU155" s="379" t="str">
        <f t="shared" si="54"/>
        <v>En gestión</v>
      </c>
      <c r="AV155" s="1113" t="s">
        <v>2346</v>
      </c>
      <c r="AW155" s="1110">
        <f>SUMPRODUCT(N155:N158,AQ155:AQ158)</f>
        <v>0.22500000000000001</v>
      </c>
      <c r="AX155" s="1111">
        <f>SUMPRODUCT(N155:N158,R155:R158)</f>
        <v>0.43</v>
      </c>
      <c r="AY155" s="1122" t="str">
        <f>IF(AX155&lt;1%,"Sin iniciar",IF(AX155=100%,"Terminado","En gestión"))</f>
        <v>En gestión</v>
      </c>
      <c r="AZ155" s="1122" t="str">
        <f>IF(AW155&lt;1%,"Sin iniciar",IF(AW155=100%,"Terminado","En gestión"))</f>
        <v>En gestión</v>
      </c>
      <c r="BA155" s="437"/>
      <c r="BB155" s="1011">
        <v>104445307</v>
      </c>
      <c r="BC155" s="1011">
        <v>103967462</v>
      </c>
      <c r="BD155" s="1011">
        <v>52154390</v>
      </c>
      <c r="BE155" s="1011">
        <f>40000000+290859841</f>
        <v>330859841</v>
      </c>
      <c r="BF155" s="1011">
        <f>40000000+290859841</f>
        <v>330859841</v>
      </c>
      <c r="BG155" s="1011">
        <v>20000000</v>
      </c>
      <c r="BH155" s="1011" t="s">
        <v>2680</v>
      </c>
      <c r="BI155" s="1011"/>
      <c r="BJ155" s="1011" t="s">
        <v>2719</v>
      </c>
      <c r="BK155" s="1011" t="s">
        <v>2720</v>
      </c>
      <c r="BL155" s="1011" t="s">
        <v>2721</v>
      </c>
      <c r="BM155" s="506">
        <v>0.75</v>
      </c>
      <c r="BN155" s="389" t="s">
        <v>4199</v>
      </c>
      <c r="BO155" s="389" t="s">
        <v>4184</v>
      </c>
      <c r="BP155" s="379" t="str">
        <f t="shared" si="57"/>
        <v>En gestión</v>
      </c>
      <c r="BQ155" s="379" t="str">
        <f t="shared" si="58"/>
        <v>En gestión</v>
      </c>
      <c r="BR155" s="1006" t="s">
        <v>4200</v>
      </c>
      <c r="BS155" s="1130">
        <f>SUMPRODUCT(N155:N158,BM155:BM158)</f>
        <v>0.59000000000000008</v>
      </c>
      <c r="BT155" s="1131">
        <f>SUMPRODUCT(N155:N158,S155:S158)</f>
        <v>0.77500000000000013</v>
      </c>
      <c r="BU155" s="1122" t="str">
        <f>IF(BT155&lt;1%,"Sin iniciar",IF(BT155=100%,"Terminado","En gestión"))</f>
        <v>En gestión</v>
      </c>
      <c r="BV155" s="1122" t="str">
        <f>IF(BS155&lt;1%,"Sin iniciar",IF(BS155=100%,"Terminado","En gestión"))</f>
        <v>En gestión</v>
      </c>
      <c r="BW155" s="390" t="s">
        <v>28</v>
      </c>
      <c r="BX155" s="1006" t="s">
        <v>3631</v>
      </c>
      <c r="BY155" s="1005">
        <v>104445307</v>
      </c>
      <c r="BZ155" s="1005">
        <v>106681026</v>
      </c>
      <c r="CA155" s="1005">
        <v>80098326</v>
      </c>
      <c r="CB155" s="1005">
        <f>40000000+290859841</f>
        <v>330859841</v>
      </c>
      <c r="CC155" s="1005"/>
      <c r="CD155" s="1005">
        <f>32000000+72714960</f>
        <v>104714960</v>
      </c>
      <c r="CE155" s="442" t="s">
        <v>2680</v>
      </c>
      <c r="CF155" s="442" t="s">
        <v>2719</v>
      </c>
      <c r="CG155" s="442" t="s">
        <v>2720</v>
      </c>
      <c r="CH155" s="1005" t="s">
        <v>2721</v>
      </c>
    </row>
    <row r="156" spans="2:86" ht="171.95" customHeight="1" x14ac:dyDescent="0.25">
      <c r="B156" s="1189"/>
      <c r="C156" s="1115"/>
      <c r="D156" s="1116"/>
      <c r="E156" s="1116"/>
      <c r="F156" s="1116"/>
      <c r="G156" s="1116"/>
      <c r="H156" s="1116"/>
      <c r="I156" s="433" t="s">
        <v>1039</v>
      </c>
      <c r="J156" s="1117"/>
      <c r="K156" s="1043"/>
      <c r="L156" s="434" t="s">
        <v>2109</v>
      </c>
      <c r="M156" s="387" t="s">
        <v>2097</v>
      </c>
      <c r="N156" s="433">
        <v>0.2</v>
      </c>
      <c r="O156" s="388">
        <v>44197</v>
      </c>
      <c r="P156" s="388" t="s">
        <v>286</v>
      </c>
      <c r="Q156" s="433">
        <v>0.25</v>
      </c>
      <c r="R156" s="435">
        <v>0.5</v>
      </c>
      <c r="S156" s="436">
        <v>1</v>
      </c>
      <c r="T156" s="433">
        <v>1</v>
      </c>
      <c r="U156" s="381">
        <v>0</v>
      </c>
      <c r="V156" s="437" t="s">
        <v>37</v>
      </c>
      <c r="W156" s="437"/>
      <c r="X156" s="379" t="str">
        <f t="shared" si="51"/>
        <v>En gestión</v>
      </c>
      <c r="Y156" s="379" t="str">
        <f t="shared" si="52"/>
        <v>Sin iniciar</v>
      </c>
      <c r="Z156" s="1113"/>
      <c r="AA156" s="1120"/>
      <c r="AB156" s="1121"/>
      <c r="AC156" s="1122"/>
      <c r="AD156" s="1122"/>
      <c r="AE156" s="438"/>
      <c r="AF156" s="1005"/>
      <c r="AG156" s="1005"/>
      <c r="AH156" s="1005"/>
      <c r="AI156" s="1005"/>
      <c r="AJ156" s="1005"/>
      <c r="AK156" s="1005"/>
      <c r="AL156" s="441"/>
      <c r="AM156" s="441"/>
      <c r="AN156" s="441"/>
      <c r="AO156" s="441"/>
      <c r="AP156" s="441"/>
      <c r="AQ156" s="1215">
        <v>0</v>
      </c>
      <c r="AR156" s="437" t="s">
        <v>2438</v>
      </c>
      <c r="AS156" s="437" t="s">
        <v>28</v>
      </c>
      <c r="AT156" s="379" t="str">
        <f t="shared" si="53"/>
        <v>En gestión</v>
      </c>
      <c r="AU156" s="379" t="str">
        <f t="shared" si="54"/>
        <v>Sin iniciar</v>
      </c>
      <c r="AV156" s="1113"/>
      <c r="AW156" s="1110"/>
      <c r="AX156" s="1111"/>
      <c r="AY156" s="1122"/>
      <c r="AZ156" s="1122"/>
      <c r="BA156" s="437" t="s">
        <v>2347</v>
      </c>
      <c r="BB156" s="1011"/>
      <c r="BC156" s="1011"/>
      <c r="BD156" s="1011"/>
      <c r="BE156" s="1011"/>
      <c r="BF156" s="1011"/>
      <c r="BG156" s="1011"/>
      <c r="BH156" s="1011"/>
      <c r="BI156" s="1011"/>
      <c r="BJ156" s="1011"/>
      <c r="BK156" s="1011"/>
      <c r="BL156" s="1011"/>
      <c r="BM156" s="506">
        <v>0.95</v>
      </c>
      <c r="BN156" s="389" t="s">
        <v>4201</v>
      </c>
      <c r="BO156" s="389" t="s">
        <v>4202</v>
      </c>
      <c r="BP156" s="379" t="str">
        <f t="shared" si="57"/>
        <v>Terminado</v>
      </c>
      <c r="BQ156" s="379" t="str">
        <f t="shared" si="58"/>
        <v>En gestión</v>
      </c>
      <c r="BR156" s="1006"/>
      <c r="BS156" s="1130"/>
      <c r="BT156" s="1131"/>
      <c r="BU156" s="1122"/>
      <c r="BV156" s="1122"/>
      <c r="BW156" s="389" t="s">
        <v>4203</v>
      </c>
      <c r="BX156" s="1006"/>
      <c r="BY156" s="1005"/>
      <c r="BZ156" s="1005"/>
      <c r="CA156" s="1005"/>
      <c r="CB156" s="1005"/>
      <c r="CC156" s="1005"/>
      <c r="CD156" s="1005"/>
      <c r="CE156" s="1132" t="s">
        <v>4137</v>
      </c>
      <c r="CF156" s="1132" t="s">
        <v>4138</v>
      </c>
      <c r="CG156" s="1132" t="s">
        <v>4139</v>
      </c>
      <c r="CH156" s="1005"/>
    </row>
    <row r="157" spans="2:86" ht="171.95" customHeight="1" x14ac:dyDescent="0.25">
      <c r="B157" s="1189"/>
      <c r="C157" s="1115"/>
      <c r="D157" s="1116"/>
      <c r="E157" s="1116"/>
      <c r="F157" s="1116"/>
      <c r="G157" s="1116"/>
      <c r="H157" s="1116"/>
      <c r="I157" s="433" t="s">
        <v>132</v>
      </c>
      <c r="J157" s="1117"/>
      <c r="K157" s="1043"/>
      <c r="L157" s="434" t="s">
        <v>2110</v>
      </c>
      <c r="M157" s="387" t="s">
        <v>2100</v>
      </c>
      <c r="N157" s="433">
        <v>0.25</v>
      </c>
      <c r="O157" s="388">
        <v>44197</v>
      </c>
      <c r="P157" s="388" t="s">
        <v>286</v>
      </c>
      <c r="Q157" s="433">
        <v>0.25</v>
      </c>
      <c r="R157" s="435">
        <v>0.5</v>
      </c>
      <c r="S157" s="436">
        <v>1</v>
      </c>
      <c r="T157" s="433">
        <v>1</v>
      </c>
      <c r="U157" s="381">
        <v>0.25</v>
      </c>
      <c r="V157" s="437" t="s">
        <v>2111</v>
      </c>
      <c r="W157" s="437" t="s">
        <v>4204</v>
      </c>
      <c r="X157" s="379" t="str">
        <f t="shared" si="51"/>
        <v>En gestión</v>
      </c>
      <c r="Y157" s="379" t="str">
        <f t="shared" si="52"/>
        <v>En gestión</v>
      </c>
      <c r="Z157" s="1113"/>
      <c r="AA157" s="1120"/>
      <c r="AB157" s="1121"/>
      <c r="AC157" s="1122"/>
      <c r="AD157" s="1122"/>
      <c r="AE157" s="438"/>
      <c r="AF157" s="1005"/>
      <c r="AG157" s="1005"/>
      <c r="AH157" s="1005"/>
      <c r="AI157" s="1005"/>
      <c r="AJ157" s="1005"/>
      <c r="AK157" s="1005"/>
      <c r="AL157" s="441"/>
      <c r="AM157" s="441"/>
      <c r="AN157" s="441"/>
      <c r="AO157" s="441"/>
      <c r="AP157" s="441"/>
      <c r="AQ157" s="1215">
        <v>0.5</v>
      </c>
      <c r="AR157" s="437" t="s">
        <v>2301</v>
      </c>
      <c r="AS157" s="437" t="s">
        <v>4205</v>
      </c>
      <c r="AT157" s="379" t="str">
        <f t="shared" si="53"/>
        <v>En gestión</v>
      </c>
      <c r="AU157" s="379" t="str">
        <f t="shared" si="54"/>
        <v>En gestión</v>
      </c>
      <c r="AV157" s="1113"/>
      <c r="AW157" s="1110"/>
      <c r="AX157" s="1111"/>
      <c r="AY157" s="1122"/>
      <c r="AZ157" s="1122"/>
      <c r="BA157" s="437"/>
      <c r="BB157" s="1011"/>
      <c r="BC157" s="1011"/>
      <c r="BD157" s="1011"/>
      <c r="BE157" s="1011"/>
      <c r="BF157" s="1011"/>
      <c r="BG157" s="1011"/>
      <c r="BH157" s="1011"/>
      <c r="BI157" s="1011"/>
      <c r="BJ157" s="1011"/>
      <c r="BK157" s="1011"/>
      <c r="BL157" s="1011"/>
      <c r="BM157" s="506">
        <v>1</v>
      </c>
      <c r="BN157" s="389" t="s">
        <v>4206</v>
      </c>
      <c r="BO157" s="389" t="s">
        <v>4207</v>
      </c>
      <c r="BP157" s="379" t="str">
        <f t="shared" si="57"/>
        <v>Terminado</v>
      </c>
      <c r="BQ157" s="379" t="str">
        <f t="shared" si="58"/>
        <v>Terminado</v>
      </c>
      <c r="BR157" s="1006"/>
      <c r="BS157" s="1130"/>
      <c r="BT157" s="1131"/>
      <c r="BU157" s="1122"/>
      <c r="BV157" s="1122"/>
      <c r="BW157" s="389" t="s">
        <v>28</v>
      </c>
      <c r="BX157" s="1006"/>
      <c r="BY157" s="1005"/>
      <c r="BZ157" s="1005"/>
      <c r="CA157" s="1005"/>
      <c r="CB157" s="1005"/>
      <c r="CC157" s="1005"/>
      <c r="CD157" s="1005"/>
      <c r="CE157" s="1132"/>
      <c r="CF157" s="1132"/>
      <c r="CG157" s="1132"/>
      <c r="CH157" s="1005"/>
    </row>
    <row r="158" spans="2:86" ht="171.95" customHeight="1" x14ac:dyDescent="0.25">
      <c r="B158" s="1189"/>
      <c r="C158" s="1115"/>
      <c r="D158" s="1116"/>
      <c r="E158" s="1116"/>
      <c r="F158" s="1116"/>
      <c r="G158" s="1116"/>
      <c r="H158" s="1116"/>
      <c r="I158" s="433" t="s">
        <v>185</v>
      </c>
      <c r="J158" s="1117"/>
      <c r="K158" s="1043"/>
      <c r="L158" s="434" t="s">
        <v>2112</v>
      </c>
      <c r="M158" s="387" t="s">
        <v>2084</v>
      </c>
      <c r="N158" s="433">
        <v>0.35</v>
      </c>
      <c r="O158" s="388">
        <v>44197</v>
      </c>
      <c r="P158" s="388">
        <v>44561</v>
      </c>
      <c r="Q158" s="433">
        <v>0.25</v>
      </c>
      <c r="R158" s="435">
        <v>0.3</v>
      </c>
      <c r="S158" s="436">
        <v>0.5</v>
      </c>
      <c r="T158" s="433">
        <v>1</v>
      </c>
      <c r="U158" s="381">
        <v>0</v>
      </c>
      <c r="V158" s="437" t="s">
        <v>1416</v>
      </c>
      <c r="W158" s="437"/>
      <c r="X158" s="379" t="str">
        <f t="shared" si="51"/>
        <v>En gestión</v>
      </c>
      <c r="Y158" s="379" t="str">
        <f t="shared" si="52"/>
        <v>Sin iniciar</v>
      </c>
      <c r="Z158" s="1113"/>
      <c r="AA158" s="1120"/>
      <c r="AB158" s="1121"/>
      <c r="AC158" s="1122"/>
      <c r="AD158" s="1122"/>
      <c r="AE158" s="437" t="s">
        <v>2439</v>
      </c>
      <c r="AF158" s="1005"/>
      <c r="AG158" s="1005"/>
      <c r="AH158" s="1005"/>
      <c r="AI158" s="1005"/>
      <c r="AJ158" s="1005"/>
      <c r="AK158" s="1005"/>
      <c r="AL158" s="441"/>
      <c r="AM158" s="441"/>
      <c r="AN158" s="441"/>
      <c r="AO158" s="441"/>
      <c r="AP158" s="441"/>
      <c r="AQ158" s="1215">
        <v>0</v>
      </c>
      <c r="AR158" s="437" t="s">
        <v>2300</v>
      </c>
      <c r="AS158" s="437" t="s">
        <v>28</v>
      </c>
      <c r="AT158" s="379" t="str">
        <f t="shared" si="53"/>
        <v>En gestión</v>
      </c>
      <c r="AU158" s="379" t="str">
        <f t="shared" si="54"/>
        <v>Sin iniciar</v>
      </c>
      <c r="AV158" s="1113"/>
      <c r="AW158" s="1110"/>
      <c r="AX158" s="1111"/>
      <c r="AY158" s="1122"/>
      <c r="AZ158" s="1122"/>
      <c r="BA158" s="437" t="s">
        <v>2300</v>
      </c>
      <c r="BB158" s="1011"/>
      <c r="BC158" s="1011"/>
      <c r="BD158" s="1011"/>
      <c r="BE158" s="1011"/>
      <c r="BF158" s="1011"/>
      <c r="BG158" s="1011"/>
      <c r="BH158" s="1011"/>
      <c r="BI158" s="1011"/>
      <c r="BJ158" s="1011"/>
      <c r="BK158" s="1011"/>
      <c r="BL158" s="1011"/>
      <c r="BM158" s="506">
        <v>0</v>
      </c>
      <c r="BN158" s="389" t="s">
        <v>4208</v>
      </c>
      <c r="BO158" s="389" t="s">
        <v>541</v>
      </c>
      <c r="BP158" s="379" t="str">
        <f t="shared" si="57"/>
        <v>En gestión</v>
      </c>
      <c r="BQ158" s="379" t="str">
        <f t="shared" si="58"/>
        <v>Sin iniciar</v>
      </c>
      <c r="BR158" s="1006"/>
      <c r="BS158" s="1130"/>
      <c r="BT158" s="1131"/>
      <c r="BU158" s="1122"/>
      <c r="BV158" s="1122"/>
      <c r="BW158" s="389" t="s">
        <v>4209</v>
      </c>
      <c r="BX158" s="1006"/>
      <c r="BY158" s="1005"/>
      <c r="BZ158" s="1005"/>
      <c r="CA158" s="1005"/>
      <c r="CB158" s="1005"/>
      <c r="CC158" s="1005"/>
      <c r="CD158" s="1005"/>
      <c r="CE158" s="1132"/>
      <c r="CF158" s="1132"/>
      <c r="CG158" s="1132"/>
      <c r="CH158" s="1005"/>
    </row>
    <row r="159" spans="2:86" ht="171.95" customHeight="1" x14ac:dyDescent="0.25">
      <c r="B159" s="1189"/>
      <c r="C159" s="1126" t="s">
        <v>2113</v>
      </c>
      <c r="D159" s="1118" t="s">
        <v>1045</v>
      </c>
      <c r="E159" s="1118" t="s">
        <v>2408</v>
      </c>
      <c r="F159" s="1118" t="s">
        <v>28</v>
      </c>
      <c r="G159" s="1118" t="s">
        <v>28</v>
      </c>
      <c r="H159" s="1118" t="s">
        <v>59</v>
      </c>
      <c r="I159" s="489" t="s">
        <v>1047</v>
      </c>
      <c r="J159" s="1127" t="s">
        <v>4210</v>
      </c>
      <c r="K159" s="994" t="s">
        <v>164</v>
      </c>
      <c r="L159" s="490" t="s">
        <v>2114</v>
      </c>
      <c r="M159" s="451" t="s">
        <v>2046</v>
      </c>
      <c r="N159" s="489">
        <v>0.5</v>
      </c>
      <c r="O159" s="452">
        <v>44197</v>
      </c>
      <c r="P159" s="452">
        <v>44561</v>
      </c>
      <c r="Q159" s="489">
        <v>0.25</v>
      </c>
      <c r="R159" s="491">
        <v>0.5</v>
      </c>
      <c r="S159" s="492">
        <v>0.75</v>
      </c>
      <c r="T159" s="489">
        <v>1</v>
      </c>
      <c r="U159" s="381">
        <v>0.25</v>
      </c>
      <c r="V159" s="493" t="s">
        <v>2095</v>
      </c>
      <c r="W159" s="493" t="s">
        <v>4181</v>
      </c>
      <c r="X159" s="455" t="str">
        <f t="shared" si="51"/>
        <v>En gestión</v>
      </c>
      <c r="Y159" s="455" t="str">
        <f t="shared" si="52"/>
        <v>En gestión</v>
      </c>
      <c r="Z159" s="1125" t="s">
        <v>2278</v>
      </c>
      <c r="AA159" s="1120">
        <f>SUMPRODUCT(N159:N160,U159:U160)</f>
        <v>0.375</v>
      </c>
      <c r="AB159" s="1121">
        <f>SUMPRODUCT(N159:N160,Q159:Q160)</f>
        <v>0.25</v>
      </c>
      <c r="AC159" s="1124" t="str">
        <f>IF(AB159&lt;1%,"Sin iniciar",IF(AB159=100%,"Terminado","En gestión"))</f>
        <v>En gestión</v>
      </c>
      <c r="AD159" s="1124" t="str">
        <f>IF(AA159&lt;1%,"Sin iniciar",IF(AA159=100%,"Terminado","En gestión"))</f>
        <v>En gestión</v>
      </c>
      <c r="AE159" s="494"/>
      <c r="AF159" s="1008">
        <v>19480025</v>
      </c>
      <c r="AG159" s="1008">
        <v>0</v>
      </c>
      <c r="AH159" s="1008">
        <v>4870006</v>
      </c>
      <c r="AI159" s="1008">
        <f>41400000+1006398937</f>
        <v>1047798937</v>
      </c>
      <c r="AJ159" s="1008">
        <v>0</v>
      </c>
      <c r="AK159" s="1008">
        <f>4600000+761494522</f>
        <v>766094522</v>
      </c>
      <c r="AL159" s="499"/>
      <c r="AM159" s="499"/>
      <c r="AN159" s="499"/>
      <c r="AO159" s="499"/>
      <c r="AP159" s="499"/>
      <c r="AQ159" s="1215">
        <v>0.5</v>
      </c>
      <c r="AR159" s="493" t="s">
        <v>2298</v>
      </c>
      <c r="AS159" s="493" t="s">
        <v>4182</v>
      </c>
      <c r="AT159" s="455" t="str">
        <f t="shared" si="53"/>
        <v>En gestión</v>
      </c>
      <c r="AU159" s="455" t="str">
        <f t="shared" si="54"/>
        <v>En gestión</v>
      </c>
      <c r="AV159" s="1125" t="s">
        <v>2348</v>
      </c>
      <c r="AW159" s="1110">
        <f>SUMPRODUCT(N159:N160,AQ159:AQ160)</f>
        <v>0.7</v>
      </c>
      <c r="AX159" s="1111">
        <f>SUMPRODUCT(N159:N160,R159:R160)</f>
        <v>0.75</v>
      </c>
      <c r="AY159" s="1124" t="str">
        <f>IF(AX159&lt;1%,"Sin iniciar",IF(AX159=100%,"Terminado","En gestión"))</f>
        <v>En gestión</v>
      </c>
      <c r="AZ159" s="1124" t="str">
        <f>IF(AW159&lt;1%,"Sin iniciar",IF(AW159=100%,"Terminado","En gestión"))</f>
        <v>En gestión</v>
      </c>
      <c r="BA159" s="493"/>
      <c r="BB159" s="1128">
        <v>19480025</v>
      </c>
      <c r="BC159" s="1128">
        <v>19002180</v>
      </c>
      <c r="BD159" s="1128">
        <v>9671749</v>
      </c>
      <c r="BE159" s="1128">
        <f>41400000+1006398937</f>
        <v>1047798937</v>
      </c>
      <c r="BF159" s="1128">
        <f>41400000+1006398937</f>
        <v>1047798937</v>
      </c>
      <c r="BG159" s="1128">
        <f>23000000+843129327</f>
        <v>866129327</v>
      </c>
      <c r="BH159" s="1128" t="s">
        <v>2680</v>
      </c>
      <c r="BI159" s="1128"/>
      <c r="BJ159" s="1128" t="s">
        <v>2719</v>
      </c>
      <c r="BK159" s="1128" t="s">
        <v>2720</v>
      </c>
      <c r="BL159" s="1010" t="s">
        <v>2721</v>
      </c>
      <c r="BM159" s="507">
        <v>0.75</v>
      </c>
      <c r="BN159" s="454" t="s">
        <v>4211</v>
      </c>
      <c r="BO159" s="454" t="s">
        <v>4184</v>
      </c>
      <c r="BP159" s="455" t="str">
        <f t="shared" si="57"/>
        <v>En gestión</v>
      </c>
      <c r="BQ159" s="455" t="str">
        <f t="shared" si="58"/>
        <v>En gestión</v>
      </c>
      <c r="BR159" s="990" t="s">
        <v>4212</v>
      </c>
      <c r="BS159" s="1130">
        <f>SUMPRODUCT(N159:N160,BM159:BM160)</f>
        <v>0.85</v>
      </c>
      <c r="BT159" s="1131">
        <f>SUMPRODUCT(N159:N160,S159:S160)</f>
        <v>0.875</v>
      </c>
      <c r="BU159" s="1124" t="str">
        <f>IF(BT159&lt;1%,"Sin iniciar",IF(BT159=100%,"Terminado","En gestión"))</f>
        <v>En gestión</v>
      </c>
      <c r="BV159" s="1124" t="str">
        <f>IF(BS159&lt;1%,"Sin iniciar",IF(BS159=100%,"Terminado","En gestión"))</f>
        <v>En gestión</v>
      </c>
      <c r="BW159" s="454" t="s">
        <v>28</v>
      </c>
      <c r="BX159" s="990" t="s">
        <v>3631</v>
      </c>
      <c r="BY159" s="1008">
        <v>19480025</v>
      </c>
      <c r="BZ159" s="1008">
        <v>19498139</v>
      </c>
      <c r="CA159" s="1008">
        <v>14711161</v>
      </c>
      <c r="CB159" s="1008">
        <f>41400000+1006398937</f>
        <v>1047798937</v>
      </c>
      <c r="CC159" s="1008">
        <v>41400000</v>
      </c>
      <c r="CD159" s="1008">
        <v>36800000</v>
      </c>
      <c r="CE159" s="1010" t="s">
        <v>2680</v>
      </c>
      <c r="CF159" s="1010" t="s">
        <v>2719</v>
      </c>
      <c r="CG159" s="1010" t="s">
        <v>2720</v>
      </c>
      <c r="CH159" s="1010" t="s">
        <v>2721</v>
      </c>
    </row>
    <row r="160" spans="2:86" ht="171.95" customHeight="1" x14ac:dyDescent="0.25">
      <c r="B160" s="1189"/>
      <c r="C160" s="1126"/>
      <c r="D160" s="1118"/>
      <c r="E160" s="1118"/>
      <c r="F160" s="1118"/>
      <c r="G160" s="1118"/>
      <c r="H160" s="1118"/>
      <c r="I160" s="489" t="s">
        <v>1039</v>
      </c>
      <c r="J160" s="1127"/>
      <c r="K160" s="994"/>
      <c r="L160" s="490" t="s">
        <v>2115</v>
      </c>
      <c r="M160" s="451" t="s">
        <v>2097</v>
      </c>
      <c r="N160" s="489">
        <v>0.5</v>
      </c>
      <c r="O160" s="452">
        <v>44197</v>
      </c>
      <c r="P160" s="452" t="s">
        <v>279</v>
      </c>
      <c r="Q160" s="489">
        <v>0.25</v>
      </c>
      <c r="R160" s="491">
        <v>1</v>
      </c>
      <c r="S160" s="492">
        <v>1</v>
      </c>
      <c r="T160" s="489">
        <v>1</v>
      </c>
      <c r="U160" s="381">
        <v>0.5</v>
      </c>
      <c r="V160" s="493" t="s">
        <v>2116</v>
      </c>
      <c r="W160" s="493" t="s">
        <v>4213</v>
      </c>
      <c r="X160" s="455" t="str">
        <f t="shared" si="51"/>
        <v>En gestión</v>
      </c>
      <c r="Y160" s="455" t="str">
        <f t="shared" si="52"/>
        <v>En gestión</v>
      </c>
      <c r="Z160" s="1125"/>
      <c r="AA160" s="1120"/>
      <c r="AB160" s="1121"/>
      <c r="AC160" s="1124"/>
      <c r="AD160" s="1124"/>
      <c r="AE160" s="494"/>
      <c r="AF160" s="1008"/>
      <c r="AG160" s="1008"/>
      <c r="AH160" s="1008"/>
      <c r="AI160" s="1008"/>
      <c r="AJ160" s="1008"/>
      <c r="AK160" s="1008"/>
      <c r="AL160" s="499"/>
      <c r="AM160" s="499"/>
      <c r="AN160" s="499"/>
      <c r="AO160" s="499"/>
      <c r="AP160" s="499"/>
      <c r="AQ160" s="1215">
        <v>0.9</v>
      </c>
      <c r="AR160" s="493" t="s">
        <v>2302</v>
      </c>
      <c r="AS160" s="493" t="s">
        <v>4213</v>
      </c>
      <c r="AT160" s="455" t="str">
        <f t="shared" si="53"/>
        <v>Terminado</v>
      </c>
      <c r="AU160" s="455" t="str">
        <f t="shared" si="54"/>
        <v>En gestión</v>
      </c>
      <c r="AV160" s="1125"/>
      <c r="AW160" s="1110"/>
      <c r="AX160" s="1111"/>
      <c r="AY160" s="1124"/>
      <c r="AZ160" s="1124"/>
      <c r="BA160" s="493" t="s">
        <v>2349</v>
      </c>
      <c r="BB160" s="1128"/>
      <c r="BC160" s="1128"/>
      <c r="BD160" s="1128"/>
      <c r="BE160" s="1128"/>
      <c r="BF160" s="1128"/>
      <c r="BG160" s="1128"/>
      <c r="BH160" s="1128"/>
      <c r="BI160" s="1128"/>
      <c r="BJ160" s="1128"/>
      <c r="BK160" s="1128"/>
      <c r="BL160" s="1010"/>
      <c r="BM160" s="506">
        <v>0.95</v>
      </c>
      <c r="BN160" s="454" t="s">
        <v>4214</v>
      </c>
      <c r="BO160" s="454" t="s">
        <v>4215</v>
      </c>
      <c r="BP160" s="455" t="str">
        <f t="shared" si="57"/>
        <v>Terminado</v>
      </c>
      <c r="BQ160" s="455" t="str">
        <f t="shared" si="58"/>
        <v>En gestión</v>
      </c>
      <c r="BR160" s="990"/>
      <c r="BS160" s="1130"/>
      <c r="BT160" s="1131"/>
      <c r="BU160" s="1124"/>
      <c r="BV160" s="1124"/>
      <c r="BW160" s="454" t="s">
        <v>4216</v>
      </c>
      <c r="BX160" s="990"/>
      <c r="BY160" s="1008"/>
      <c r="BZ160" s="1008"/>
      <c r="CA160" s="1008"/>
      <c r="CB160" s="1008"/>
      <c r="CC160" s="1008"/>
      <c r="CD160" s="1008"/>
      <c r="CE160" s="1010"/>
      <c r="CF160" s="1010"/>
      <c r="CG160" s="1010"/>
      <c r="CH160" s="1010"/>
    </row>
    <row r="161" spans="2:86" ht="204.95" customHeight="1" x14ac:dyDescent="0.25">
      <c r="B161" s="1189"/>
      <c r="C161" s="1115" t="s">
        <v>2117</v>
      </c>
      <c r="D161" s="1116" t="s">
        <v>1045</v>
      </c>
      <c r="E161" s="1116" t="s">
        <v>2409</v>
      </c>
      <c r="F161" s="1116" t="s">
        <v>28</v>
      </c>
      <c r="G161" s="1116" t="s">
        <v>28</v>
      </c>
      <c r="H161" s="1116" t="s">
        <v>59</v>
      </c>
      <c r="I161" s="433" t="s">
        <v>1047</v>
      </c>
      <c r="J161" s="1117" t="s">
        <v>2118</v>
      </c>
      <c r="K161" s="1043" t="s">
        <v>187</v>
      </c>
      <c r="L161" s="434" t="s">
        <v>2119</v>
      </c>
      <c r="M161" s="387" t="s">
        <v>2046</v>
      </c>
      <c r="N161" s="433">
        <v>0.1</v>
      </c>
      <c r="O161" s="388">
        <v>44197</v>
      </c>
      <c r="P161" s="388">
        <v>44561</v>
      </c>
      <c r="Q161" s="435">
        <v>0.25</v>
      </c>
      <c r="R161" s="435">
        <v>0.5</v>
      </c>
      <c r="S161" s="436">
        <v>0.75</v>
      </c>
      <c r="T161" s="433">
        <v>1</v>
      </c>
      <c r="U161" s="381">
        <v>0.25</v>
      </c>
      <c r="V161" s="437" t="s">
        <v>2120</v>
      </c>
      <c r="W161" s="437" t="s">
        <v>4217</v>
      </c>
      <c r="X161" s="379" t="str">
        <f t="shared" si="51"/>
        <v>En gestión</v>
      </c>
      <c r="Y161" s="379" t="str">
        <f t="shared" si="52"/>
        <v>En gestión</v>
      </c>
      <c r="Z161" s="1113" t="s">
        <v>2279</v>
      </c>
      <c r="AA161" s="1120">
        <f>SUMPRODUCT(N161:N166,U161:U166)</f>
        <v>0.25</v>
      </c>
      <c r="AB161" s="1121">
        <f>SUMPRODUCT(N161:N166,Q161:Q166)</f>
        <v>0.25</v>
      </c>
      <c r="AC161" s="1122" t="str">
        <f>IF(AB161&lt;1%,"Sin iniciar",IF(AB161=100%,"Terminado","En gestión"))</f>
        <v>En gestión</v>
      </c>
      <c r="AD161" s="1122" t="str">
        <f>IF(AA161&lt;1%,"Sin iniciar",IF(AA161=100%,"Terminado","En gestión"))</f>
        <v>En gestión</v>
      </c>
      <c r="AE161" s="438"/>
      <c r="AF161" s="1005">
        <f>245168647+175041960</f>
        <v>420210607</v>
      </c>
      <c r="AG161" s="1005">
        <v>0</v>
      </c>
      <c r="AH161" s="1005">
        <f>61292162+43760490</f>
        <v>105052652</v>
      </c>
      <c r="AI161" s="1005">
        <f>266231000+6435939129</f>
        <v>6702170129</v>
      </c>
      <c r="AJ161" s="1005">
        <v>0</v>
      </c>
      <c r="AK161" s="1005">
        <f>35084636+3760665546</f>
        <v>3795750182</v>
      </c>
      <c r="AL161" s="441"/>
      <c r="AM161" s="441"/>
      <c r="AN161" s="441"/>
      <c r="AO161" s="441"/>
      <c r="AP161" s="441"/>
      <c r="AQ161" s="1215">
        <v>0.5</v>
      </c>
      <c r="AR161" s="437" t="s">
        <v>2303</v>
      </c>
      <c r="AS161" s="437" t="s">
        <v>4218</v>
      </c>
      <c r="AT161" s="379" t="str">
        <f t="shared" si="53"/>
        <v>En gestión</v>
      </c>
      <c r="AU161" s="379" t="str">
        <f t="shared" si="54"/>
        <v>En gestión</v>
      </c>
      <c r="AV161" s="1113" t="s">
        <v>2350</v>
      </c>
      <c r="AW161" s="1110">
        <f>SUMPRODUCT(N161:N166,AQ161:AQ166)</f>
        <v>0.5</v>
      </c>
      <c r="AX161" s="1111">
        <f>SUMPRODUCT(N161:N166,R161:R166)</f>
        <v>0.5</v>
      </c>
      <c r="AY161" s="1122" t="str">
        <f>IF(AX161&lt;1%,"Sin iniciar",IF(AX161=100%,"Terminado","En gestión"))</f>
        <v>En gestión</v>
      </c>
      <c r="AZ161" s="1122" t="str">
        <f>IF(AW161&lt;1%,"Sin iniciar",IF(AW161=100%,"Terminado","En gestión"))</f>
        <v>En gestión</v>
      </c>
      <c r="BA161" s="437"/>
      <c r="BB161" s="1011">
        <f>245168647+175041960</f>
        <v>420210607</v>
      </c>
      <c r="BC161" s="1011">
        <f>245168647+175041960</f>
        <v>420210607</v>
      </c>
      <c r="BD161" s="1011">
        <v>122584324</v>
      </c>
      <c r="BE161" s="1011">
        <f>266231000+6435939129</f>
        <v>6702170129</v>
      </c>
      <c r="BF161" s="1011">
        <f>266231000+6435939129</f>
        <v>6702170129</v>
      </c>
      <c r="BG161" s="1011">
        <f>127543182+4652423407</f>
        <v>4779966589</v>
      </c>
      <c r="BH161" s="1011" t="s">
        <v>2666</v>
      </c>
      <c r="BI161" s="1011"/>
      <c r="BJ161" s="1011" t="s">
        <v>2722</v>
      </c>
      <c r="BK161" s="1011" t="s">
        <v>2723</v>
      </c>
      <c r="BL161" s="1011" t="s">
        <v>2724</v>
      </c>
      <c r="BM161" s="508">
        <v>0.75</v>
      </c>
      <c r="BN161" s="439" t="s">
        <v>4219</v>
      </c>
      <c r="BO161" s="439" t="s">
        <v>4220</v>
      </c>
      <c r="BP161" s="379" t="str">
        <f t="shared" si="57"/>
        <v>En gestión</v>
      </c>
      <c r="BQ161" s="379" t="str">
        <f t="shared" si="58"/>
        <v>En gestión</v>
      </c>
      <c r="BR161" s="1007" t="s">
        <v>2350</v>
      </c>
      <c r="BS161" s="1130">
        <f>SUMPRODUCT(N161:N166,BM161:BM166)</f>
        <v>0.75</v>
      </c>
      <c r="BT161" s="1131">
        <f>SUMPRODUCT(N161:N166,S161:S166)</f>
        <v>0.75</v>
      </c>
      <c r="BU161" s="1122" t="str">
        <f>IF(BT161&lt;1%,"Sin iniciar",IF(BT161=100%,"Terminado","En gestión"))</f>
        <v>En gestión</v>
      </c>
      <c r="BV161" s="1122" t="str">
        <f>IF(BS161&lt;1%,"Sin iniciar",IF(BS161=100%,"Terminado","En gestión"))</f>
        <v>En gestión</v>
      </c>
      <c r="BW161" s="1006" t="s">
        <v>28</v>
      </c>
      <c r="BX161" s="1007" t="s">
        <v>3631</v>
      </c>
      <c r="BY161" s="1005">
        <f>245168647+175041960</f>
        <v>420210607</v>
      </c>
      <c r="BZ161" s="1005">
        <f>251567573+175041960</f>
        <v>426609533</v>
      </c>
      <c r="CA161" s="1005">
        <f>188675680+131381470</f>
        <v>320057150</v>
      </c>
      <c r="CB161" s="1005">
        <f>266231000+6435939129</f>
        <v>6702170129</v>
      </c>
      <c r="CC161" s="1005"/>
      <c r="CD161" s="1005">
        <f>184917091+5544081268</f>
        <v>5728998359</v>
      </c>
      <c r="CE161" s="442" t="s">
        <v>2666</v>
      </c>
      <c r="CF161" s="442" t="s">
        <v>2722</v>
      </c>
      <c r="CG161" s="442" t="s">
        <v>2723</v>
      </c>
      <c r="CH161" s="442" t="s">
        <v>2724</v>
      </c>
    </row>
    <row r="162" spans="2:86" ht="204.95" customHeight="1" x14ac:dyDescent="0.25">
      <c r="B162" s="1189"/>
      <c r="C162" s="1115"/>
      <c r="D162" s="1116"/>
      <c r="E162" s="1116"/>
      <c r="F162" s="1116"/>
      <c r="G162" s="1116"/>
      <c r="H162" s="1116"/>
      <c r="I162" s="433" t="s">
        <v>1039</v>
      </c>
      <c r="J162" s="1117"/>
      <c r="K162" s="1043"/>
      <c r="L162" s="434" t="s">
        <v>2121</v>
      </c>
      <c r="M162" s="387" t="s">
        <v>1325</v>
      </c>
      <c r="N162" s="433">
        <v>0.3</v>
      </c>
      <c r="O162" s="388">
        <v>44197</v>
      </c>
      <c r="P162" s="388">
        <v>44561</v>
      </c>
      <c r="Q162" s="435">
        <v>0.25</v>
      </c>
      <c r="R162" s="435">
        <v>0.5</v>
      </c>
      <c r="S162" s="436">
        <v>0.75</v>
      </c>
      <c r="T162" s="433">
        <v>1</v>
      </c>
      <c r="U162" s="381">
        <v>0.25</v>
      </c>
      <c r="V162" s="437" t="s">
        <v>2122</v>
      </c>
      <c r="W162" s="437" t="s">
        <v>4221</v>
      </c>
      <c r="X162" s="379" t="str">
        <f t="shared" si="51"/>
        <v>En gestión</v>
      </c>
      <c r="Y162" s="379" t="str">
        <f t="shared" si="52"/>
        <v>En gestión</v>
      </c>
      <c r="Z162" s="1113"/>
      <c r="AA162" s="1120"/>
      <c r="AB162" s="1121"/>
      <c r="AC162" s="1122"/>
      <c r="AD162" s="1122"/>
      <c r="AE162" s="438"/>
      <c r="AF162" s="1005"/>
      <c r="AG162" s="1005"/>
      <c r="AH162" s="1005"/>
      <c r="AI162" s="1005"/>
      <c r="AJ162" s="1005"/>
      <c r="AK162" s="1005"/>
      <c r="AL162" s="441"/>
      <c r="AM162" s="441"/>
      <c r="AN162" s="441"/>
      <c r="AO162" s="441"/>
      <c r="AP162" s="441"/>
      <c r="AQ162" s="1215">
        <v>0.5</v>
      </c>
      <c r="AR162" s="437" t="s">
        <v>2304</v>
      </c>
      <c r="AS162" s="437" t="s">
        <v>4222</v>
      </c>
      <c r="AT162" s="379" t="str">
        <f t="shared" si="53"/>
        <v>En gestión</v>
      </c>
      <c r="AU162" s="379" t="str">
        <f t="shared" si="54"/>
        <v>En gestión</v>
      </c>
      <c r="AV162" s="1113"/>
      <c r="AW162" s="1110"/>
      <c r="AX162" s="1111"/>
      <c r="AY162" s="1122"/>
      <c r="AZ162" s="1122"/>
      <c r="BA162" s="437"/>
      <c r="BB162" s="1011"/>
      <c r="BC162" s="1011"/>
      <c r="BD162" s="1011"/>
      <c r="BE162" s="1011"/>
      <c r="BF162" s="1011"/>
      <c r="BG162" s="1011"/>
      <c r="BH162" s="1011" t="s">
        <v>2666</v>
      </c>
      <c r="BI162" s="1011"/>
      <c r="BJ162" s="1011" t="s">
        <v>2722</v>
      </c>
      <c r="BK162" s="1011" t="s">
        <v>2723</v>
      </c>
      <c r="BL162" s="1011" t="s">
        <v>2724</v>
      </c>
      <c r="BM162" s="508">
        <v>0.75</v>
      </c>
      <c r="BN162" s="439" t="s">
        <v>5258</v>
      </c>
      <c r="BO162" s="439" t="s">
        <v>4223</v>
      </c>
      <c r="BP162" s="379" t="str">
        <f t="shared" si="57"/>
        <v>En gestión</v>
      </c>
      <c r="BQ162" s="379" t="str">
        <f t="shared" si="58"/>
        <v>En gestión</v>
      </c>
      <c r="BR162" s="1007"/>
      <c r="BS162" s="1130"/>
      <c r="BT162" s="1131"/>
      <c r="BU162" s="1122"/>
      <c r="BV162" s="1122"/>
      <c r="BW162" s="1006"/>
      <c r="BX162" s="1007"/>
      <c r="BY162" s="1005"/>
      <c r="BZ162" s="1005"/>
      <c r="CA162" s="1005"/>
      <c r="CB162" s="1005"/>
      <c r="CC162" s="1005"/>
      <c r="CD162" s="1005"/>
      <c r="CE162" s="442" t="s">
        <v>2666</v>
      </c>
      <c r="CF162" s="442" t="s">
        <v>2722</v>
      </c>
      <c r="CG162" s="442" t="s">
        <v>2723</v>
      </c>
      <c r="CH162" s="442" t="s">
        <v>2724</v>
      </c>
    </row>
    <row r="163" spans="2:86" ht="204.95" customHeight="1" x14ac:dyDescent="0.25">
      <c r="B163" s="1189"/>
      <c r="C163" s="1115"/>
      <c r="D163" s="1116"/>
      <c r="E163" s="1116"/>
      <c r="F163" s="1116"/>
      <c r="G163" s="1116"/>
      <c r="H163" s="1116"/>
      <c r="I163" s="433" t="s">
        <v>132</v>
      </c>
      <c r="J163" s="1117"/>
      <c r="K163" s="1043"/>
      <c r="L163" s="434" t="s">
        <v>2123</v>
      </c>
      <c r="M163" s="387" t="s">
        <v>2124</v>
      </c>
      <c r="N163" s="433">
        <v>0.2</v>
      </c>
      <c r="O163" s="388">
        <v>44197</v>
      </c>
      <c r="P163" s="388">
        <v>44561</v>
      </c>
      <c r="Q163" s="435">
        <v>0.25</v>
      </c>
      <c r="R163" s="435">
        <v>0.5</v>
      </c>
      <c r="S163" s="436">
        <v>0.75</v>
      </c>
      <c r="T163" s="433">
        <v>1</v>
      </c>
      <c r="U163" s="381">
        <v>0.25</v>
      </c>
      <c r="V163" s="437" t="s">
        <v>2125</v>
      </c>
      <c r="W163" s="437" t="s">
        <v>4224</v>
      </c>
      <c r="X163" s="379" t="str">
        <f t="shared" si="51"/>
        <v>En gestión</v>
      </c>
      <c r="Y163" s="379" t="str">
        <f t="shared" si="52"/>
        <v>En gestión</v>
      </c>
      <c r="Z163" s="1113"/>
      <c r="AA163" s="1120"/>
      <c r="AB163" s="1121"/>
      <c r="AC163" s="1122"/>
      <c r="AD163" s="1122"/>
      <c r="AE163" s="438"/>
      <c r="AF163" s="1005"/>
      <c r="AG163" s="1005"/>
      <c r="AH163" s="1005"/>
      <c r="AI163" s="1005"/>
      <c r="AJ163" s="1005"/>
      <c r="AK163" s="1005"/>
      <c r="AL163" s="441"/>
      <c r="AM163" s="441"/>
      <c r="AN163" s="441"/>
      <c r="AO163" s="441"/>
      <c r="AP163" s="441"/>
      <c r="AQ163" s="1215">
        <v>0.5</v>
      </c>
      <c r="AR163" s="437" t="s">
        <v>2305</v>
      </c>
      <c r="AS163" s="437" t="s">
        <v>4224</v>
      </c>
      <c r="AT163" s="379" t="str">
        <f t="shared" si="53"/>
        <v>En gestión</v>
      </c>
      <c r="AU163" s="379" t="str">
        <f t="shared" si="54"/>
        <v>En gestión</v>
      </c>
      <c r="AV163" s="1113"/>
      <c r="AW163" s="1110"/>
      <c r="AX163" s="1111"/>
      <c r="AY163" s="1122"/>
      <c r="AZ163" s="1122"/>
      <c r="BA163" s="437"/>
      <c r="BB163" s="1011"/>
      <c r="BC163" s="1011"/>
      <c r="BD163" s="1011"/>
      <c r="BE163" s="1011"/>
      <c r="BF163" s="1011"/>
      <c r="BG163" s="1011"/>
      <c r="BH163" s="1011" t="s">
        <v>2666</v>
      </c>
      <c r="BI163" s="1011"/>
      <c r="BJ163" s="1011" t="s">
        <v>2722</v>
      </c>
      <c r="BK163" s="1011" t="s">
        <v>2723</v>
      </c>
      <c r="BL163" s="1011" t="s">
        <v>2724</v>
      </c>
      <c r="BM163" s="508">
        <v>0.75</v>
      </c>
      <c r="BN163" s="439" t="s">
        <v>4225</v>
      </c>
      <c r="BO163" s="439" t="s">
        <v>4226</v>
      </c>
      <c r="BP163" s="379" t="str">
        <f t="shared" si="57"/>
        <v>En gestión</v>
      </c>
      <c r="BQ163" s="379" t="str">
        <f t="shared" si="58"/>
        <v>En gestión</v>
      </c>
      <c r="BR163" s="1007"/>
      <c r="BS163" s="1130"/>
      <c r="BT163" s="1131"/>
      <c r="BU163" s="1122"/>
      <c r="BV163" s="1122"/>
      <c r="BW163" s="1006"/>
      <c r="BX163" s="1007"/>
      <c r="BY163" s="1005"/>
      <c r="BZ163" s="1005"/>
      <c r="CA163" s="1005"/>
      <c r="CB163" s="1005"/>
      <c r="CC163" s="1005"/>
      <c r="CD163" s="1005"/>
      <c r="CE163" s="1132" t="s">
        <v>4137</v>
      </c>
      <c r="CF163" s="1132" t="s">
        <v>4138</v>
      </c>
      <c r="CG163" s="1132" t="s">
        <v>4139</v>
      </c>
      <c r="CH163" s="1132" t="s">
        <v>4227</v>
      </c>
    </row>
    <row r="164" spans="2:86" ht="204.95" customHeight="1" x14ac:dyDescent="0.25">
      <c r="B164" s="1189"/>
      <c r="C164" s="1115"/>
      <c r="D164" s="1116"/>
      <c r="E164" s="1116"/>
      <c r="F164" s="1116"/>
      <c r="G164" s="1116"/>
      <c r="H164" s="1116"/>
      <c r="I164" s="433" t="s">
        <v>185</v>
      </c>
      <c r="J164" s="1117"/>
      <c r="K164" s="1043"/>
      <c r="L164" s="434" t="s">
        <v>2126</v>
      </c>
      <c r="M164" s="387" t="s">
        <v>2069</v>
      </c>
      <c r="N164" s="433">
        <v>0.15</v>
      </c>
      <c r="O164" s="388">
        <v>44197</v>
      </c>
      <c r="P164" s="388">
        <v>44561</v>
      </c>
      <c r="Q164" s="435">
        <v>0.25</v>
      </c>
      <c r="R164" s="435">
        <v>0.5</v>
      </c>
      <c r="S164" s="436">
        <v>0.75</v>
      </c>
      <c r="T164" s="433">
        <v>1</v>
      </c>
      <c r="U164" s="381">
        <v>0.25</v>
      </c>
      <c r="V164" s="437" t="s">
        <v>2127</v>
      </c>
      <c r="W164" s="437" t="s">
        <v>4228</v>
      </c>
      <c r="X164" s="379" t="str">
        <f t="shared" si="51"/>
        <v>En gestión</v>
      </c>
      <c r="Y164" s="379" t="str">
        <f t="shared" si="52"/>
        <v>En gestión</v>
      </c>
      <c r="Z164" s="1113"/>
      <c r="AA164" s="1120"/>
      <c r="AB164" s="1121"/>
      <c r="AC164" s="1122"/>
      <c r="AD164" s="1122"/>
      <c r="AE164" s="438"/>
      <c r="AF164" s="1005"/>
      <c r="AG164" s="1005"/>
      <c r="AH164" s="1005"/>
      <c r="AI164" s="1005"/>
      <c r="AJ164" s="1005"/>
      <c r="AK164" s="1005"/>
      <c r="AL164" s="441"/>
      <c r="AM164" s="441"/>
      <c r="AN164" s="441"/>
      <c r="AO164" s="441"/>
      <c r="AP164" s="441"/>
      <c r="AQ164" s="1215">
        <v>0.5</v>
      </c>
      <c r="AR164" s="437" t="s">
        <v>2306</v>
      </c>
      <c r="AS164" s="437" t="s">
        <v>4229</v>
      </c>
      <c r="AT164" s="379" t="str">
        <f t="shared" si="53"/>
        <v>En gestión</v>
      </c>
      <c r="AU164" s="379" t="str">
        <f t="shared" si="54"/>
        <v>En gestión</v>
      </c>
      <c r="AV164" s="1113"/>
      <c r="AW164" s="1110"/>
      <c r="AX164" s="1111"/>
      <c r="AY164" s="1122"/>
      <c r="AZ164" s="1122"/>
      <c r="BA164" s="437"/>
      <c r="BB164" s="1011"/>
      <c r="BC164" s="1011"/>
      <c r="BD164" s="1011"/>
      <c r="BE164" s="1011"/>
      <c r="BF164" s="1011"/>
      <c r="BG164" s="1011"/>
      <c r="BH164" s="1011" t="s">
        <v>2666</v>
      </c>
      <c r="BI164" s="1011"/>
      <c r="BJ164" s="1011" t="s">
        <v>2722</v>
      </c>
      <c r="BK164" s="1011" t="s">
        <v>2723</v>
      </c>
      <c r="BL164" s="1011" t="s">
        <v>2724</v>
      </c>
      <c r="BM164" s="508">
        <v>0.75</v>
      </c>
      <c r="BN164" s="439" t="s">
        <v>4230</v>
      </c>
      <c r="BO164" s="439" t="s">
        <v>4231</v>
      </c>
      <c r="BP164" s="379" t="str">
        <f t="shared" si="57"/>
        <v>En gestión</v>
      </c>
      <c r="BQ164" s="379" t="str">
        <f t="shared" si="58"/>
        <v>En gestión</v>
      </c>
      <c r="BR164" s="1007"/>
      <c r="BS164" s="1130"/>
      <c r="BT164" s="1131"/>
      <c r="BU164" s="1122"/>
      <c r="BV164" s="1122"/>
      <c r="BW164" s="1006"/>
      <c r="BX164" s="1007"/>
      <c r="BY164" s="1005"/>
      <c r="BZ164" s="1005"/>
      <c r="CA164" s="1005"/>
      <c r="CB164" s="1005"/>
      <c r="CC164" s="1005"/>
      <c r="CD164" s="1005"/>
      <c r="CE164" s="1132"/>
      <c r="CF164" s="1132"/>
      <c r="CG164" s="1132"/>
      <c r="CH164" s="1132"/>
    </row>
    <row r="165" spans="2:86" ht="204.95" customHeight="1" x14ac:dyDescent="0.25">
      <c r="B165" s="1189"/>
      <c r="C165" s="1115"/>
      <c r="D165" s="1116"/>
      <c r="E165" s="1116"/>
      <c r="F165" s="1116"/>
      <c r="G165" s="1116"/>
      <c r="H165" s="1116"/>
      <c r="I165" s="433" t="s">
        <v>191</v>
      </c>
      <c r="J165" s="1117"/>
      <c r="K165" s="1043"/>
      <c r="L165" s="434" t="s">
        <v>2128</v>
      </c>
      <c r="M165" s="387" t="s">
        <v>1334</v>
      </c>
      <c r="N165" s="433">
        <v>0.1</v>
      </c>
      <c r="O165" s="388">
        <v>44197</v>
      </c>
      <c r="P165" s="388">
        <v>44561</v>
      </c>
      <c r="Q165" s="435">
        <v>0.25</v>
      </c>
      <c r="R165" s="435">
        <v>0.5</v>
      </c>
      <c r="S165" s="436">
        <v>0.75</v>
      </c>
      <c r="T165" s="433">
        <v>1</v>
      </c>
      <c r="U165" s="381">
        <v>0.25</v>
      </c>
      <c r="V165" s="437" t="s">
        <v>2129</v>
      </c>
      <c r="W165" s="437" t="s">
        <v>4232</v>
      </c>
      <c r="X165" s="379" t="str">
        <f t="shared" si="51"/>
        <v>En gestión</v>
      </c>
      <c r="Y165" s="379" t="str">
        <f t="shared" si="52"/>
        <v>En gestión</v>
      </c>
      <c r="Z165" s="1113"/>
      <c r="AA165" s="1120"/>
      <c r="AB165" s="1121"/>
      <c r="AC165" s="1122"/>
      <c r="AD165" s="1122"/>
      <c r="AE165" s="438"/>
      <c r="AF165" s="1005"/>
      <c r="AG165" s="1005"/>
      <c r="AH165" s="1005"/>
      <c r="AI165" s="1005"/>
      <c r="AJ165" s="1005"/>
      <c r="AK165" s="1005"/>
      <c r="AL165" s="441"/>
      <c r="AM165" s="441"/>
      <c r="AN165" s="441"/>
      <c r="AO165" s="441"/>
      <c r="AP165" s="441"/>
      <c r="AQ165" s="1215">
        <v>0.5</v>
      </c>
      <c r="AR165" s="437" t="s">
        <v>2307</v>
      </c>
      <c r="AS165" s="437" t="s">
        <v>4233</v>
      </c>
      <c r="AT165" s="379" t="str">
        <f t="shared" si="53"/>
        <v>En gestión</v>
      </c>
      <c r="AU165" s="379" t="str">
        <f t="shared" si="54"/>
        <v>En gestión</v>
      </c>
      <c r="AV165" s="1113"/>
      <c r="AW165" s="1110"/>
      <c r="AX165" s="1111"/>
      <c r="AY165" s="1122"/>
      <c r="AZ165" s="1122"/>
      <c r="BA165" s="437"/>
      <c r="BB165" s="1011"/>
      <c r="BC165" s="1011"/>
      <c r="BD165" s="1011"/>
      <c r="BE165" s="1011"/>
      <c r="BF165" s="1011"/>
      <c r="BG165" s="1011"/>
      <c r="BH165" s="1011" t="s">
        <v>2666</v>
      </c>
      <c r="BI165" s="1011"/>
      <c r="BJ165" s="1011" t="s">
        <v>2722</v>
      </c>
      <c r="BK165" s="1011" t="s">
        <v>2723</v>
      </c>
      <c r="BL165" s="1011" t="s">
        <v>2724</v>
      </c>
      <c r="BM165" s="508">
        <v>0.75</v>
      </c>
      <c r="BN165" s="439" t="s">
        <v>4234</v>
      </c>
      <c r="BO165" s="439" t="s">
        <v>4235</v>
      </c>
      <c r="BP165" s="379" t="str">
        <f t="shared" si="57"/>
        <v>En gestión</v>
      </c>
      <c r="BQ165" s="379" t="str">
        <f t="shared" si="58"/>
        <v>En gestión</v>
      </c>
      <c r="BR165" s="1007"/>
      <c r="BS165" s="1130"/>
      <c r="BT165" s="1131"/>
      <c r="BU165" s="1122"/>
      <c r="BV165" s="1122"/>
      <c r="BW165" s="1006"/>
      <c r="BX165" s="1007"/>
      <c r="BY165" s="1005"/>
      <c r="BZ165" s="1005"/>
      <c r="CA165" s="1005"/>
      <c r="CB165" s="1005"/>
      <c r="CC165" s="1005"/>
      <c r="CD165" s="1005"/>
      <c r="CE165" s="1132"/>
      <c r="CF165" s="1132"/>
      <c r="CG165" s="1132"/>
      <c r="CH165" s="1132"/>
    </row>
    <row r="166" spans="2:86" ht="204.95" customHeight="1" x14ac:dyDescent="0.25">
      <c r="B166" s="1189"/>
      <c r="C166" s="1115"/>
      <c r="D166" s="1116"/>
      <c r="E166" s="1116"/>
      <c r="F166" s="1116"/>
      <c r="G166" s="1116"/>
      <c r="H166" s="1116"/>
      <c r="I166" s="433" t="s">
        <v>194</v>
      </c>
      <c r="J166" s="1117"/>
      <c r="K166" s="1043"/>
      <c r="L166" s="434" t="s">
        <v>2130</v>
      </c>
      <c r="M166" s="387" t="s">
        <v>2058</v>
      </c>
      <c r="N166" s="433">
        <v>0.15</v>
      </c>
      <c r="O166" s="388">
        <v>44197</v>
      </c>
      <c r="P166" s="388">
        <v>44561</v>
      </c>
      <c r="Q166" s="435">
        <v>0.25</v>
      </c>
      <c r="R166" s="435">
        <v>0.5</v>
      </c>
      <c r="S166" s="436">
        <v>0.75</v>
      </c>
      <c r="T166" s="433">
        <v>1</v>
      </c>
      <c r="U166" s="381">
        <v>0.25</v>
      </c>
      <c r="V166" s="437" t="s">
        <v>2131</v>
      </c>
      <c r="W166" s="437" t="s">
        <v>4236</v>
      </c>
      <c r="X166" s="379" t="str">
        <f t="shared" si="51"/>
        <v>En gestión</v>
      </c>
      <c r="Y166" s="379" t="str">
        <f t="shared" si="52"/>
        <v>En gestión</v>
      </c>
      <c r="Z166" s="1113"/>
      <c r="AA166" s="1120"/>
      <c r="AB166" s="1121"/>
      <c r="AC166" s="1122"/>
      <c r="AD166" s="1122"/>
      <c r="AE166" s="438"/>
      <c r="AF166" s="1005"/>
      <c r="AG166" s="1005"/>
      <c r="AH166" s="1005"/>
      <c r="AI166" s="1005"/>
      <c r="AJ166" s="1005"/>
      <c r="AK166" s="1005"/>
      <c r="AL166" s="441"/>
      <c r="AM166" s="441"/>
      <c r="AN166" s="441"/>
      <c r="AO166" s="441"/>
      <c r="AP166" s="441"/>
      <c r="AQ166" s="1215">
        <v>0.5</v>
      </c>
      <c r="AR166" s="437" t="s">
        <v>2308</v>
      </c>
      <c r="AS166" s="437" t="s">
        <v>4233</v>
      </c>
      <c r="AT166" s="379" t="str">
        <f t="shared" si="53"/>
        <v>En gestión</v>
      </c>
      <c r="AU166" s="379" t="str">
        <f t="shared" si="54"/>
        <v>En gestión</v>
      </c>
      <c r="AV166" s="1113"/>
      <c r="AW166" s="1110"/>
      <c r="AX166" s="1111"/>
      <c r="AY166" s="1122"/>
      <c r="AZ166" s="1122"/>
      <c r="BA166" s="437"/>
      <c r="BB166" s="1011"/>
      <c r="BC166" s="1011"/>
      <c r="BD166" s="1011"/>
      <c r="BE166" s="1011"/>
      <c r="BF166" s="1011"/>
      <c r="BG166" s="1011"/>
      <c r="BH166" s="1011" t="s">
        <v>2666</v>
      </c>
      <c r="BI166" s="1011"/>
      <c r="BJ166" s="1011" t="s">
        <v>2722</v>
      </c>
      <c r="BK166" s="1011" t="s">
        <v>2723</v>
      </c>
      <c r="BL166" s="1011" t="s">
        <v>2724</v>
      </c>
      <c r="BM166" s="508">
        <v>0.75</v>
      </c>
      <c r="BN166" s="439" t="s">
        <v>4237</v>
      </c>
      <c r="BO166" s="439" t="s">
        <v>4235</v>
      </c>
      <c r="BP166" s="379" t="str">
        <f t="shared" si="57"/>
        <v>En gestión</v>
      </c>
      <c r="BQ166" s="379" t="str">
        <f t="shared" si="58"/>
        <v>En gestión</v>
      </c>
      <c r="BR166" s="1007"/>
      <c r="BS166" s="1130"/>
      <c r="BT166" s="1131"/>
      <c r="BU166" s="1122"/>
      <c r="BV166" s="1122"/>
      <c r="BW166" s="1006"/>
      <c r="BX166" s="1007"/>
      <c r="BY166" s="1005"/>
      <c r="BZ166" s="1005"/>
      <c r="CA166" s="1005"/>
      <c r="CB166" s="1005"/>
      <c r="CC166" s="1005"/>
      <c r="CD166" s="1005"/>
      <c r="CE166" s="1132"/>
      <c r="CF166" s="1132"/>
      <c r="CG166" s="1132"/>
      <c r="CH166" s="1132"/>
    </row>
    <row r="167" spans="2:86" ht="171.95" customHeight="1" x14ac:dyDescent="0.25">
      <c r="B167" s="1189"/>
      <c r="C167" s="1126" t="s">
        <v>2132</v>
      </c>
      <c r="D167" s="1118" t="s">
        <v>1045</v>
      </c>
      <c r="E167" s="1118" t="s">
        <v>2410</v>
      </c>
      <c r="F167" s="1118" t="s">
        <v>28</v>
      </c>
      <c r="G167" s="1118" t="s">
        <v>28</v>
      </c>
      <c r="H167" s="1118" t="s">
        <v>59</v>
      </c>
      <c r="I167" s="489" t="s">
        <v>1047</v>
      </c>
      <c r="J167" s="1127" t="s">
        <v>2133</v>
      </c>
      <c r="K167" s="994" t="s">
        <v>164</v>
      </c>
      <c r="L167" s="490" t="s">
        <v>2134</v>
      </c>
      <c r="M167" s="451" t="s">
        <v>2046</v>
      </c>
      <c r="N167" s="489">
        <v>0.05</v>
      </c>
      <c r="O167" s="452">
        <v>44197</v>
      </c>
      <c r="P167" s="452">
        <v>44561</v>
      </c>
      <c r="Q167" s="491">
        <v>0.25</v>
      </c>
      <c r="R167" s="491">
        <v>0.5</v>
      </c>
      <c r="S167" s="492">
        <v>0.75</v>
      </c>
      <c r="T167" s="489">
        <v>1</v>
      </c>
      <c r="U167" s="381">
        <v>0.25</v>
      </c>
      <c r="V167" s="493" t="s">
        <v>2135</v>
      </c>
      <c r="W167" s="493" t="s">
        <v>4238</v>
      </c>
      <c r="X167" s="455" t="str">
        <f t="shared" si="51"/>
        <v>En gestión</v>
      </c>
      <c r="Y167" s="455" t="str">
        <f t="shared" si="52"/>
        <v>En gestión</v>
      </c>
      <c r="Z167" s="1125" t="s">
        <v>2280</v>
      </c>
      <c r="AA167" s="1120">
        <f>SUMPRODUCT(N167:N172,U167:U172)</f>
        <v>0.25</v>
      </c>
      <c r="AB167" s="1121">
        <f>SUMPRODUCT(N167:N172,Q167:Q172)</f>
        <v>0.25</v>
      </c>
      <c r="AC167" s="1124" t="str">
        <f>IF(AB167&lt;1%,"Sin iniciar",IF(AB167=100%,"Terminado","En gestión"))</f>
        <v>En gestión</v>
      </c>
      <c r="AD167" s="1124" t="str">
        <f>IF(AA167&lt;1%,"Sin iniciar",IF(AA167=100%,"Terminado","En gestión"))</f>
        <v>En gestión</v>
      </c>
      <c r="AE167" s="494"/>
      <c r="AF167" s="1008">
        <v>7412226</v>
      </c>
      <c r="AG167" s="1008">
        <v>0</v>
      </c>
      <c r="AH167" s="1008">
        <v>1853057</v>
      </c>
      <c r="AI167" s="1008">
        <f>59400000+41708800</f>
        <v>101108800</v>
      </c>
      <c r="AJ167" s="1008">
        <v>0</v>
      </c>
      <c r="AK167" s="1008">
        <f>16800000+41708800</f>
        <v>58508800</v>
      </c>
      <c r="AL167" s="499"/>
      <c r="AM167" s="499"/>
      <c r="AN167" s="499"/>
      <c r="AO167" s="499"/>
      <c r="AP167" s="499"/>
      <c r="AQ167" s="1215">
        <v>0.5</v>
      </c>
      <c r="AR167" s="493" t="s">
        <v>2135</v>
      </c>
      <c r="AS167" s="493" t="s">
        <v>4239</v>
      </c>
      <c r="AT167" s="455" t="str">
        <f t="shared" si="53"/>
        <v>En gestión</v>
      </c>
      <c r="AU167" s="455" t="str">
        <f t="shared" si="54"/>
        <v>En gestión</v>
      </c>
      <c r="AV167" s="1125" t="s">
        <v>2280</v>
      </c>
      <c r="AW167" s="1110">
        <f>SUMPRODUCT(N167:N172,AQ167:AQ172)</f>
        <v>0.72499999999999998</v>
      </c>
      <c r="AX167" s="1111">
        <f>SUMPRODUCT(N167:N172,R167:R172)</f>
        <v>0.6</v>
      </c>
      <c r="AY167" s="1124" t="str">
        <f>IF(AX167&lt;1%,"Sin iniciar",IF(AX167=100%,"Terminado","En gestión"))</f>
        <v>En gestión</v>
      </c>
      <c r="AZ167" s="1124" t="str">
        <f>IF(AW167&lt;1%,"Sin iniciar",IF(AW167=100%,"Terminado","En gestión"))</f>
        <v>En gestión</v>
      </c>
      <c r="BA167" s="493"/>
      <c r="BB167" s="1128">
        <v>7412226</v>
      </c>
      <c r="BC167" s="1128">
        <v>7412226</v>
      </c>
      <c r="BD167" s="1128">
        <v>3706113</v>
      </c>
      <c r="BE167" s="1128">
        <f>59400000+41708800</f>
        <v>101108800</v>
      </c>
      <c r="BF167" s="1128">
        <f>59400000+41708800</f>
        <v>101108800</v>
      </c>
      <c r="BG167" s="1128">
        <f>36520000+41708800</f>
        <v>78228800</v>
      </c>
      <c r="BH167" s="1128" t="s">
        <v>2666</v>
      </c>
      <c r="BI167" s="1128"/>
      <c r="BJ167" s="1010" t="s">
        <v>2725</v>
      </c>
      <c r="BK167" s="1010" t="s">
        <v>2696</v>
      </c>
      <c r="BL167" s="1010" t="s">
        <v>2726</v>
      </c>
      <c r="BM167" s="506">
        <v>0.75</v>
      </c>
      <c r="BN167" s="454" t="s">
        <v>4240</v>
      </c>
      <c r="BO167" s="454" t="s">
        <v>4241</v>
      </c>
      <c r="BP167" s="455" t="str">
        <f t="shared" si="57"/>
        <v>En gestión</v>
      </c>
      <c r="BQ167" s="455" t="str">
        <f t="shared" si="58"/>
        <v>En gestión</v>
      </c>
      <c r="BR167" s="990" t="s">
        <v>2280</v>
      </c>
      <c r="BS167" s="1130">
        <f>SUMPRODUCT(N167:N172,BM167:BM172)</f>
        <v>0.86250000000000004</v>
      </c>
      <c r="BT167" s="1131">
        <f>SUMPRODUCT(N167:N172,S167:S172)</f>
        <v>0.80750000000000011</v>
      </c>
      <c r="BU167" s="1124" t="str">
        <f>IF(BT167&lt;1%,"Sin iniciar",IF(BT167=100%,"Terminado","En gestión"))</f>
        <v>En gestión</v>
      </c>
      <c r="BV167" s="1124" t="str">
        <f>IF(BS167&lt;1%,"Sin iniciar",IF(BS167=100%,"Terminado","En gestión"))</f>
        <v>En gestión</v>
      </c>
      <c r="BW167" s="456" t="s">
        <v>3946</v>
      </c>
      <c r="BX167" s="990" t="s">
        <v>3631</v>
      </c>
      <c r="BY167" s="1008">
        <v>7412226</v>
      </c>
      <c r="BZ167" s="1008">
        <v>3802843</v>
      </c>
      <c r="CA167" s="1008">
        <v>3802843</v>
      </c>
      <c r="CB167" s="1008">
        <f>59400000+41708800</f>
        <v>101108800</v>
      </c>
      <c r="CC167" s="1008"/>
      <c r="CD167" s="1008">
        <f>45320000+41708800</f>
        <v>87028800</v>
      </c>
      <c r="CE167" s="1010" t="s">
        <v>2666</v>
      </c>
      <c r="CF167" s="500" t="s">
        <v>2725</v>
      </c>
      <c r="CG167" s="500" t="s">
        <v>2696</v>
      </c>
      <c r="CH167" s="501" t="s">
        <v>2726</v>
      </c>
    </row>
    <row r="168" spans="2:86" ht="171.95" customHeight="1" x14ac:dyDescent="0.25">
      <c r="B168" s="1189"/>
      <c r="C168" s="1126"/>
      <c r="D168" s="1118"/>
      <c r="E168" s="1118"/>
      <c r="F168" s="1118"/>
      <c r="G168" s="1118"/>
      <c r="H168" s="1118"/>
      <c r="I168" s="489" t="s">
        <v>1039</v>
      </c>
      <c r="J168" s="1127"/>
      <c r="K168" s="994"/>
      <c r="L168" s="490" t="s">
        <v>2136</v>
      </c>
      <c r="M168" s="451" t="s">
        <v>1325</v>
      </c>
      <c r="N168" s="489">
        <v>0.25</v>
      </c>
      <c r="O168" s="452">
        <v>44197</v>
      </c>
      <c r="P168" s="452">
        <v>44561</v>
      </c>
      <c r="Q168" s="489">
        <v>0.25</v>
      </c>
      <c r="R168" s="491">
        <v>0.9</v>
      </c>
      <c r="S168" s="492">
        <v>0.98</v>
      </c>
      <c r="T168" s="489">
        <v>1</v>
      </c>
      <c r="U168" s="381">
        <v>0.25</v>
      </c>
      <c r="V168" s="493" t="s">
        <v>2137</v>
      </c>
      <c r="W168" s="493" t="s">
        <v>4242</v>
      </c>
      <c r="X168" s="455" t="str">
        <f t="shared" si="51"/>
        <v>En gestión</v>
      </c>
      <c r="Y168" s="455" t="str">
        <f t="shared" si="52"/>
        <v>En gestión</v>
      </c>
      <c r="Z168" s="1125"/>
      <c r="AA168" s="1120"/>
      <c r="AB168" s="1121"/>
      <c r="AC168" s="1124"/>
      <c r="AD168" s="1124"/>
      <c r="AE168" s="494"/>
      <c r="AF168" s="1008"/>
      <c r="AG168" s="1008"/>
      <c r="AH168" s="1008"/>
      <c r="AI168" s="1008"/>
      <c r="AJ168" s="1008"/>
      <c r="AK168" s="1008"/>
      <c r="AL168" s="499"/>
      <c r="AM168" s="499"/>
      <c r="AN168" s="499"/>
      <c r="AO168" s="499"/>
      <c r="AP168" s="499"/>
      <c r="AQ168" s="1215">
        <v>0.9</v>
      </c>
      <c r="AR168" s="493" t="s">
        <v>2137</v>
      </c>
      <c r="AS168" s="493" t="s">
        <v>4243</v>
      </c>
      <c r="AT168" s="455" t="str">
        <f t="shared" si="53"/>
        <v>En gestión</v>
      </c>
      <c r="AU168" s="455" t="str">
        <f t="shared" si="54"/>
        <v>En gestión</v>
      </c>
      <c r="AV168" s="1125"/>
      <c r="AW168" s="1110"/>
      <c r="AX168" s="1111"/>
      <c r="AY168" s="1124"/>
      <c r="AZ168" s="1124"/>
      <c r="BA168" s="493" t="s">
        <v>2351</v>
      </c>
      <c r="BB168" s="1128"/>
      <c r="BC168" s="1128"/>
      <c r="BD168" s="1128"/>
      <c r="BE168" s="1128"/>
      <c r="BF168" s="1128"/>
      <c r="BG168" s="1128"/>
      <c r="BH168" s="1128"/>
      <c r="BI168" s="1128"/>
      <c r="BJ168" s="1010"/>
      <c r="BK168" s="1010"/>
      <c r="BL168" s="1010"/>
      <c r="BM168" s="506">
        <v>0.95</v>
      </c>
      <c r="BN168" s="454" t="s">
        <v>4244</v>
      </c>
      <c r="BO168" s="454" t="s">
        <v>4245</v>
      </c>
      <c r="BP168" s="455" t="str">
        <f t="shared" si="57"/>
        <v>En gestión</v>
      </c>
      <c r="BQ168" s="455" t="str">
        <f t="shared" si="58"/>
        <v>En gestión</v>
      </c>
      <c r="BR168" s="990"/>
      <c r="BS168" s="1130"/>
      <c r="BT168" s="1131"/>
      <c r="BU168" s="1124"/>
      <c r="BV168" s="1124"/>
      <c r="BW168" s="454" t="s">
        <v>5188</v>
      </c>
      <c r="BX168" s="990"/>
      <c r="BY168" s="1008"/>
      <c r="BZ168" s="1008"/>
      <c r="CA168" s="1008"/>
      <c r="CB168" s="1008"/>
      <c r="CC168" s="1008"/>
      <c r="CD168" s="1008"/>
      <c r="CE168" s="1010"/>
      <c r="CF168" s="500" t="s">
        <v>2727</v>
      </c>
      <c r="CG168" s="500" t="s">
        <v>2728</v>
      </c>
      <c r="CH168" s="500" t="s">
        <v>2729</v>
      </c>
    </row>
    <row r="169" spans="2:86" ht="171.95" customHeight="1" x14ac:dyDescent="0.25">
      <c r="B169" s="1189"/>
      <c r="C169" s="1126"/>
      <c r="D169" s="1118"/>
      <c r="E169" s="1118"/>
      <c r="F169" s="1118"/>
      <c r="G169" s="1118"/>
      <c r="H169" s="1118"/>
      <c r="I169" s="489" t="s">
        <v>132</v>
      </c>
      <c r="J169" s="1127"/>
      <c r="K169" s="994"/>
      <c r="L169" s="490" t="s">
        <v>2138</v>
      </c>
      <c r="M169" s="451" t="s">
        <v>2124</v>
      </c>
      <c r="N169" s="489">
        <v>0.25</v>
      </c>
      <c r="O169" s="452">
        <v>44197</v>
      </c>
      <c r="P169" s="452">
        <v>44561</v>
      </c>
      <c r="Q169" s="491">
        <v>0.25</v>
      </c>
      <c r="R169" s="491">
        <v>0.5</v>
      </c>
      <c r="S169" s="492">
        <v>0.75</v>
      </c>
      <c r="T169" s="489">
        <v>1</v>
      </c>
      <c r="U169" s="381">
        <v>0.25</v>
      </c>
      <c r="V169" s="493" t="s">
        <v>2139</v>
      </c>
      <c r="W169" s="493" t="s">
        <v>4246</v>
      </c>
      <c r="X169" s="455" t="str">
        <f t="shared" si="51"/>
        <v>En gestión</v>
      </c>
      <c r="Y169" s="455" t="str">
        <f t="shared" si="52"/>
        <v>En gestión</v>
      </c>
      <c r="Z169" s="1125"/>
      <c r="AA169" s="1120"/>
      <c r="AB169" s="1121"/>
      <c r="AC169" s="1124"/>
      <c r="AD169" s="1124"/>
      <c r="AE169" s="494"/>
      <c r="AF169" s="1008"/>
      <c r="AG169" s="1008"/>
      <c r="AH169" s="1008"/>
      <c r="AI169" s="1008"/>
      <c r="AJ169" s="1008"/>
      <c r="AK169" s="1008"/>
      <c r="AL169" s="499"/>
      <c r="AM169" s="499"/>
      <c r="AN169" s="499"/>
      <c r="AO169" s="499"/>
      <c r="AP169" s="499"/>
      <c r="AQ169" s="1215">
        <v>1</v>
      </c>
      <c r="AR169" s="493" t="s">
        <v>1433</v>
      </c>
      <c r="AS169" s="493" t="s">
        <v>3706</v>
      </c>
      <c r="AT169" s="455" t="str">
        <f t="shared" si="53"/>
        <v>En gestión</v>
      </c>
      <c r="AU169" s="455" t="str">
        <f t="shared" si="54"/>
        <v>Terminado</v>
      </c>
      <c r="AV169" s="1125"/>
      <c r="AW169" s="1110"/>
      <c r="AX169" s="1111"/>
      <c r="AY169" s="1124"/>
      <c r="AZ169" s="1124"/>
      <c r="BA169" s="493"/>
      <c r="BB169" s="1128"/>
      <c r="BC169" s="1128"/>
      <c r="BD169" s="1128"/>
      <c r="BE169" s="1128"/>
      <c r="BF169" s="1128"/>
      <c r="BG169" s="1128"/>
      <c r="BH169" s="1128"/>
      <c r="BI169" s="1128"/>
      <c r="BJ169" s="1010"/>
      <c r="BK169" s="1010"/>
      <c r="BL169" s="1010"/>
      <c r="BM169" s="506">
        <v>1</v>
      </c>
      <c r="BN169" s="454" t="s">
        <v>4247</v>
      </c>
      <c r="BO169" s="454" t="s">
        <v>3708</v>
      </c>
      <c r="BP169" s="455" t="str">
        <f t="shared" si="57"/>
        <v>En gestión</v>
      </c>
      <c r="BQ169" s="455" t="str">
        <f t="shared" si="58"/>
        <v>Terminado</v>
      </c>
      <c r="BR169" s="990"/>
      <c r="BS169" s="1130"/>
      <c r="BT169" s="1131"/>
      <c r="BU169" s="1124"/>
      <c r="BV169" s="1124"/>
      <c r="BW169" s="991" t="s">
        <v>28</v>
      </c>
      <c r="BX169" s="990"/>
      <c r="BY169" s="1008"/>
      <c r="BZ169" s="1008"/>
      <c r="CA169" s="1008"/>
      <c r="CB169" s="1008"/>
      <c r="CC169" s="1008"/>
      <c r="CD169" s="1008"/>
      <c r="CE169" s="1010" t="s">
        <v>4137</v>
      </c>
      <c r="CF169" s="1010" t="s">
        <v>4138</v>
      </c>
      <c r="CG169" s="1010" t="s">
        <v>4139</v>
      </c>
      <c r="CH169" s="1010" t="s">
        <v>4248</v>
      </c>
    </row>
    <row r="170" spans="2:86" ht="171.95" customHeight="1" x14ac:dyDescent="0.25">
      <c r="B170" s="1189"/>
      <c r="C170" s="1126"/>
      <c r="D170" s="1118"/>
      <c r="E170" s="1118"/>
      <c r="F170" s="1118"/>
      <c r="G170" s="1118"/>
      <c r="H170" s="1118"/>
      <c r="I170" s="489" t="s">
        <v>185</v>
      </c>
      <c r="J170" s="1127"/>
      <c r="K170" s="994"/>
      <c r="L170" s="490" t="s">
        <v>2140</v>
      </c>
      <c r="M170" s="451" t="s">
        <v>2141</v>
      </c>
      <c r="N170" s="489">
        <v>0.2</v>
      </c>
      <c r="O170" s="452">
        <v>44197</v>
      </c>
      <c r="P170" s="452">
        <v>44561</v>
      </c>
      <c r="Q170" s="491">
        <v>0.25</v>
      </c>
      <c r="R170" s="491">
        <v>0.5</v>
      </c>
      <c r="S170" s="492">
        <v>0.75</v>
      </c>
      <c r="T170" s="489">
        <v>1</v>
      </c>
      <c r="U170" s="381">
        <v>0.25</v>
      </c>
      <c r="V170" s="493" t="s">
        <v>2142</v>
      </c>
      <c r="W170" s="493" t="s">
        <v>4249</v>
      </c>
      <c r="X170" s="455" t="str">
        <f t="shared" si="51"/>
        <v>En gestión</v>
      </c>
      <c r="Y170" s="455" t="str">
        <f t="shared" si="52"/>
        <v>En gestión</v>
      </c>
      <c r="Z170" s="1125"/>
      <c r="AA170" s="1120"/>
      <c r="AB170" s="1121"/>
      <c r="AC170" s="1124"/>
      <c r="AD170" s="1124"/>
      <c r="AE170" s="494"/>
      <c r="AF170" s="1008"/>
      <c r="AG170" s="1008"/>
      <c r="AH170" s="1008"/>
      <c r="AI170" s="1008"/>
      <c r="AJ170" s="1008"/>
      <c r="AK170" s="1008"/>
      <c r="AL170" s="499"/>
      <c r="AM170" s="499"/>
      <c r="AN170" s="499"/>
      <c r="AO170" s="499"/>
      <c r="AP170" s="499"/>
      <c r="AQ170" s="1215">
        <v>0.5</v>
      </c>
      <c r="AR170" s="493" t="s">
        <v>2142</v>
      </c>
      <c r="AS170" s="493" t="s">
        <v>4249</v>
      </c>
      <c r="AT170" s="455" t="str">
        <f t="shared" si="53"/>
        <v>En gestión</v>
      </c>
      <c r="AU170" s="455" t="str">
        <f t="shared" si="54"/>
        <v>En gestión</v>
      </c>
      <c r="AV170" s="1125"/>
      <c r="AW170" s="1110"/>
      <c r="AX170" s="1111"/>
      <c r="AY170" s="1124"/>
      <c r="AZ170" s="1124"/>
      <c r="BA170" s="493"/>
      <c r="BB170" s="1128"/>
      <c r="BC170" s="1128"/>
      <c r="BD170" s="1128"/>
      <c r="BE170" s="1128"/>
      <c r="BF170" s="1128"/>
      <c r="BG170" s="1128"/>
      <c r="BH170" s="1128"/>
      <c r="BI170" s="1128"/>
      <c r="BJ170" s="1010" t="s">
        <v>2727</v>
      </c>
      <c r="BK170" s="1010" t="s">
        <v>2728</v>
      </c>
      <c r="BL170" s="1010" t="s">
        <v>2729</v>
      </c>
      <c r="BM170" s="506">
        <v>0.75</v>
      </c>
      <c r="BN170" s="454" t="s">
        <v>4250</v>
      </c>
      <c r="BO170" s="454" t="s">
        <v>4251</v>
      </c>
      <c r="BP170" s="455" t="str">
        <f t="shared" si="57"/>
        <v>En gestión</v>
      </c>
      <c r="BQ170" s="455" t="str">
        <f t="shared" si="58"/>
        <v>En gestión</v>
      </c>
      <c r="BR170" s="990"/>
      <c r="BS170" s="1130"/>
      <c r="BT170" s="1131"/>
      <c r="BU170" s="1124"/>
      <c r="BV170" s="1124"/>
      <c r="BW170" s="991"/>
      <c r="BX170" s="990"/>
      <c r="BY170" s="1008"/>
      <c r="BZ170" s="1008"/>
      <c r="CA170" s="1008"/>
      <c r="CB170" s="1008"/>
      <c r="CC170" s="1008"/>
      <c r="CD170" s="1008"/>
      <c r="CE170" s="1010"/>
      <c r="CF170" s="1010"/>
      <c r="CG170" s="1010"/>
      <c r="CH170" s="1010"/>
    </row>
    <row r="171" spans="2:86" ht="171.95" customHeight="1" x14ac:dyDescent="0.25">
      <c r="B171" s="1189"/>
      <c r="C171" s="1126"/>
      <c r="D171" s="1118"/>
      <c r="E171" s="1118"/>
      <c r="F171" s="1118"/>
      <c r="G171" s="1118"/>
      <c r="H171" s="1118"/>
      <c r="I171" s="489" t="s">
        <v>191</v>
      </c>
      <c r="J171" s="1127"/>
      <c r="K171" s="994"/>
      <c r="L171" s="490" t="s">
        <v>2143</v>
      </c>
      <c r="M171" s="451" t="s">
        <v>1334</v>
      </c>
      <c r="N171" s="489">
        <v>0.1</v>
      </c>
      <c r="O171" s="452">
        <v>44197</v>
      </c>
      <c r="P171" s="452">
        <v>44561</v>
      </c>
      <c r="Q171" s="491">
        <v>0.25</v>
      </c>
      <c r="R171" s="491">
        <v>0.5</v>
      </c>
      <c r="S171" s="492">
        <v>0.75</v>
      </c>
      <c r="T171" s="489">
        <v>1</v>
      </c>
      <c r="U171" s="381">
        <v>0.25</v>
      </c>
      <c r="V171" s="493" t="s">
        <v>2144</v>
      </c>
      <c r="W171" s="493" t="s">
        <v>4251</v>
      </c>
      <c r="X171" s="455" t="str">
        <f t="shared" si="51"/>
        <v>En gestión</v>
      </c>
      <c r="Y171" s="455" t="str">
        <f t="shared" si="52"/>
        <v>En gestión</v>
      </c>
      <c r="Z171" s="1125"/>
      <c r="AA171" s="1120"/>
      <c r="AB171" s="1121"/>
      <c r="AC171" s="1124"/>
      <c r="AD171" s="1124"/>
      <c r="AE171" s="494"/>
      <c r="AF171" s="1008"/>
      <c r="AG171" s="1008"/>
      <c r="AH171" s="1008"/>
      <c r="AI171" s="1008"/>
      <c r="AJ171" s="1008"/>
      <c r="AK171" s="1008"/>
      <c r="AL171" s="499"/>
      <c r="AM171" s="499"/>
      <c r="AN171" s="499"/>
      <c r="AO171" s="499"/>
      <c r="AP171" s="499"/>
      <c r="AQ171" s="1215">
        <v>0.5</v>
      </c>
      <c r="AR171" s="493" t="s">
        <v>2144</v>
      </c>
      <c r="AS171" s="493" t="s">
        <v>4251</v>
      </c>
      <c r="AT171" s="455" t="str">
        <f t="shared" si="53"/>
        <v>En gestión</v>
      </c>
      <c r="AU171" s="455" t="str">
        <f t="shared" si="54"/>
        <v>En gestión</v>
      </c>
      <c r="AV171" s="1125"/>
      <c r="AW171" s="1110"/>
      <c r="AX171" s="1111"/>
      <c r="AY171" s="1124"/>
      <c r="AZ171" s="1124"/>
      <c r="BA171" s="493"/>
      <c r="BB171" s="1128"/>
      <c r="BC171" s="1128"/>
      <c r="BD171" s="1128"/>
      <c r="BE171" s="1128"/>
      <c r="BF171" s="1128"/>
      <c r="BG171" s="1128"/>
      <c r="BH171" s="1128"/>
      <c r="BI171" s="1128"/>
      <c r="BJ171" s="1010"/>
      <c r="BK171" s="1010"/>
      <c r="BL171" s="1010"/>
      <c r="BM171" s="506">
        <v>0.75</v>
      </c>
      <c r="BN171" s="454" t="s">
        <v>2144</v>
      </c>
      <c r="BO171" s="454" t="s">
        <v>4252</v>
      </c>
      <c r="BP171" s="455" t="str">
        <f t="shared" si="57"/>
        <v>En gestión</v>
      </c>
      <c r="BQ171" s="455" t="str">
        <f t="shared" si="58"/>
        <v>En gestión</v>
      </c>
      <c r="BR171" s="990"/>
      <c r="BS171" s="1130"/>
      <c r="BT171" s="1131"/>
      <c r="BU171" s="1124"/>
      <c r="BV171" s="1124"/>
      <c r="BW171" s="991"/>
      <c r="BX171" s="990"/>
      <c r="BY171" s="1008"/>
      <c r="BZ171" s="1008"/>
      <c r="CA171" s="1008"/>
      <c r="CB171" s="1008"/>
      <c r="CC171" s="1008"/>
      <c r="CD171" s="1008"/>
      <c r="CE171" s="1010"/>
      <c r="CF171" s="1010"/>
      <c r="CG171" s="1010"/>
      <c r="CH171" s="1010"/>
    </row>
    <row r="172" spans="2:86" ht="171.95" customHeight="1" x14ac:dyDescent="0.25">
      <c r="B172" s="1189"/>
      <c r="C172" s="1126"/>
      <c r="D172" s="1118"/>
      <c r="E172" s="1118"/>
      <c r="F172" s="1118"/>
      <c r="G172" s="1118"/>
      <c r="H172" s="1118"/>
      <c r="I172" s="489" t="s">
        <v>194</v>
      </c>
      <c r="J172" s="1127"/>
      <c r="K172" s="994"/>
      <c r="L172" s="490" t="s">
        <v>2145</v>
      </c>
      <c r="M172" s="451" t="s">
        <v>2146</v>
      </c>
      <c r="N172" s="489">
        <v>0.15</v>
      </c>
      <c r="O172" s="452">
        <v>44197</v>
      </c>
      <c r="P172" s="452">
        <v>44561</v>
      </c>
      <c r="Q172" s="491">
        <v>0.25</v>
      </c>
      <c r="R172" s="491">
        <v>0.5</v>
      </c>
      <c r="S172" s="492">
        <v>0.75</v>
      </c>
      <c r="T172" s="489">
        <v>1</v>
      </c>
      <c r="U172" s="381">
        <v>0.25</v>
      </c>
      <c r="V172" s="493" t="s">
        <v>2147</v>
      </c>
      <c r="W172" s="493" t="s">
        <v>4253</v>
      </c>
      <c r="X172" s="455" t="str">
        <f t="shared" si="51"/>
        <v>En gestión</v>
      </c>
      <c r="Y172" s="455" t="str">
        <f t="shared" si="52"/>
        <v>En gestión</v>
      </c>
      <c r="Z172" s="1125"/>
      <c r="AA172" s="1120"/>
      <c r="AB172" s="1121"/>
      <c r="AC172" s="1124"/>
      <c r="AD172" s="1124"/>
      <c r="AE172" s="494"/>
      <c r="AF172" s="1008"/>
      <c r="AG172" s="1008"/>
      <c r="AH172" s="1008"/>
      <c r="AI172" s="1008"/>
      <c r="AJ172" s="1008"/>
      <c r="AK172" s="1008"/>
      <c r="AL172" s="499"/>
      <c r="AM172" s="499"/>
      <c r="AN172" s="499"/>
      <c r="AO172" s="499"/>
      <c r="AP172" s="499"/>
      <c r="AQ172" s="1215">
        <v>0.5</v>
      </c>
      <c r="AR172" s="493" t="s">
        <v>2147</v>
      </c>
      <c r="AS172" s="493" t="s">
        <v>4253</v>
      </c>
      <c r="AT172" s="455" t="str">
        <f t="shared" si="53"/>
        <v>En gestión</v>
      </c>
      <c r="AU172" s="455" t="str">
        <f t="shared" si="54"/>
        <v>En gestión</v>
      </c>
      <c r="AV172" s="1125"/>
      <c r="AW172" s="1110"/>
      <c r="AX172" s="1111"/>
      <c r="AY172" s="1124"/>
      <c r="AZ172" s="1124"/>
      <c r="BA172" s="493"/>
      <c r="BB172" s="1128"/>
      <c r="BC172" s="1128"/>
      <c r="BD172" s="1128"/>
      <c r="BE172" s="1128"/>
      <c r="BF172" s="1128"/>
      <c r="BG172" s="1128"/>
      <c r="BH172" s="1128"/>
      <c r="BI172" s="1128"/>
      <c r="BJ172" s="1010"/>
      <c r="BK172" s="1010"/>
      <c r="BL172" s="1010"/>
      <c r="BM172" s="506">
        <v>0.75</v>
      </c>
      <c r="BN172" s="454" t="s">
        <v>2147</v>
      </c>
      <c r="BO172" s="454" t="s">
        <v>4253</v>
      </c>
      <c r="BP172" s="455" t="str">
        <f t="shared" si="57"/>
        <v>En gestión</v>
      </c>
      <c r="BQ172" s="455" t="str">
        <f t="shared" si="58"/>
        <v>En gestión</v>
      </c>
      <c r="BR172" s="990"/>
      <c r="BS172" s="1130"/>
      <c r="BT172" s="1131"/>
      <c r="BU172" s="1124"/>
      <c r="BV172" s="1124"/>
      <c r="BW172" s="991"/>
      <c r="BX172" s="990"/>
      <c r="BY172" s="1008"/>
      <c r="BZ172" s="1008"/>
      <c r="CA172" s="1008"/>
      <c r="CB172" s="1008"/>
      <c r="CC172" s="1008"/>
      <c r="CD172" s="1008"/>
      <c r="CE172" s="1010"/>
      <c r="CF172" s="1010"/>
      <c r="CG172" s="1010"/>
      <c r="CH172" s="1010"/>
    </row>
    <row r="173" spans="2:86" ht="171.95" customHeight="1" x14ac:dyDescent="0.25">
      <c r="B173" s="1189"/>
      <c r="C173" s="1115" t="s">
        <v>2148</v>
      </c>
      <c r="D173" s="1116" t="s">
        <v>1045</v>
      </c>
      <c r="E173" s="1129" t="s">
        <v>2411</v>
      </c>
      <c r="F173" s="1116" t="s">
        <v>28</v>
      </c>
      <c r="G173" s="1116" t="s">
        <v>28</v>
      </c>
      <c r="H173" s="1116" t="s">
        <v>59</v>
      </c>
      <c r="I173" s="433" t="s">
        <v>1047</v>
      </c>
      <c r="J173" s="1117" t="s">
        <v>2149</v>
      </c>
      <c r="K173" s="1043" t="s">
        <v>187</v>
      </c>
      <c r="L173" s="434" t="s">
        <v>2150</v>
      </c>
      <c r="M173" s="387" t="s">
        <v>2046</v>
      </c>
      <c r="N173" s="435">
        <v>0.1</v>
      </c>
      <c r="O173" s="444">
        <v>44197</v>
      </c>
      <c r="P173" s="444">
        <v>44561</v>
      </c>
      <c r="Q173" s="435">
        <v>0.25</v>
      </c>
      <c r="R173" s="435">
        <v>0.5</v>
      </c>
      <c r="S173" s="436">
        <v>0.75</v>
      </c>
      <c r="T173" s="435">
        <v>1</v>
      </c>
      <c r="U173" s="381">
        <v>0.25</v>
      </c>
      <c r="V173" s="437" t="s">
        <v>2151</v>
      </c>
      <c r="W173" s="437" t="s">
        <v>4254</v>
      </c>
      <c r="X173" s="379" t="str">
        <f t="shared" si="51"/>
        <v>En gestión</v>
      </c>
      <c r="Y173" s="379" t="str">
        <f t="shared" si="52"/>
        <v>En gestión</v>
      </c>
      <c r="Z173" s="1113" t="s">
        <v>2281</v>
      </c>
      <c r="AA173" s="1120">
        <f>SUMPRODUCT(N173:N177,U173:U177)</f>
        <v>0.25</v>
      </c>
      <c r="AB173" s="1121">
        <f>SUMPRODUCT(N173:N177,Q173:Q177)</f>
        <v>0.25</v>
      </c>
      <c r="AC173" s="1122" t="str">
        <f>IF(AB173&lt;1%,"Sin iniciar",IF(AB173=100%,"Terminado","En gestión"))</f>
        <v>En gestión</v>
      </c>
      <c r="AD173" s="1122" t="str">
        <f>IF(AA173&lt;1%,"Sin iniciar",IF(AA173=100%,"Terminado","En gestión"))</f>
        <v>En gestión</v>
      </c>
      <c r="AE173" s="438"/>
      <c r="AF173" s="1005">
        <v>119267202</v>
      </c>
      <c r="AG173" s="1005">
        <v>0</v>
      </c>
      <c r="AH173" s="1005">
        <v>29816801</v>
      </c>
      <c r="AI173" s="1005">
        <f>55250000+2760666786</f>
        <v>2815916786</v>
      </c>
      <c r="AJ173" s="1005">
        <v>0</v>
      </c>
      <c r="AK173" s="1005">
        <f>17000000+2041847324</f>
        <v>2058847324</v>
      </c>
      <c r="AL173" s="441"/>
      <c r="AM173" s="441"/>
      <c r="AN173" s="441"/>
      <c r="AO173" s="441"/>
      <c r="AP173" s="441"/>
      <c r="AQ173" s="1215">
        <v>0.5</v>
      </c>
      <c r="AR173" s="437" t="s">
        <v>2445</v>
      </c>
      <c r="AS173" s="437" t="s">
        <v>4255</v>
      </c>
      <c r="AT173" s="379" t="str">
        <f t="shared" si="53"/>
        <v>En gestión</v>
      </c>
      <c r="AU173" s="379" t="str">
        <f t="shared" si="54"/>
        <v>En gestión</v>
      </c>
      <c r="AV173" s="1113" t="s">
        <v>2352</v>
      </c>
      <c r="AW173" s="1110">
        <f>SUMPRODUCT(N173:N177,AQ173:AQ177)</f>
        <v>0.5</v>
      </c>
      <c r="AX173" s="1111">
        <f>SUMPRODUCT(N173:N177,R173:R177)</f>
        <v>0.5</v>
      </c>
      <c r="AY173" s="1122" t="str">
        <f>IF(AX173&lt;1%,"Sin iniciar",IF(AX173=100%,"Terminado","En gestión"))</f>
        <v>En gestión</v>
      </c>
      <c r="AZ173" s="1122" t="str">
        <f>IF(AW173&lt;1%,"Sin iniciar",IF(AW173=100%,"Terminado","En gestión"))</f>
        <v>En gestión</v>
      </c>
      <c r="BA173" s="437"/>
      <c r="BB173" s="1011">
        <v>119267202</v>
      </c>
      <c r="BC173" s="1011">
        <v>86507622</v>
      </c>
      <c r="BD173" s="1011">
        <v>53081685</v>
      </c>
      <c r="BE173" s="1011">
        <f>55250000+2760666786</f>
        <v>2815916786</v>
      </c>
      <c r="BF173" s="1011">
        <f>55250000+2760666786</f>
        <v>2815916786</v>
      </c>
      <c r="BG173" s="1011">
        <f>51000000+2281453811</f>
        <v>2332453811</v>
      </c>
      <c r="BH173" s="1011" t="s">
        <v>2666</v>
      </c>
      <c r="BI173" s="1011"/>
      <c r="BJ173" s="1011" t="s">
        <v>2730</v>
      </c>
      <c r="BK173" s="1011" t="s">
        <v>2731</v>
      </c>
      <c r="BL173" s="1132" t="s">
        <v>2732</v>
      </c>
      <c r="BM173" s="506">
        <v>0.8</v>
      </c>
      <c r="BN173" s="389" t="s">
        <v>4256</v>
      </c>
      <c r="BO173" s="389" t="s">
        <v>4257</v>
      </c>
      <c r="BP173" s="379" t="str">
        <f t="shared" si="57"/>
        <v>En gestión</v>
      </c>
      <c r="BQ173" s="379" t="str">
        <f t="shared" si="58"/>
        <v>En gestión</v>
      </c>
      <c r="BR173" s="1006" t="s">
        <v>4258</v>
      </c>
      <c r="BS173" s="1130">
        <f>SUMPRODUCT(N173:N177,BM173:BM177)</f>
        <v>0.78500000000000003</v>
      </c>
      <c r="BT173" s="1131">
        <f>SUMPRODUCT(N173:N177,S173:S177)</f>
        <v>0.75</v>
      </c>
      <c r="BU173" s="1122" t="str">
        <f>IF(BT173&lt;1%,"Sin iniciar",IF(BT173=100%,"Terminado","En gestión"))</f>
        <v>En gestión</v>
      </c>
      <c r="BV173" s="1122" t="str">
        <f>IF(BS173&lt;1%,"Sin iniciar",IF(BS173=100%,"Terminado","En gestión"))</f>
        <v>En gestión</v>
      </c>
      <c r="BW173" s="1016" t="s">
        <v>28</v>
      </c>
      <c r="BX173" s="1006" t="s">
        <v>3631</v>
      </c>
      <c r="BY173" s="1005">
        <v>119267202</v>
      </c>
      <c r="BZ173" s="1005">
        <v>84962641</v>
      </c>
      <c r="CA173" s="1005">
        <v>69714883</v>
      </c>
      <c r="CB173" s="1005">
        <f>55250000+2760666786</f>
        <v>2815916786</v>
      </c>
      <c r="CC173" s="1005"/>
      <c r="CD173" s="1005">
        <f>55250000+2521060299</f>
        <v>2576310299</v>
      </c>
      <c r="CE173" s="442" t="s">
        <v>2666</v>
      </c>
      <c r="CF173" s="442" t="s">
        <v>2730</v>
      </c>
      <c r="CG173" s="442" t="s">
        <v>2731</v>
      </c>
      <c r="CH173" s="442" t="s">
        <v>2732</v>
      </c>
    </row>
    <row r="174" spans="2:86" ht="171.95" customHeight="1" x14ac:dyDescent="0.25">
      <c r="B174" s="1189"/>
      <c r="C174" s="1115"/>
      <c r="D174" s="1116"/>
      <c r="E174" s="1129"/>
      <c r="F174" s="1116"/>
      <c r="G174" s="1116"/>
      <c r="H174" s="1116"/>
      <c r="I174" s="433" t="s">
        <v>1039</v>
      </c>
      <c r="J174" s="1117"/>
      <c r="K174" s="1043"/>
      <c r="L174" s="434" t="s">
        <v>2152</v>
      </c>
      <c r="M174" s="387" t="s">
        <v>1325</v>
      </c>
      <c r="N174" s="435">
        <v>0.3</v>
      </c>
      <c r="O174" s="444">
        <v>44197</v>
      </c>
      <c r="P174" s="444">
        <v>44561</v>
      </c>
      <c r="Q174" s="435">
        <v>0.25</v>
      </c>
      <c r="R174" s="435">
        <v>0.5</v>
      </c>
      <c r="S174" s="436">
        <v>0.75</v>
      </c>
      <c r="T174" s="435">
        <v>1</v>
      </c>
      <c r="U174" s="381">
        <v>0.25</v>
      </c>
      <c r="V174" s="437" t="s">
        <v>2153</v>
      </c>
      <c r="W174" s="437" t="s">
        <v>4259</v>
      </c>
      <c r="X174" s="379" t="str">
        <f t="shared" si="51"/>
        <v>En gestión</v>
      </c>
      <c r="Y174" s="379" t="str">
        <f t="shared" si="52"/>
        <v>En gestión</v>
      </c>
      <c r="Z174" s="1113"/>
      <c r="AA174" s="1120"/>
      <c r="AB174" s="1121"/>
      <c r="AC174" s="1122"/>
      <c r="AD174" s="1122"/>
      <c r="AE174" s="438"/>
      <c r="AF174" s="1005"/>
      <c r="AG174" s="1005"/>
      <c r="AH174" s="1005"/>
      <c r="AI174" s="1005"/>
      <c r="AJ174" s="1005"/>
      <c r="AK174" s="1005"/>
      <c r="AL174" s="441"/>
      <c r="AM174" s="441"/>
      <c r="AN174" s="441"/>
      <c r="AO174" s="441"/>
      <c r="AP174" s="441"/>
      <c r="AQ174" s="1215">
        <v>0.5</v>
      </c>
      <c r="AR174" s="437" t="s">
        <v>2309</v>
      </c>
      <c r="AS174" s="437" t="s">
        <v>4260</v>
      </c>
      <c r="AT174" s="379" t="str">
        <f t="shared" si="53"/>
        <v>En gestión</v>
      </c>
      <c r="AU174" s="379" t="str">
        <f t="shared" si="54"/>
        <v>En gestión</v>
      </c>
      <c r="AV174" s="1113"/>
      <c r="AW174" s="1110"/>
      <c r="AX174" s="1111"/>
      <c r="AY174" s="1122"/>
      <c r="AZ174" s="1122"/>
      <c r="BA174" s="437"/>
      <c r="BB174" s="1011"/>
      <c r="BC174" s="1011"/>
      <c r="BD174" s="1011"/>
      <c r="BE174" s="1011"/>
      <c r="BF174" s="1011"/>
      <c r="BG174" s="1011"/>
      <c r="BH174" s="1011"/>
      <c r="BI174" s="1011"/>
      <c r="BJ174" s="1011"/>
      <c r="BK174" s="1011"/>
      <c r="BL174" s="1132"/>
      <c r="BM174" s="506">
        <v>0.75</v>
      </c>
      <c r="BN174" s="389" t="s">
        <v>4261</v>
      </c>
      <c r="BO174" s="389" t="s">
        <v>4262</v>
      </c>
      <c r="BP174" s="379" t="str">
        <f t="shared" si="57"/>
        <v>En gestión</v>
      </c>
      <c r="BQ174" s="379" t="str">
        <f t="shared" si="58"/>
        <v>En gestión</v>
      </c>
      <c r="BR174" s="1006"/>
      <c r="BS174" s="1130"/>
      <c r="BT174" s="1131"/>
      <c r="BU174" s="1122"/>
      <c r="BV174" s="1122"/>
      <c r="BW174" s="1016"/>
      <c r="BX174" s="1006"/>
      <c r="BY174" s="1005"/>
      <c r="BZ174" s="1005"/>
      <c r="CA174" s="1005"/>
      <c r="CB174" s="1005"/>
      <c r="CC174" s="1005"/>
      <c r="CD174" s="1005"/>
      <c r="CE174" s="1132" t="s">
        <v>4137</v>
      </c>
      <c r="CF174" s="1132" t="s">
        <v>4138</v>
      </c>
      <c r="CG174" s="1132" t="s">
        <v>4139</v>
      </c>
      <c r="CH174" s="1132" t="s">
        <v>4263</v>
      </c>
    </row>
    <row r="175" spans="2:86" ht="171.95" customHeight="1" x14ac:dyDescent="0.25">
      <c r="B175" s="1189"/>
      <c r="C175" s="1115"/>
      <c r="D175" s="1116"/>
      <c r="E175" s="1129"/>
      <c r="F175" s="1116"/>
      <c r="G175" s="1116"/>
      <c r="H175" s="1116"/>
      <c r="I175" s="433" t="s">
        <v>185</v>
      </c>
      <c r="J175" s="1117"/>
      <c r="K175" s="1043"/>
      <c r="L175" s="434" t="s">
        <v>2154</v>
      </c>
      <c r="M175" s="387" t="s">
        <v>2141</v>
      </c>
      <c r="N175" s="435">
        <v>0.25</v>
      </c>
      <c r="O175" s="444">
        <v>44197</v>
      </c>
      <c r="P175" s="444">
        <v>44561</v>
      </c>
      <c r="Q175" s="435">
        <v>0.25</v>
      </c>
      <c r="R175" s="435">
        <v>0.5</v>
      </c>
      <c r="S175" s="436">
        <v>0.75</v>
      </c>
      <c r="T175" s="435">
        <v>1</v>
      </c>
      <c r="U175" s="381">
        <v>0.25</v>
      </c>
      <c r="V175" s="437" t="s">
        <v>2155</v>
      </c>
      <c r="W175" s="437" t="s">
        <v>4264</v>
      </c>
      <c r="X175" s="379" t="str">
        <f t="shared" si="51"/>
        <v>En gestión</v>
      </c>
      <c r="Y175" s="379" t="str">
        <f t="shared" si="52"/>
        <v>En gestión</v>
      </c>
      <c r="Z175" s="1113"/>
      <c r="AA175" s="1120"/>
      <c r="AB175" s="1121"/>
      <c r="AC175" s="1122"/>
      <c r="AD175" s="1122"/>
      <c r="AE175" s="438"/>
      <c r="AF175" s="1005"/>
      <c r="AG175" s="1005"/>
      <c r="AH175" s="1005"/>
      <c r="AI175" s="1005"/>
      <c r="AJ175" s="1005"/>
      <c r="AK175" s="1005"/>
      <c r="AL175" s="441"/>
      <c r="AM175" s="441"/>
      <c r="AN175" s="441"/>
      <c r="AO175" s="441"/>
      <c r="AP175" s="441"/>
      <c r="AQ175" s="1215">
        <v>0.5</v>
      </c>
      <c r="AR175" s="437" t="s">
        <v>2310</v>
      </c>
      <c r="AS175" s="437" t="s">
        <v>4265</v>
      </c>
      <c r="AT175" s="379" t="str">
        <f t="shared" si="53"/>
        <v>En gestión</v>
      </c>
      <c r="AU175" s="379" t="str">
        <f t="shared" si="54"/>
        <v>En gestión</v>
      </c>
      <c r="AV175" s="1113"/>
      <c r="AW175" s="1110"/>
      <c r="AX175" s="1111"/>
      <c r="AY175" s="1122"/>
      <c r="AZ175" s="1122"/>
      <c r="BA175" s="437"/>
      <c r="BB175" s="1011"/>
      <c r="BC175" s="1011"/>
      <c r="BD175" s="1011"/>
      <c r="BE175" s="1011"/>
      <c r="BF175" s="1011"/>
      <c r="BG175" s="1011"/>
      <c r="BH175" s="1011"/>
      <c r="BI175" s="1011"/>
      <c r="BJ175" s="1011"/>
      <c r="BK175" s="1011"/>
      <c r="BL175" s="1132"/>
      <c r="BM175" s="506">
        <v>0.8</v>
      </c>
      <c r="BN175" s="389" t="s">
        <v>4266</v>
      </c>
      <c r="BO175" s="389" t="s">
        <v>4267</v>
      </c>
      <c r="BP175" s="379" t="str">
        <f t="shared" ref="BP175:BP205" si="59">IF(S175&lt;1%,"Sin iniciar",IF(S175=100%,"Terminado","En gestión"))</f>
        <v>En gestión</v>
      </c>
      <c r="BQ175" s="379" t="str">
        <f t="shared" si="58"/>
        <v>En gestión</v>
      </c>
      <c r="BR175" s="1006"/>
      <c r="BS175" s="1130"/>
      <c r="BT175" s="1131"/>
      <c r="BU175" s="1122"/>
      <c r="BV175" s="1122"/>
      <c r="BW175" s="1016"/>
      <c r="BX175" s="1006"/>
      <c r="BY175" s="1005"/>
      <c r="BZ175" s="1005"/>
      <c r="CA175" s="1005"/>
      <c r="CB175" s="1005"/>
      <c r="CC175" s="1005"/>
      <c r="CD175" s="1005"/>
      <c r="CE175" s="1132"/>
      <c r="CF175" s="1132"/>
      <c r="CG175" s="1132"/>
      <c r="CH175" s="1132"/>
    </row>
    <row r="176" spans="2:86" ht="171.95" customHeight="1" x14ac:dyDescent="0.25">
      <c r="B176" s="1189"/>
      <c r="C176" s="1115"/>
      <c r="D176" s="1116"/>
      <c r="E176" s="1129"/>
      <c r="F176" s="1116"/>
      <c r="G176" s="1116"/>
      <c r="H176" s="1116"/>
      <c r="I176" s="433" t="s">
        <v>191</v>
      </c>
      <c r="J176" s="1117"/>
      <c r="K176" s="1043"/>
      <c r="L176" s="434" t="s">
        <v>2156</v>
      </c>
      <c r="M176" s="387" t="s">
        <v>1334</v>
      </c>
      <c r="N176" s="435">
        <v>0.15</v>
      </c>
      <c r="O176" s="444">
        <v>44197</v>
      </c>
      <c r="P176" s="444">
        <v>44561</v>
      </c>
      <c r="Q176" s="435">
        <v>0.25</v>
      </c>
      <c r="R176" s="435">
        <v>0.5</v>
      </c>
      <c r="S176" s="436">
        <v>0.75</v>
      </c>
      <c r="T176" s="435">
        <v>1</v>
      </c>
      <c r="U176" s="381">
        <v>0.25</v>
      </c>
      <c r="V176" s="437" t="s">
        <v>2157</v>
      </c>
      <c r="W176" s="437" t="s">
        <v>4268</v>
      </c>
      <c r="X176" s="379" t="str">
        <f t="shared" si="51"/>
        <v>En gestión</v>
      </c>
      <c r="Y176" s="379" t="str">
        <f t="shared" si="52"/>
        <v>En gestión</v>
      </c>
      <c r="Z176" s="1113"/>
      <c r="AA176" s="1120"/>
      <c r="AB176" s="1121"/>
      <c r="AC176" s="1122"/>
      <c r="AD176" s="1122"/>
      <c r="AE176" s="438"/>
      <c r="AF176" s="1005"/>
      <c r="AG176" s="1005"/>
      <c r="AH176" s="1005"/>
      <c r="AI176" s="1005"/>
      <c r="AJ176" s="1005"/>
      <c r="AK176" s="1005"/>
      <c r="AL176" s="441"/>
      <c r="AM176" s="441"/>
      <c r="AN176" s="441"/>
      <c r="AO176" s="441"/>
      <c r="AP176" s="441"/>
      <c r="AQ176" s="1215">
        <v>0.5</v>
      </c>
      <c r="AR176" s="437" t="s">
        <v>2311</v>
      </c>
      <c r="AS176" s="437" t="s">
        <v>4269</v>
      </c>
      <c r="AT176" s="379" t="str">
        <f t="shared" si="53"/>
        <v>En gestión</v>
      </c>
      <c r="AU176" s="379" t="str">
        <f t="shared" si="54"/>
        <v>En gestión</v>
      </c>
      <c r="AV176" s="1113"/>
      <c r="AW176" s="1110"/>
      <c r="AX176" s="1111"/>
      <c r="AY176" s="1122"/>
      <c r="AZ176" s="1122"/>
      <c r="BA176" s="437"/>
      <c r="BB176" s="1011"/>
      <c r="BC176" s="1011"/>
      <c r="BD176" s="1011"/>
      <c r="BE176" s="1011"/>
      <c r="BF176" s="1011"/>
      <c r="BG176" s="1011"/>
      <c r="BH176" s="1011"/>
      <c r="BI176" s="1011"/>
      <c r="BJ176" s="1011"/>
      <c r="BK176" s="1011"/>
      <c r="BL176" s="1132"/>
      <c r="BM176" s="506">
        <v>0.8</v>
      </c>
      <c r="BN176" s="389" t="s">
        <v>4270</v>
      </c>
      <c r="BO176" s="389" t="s">
        <v>4271</v>
      </c>
      <c r="BP176" s="379" t="str">
        <f t="shared" si="59"/>
        <v>En gestión</v>
      </c>
      <c r="BQ176" s="379" t="str">
        <f t="shared" si="58"/>
        <v>En gestión</v>
      </c>
      <c r="BR176" s="1006"/>
      <c r="BS176" s="1130"/>
      <c r="BT176" s="1131"/>
      <c r="BU176" s="1122"/>
      <c r="BV176" s="1122"/>
      <c r="BW176" s="1016"/>
      <c r="BX176" s="1006"/>
      <c r="BY176" s="1005"/>
      <c r="BZ176" s="1005"/>
      <c r="CA176" s="1005"/>
      <c r="CB176" s="1005"/>
      <c r="CC176" s="1005"/>
      <c r="CD176" s="1005"/>
      <c r="CE176" s="1132"/>
      <c r="CF176" s="1132"/>
      <c r="CG176" s="1132"/>
      <c r="CH176" s="1132"/>
    </row>
    <row r="177" spans="2:86" ht="171.95" customHeight="1" x14ac:dyDescent="0.25">
      <c r="B177" s="1189"/>
      <c r="C177" s="1115"/>
      <c r="D177" s="1116"/>
      <c r="E177" s="1129"/>
      <c r="F177" s="1116"/>
      <c r="G177" s="1116"/>
      <c r="H177" s="1116"/>
      <c r="I177" s="433" t="s">
        <v>194</v>
      </c>
      <c r="J177" s="1117"/>
      <c r="K177" s="1043"/>
      <c r="L177" s="434" t="s">
        <v>2158</v>
      </c>
      <c r="M177" s="387" t="s">
        <v>2146</v>
      </c>
      <c r="N177" s="435">
        <v>0.2</v>
      </c>
      <c r="O177" s="444">
        <v>44197</v>
      </c>
      <c r="P177" s="444">
        <v>44561</v>
      </c>
      <c r="Q177" s="435">
        <v>0.25</v>
      </c>
      <c r="R177" s="435">
        <v>0.5</v>
      </c>
      <c r="S177" s="436">
        <v>0.75</v>
      </c>
      <c r="T177" s="435">
        <v>1</v>
      </c>
      <c r="U177" s="381">
        <v>0.25</v>
      </c>
      <c r="V177" s="437" t="s">
        <v>2159</v>
      </c>
      <c r="W177" s="437" t="s">
        <v>4268</v>
      </c>
      <c r="X177" s="379" t="str">
        <f t="shared" si="51"/>
        <v>En gestión</v>
      </c>
      <c r="Y177" s="379" t="str">
        <f t="shared" si="52"/>
        <v>En gestión</v>
      </c>
      <c r="Z177" s="1113"/>
      <c r="AA177" s="1120"/>
      <c r="AB177" s="1121"/>
      <c r="AC177" s="1122"/>
      <c r="AD177" s="1122"/>
      <c r="AE177" s="438"/>
      <c r="AF177" s="1005"/>
      <c r="AG177" s="1005"/>
      <c r="AH177" s="1005"/>
      <c r="AI177" s="1005"/>
      <c r="AJ177" s="1005"/>
      <c r="AK177" s="1005"/>
      <c r="AL177" s="441"/>
      <c r="AM177" s="441"/>
      <c r="AN177" s="441"/>
      <c r="AO177" s="441"/>
      <c r="AP177" s="441"/>
      <c r="AQ177" s="1215">
        <v>0.5</v>
      </c>
      <c r="AR177" s="437" t="s">
        <v>2312</v>
      </c>
      <c r="AS177" s="437" t="s">
        <v>4272</v>
      </c>
      <c r="AT177" s="379" t="str">
        <f t="shared" si="53"/>
        <v>En gestión</v>
      </c>
      <c r="AU177" s="379" t="str">
        <f t="shared" si="54"/>
        <v>En gestión</v>
      </c>
      <c r="AV177" s="1113"/>
      <c r="AW177" s="1110"/>
      <c r="AX177" s="1111"/>
      <c r="AY177" s="1122"/>
      <c r="AZ177" s="1122"/>
      <c r="BA177" s="437"/>
      <c r="BB177" s="1011"/>
      <c r="BC177" s="1011"/>
      <c r="BD177" s="1011"/>
      <c r="BE177" s="1011"/>
      <c r="BF177" s="1011"/>
      <c r="BG177" s="1011"/>
      <c r="BH177" s="1011"/>
      <c r="BI177" s="1011"/>
      <c r="BJ177" s="1011"/>
      <c r="BK177" s="1011"/>
      <c r="BL177" s="1132"/>
      <c r="BM177" s="506">
        <v>0.8</v>
      </c>
      <c r="BN177" s="389" t="s">
        <v>4273</v>
      </c>
      <c r="BO177" s="389" t="s">
        <v>4274</v>
      </c>
      <c r="BP177" s="379" t="str">
        <f t="shared" si="59"/>
        <v>En gestión</v>
      </c>
      <c r="BQ177" s="379" t="str">
        <f t="shared" si="58"/>
        <v>En gestión</v>
      </c>
      <c r="BR177" s="1006"/>
      <c r="BS177" s="1130"/>
      <c r="BT177" s="1131"/>
      <c r="BU177" s="1122"/>
      <c r="BV177" s="1122"/>
      <c r="BW177" s="1016"/>
      <c r="BX177" s="1006"/>
      <c r="BY177" s="1005"/>
      <c r="BZ177" s="1005"/>
      <c r="CA177" s="1005"/>
      <c r="CB177" s="1005"/>
      <c r="CC177" s="1005"/>
      <c r="CD177" s="1005"/>
      <c r="CE177" s="1132"/>
      <c r="CF177" s="1132"/>
      <c r="CG177" s="1132"/>
      <c r="CH177" s="1132"/>
    </row>
    <row r="178" spans="2:86" ht="171.95" customHeight="1" x14ac:dyDescent="0.25">
      <c r="B178" s="1189"/>
      <c r="C178" s="1126" t="s">
        <v>2160</v>
      </c>
      <c r="D178" s="1118" t="s">
        <v>1045</v>
      </c>
      <c r="E178" s="1133" t="s">
        <v>2412</v>
      </c>
      <c r="F178" s="1118" t="s">
        <v>28</v>
      </c>
      <c r="G178" s="1118" t="s">
        <v>28</v>
      </c>
      <c r="H178" s="1118" t="s">
        <v>59</v>
      </c>
      <c r="I178" s="489" t="s">
        <v>1039</v>
      </c>
      <c r="J178" s="1127" t="s">
        <v>2161</v>
      </c>
      <c r="K178" s="994" t="s">
        <v>187</v>
      </c>
      <c r="L178" s="490" t="s">
        <v>2162</v>
      </c>
      <c r="M178" s="451" t="s">
        <v>2124</v>
      </c>
      <c r="N178" s="489">
        <v>0.2</v>
      </c>
      <c r="O178" s="452">
        <v>44197</v>
      </c>
      <c r="P178" s="452">
        <v>44377</v>
      </c>
      <c r="Q178" s="489">
        <v>0.25</v>
      </c>
      <c r="R178" s="491">
        <v>1</v>
      </c>
      <c r="S178" s="492">
        <v>1</v>
      </c>
      <c r="T178" s="489">
        <v>1</v>
      </c>
      <c r="U178" s="381">
        <v>0.25</v>
      </c>
      <c r="V178" s="493" t="s">
        <v>2163</v>
      </c>
      <c r="W178" s="493" t="s">
        <v>4275</v>
      </c>
      <c r="X178" s="455" t="str">
        <f t="shared" si="51"/>
        <v>En gestión</v>
      </c>
      <c r="Y178" s="455" t="str">
        <f t="shared" si="52"/>
        <v>En gestión</v>
      </c>
      <c r="Z178" s="1125" t="s">
        <v>2282</v>
      </c>
      <c r="AA178" s="1120">
        <f>SUMPRODUCT(N178:N182,U178:U182)</f>
        <v>0.27500000000000002</v>
      </c>
      <c r="AB178" s="1121">
        <f>SUMPRODUCT(N178:N182,Q178:Q182)</f>
        <v>0.27500000000000002</v>
      </c>
      <c r="AC178" s="1124" t="str">
        <f>IF(AB178&lt;1%,"Sin iniciar",IF(AB178=100%,"Terminado","En gestión"))</f>
        <v>En gestión</v>
      </c>
      <c r="AD178" s="1124" t="str">
        <f>IF(AA178&lt;1%,"Sin iniciar",IF(AA178=100%,"Terminado","En gestión"))</f>
        <v>En gestión</v>
      </c>
      <c r="AE178" s="493" t="s">
        <v>2283</v>
      </c>
      <c r="AF178" s="1008">
        <v>29648904</v>
      </c>
      <c r="AG178" s="1008">
        <v>0</v>
      </c>
      <c r="AH178" s="1008">
        <v>7412226</v>
      </c>
      <c r="AI178" s="1008">
        <f>159795000+2454319398</f>
        <v>2614114398</v>
      </c>
      <c r="AJ178" s="1008"/>
      <c r="AK178" s="1008">
        <f>26632500+1312521816</f>
        <v>1339154316</v>
      </c>
      <c r="AL178" s="499"/>
      <c r="AM178" s="499"/>
      <c r="AN178" s="499"/>
      <c r="AO178" s="499"/>
      <c r="AP178" s="499"/>
      <c r="AQ178" s="1215">
        <v>1</v>
      </c>
      <c r="AR178" s="493" t="s">
        <v>2313</v>
      </c>
      <c r="AS178" s="493" t="s">
        <v>4276</v>
      </c>
      <c r="AT178" s="455" t="str">
        <f t="shared" si="53"/>
        <v>Terminado</v>
      </c>
      <c r="AU178" s="455" t="str">
        <f t="shared" si="54"/>
        <v>Terminado</v>
      </c>
      <c r="AV178" s="1125" t="s">
        <v>2353</v>
      </c>
      <c r="AW178" s="1110">
        <f>SUMPRODUCT(N178:N181,AQ178:AQ181)</f>
        <v>0.60000000000000009</v>
      </c>
      <c r="AX178" s="1111">
        <f>SUMPRODUCT(N178:N181,R178:R181)</f>
        <v>0.60000000000000009</v>
      </c>
      <c r="AY178" s="1124" t="str">
        <f>IF(AX178&lt;1%,"Sin iniciar",IF(AX178=100%,"Terminado","En gestión"))</f>
        <v>En gestión</v>
      </c>
      <c r="AZ178" s="1124" t="str">
        <f>IF(AW178&lt;1%,"Sin iniciar",IF(AW178=100%,"Terminado","En gestión"))</f>
        <v>En gestión</v>
      </c>
      <c r="BA178" s="493"/>
      <c r="BB178" s="1128">
        <v>29648904</v>
      </c>
      <c r="BC178" s="1128">
        <v>29648904</v>
      </c>
      <c r="BD178" s="1128">
        <v>14824452</v>
      </c>
      <c r="BE178" s="1128">
        <f>159795000+2454319398</f>
        <v>2614114398</v>
      </c>
      <c r="BF178" s="1128">
        <f>159795000+2454319398</f>
        <v>2614114398</v>
      </c>
      <c r="BG178" s="1128">
        <f>79897500+1693121010</f>
        <v>1773018510</v>
      </c>
      <c r="BH178" s="1128" t="s">
        <v>2666</v>
      </c>
      <c r="BI178" s="1128"/>
      <c r="BJ178" s="1128" t="s">
        <v>2705</v>
      </c>
      <c r="BK178" s="1128" t="s">
        <v>2668</v>
      </c>
      <c r="BL178" s="1010" t="s">
        <v>2733</v>
      </c>
      <c r="BM178" s="506">
        <v>1</v>
      </c>
      <c r="BN178" s="454" t="s">
        <v>4277</v>
      </c>
      <c r="BO178" s="454" t="s">
        <v>541</v>
      </c>
      <c r="BP178" s="455" t="str">
        <f t="shared" si="59"/>
        <v>Terminado</v>
      </c>
      <c r="BQ178" s="455" t="str">
        <f t="shared" si="58"/>
        <v>Terminado</v>
      </c>
      <c r="BR178" s="1012" t="s">
        <v>2353</v>
      </c>
      <c r="BS178" s="1130">
        <f>SUMPRODUCT(N178:N181,BM178:BM181)</f>
        <v>0.79999999999999993</v>
      </c>
      <c r="BT178" s="1131">
        <f>SUMPRODUCT(N178:N181,S178:S181)</f>
        <v>0.79999999999999993</v>
      </c>
      <c r="BU178" s="1124" t="str">
        <f>IF(BT178&lt;1%,"Sin iniciar",IF(BT178=100%,"Terminado","En gestión"))</f>
        <v>En gestión</v>
      </c>
      <c r="BV178" s="1124" t="str">
        <f>IF(BS178&lt;1%,"Sin iniciar",IF(BS178=100%,"Terminado","En gestión"))</f>
        <v>En gestión</v>
      </c>
      <c r="BW178" s="991" t="s">
        <v>28</v>
      </c>
      <c r="BX178" s="1012" t="s">
        <v>3631</v>
      </c>
      <c r="BY178" s="1008">
        <v>29648904</v>
      </c>
      <c r="BZ178" s="1008">
        <v>15211370</v>
      </c>
      <c r="CA178" s="1008">
        <v>15211370</v>
      </c>
      <c r="CB178" s="1008">
        <f>159795000+2454319398</f>
        <v>2614114398</v>
      </c>
      <c r="CC178" s="1008"/>
      <c r="CD178" s="1008">
        <f>106530000+2073720204</f>
        <v>2180250204</v>
      </c>
      <c r="CE178" s="500" t="s">
        <v>2666</v>
      </c>
      <c r="CF178" s="500" t="s">
        <v>2705</v>
      </c>
      <c r="CG178" s="500" t="s">
        <v>2668</v>
      </c>
      <c r="CH178" s="500" t="s">
        <v>2733</v>
      </c>
    </row>
    <row r="179" spans="2:86" ht="171.95" customHeight="1" x14ac:dyDescent="0.25">
      <c r="B179" s="1189"/>
      <c r="C179" s="1126"/>
      <c r="D179" s="1118"/>
      <c r="E179" s="1133"/>
      <c r="F179" s="1118"/>
      <c r="G179" s="1118"/>
      <c r="H179" s="1118"/>
      <c r="I179" s="489" t="s">
        <v>185</v>
      </c>
      <c r="J179" s="1127"/>
      <c r="K179" s="994"/>
      <c r="L179" s="490" t="s">
        <v>2164</v>
      </c>
      <c r="M179" s="451" t="s">
        <v>2141</v>
      </c>
      <c r="N179" s="489">
        <v>0.2</v>
      </c>
      <c r="O179" s="452">
        <v>44197</v>
      </c>
      <c r="P179" s="452">
        <v>44561</v>
      </c>
      <c r="Q179" s="489">
        <v>0.25</v>
      </c>
      <c r="R179" s="491">
        <v>0.5</v>
      </c>
      <c r="S179" s="492">
        <v>0.75</v>
      </c>
      <c r="T179" s="489">
        <v>1</v>
      </c>
      <c r="U179" s="381">
        <v>0.25</v>
      </c>
      <c r="V179" s="493" t="s">
        <v>2165</v>
      </c>
      <c r="W179" s="493" t="s">
        <v>4278</v>
      </c>
      <c r="X179" s="455" t="str">
        <f t="shared" si="51"/>
        <v>En gestión</v>
      </c>
      <c r="Y179" s="455" t="str">
        <f t="shared" si="52"/>
        <v>En gestión</v>
      </c>
      <c r="Z179" s="1125"/>
      <c r="AA179" s="1120"/>
      <c r="AB179" s="1121"/>
      <c r="AC179" s="1124"/>
      <c r="AD179" s="1124"/>
      <c r="AE179" s="494"/>
      <c r="AF179" s="1008"/>
      <c r="AG179" s="1008"/>
      <c r="AH179" s="1008"/>
      <c r="AI179" s="1008"/>
      <c r="AJ179" s="1008"/>
      <c r="AK179" s="1008"/>
      <c r="AL179" s="499"/>
      <c r="AM179" s="499"/>
      <c r="AN179" s="499"/>
      <c r="AO179" s="499"/>
      <c r="AP179" s="499"/>
      <c r="AQ179" s="1215">
        <v>0.5</v>
      </c>
      <c r="AR179" s="493" t="s">
        <v>2165</v>
      </c>
      <c r="AS179" s="493" t="s">
        <v>4279</v>
      </c>
      <c r="AT179" s="455" t="str">
        <f t="shared" si="53"/>
        <v>En gestión</v>
      </c>
      <c r="AU179" s="455" t="str">
        <f t="shared" si="54"/>
        <v>En gestión</v>
      </c>
      <c r="AV179" s="1125"/>
      <c r="AW179" s="1110"/>
      <c r="AX179" s="1111"/>
      <c r="AY179" s="1124"/>
      <c r="AZ179" s="1124"/>
      <c r="BA179" s="493"/>
      <c r="BB179" s="1128"/>
      <c r="BC179" s="1128"/>
      <c r="BD179" s="1128"/>
      <c r="BE179" s="1128"/>
      <c r="BF179" s="1128"/>
      <c r="BG179" s="1128"/>
      <c r="BH179" s="1128"/>
      <c r="BI179" s="1128"/>
      <c r="BJ179" s="1128"/>
      <c r="BK179" s="1128"/>
      <c r="BL179" s="1010"/>
      <c r="BM179" s="506">
        <v>0.75</v>
      </c>
      <c r="BN179" s="497" t="s">
        <v>4280</v>
      </c>
      <c r="BO179" s="454" t="s">
        <v>4281</v>
      </c>
      <c r="BP179" s="455" t="str">
        <f t="shared" si="59"/>
        <v>En gestión</v>
      </c>
      <c r="BQ179" s="455" t="str">
        <f t="shared" si="58"/>
        <v>En gestión</v>
      </c>
      <c r="BR179" s="1012"/>
      <c r="BS179" s="1130"/>
      <c r="BT179" s="1131"/>
      <c r="BU179" s="1124"/>
      <c r="BV179" s="1124"/>
      <c r="BW179" s="991"/>
      <c r="BX179" s="1012"/>
      <c r="BY179" s="1008"/>
      <c r="BZ179" s="1008"/>
      <c r="CA179" s="1008"/>
      <c r="CB179" s="1008"/>
      <c r="CC179" s="1008"/>
      <c r="CD179" s="1008"/>
      <c r="CE179" s="1010" t="s">
        <v>4137</v>
      </c>
      <c r="CF179" s="1010" t="s">
        <v>4138</v>
      </c>
      <c r="CG179" s="1010" t="s">
        <v>4139</v>
      </c>
      <c r="CH179" s="1010" t="s">
        <v>4282</v>
      </c>
    </row>
    <row r="180" spans="2:86" ht="171.95" customHeight="1" x14ac:dyDescent="0.25">
      <c r="B180" s="1189"/>
      <c r="C180" s="1126"/>
      <c r="D180" s="1118"/>
      <c r="E180" s="1133"/>
      <c r="F180" s="1118"/>
      <c r="G180" s="1118"/>
      <c r="H180" s="1118"/>
      <c r="I180" s="489" t="s">
        <v>191</v>
      </c>
      <c r="J180" s="1127"/>
      <c r="K180" s="994"/>
      <c r="L180" s="490" t="s">
        <v>2166</v>
      </c>
      <c r="M180" s="451" t="s">
        <v>1334</v>
      </c>
      <c r="N180" s="489">
        <v>0.3</v>
      </c>
      <c r="O180" s="452">
        <v>44197</v>
      </c>
      <c r="P180" s="452">
        <v>44561</v>
      </c>
      <c r="Q180" s="489">
        <v>0.25</v>
      </c>
      <c r="R180" s="491">
        <v>0.5</v>
      </c>
      <c r="S180" s="492">
        <v>0.75</v>
      </c>
      <c r="T180" s="489">
        <v>1</v>
      </c>
      <c r="U180" s="381">
        <v>0.25</v>
      </c>
      <c r="V180" s="493" t="s">
        <v>2167</v>
      </c>
      <c r="W180" s="493" t="s">
        <v>4283</v>
      </c>
      <c r="X180" s="455" t="str">
        <f t="shared" si="51"/>
        <v>En gestión</v>
      </c>
      <c r="Y180" s="455" t="str">
        <f t="shared" si="52"/>
        <v>En gestión</v>
      </c>
      <c r="Z180" s="1125"/>
      <c r="AA180" s="1120"/>
      <c r="AB180" s="1121"/>
      <c r="AC180" s="1124"/>
      <c r="AD180" s="1124"/>
      <c r="AE180" s="494"/>
      <c r="AF180" s="1008"/>
      <c r="AG180" s="1008"/>
      <c r="AH180" s="1008"/>
      <c r="AI180" s="1008"/>
      <c r="AJ180" s="1008"/>
      <c r="AK180" s="1008"/>
      <c r="AL180" s="499"/>
      <c r="AM180" s="499"/>
      <c r="AN180" s="499"/>
      <c r="AO180" s="499"/>
      <c r="AP180" s="499"/>
      <c r="AQ180" s="1215">
        <v>0.5</v>
      </c>
      <c r="AR180" s="493" t="s">
        <v>2314</v>
      </c>
      <c r="AS180" s="493" t="s">
        <v>4279</v>
      </c>
      <c r="AT180" s="455" t="str">
        <f t="shared" si="53"/>
        <v>En gestión</v>
      </c>
      <c r="AU180" s="455" t="str">
        <f t="shared" si="54"/>
        <v>En gestión</v>
      </c>
      <c r="AV180" s="1125"/>
      <c r="AW180" s="1110"/>
      <c r="AX180" s="1111"/>
      <c r="AY180" s="1124"/>
      <c r="AZ180" s="1124"/>
      <c r="BA180" s="493"/>
      <c r="BB180" s="1128"/>
      <c r="BC180" s="1128"/>
      <c r="BD180" s="1128"/>
      <c r="BE180" s="1128"/>
      <c r="BF180" s="1128"/>
      <c r="BG180" s="1128"/>
      <c r="BH180" s="1128"/>
      <c r="BI180" s="1128"/>
      <c r="BJ180" s="1128"/>
      <c r="BK180" s="1128"/>
      <c r="BL180" s="1010"/>
      <c r="BM180" s="506">
        <v>0.75</v>
      </c>
      <c r="BN180" s="454" t="s">
        <v>2314</v>
      </c>
      <c r="BO180" s="454" t="s">
        <v>4281</v>
      </c>
      <c r="BP180" s="455" t="str">
        <f t="shared" si="59"/>
        <v>En gestión</v>
      </c>
      <c r="BQ180" s="455" t="str">
        <f t="shared" si="58"/>
        <v>En gestión</v>
      </c>
      <c r="BR180" s="1012"/>
      <c r="BS180" s="1130"/>
      <c r="BT180" s="1131"/>
      <c r="BU180" s="1124"/>
      <c r="BV180" s="1124"/>
      <c r="BW180" s="991"/>
      <c r="BX180" s="1012"/>
      <c r="BY180" s="1008"/>
      <c r="BZ180" s="1008"/>
      <c r="CA180" s="1008"/>
      <c r="CB180" s="1008"/>
      <c r="CC180" s="1008"/>
      <c r="CD180" s="1008"/>
      <c r="CE180" s="1010"/>
      <c r="CF180" s="1010"/>
      <c r="CG180" s="1010"/>
      <c r="CH180" s="1010"/>
    </row>
    <row r="181" spans="2:86" ht="171.95" customHeight="1" x14ac:dyDescent="0.25">
      <c r="B181" s="1189"/>
      <c r="C181" s="1126"/>
      <c r="D181" s="1118"/>
      <c r="E181" s="1133"/>
      <c r="F181" s="1118"/>
      <c r="G181" s="1118"/>
      <c r="H181" s="1118"/>
      <c r="I181" s="489" t="s">
        <v>194</v>
      </c>
      <c r="J181" s="1127"/>
      <c r="K181" s="994"/>
      <c r="L181" s="490" t="s">
        <v>2168</v>
      </c>
      <c r="M181" s="451" t="s">
        <v>2146</v>
      </c>
      <c r="N181" s="489">
        <v>0.3</v>
      </c>
      <c r="O181" s="452">
        <v>44197</v>
      </c>
      <c r="P181" s="452">
        <v>44561</v>
      </c>
      <c r="Q181" s="489">
        <v>0.25</v>
      </c>
      <c r="R181" s="491">
        <v>0.5</v>
      </c>
      <c r="S181" s="492">
        <v>0.75</v>
      </c>
      <c r="T181" s="489">
        <v>1</v>
      </c>
      <c r="U181" s="381">
        <v>0.25</v>
      </c>
      <c r="V181" s="493" t="s">
        <v>2169</v>
      </c>
      <c r="W181" s="493" t="s">
        <v>4283</v>
      </c>
      <c r="X181" s="455" t="str">
        <f t="shared" si="51"/>
        <v>En gestión</v>
      </c>
      <c r="Y181" s="455" t="str">
        <f t="shared" si="52"/>
        <v>En gestión</v>
      </c>
      <c r="Z181" s="1125"/>
      <c r="AA181" s="1120"/>
      <c r="AB181" s="1121"/>
      <c r="AC181" s="1124"/>
      <c r="AD181" s="1124"/>
      <c r="AE181" s="494"/>
      <c r="AF181" s="1008"/>
      <c r="AG181" s="1008"/>
      <c r="AH181" s="1008"/>
      <c r="AI181" s="1008"/>
      <c r="AJ181" s="1008"/>
      <c r="AK181" s="1008"/>
      <c r="AL181" s="499"/>
      <c r="AM181" s="499"/>
      <c r="AN181" s="499"/>
      <c r="AO181" s="499"/>
      <c r="AP181" s="499"/>
      <c r="AQ181" s="1215">
        <v>0.5</v>
      </c>
      <c r="AR181" s="493" t="s">
        <v>2315</v>
      </c>
      <c r="AS181" s="493" t="s">
        <v>4284</v>
      </c>
      <c r="AT181" s="455" t="str">
        <f t="shared" si="53"/>
        <v>En gestión</v>
      </c>
      <c r="AU181" s="455" t="str">
        <f t="shared" si="54"/>
        <v>En gestión</v>
      </c>
      <c r="AV181" s="1125"/>
      <c r="AW181" s="1110"/>
      <c r="AX181" s="1111"/>
      <c r="AY181" s="1124"/>
      <c r="AZ181" s="1124"/>
      <c r="BA181" s="493"/>
      <c r="BB181" s="1128"/>
      <c r="BC181" s="1128"/>
      <c r="BD181" s="1128"/>
      <c r="BE181" s="1128"/>
      <c r="BF181" s="1128"/>
      <c r="BG181" s="1128"/>
      <c r="BH181" s="1128"/>
      <c r="BI181" s="1128"/>
      <c r="BJ181" s="1128"/>
      <c r="BK181" s="1128"/>
      <c r="BL181" s="1010"/>
      <c r="BM181" s="506">
        <v>0.75</v>
      </c>
      <c r="BN181" s="497" t="s">
        <v>2315</v>
      </c>
      <c r="BO181" s="454" t="s">
        <v>4285</v>
      </c>
      <c r="BP181" s="455" t="str">
        <f t="shared" si="59"/>
        <v>En gestión</v>
      </c>
      <c r="BQ181" s="455" t="str">
        <f t="shared" si="58"/>
        <v>En gestión</v>
      </c>
      <c r="BR181" s="1012"/>
      <c r="BS181" s="1130"/>
      <c r="BT181" s="1131"/>
      <c r="BU181" s="1124"/>
      <c r="BV181" s="1124"/>
      <c r="BW181" s="991"/>
      <c r="BX181" s="1012"/>
      <c r="BY181" s="1008"/>
      <c r="BZ181" s="1008"/>
      <c r="CA181" s="1008"/>
      <c r="CB181" s="1008"/>
      <c r="CC181" s="1008"/>
      <c r="CD181" s="1008"/>
      <c r="CE181" s="1010"/>
      <c r="CF181" s="1010"/>
      <c r="CG181" s="1010"/>
      <c r="CH181" s="1010"/>
    </row>
    <row r="182" spans="2:86" ht="171.95" customHeight="1" x14ac:dyDescent="0.25">
      <c r="B182" s="1189"/>
      <c r="C182" s="1115" t="s">
        <v>2170</v>
      </c>
      <c r="D182" s="1116" t="s">
        <v>1045</v>
      </c>
      <c r="E182" s="1116" t="s">
        <v>2171</v>
      </c>
      <c r="F182" s="1116" t="s">
        <v>28</v>
      </c>
      <c r="G182" s="1116" t="s">
        <v>28</v>
      </c>
      <c r="H182" s="1116" t="s">
        <v>59</v>
      </c>
      <c r="I182" s="433" t="s">
        <v>1047</v>
      </c>
      <c r="J182" s="1117" t="s">
        <v>2172</v>
      </c>
      <c r="K182" s="1043" t="s">
        <v>187</v>
      </c>
      <c r="L182" s="434" t="s">
        <v>2173</v>
      </c>
      <c r="M182" s="387" t="s">
        <v>2046</v>
      </c>
      <c r="N182" s="433">
        <v>0.1</v>
      </c>
      <c r="O182" s="388">
        <v>44197</v>
      </c>
      <c r="P182" s="388">
        <v>44561</v>
      </c>
      <c r="Q182" s="433">
        <v>0.25</v>
      </c>
      <c r="R182" s="435">
        <v>0.5</v>
      </c>
      <c r="S182" s="436">
        <v>0.75</v>
      </c>
      <c r="T182" s="433">
        <v>1</v>
      </c>
      <c r="U182" s="381">
        <v>0.25</v>
      </c>
      <c r="V182" s="437" t="s">
        <v>2174</v>
      </c>
      <c r="W182" s="437" t="s">
        <v>4286</v>
      </c>
      <c r="X182" s="379" t="str">
        <f t="shared" si="51"/>
        <v>En gestión</v>
      </c>
      <c r="Y182" s="379" t="str">
        <f t="shared" si="52"/>
        <v>En gestión</v>
      </c>
      <c r="Z182" s="1113" t="s">
        <v>2284</v>
      </c>
      <c r="AA182" s="1120">
        <f>SUMPRODUCT(N182:N187,U182:U187)</f>
        <v>2.5000000000000001E-2</v>
      </c>
      <c r="AB182" s="1121">
        <f>SUMPRODUCT(N182:N187,Q182:Q187)</f>
        <v>0.25</v>
      </c>
      <c r="AC182" s="1122" t="str">
        <f>IF(AB182&lt;1%,"Sin iniciar",IF(AB182=100%,"Terminado","En gestión"))</f>
        <v>En gestión</v>
      </c>
      <c r="AD182" s="1122" t="str">
        <f>IF(AA182&lt;1%,"Sin iniciar",IF(AA182=100%,"Terminado","En gestión"))</f>
        <v>En gestión</v>
      </c>
      <c r="AE182" s="438"/>
      <c r="AF182" s="1005">
        <v>154008923</v>
      </c>
      <c r="AG182" s="1005">
        <v>0</v>
      </c>
      <c r="AH182" s="1005">
        <v>38502231</v>
      </c>
      <c r="AI182" s="1005">
        <f>7635561414</f>
        <v>7635561414</v>
      </c>
      <c r="AJ182" s="1005">
        <v>0</v>
      </c>
      <c r="AK182" s="1005">
        <v>0</v>
      </c>
      <c r="AL182" s="441"/>
      <c r="AM182" s="441"/>
      <c r="AN182" s="441"/>
      <c r="AO182" s="441"/>
      <c r="AP182" s="441"/>
      <c r="AQ182" s="1215">
        <v>0.5</v>
      </c>
      <c r="AR182" s="437" t="s">
        <v>2316</v>
      </c>
      <c r="AS182" s="437" t="s">
        <v>4287</v>
      </c>
      <c r="AT182" s="379" t="str">
        <f t="shared" si="53"/>
        <v>En gestión</v>
      </c>
      <c r="AU182" s="379" t="str">
        <f t="shared" si="54"/>
        <v>En gestión</v>
      </c>
      <c r="AV182" s="1113" t="s">
        <v>2354</v>
      </c>
      <c r="AW182" s="1110">
        <f>SUMPRODUCT(N182:N187,AQ182:AQ187)</f>
        <v>0.72000000000000008</v>
      </c>
      <c r="AX182" s="1111">
        <f>SUMPRODUCT(N182:N187,R182:R187)</f>
        <v>0.32500000000000001</v>
      </c>
      <c r="AY182" s="1122" t="str">
        <f>IF(AX182&lt;1%,"Sin iniciar",IF(AX182=100%,"Terminado","En gestión"))</f>
        <v>En gestión</v>
      </c>
      <c r="AZ182" s="1122" t="str">
        <f>IF(AW182&lt;1%,"Sin iniciar",IF(AW182=100%,"Terminado","En gestión"))</f>
        <v>En gestión</v>
      </c>
      <c r="BA182" s="437"/>
      <c r="BB182" s="1011">
        <v>154008923</v>
      </c>
      <c r="BC182" s="1011">
        <v>154008923</v>
      </c>
      <c r="BD182" s="1011">
        <v>77004462</v>
      </c>
      <c r="BE182" s="1011">
        <f>7635561414</f>
        <v>7635561414</v>
      </c>
      <c r="BF182" s="1011">
        <f>7635561414</f>
        <v>7635561414</v>
      </c>
      <c r="BG182" s="1011">
        <v>0</v>
      </c>
      <c r="BH182" s="1011"/>
      <c r="BI182" s="1011"/>
      <c r="BJ182" s="1011"/>
      <c r="BK182" s="1011"/>
      <c r="BL182" s="1011"/>
      <c r="BM182" s="510">
        <v>0.67</v>
      </c>
      <c r="BN182" s="389" t="s">
        <v>4288</v>
      </c>
      <c r="BO182" s="389" t="s">
        <v>4289</v>
      </c>
      <c r="BP182" s="379" t="str">
        <f t="shared" si="59"/>
        <v>En gestión</v>
      </c>
      <c r="BQ182" s="379" t="str">
        <f t="shared" si="58"/>
        <v>En gestión</v>
      </c>
      <c r="BR182" s="1006" t="s">
        <v>4290</v>
      </c>
      <c r="BS182" s="1130">
        <f>SUMPRODUCT(N182:N187,BM182:BM187)</f>
        <v>0.94700000000000006</v>
      </c>
      <c r="BT182" s="1131">
        <f>SUMPRODUCT(N182:N187,S182:S187)</f>
        <v>0.45500000000000002</v>
      </c>
      <c r="BU182" s="1122" t="str">
        <f>IF(BT182&lt;1%,"Sin iniciar",IF(BT182=100%,"Terminado","En gestión"))</f>
        <v>En gestión</v>
      </c>
      <c r="BV182" s="1122" t="str">
        <f>IF(BS182&lt;1%,"Sin iniciar",IF(BS182=100%,"Terminado","En gestión"))</f>
        <v>En gestión</v>
      </c>
      <c r="BW182" s="389" t="s">
        <v>4291</v>
      </c>
      <c r="BX182" s="1006" t="s">
        <v>3631</v>
      </c>
      <c r="BY182" s="1005">
        <v>154008923</v>
      </c>
      <c r="BZ182" s="1005">
        <v>158028574</v>
      </c>
      <c r="CA182" s="1005">
        <v>118521430</v>
      </c>
      <c r="CB182" s="1005">
        <f>7635561414</f>
        <v>7635561414</v>
      </c>
      <c r="CC182" s="1005">
        <f>7635561414</f>
        <v>7635561414</v>
      </c>
      <c r="CD182" s="1005">
        <v>1908890354</v>
      </c>
      <c r="CE182" s="1009" t="s">
        <v>4137</v>
      </c>
      <c r="CF182" s="1009" t="s">
        <v>4138</v>
      </c>
      <c r="CG182" s="1009" t="s">
        <v>4139</v>
      </c>
      <c r="CH182" s="1009" t="s">
        <v>4292</v>
      </c>
    </row>
    <row r="183" spans="2:86" ht="171.95" customHeight="1" x14ac:dyDescent="0.25">
      <c r="B183" s="1189"/>
      <c r="C183" s="1115"/>
      <c r="D183" s="1116"/>
      <c r="E183" s="1116"/>
      <c r="F183" s="1116"/>
      <c r="G183" s="1116"/>
      <c r="H183" s="1116"/>
      <c r="I183" s="433" t="s">
        <v>1039</v>
      </c>
      <c r="J183" s="1117"/>
      <c r="K183" s="1043"/>
      <c r="L183" s="434" t="s">
        <v>2175</v>
      </c>
      <c r="M183" s="387" t="s">
        <v>2176</v>
      </c>
      <c r="N183" s="433">
        <v>0.1</v>
      </c>
      <c r="O183" s="388">
        <v>44197</v>
      </c>
      <c r="P183" s="388">
        <v>44561</v>
      </c>
      <c r="Q183" s="433">
        <v>0.25</v>
      </c>
      <c r="R183" s="435">
        <v>0.3</v>
      </c>
      <c r="S183" s="436">
        <v>0.35</v>
      </c>
      <c r="T183" s="433">
        <v>1</v>
      </c>
      <c r="U183" s="381">
        <v>0</v>
      </c>
      <c r="V183" s="437" t="s">
        <v>1416</v>
      </c>
      <c r="W183" s="437"/>
      <c r="X183" s="379" t="str">
        <f t="shared" si="51"/>
        <v>En gestión</v>
      </c>
      <c r="Y183" s="379" t="str">
        <f t="shared" si="52"/>
        <v>Sin iniciar</v>
      </c>
      <c r="Z183" s="1113"/>
      <c r="AA183" s="1120"/>
      <c r="AB183" s="1121"/>
      <c r="AC183" s="1122"/>
      <c r="AD183" s="1122"/>
      <c r="AE183" s="437" t="s">
        <v>2439</v>
      </c>
      <c r="AF183" s="1005"/>
      <c r="AG183" s="1005"/>
      <c r="AH183" s="1005"/>
      <c r="AI183" s="1005"/>
      <c r="AJ183" s="1005"/>
      <c r="AK183" s="1005"/>
      <c r="AL183" s="441"/>
      <c r="AM183" s="441"/>
      <c r="AN183" s="441"/>
      <c r="AO183" s="441"/>
      <c r="AP183" s="441"/>
      <c r="AQ183" s="1215">
        <v>0.75</v>
      </c>
      <c r="AR183" s="437" t="s">
        <v>2317</v>
      </c>
      <c r="AS183" s="437" t="s">
        <v>4293</v>
      </c>
      <c r="AT183" s="379" t="str">
        <f t="shared" si="53"/>
        <v>En gestión</v>
      </c>
      <c r="AU183" s="379" t="str">
        <f t="shared" si="54"/>
        <v>En gestión</v>
      </c>
      <c r="AV183" s="1113"/>
      <c r="AW183" s="1110"/>
      <c r="AX183" s="1111"/>
      <c r="AY183" s="1122"/>
      <c r="AZ183" s="1122"/>
      <c r="BA183" s="437"/>
      <c r="BB183" s="1011"/>
      <c r="BC183" s="1011"/>
      <c r="BD183" s="1011"/>
      <c r="BE183" s="1011"/>
      <c r="BF183" s="1011"/>
      <c r="BG183" s="1011"/>
      <c r="BH183" s="1011"/>
      <c r="BI183" s="1011"/>
      <c r="BJ183" s="1011"/>
      <c r="BK183" s="1011"/>
      <c r="BL183" s="1011"/>
      <c r="BM183" s="510">
        <v>1</v>
      </c>
      <c r="BN183" s="389" t="s">
        <v>4294</v>
      </c>
      <c r="BO183" s="389" t="s">
        <v>4295</v>
      </c>
      <c r="BP183" s="379" t="str">
        <f t="shared" si="59"/>
        <v>En gestión</v>
      </c>
      <c r="BQ183" s="379" t="str">
        <f t="shared" si="58"/>
        <v>Terminado</v>
      </c>
      <c r="BR183" s="1006"/>
      <c r="BS183" s="1130"/>
      <c r="BT183" s="1131"/>
      <c r="BU183" s="1122"/>
      <c r="BV183" s="1122"/>
      <c r="BW183" s="1016" t="s">
        <v>28</v>
      </c>
      <c r="BX183" s="1006"/>
      <c r="BY183" s="1005"/>
      <c r="BZ183" s="1005"/>
      <c r="CA183" s="1005"/>
      <c r="CB183" s="1005"/>
      <c r="CC183" s="1005"/>
      <c r="CD183" s="1005"/>
      <c r="CE183" s="1009"/>
      <c r="CF183" s="1009"/>
      <c r="CG183" s="1009"/>
      <c r="CH183" s="1009"/>
    </row>
    <row r="184" spans="2:86" ht="171.95" customHeight="1" x14ac:dyDescent="0.25">
      <c r="B184" s="1189"/>
      <c r="C184" s="1115"/>
      <c r="D184" s="1116"/>
      <c r="E184" s="1116"/>
      <c r="F184" s="1116"/>
      <c r="G184" s="1116"/>
      <c r="H184" s="1116"/>
      <c r="I184" s="433" t="s">
        <v>132</v>
      </c>
      <c r="J184" s="1117"/>
      <c r="K184" s="1043"/>
      <c r="L184" s="434" t="s">
        <v>2177</v>
      </c>
      <c r="M184" s="387" t="s">
        <v>2124</v>
      </c>
      <c r="N184" s="433">
        <v>0.1</v>
      </c>
      <c r="O184" s="388">
        <v>44197</v>
      </c>
      <c r="P184" s="445">
        <v>44469</v>
      </c>
      <c r="Q184" s="433">
        <v>0.25</v>
      </c>
      <c r="R184" s="435">
        <v>0.35</v>
      </c>
      <c r="S184" s="436">
        <v>1</v>
      </c>
      <c r="T184" s="433">
        <v>1</v>
      </c>
      <c r="U184" s="381">
        <v>0</v>
      </c>
      <c r="V184" s="437" t="s">
        <v>1416</v>
      </c>
      <c r="W184" s="437"/>
      <c r="X184" s="379" t="str">
        <f t="shared" si="51"/>
        <v>En gestión</v>
      </c>
      <c r="Y184" s="379" t="str">
        <f t="shared" si="52"/>
        <v>Sin iniciar</v>
      </c>
      <c r="Z184" s="1113"/>
      <c r="AA184" s="1120"/>
      <c r="AB184" s="1121"/>
      <c r="AC184" s="1122"/>
      <c r="AD184" s="1122"/>
      <c r="AE184" s="437" t="s">
        <v>2439</v>
      </c>
      <c r="AF184" s="1005"/>
      <c r="AG184" s="1005"/>
      <c r="AH184" s="1005"/>
      <c r="AI184" s="1005"/>
      <c r="AJ184" s="1005"/>
      <c r="AK184" s="1005"/>
      <c r="AL184" s="441"/>
      <c r="AM184" s="441"/>
      <c r="AN184" s="441"/>
      <c r="AO184" s="441"/>
      <c r="AP184" s="441"/>
      <c r="AQ184" s="1215">
        <v>0.35</v>
      </c>
      <c r="AR184" s="437" t="s">
        <v>2318</v>
      </c>
      <c r="AS184" s="437" t="s">
        <v>4296</v>
      </c>
      <c r="AT184" s="379" t="str">
        <f t="shared" si="53"/>
        <v>En gestión</v>
      </c>
      <c r="AU184" s="379" t="str">
        <f t="shared" si="54"/>
        <v>En gestión</v>
      </c>
      <c r="AV184" s="1113"/>
      <c r="AW184" s="1110"/>
      <c r="AX184" s="1111"/>
      <c r="AY184" s="1122"/>
      <c r="AZ184" s="1122"/>
      <c r="BA184" s="437"/>
      <c r="BB184" s="1011"/>
      <c r="BC184" s="1011"/>
      <c r="BD184" s="1011"/>
      <c r="BE184" s="1011"/>
      <c r="BF184" s="1011"/>
      <c r="BG184" s="1011"/>
      <c r="BH184" s="1011"/>
      <c r="BI184" s="1011"/>
      <c r="BJ184" s="1011"/>
      <c r="BK184" s="1011"/>
      <c r="BL184" s="1011"/>
      <c r="BM184" s="510">
        <v>1</v>
      </c>
      <c r="BN184" s="389" t="s">
        <v>4297</v>
      </c>
      <c r="BO184" s="389" t="s">
        <v>4298</v>
      </c>
      <c r="BP184" s="379" t="str">
        <f t="shared" si="59"/>
        <v>Terminado</v>
      </c>
      <c r="BQ184" s="379" t="str">
        <f t="shared" si="58"/>
        <v>Terminado</v>
      </c>
      <c r="BR184" s="1006"/>
      <c r="BS184" s="1130"/>
      <c r="BT184" s="1131"/>
      <c r="BU184" s="1122"/>
      <c r="BV184" s="1122"/>
      <c r="BW184" s="1016"/>
      <c r="BX184" s="1006"/>
      <c r="BY184" s="1005"/>
      <c r="BZ184" s="1005"/>
      <c r="CA184" s="1005"/>
      <c r="CB184" s="1005"/>
      <c r="CC184" s="1005"/>
      <c r="CD184" s="1005"/>
      <c r="CE184" s="1009"/>
      <c r="CF184" s="1009"/>
      <c r="CG184" s="1009"/>
      <c r="CH184" s="1009"/>
    </row>
    <row r="185" spans="2:86" ht="171.95" customHeight="1" x14ac:dyDescent="0.25">
      <c r="B185" s="1189"/>
      <c r="C185" s="1115"/>
      <c r="D185" s="1116"/>
      <c r="E185" s="1116"/>
      <c r="F185" s="1116"/>
      <c r="G185" s="1116"/>
      <c r="H185" s="1116"/>
      <c r="I185" s="433" t="s">
        <v>185</v>
      </c>
      <c r="J185" s="1117"/>
      <c r="K185" s="1043"/>
      <c r="L185" s="434" t="s">
        <v>2178</v>
      </c>
      <c r="M185" s="387" t="s">
        <v>1331</v>
      </c>
      <c r="N185" s="433">
        <v>0.2</v>
      </c>
      <c r="O185" s="388">
        <v>44197</v>
      </c>
      <c r="P185" s="388">
        <v>44561</v>
      </c>
      <c r="Q185" s="433">
        <v>0.25</v>
      </c>
      <c r="R185" s="435">
        <v>0.3</v>
      </c>
      <c r="S185" s="436">
        <v>0.35</v>
      </c>
      <c r="T185" s="433">
        <v>1</v>
      </c>
      <c r="U185" s="381">
        <v>0</v>
      </c>
      <c r="V185" s="437" t="s">
        <v>1416</v>
      </c>
      <c r="W185" s="437"/>
      <c r="X185" s="379" t="str">
        <f t="shared" si="51"/>
        <v>En gestión</v>
      </c>
      <c r="Y185" s="379" t="str">
        <f t="shared" si="52"/>
        <v>Sin iniciar</v>
      </c>
      <c r="Z185" s="1113"/>
      <c r="AA185" s="1120"/>
      <c r="AB185" s="1121"/>
      <c r="AC185" s="1122"/>
      <c r="AD185" s="1122"/>
      <c r="AE185" s="437" t="s">
        <v>2439</v>
      </c>
      <c r="AF185" s="1005"/>
      <c r="AG185" s="1005"/>
      <c r="AH185" s="1005"/>
      <c r="AI185" s="1005"/>
      <c r="AJ185" s="1005"/>
      <c r="AK185" s="1005"/>
      <c r="AL185" s="441"/>
      <c r="AM185" s="441"/>
      <c r="AN185" s="441"/>
      <c r="AO185" s="441"/>
      <c r="AP185" s="441"/>
      <c r="AQ185" s="1215">
        <v>0.8</v>
      </c>
      <c r="AR185" s="437" t="s">
        <v>2319</v>
      </c>
      <c r="AS185" s="437" t="s">
        <v>4299</v>
      </c>
      <c r="AT185" s="379" t="str">
        <f t="shared" si="53"/>
        <v>En gestión</v>
      </c>
      <c r="AU185" s="379" t="str">
        <f t="shared" si="54"/>
        <v>En gestión</v>
      </c>
      <c r="AV185" s="1113"/>
      <c r="AW185" s="1110"/>
      <c r="AX185" s="1111"/>
      <c r="AY185" s="1122"/>
      <c r="AZ185" s="1122"/>
      <c r="BA185" s="437"/>
      <c r="BB185" s="1011"/>
      <c r="BC185" s="1011"/>
      <c r="BD185" s="1011"/>
      <c r="BE185" s="1011"/>
      <c r="BF185" s="1011"/>
      <c r="BG185" s="1011"/>
      <c r="BH185" s="1011"/>
      <c r="BI185" s="1011"/>
      <c r="BJ185" s="1011"/>
      <c r="BK185" s="1011"/>
      <c r="BL185" s="1011"/>
      <c r="BM185" s="510">
        <v>0.9</v>
      </c>
      <c r="BN185" s="389" t="s">
        <v>4300</v>
      </c>
      <c r="BO185" s="389" t="s">
        <v>4301</v>
      </c>
      <c r="BP185" s="379" t="str">
        <f t="shared" si="59"/>
        <v>En gestión</v>
      </c>
      <c r="BQ185" s="379" t="str">
        <f t="shared" si="58"/>
        <v>En gestión</v>
      </c>
      <c r="BR185" s="1006"/>
      <c r="BS185" s="1130"/>
      <c r="BT185" s="1131"/>
      <c r="BU185" s="1122"/>
      <c r="BV185" s="1122"/>
      <c r="BW185" s="1016"/>
      <c r="BX185" s="1006"/>
      <c r="BY185" s="1005"/>
      <c r="BZ185" s="1005"/>
      <c r="CA185" s="1005"/>
      <c r="CB185" s="1005"/>
      <c r="CC185" s="1005"/>
      <c r="CD185" s="1005"/>
      <c r="CE185" s="1009"/>
      <c r="CF185" s="1009"/>
      <c r="CG185" s="1009"/>
      <c r="CH185" s="1009"/>
    </row>
    <row r="186" spans="2:86" ht="171.95" customHeight="1" x14ac:dyDescent="0.25">
      <c r="B186" s="1189"/>
      <c r="C186" s="1115"/>
      <c r="D186" s="1116"/>
      <c r="E186" s="1116"/>
      <c r="F186" s="1116"/>
      <c r="G186" s="1116"/>
      <c r="H186" s="1116"/>
      <c r="I186" s="433" t="s">
        <v>191</v>
      </c>
      <c r="J186" s="1117"/>
      <c r="K186" s="1043"/>
      <c r="L186" s="434" t="s">
        <v>2179</v>
      </c>
      <c r="M186" s="387" t="s">
        <v>1334</v>
      </c>
      <c r="N186" s="433">
        <v>0.3</v>
      </c>
      <c r="O186" s="388">
        <v>44197</v>
      </c>
      <c r="P186" s="388">
        <v>44561</v>
      </c>
      <c r="Q186" s="433">
        <v>0.25</v>
      </c>
      <c r="R186" s="435">
        <v>0.3</v>
      </c>
      <c r="S186" s="436">
        <v>0.35</v>
      </c>
      <c r="T186" s="433">
        <v>1</v>
      </c>
      <c r="U186" s="381">
        <v>0</v>
      </c>
      <c r="V186" s="437" t="s">
        <v>1416</v>
      </c>
      <c r="W186" s="437"/>
      <c r="X186" s="379" t="str">
        <f t="shared" si="51"/>
        <v>En gestión</v>
      </c>
      <c r="Y186" s="379" t="str">
        <f t="shared" si="52"/>
        <v>Sin iniciar</v>
      </c>
      <c r="Z186" s="1113"/>
      <c r="AA186" s="1120"/>
      <c r="AB186" s="1121"/>
      <c r="AC186" s="1122"/>
      <c r="AD186" s="1122"/>
      <c r="AE186" s="437" t="s">
        <v>2439</v>
      </c>
      <c r="AF186" s="1005"/>
      <c r="AG186" s="1005"/>
      <c r="AH186" s="1005"/>
      <c r="AI186" s="1005"/>
      <c r="AJ186" s="1005"/>
      <c r="AK186" s="1005"/>
      <c r="AL186" s="441"/>
      <c r="AM186" s="441"/>
      <c r="AN186" s="441"/>
      <c r="AO186" s="441"/>
      <c r="AP186" s="441"/>
      <c r="AQ186" s="1215">
        <v>0.8</v>
      </c>
      <c r="AR186" s="437" t="s">
        <v>2320</v>
      </c>
      <c r="AS186" s="437" t="s">
        <v>4302</v>
      </c>
      <c r="AT186" s="379" t="str">
        <f t="shared" si="53"/>
        <v>En gestión</v>
      </c>
      <c r="AU186" s="379" t="str">
        <f t="shared" si="54"/>
        <v>En gestión</v>
      </c>
      <c r="AV186" s="1113"/>
      <c r="AW186" s="1110"/>
      <c r="AX186" s="1111"/>
      <c r="AY186" s="1122"/>
      <c r="AZ186" s="1122"/>
      <c r="BA186" s="437"/>
      <c r="BB186" s="1011"/>
      <c r="BC186" s="1011"/>
      <c r="BD186" s="1011"/>
      <c r="BE186" s="1011"/>
      <c r="BF186" s="1011"/>
      <c r="BG186" s="1011"/>
      <c r="BH186" s="1011"/>
      <c r="BI186" s="1011"/>
      <c r="BJ186" s="1011"/>
      <c r="BK186" s="1011"/>
      <c r="BL186" s="1011"/>
      <c r="BM186" s="510">
        <v>1</v>
      </c>
      <c r="BN186" s="389" t="s">
        <v>4303</v>
      </c>
      <c r="BO186" s="389" t="s">
        <v>4304</v>
      </c>
      <c r="BP186" s="379" t="str">
        <f t="shared" si="59"/>
        <v>En gestión</v>
      </c>
      <c r="BQ186" s="379" t="str">
        <f t="shared" si="58"/>
        <v>Terminado</v>
      </c>
      <c r="BR186" s="1006"/>
      <c r="BS186" s="1130"/>
      <c r="BT186" s="1131"/>
      <c r="BU186" s="1122"/>
      <c r="BV186" s="1122"/>
      <c r="BW186" s="1016"/>
      <c r="BX186" s="1006"/>
      <c r="BY186" s="1005"/>
      <c r="BZ186" s="1005"/>
      <c r="CA186" s="1005"/>
      <c r="CB186" s="1005"/>
      <c r="CC186" s="1005"/>
      <c r="CD186" s="1005"/>
      <c r="CE186" s="1009"/>
      <c r="CF186" s="1009"/>
      <c r="CG186" s="1009"/>
      <c r="CH186" s="1009"/>
    </row>
    <row r="187" spans="2:86" ht="171.95" customHeight="1" x14ac:dyDescent="0.25">
      <c r="B187" s="1189"/>
      <c r="C187" s="1115"/>
      <c r="D187" s="1116"/>
      <c r="E187" s="1116"/>
      <c r="F187" s="1116"/>
      <c r="G187" s="1116"/>
      <c r="H187" s="1116"/>
      <c r="I187" s="433" t="s">
        <v>194</v>
      </c>
      <c r="J187" s="1117"/>
      <c r="K187" s="1043"/>
      <c r="L187" s="434" t="s">
        <v>2180</v>
      </c>
      <c r="M187" s="387" t="s">
        <v>2181</v>
      </c>
      <c r="N187" s="433">
        <v>0.2</v>
      </c>
      <c r="O187" s="388">
        <v>44197</v>
      </c>
      <c r="P187" s="388">
        <v>44561</v>
      </c>
      <c r="Q187" s="433">
        <v>0.25</v>
      </c>
      <c r="R187" s="435">
        <v>0.3</v>
      </c>
      <c r="S187" s="436">
        <v>0.35</v>
      </c>
      <c r="T187" s="433">
        <v>1</v>
      </c>
      <c r="U187" s="381">
        <v>0</v>
      </c>
      <c r="V187" s="437" t="s">
        <v>1416</v>
      </c>
      <c r="W187" s="437"/>
      <c r="X187" s="379" t="str">
        <f t="shared" si="51"/>
        <v>En gestión</v>
      </c>
      <c r="Y187" s="379" t="str">
        <f t="shared" si="52"/>
        <v>Sin iniciar</v>
      </c>
      <c r="Z187" s="1113"/>
      <c r="AA187" s="1120"/>
      <c r="AB187" s="1121"/>
      <c r="AC187" s="1122"/>
      <c r="AD187" s="1122"/>
      <c r="AE187" s="437" t="s">
        <v>2439</v>
      </c>
      <c r="AF187" s="1005"/>
      <c r="AG187" s="1005"/>
      <c r="AH187" s="1005"/>
      <c r="AI187" s="1005"/>
      <c r="AJ187" s="1005"/>
      <c r="AK187" s="1005"/>
      <c r="AL187" s="441"/>
      <c r="AM187" s="441"/>
      <c r="AN187" s="441"/>
      <c r="AO187" s="441"/>
      <c r="AP187" s="441"/>
      <c r="AQ187" s="1215">
        <v>0.8</v>
      </c>
      <c r="AR187" s="437" t="s">
        <v>2321</v>
      </c>
      <c r="AS187" s="437" t="s">
        <v>4305</v>
      </c>
      <c r="AT187" s="379" t="str">
        <f t="shared" si="53"/>
        <v>En gestión</v>
      </c>
      <c r="AU187" s="379" t="str">
        <f t="shared" si="54"/>
        <v>En gestión</v>
      </c>
      <c r="AV187" s="1113"/>
      <c r="AW187" s="1110"/>
      <c r="AX187" s="1111"/>
      <c r="AY187" s="1122"/>
      <c r="AZ187" s="1122"/>
      <c r="BA187" s="437"/>
      <c r="BB187" s="1011"/>
      <c r="BC187" s="1011"/>
      <c r="BD187" s="1011"/>
      <c r="BE187" s="1011"/>
      <c r="BF187" s="1011"/>
      <c r="BG187" s="1011"/>
      <c r="BH187" s="1011"/>
      <c r="BI187" s="1011"/>
      <c r="BJ187" s="1011"/>
      <c r="BK187" s="1011"/>
      <c r="BL187" s="1011"/>
      <c r="BM187" s="510">
        <v>1</v>
      </c>
      <c r="BN187" s="389" t="s">
        <v>4306</v>
      </c>
      <c r="BO187" s="389" t="s">
        <v>4307</v>
      </c>
      <c r="BP187" s="379" t="str">
        <f t="shared" si="59"/>
        <v>En gestión</v>
      </c>
      <c r="BQ187" s="379" t="str">
        <f t="shared" si="58"/>
        <v>Terminado</v>
      </c>
      <c r="BR187" s="1006"/>
      <c r="BS187" s="1130"/>
      <c r="BT187" s="1131"/>
      <c r="BU187" s="1122"/>
      <c r="BV187" s="1122"/>
      <c r="BW187" s="1016"/>
      <c r="BX187" s="1006"/>
      <c r="BY187" s="1005"/>
      <c r="BZ187" s="1005"/>
      <c r="CA187" s="1005"/>
      <c r="CB187" s="1005"/>
      <c r="CC187" s="1005"/>
      <c r="CD187" s="1005"/>
      <c r="CE187" s="1009"/>
      <c r="CF187" s="1009"/>
      <c r="CG187" s="1009"/>
      <c r="CH187" s="1009"/>
    </row>
    <row r="188" spans="2:86" ht="171.95" customHeight="1" x14ac:dyDescent="0.25">
      <c r="B188" s="1189"/>
      <c r="C188" s="1126" t="s">
        <v>2182</v>
      </c>
      <c r="D188" s="1118" t="s">
        <v>1045</v>
      </c>
      <c r="E188" s="1118" t="s">
        <v>2183</v>
      </c>
      <c r="F188" s="1118" t="s">
        <v>28</v>
      </c>
      <c r="G188" s="1118" t="s">
        <v>28</v>
      </c>
      <c r="H188" s="1118" t="s">
        <v>59</v>
      </c>
      <c r="I188" s="489" t="s">
        <v>1047</v>
      </c>
      <c r="J188" s="1127" t="s">
        <v>2184</v>
      </c>
      <c r="K188" s="994" t="s">
        <v>187</v>
      </c>
      <c r="L188" s="490" t="s">
        <v>2185</v>
      </c>
      <c r="M188" s="451" t="s">
        <v>2046</v>
      </c>
      <c r="N188" s="489">
        <v>0.05</v>
      </c>
      <c r="O188" s="452">
        <v>44197</v>
      </c>
      <c r="P188" s="452">
        <v>44561</v>
      </c>
      <c r="Q188" s="489">
        <v>0.25</v>
      </c>
      <c r="R188" s="491">
        <v>0.5</v>
      </c>
      <c r="S188" s="492">
        <v>0.75</v>
      </c>
      <c r="T188" s="489">
        <v>1</v>
      </c>
      <c r="U188" s="381">
        <v>0.25</v>
      </c>
      <c r="V188" s="493" t="s">
        <v>2174</v>
      </c>
      <c r="W188" s="493" t="s">
        <v>4286</v>
      </c>
      <c r="X188" s="455" t="str">
        <f t="shared" si="51"/>
        <v>En gestión</v>
      </c>
      <c r="Y188" s="455" t="str">
        <f t="shared" si="52"/>
        <v>En gestión</v>
      </c>
      <c r="Z188" s="1125" t="s">
        <v>2285</v>
      </c>
      <c r="AA188" s="1120">
        <f>SUMPRODUCT(N188:N193,U188:U193)</f>
        <v>0.125</v>
      </c>
      <c r="AB188" s="1121">
        <f>SUMPRODUCT(N188:N193,Q188:Q193)</f>
        <v>0.1125</v>
      </c>
      <c r="AC188" s="1124" t="str">
        <f>IF(AB188&lt;1%,"Sin iniciar",IF(AB188=100%,"Terminado","En gestión"))</f>
        <v>En gestión</v>
      </c>
      <c r="AD188" s="1124" t="str">
        <f>IF(AA188&lt;1%,"Sin iniciar",IF(AA188=100%,"Terminado","En gestión"))</f>
        <v>En gestión</v>
      </c>
      <c r="AE188" s="494"/>
      <c r="AF188" s="1008">
        <f>17214093+92258865</f>
        <v>109472958</v>
      </c>
      <c r="AG188" s="1008">
        <v>0</v>
      </c>
      <c r="AH188" s="1008">
        <f>4303523+30752955</f>
        <v>35056478</v>
      </c>
      <c r="AI188" s="1008">
        <f>85305000+4004139852</f>
        <v>4089444852</v>
      </c>
      <c r="AJ188" s="1008">
        <v>0</v>
      </c>
      <c r="AK188" s="1008">
        <f>14217500+3758713409</f>
        <v>3772930909</v>
      </c>
      <c r="AL188" s="499"/>
      <c r="AM188" s="499"/>
      <c r="AN188" s="499"/>
      <c r="AO188" s="499"/>
      <c r="AP188" s="499"/>
      <c r="AQ188" s="1215">
        <v>0.5</v>
      </c>
      <c r="AR188" s="493" t="s">
        <v>2174</v>
      </c>
      <c r="AS188" s="493" t="s">
        <v>4308</v>
      </c>
      <c r="AT188" s="455" t="str">
        <f t="shared" si="53"/>
        <v>En gestión</v>
      </c>
      <c r="AU188" s="455" t="str">
        <f t="shared" si="54"/>
        <v>En gestión</v>
      </c>
      <c r="AV188" s="1125" t="s">
        <v>2413</v>
      </c>
      <c r="AW188" s="1110">
        <f>SUMPRODUCT(N188:N193,AQ188:AQ193)</f>
        <v>0.47499999999999998</v>
      </c>
      <c r="AX188" s="1111">
        <f>SUMPRODUCT(N188:N193,R188:R193)</f>
        <v>0.33500000000000002</v>
      </c>
      <c r="AY188" s="1124" t="str">
        <f>IF(AX188&lt;1%,"Sin iniciar",IF(AX188=100%,"Terminado","En gestión"))</f>
        <v>En gestión</v>
      </c>
      <c r="AZ188" s="1124" t="str">
        <f>IF(AW188&lt;1%,"Sin iniciar",IF(AW188=100%,"Terminado","En gestión"))</f>
        <v>En gestión</v>
      </c>
      <c r="BA188" s="493"/>
      <c r="BB188" s="1128">
        <f>17214093+92258865</f>
        <v>109472958</v>
      </c>
      <c r="BC188" s="1128">
        <f>17214093+92258865</f>
        <v>109472958</v>
      </c>
      <c r="BD188" s="1128">
        <v>8607047</v>
      </c>
      <c r="BE188" s="1128">
        <f>85305000+4004139852</f>
        <v>4089444852</v>
      </c>
      <c r="BF188" s="1128">
        <f>85305000+4004139852</f>
        <v>4089444852</v>
      </c>
      <c r="BG188" s="1128">
        <f>42652500+3440522223</f>
        <v>3483174723</v>
      </c>
      <c r="BH188" s="1128" t="s">
        <v>2680</v>
      </c>
      <c r="BI188" s="1128"/>
      <c r="BJ188" s="1128" t="s">
        <v>2734</v>
      </c>
      <c r="BK188" s="1128" t="s">
        <v>2735</v>
      </c>
      <c r="BL188" s="1010" t="s">
        <v>2736</v>
      </c>
      <c r="BM188" s="506">
        <v>0.75</v>
      </c>
      <c r="BN188" s="454" t="s">
        <v>4309</v>
      </c>
      <c r="BO188" s="454" t="s">
        <v>4310</v>
      </c>
      <c r="BP188" s="455" t="str">
        <f t="shared" si="59"/>
        <v>En gestión</v>
      </c>
      <c r="BQ188" s="455" t="str">
        <f t="shared" si="58"/>
        <v>En gestión</v>
      </c>
      <c r="BR188" s="990" t="s">
        <v>4311</v>
      </c>
      <c r="BS188" s="1130">
        <f>SUMPRODUCT(N188:N193,BM188:BM193)</f>
        <v>0.78250000000000008</v>
      </c>
      <c r="BT188" s="1131">
        <f>SUMPRODUCT(N188:N193,S188:S193)</f>
        <v>0.62249999999999994</v>
      </c>
      <c r="BU188" s="1124" t="str">
        <f>IF(BT188&lt;1%,"Sin iniciar",IF(BT188=100%,"Terminado","En gestión"))</f>
        <v>En gestión</v>
      </c>
      <c r="BV188" s="1124" t="str">
        <f>IF(BS188&lt;1%,"Sin iniciar",IF(BS188=100%,"Terminado","En gestión"))</f>
        <v>En gestión</v>
      </c>
      <c r="BW188" s="991" t="s">
        <v>28</v>
      </c>
      <c r="BX188" s="990" t="s">
        <v>3631</v>
      </c>
      <c r="BY188" s="1008">
        <f>17214093+92258865</f>
        <v>109472958</v>
      </c>
      <c r="BZ188" s="1008">
        <f>17633382+92258865</f>
        <v>109892247</v>
      </c>
      <c r="CA188" s="1008">
        <f>13247537+92258865</f>
        <v>105506402</v>
      </c>
      <c r="CB188" s="1008">
        <f>85305000+4004139852</f>
        <v>4089444852</v>
      </c>
      <c r="CC188" s="1008"/>
      <c r="CD188" s="1008">
        <f>60000000+4004139852</f>
        <v>4064139852</v>
      </c>
      <c r="CE188" s="500" t="s">
        <v>2680</v>
      </c>
      <c r="CF188" s="500" t="s">
        <v>2734</v>
      </c>
      <c r="CG188" s="500" t="s">
        <v>2735</v>
      </c>
      <c r="CH188" s="500" t="s">
        <v>2736</v>
      </c>
    </row>
    <row r="189" spans="2:86" ht="171.95" customHeight="1" x14ac:dyDescent="0.25">
      <c r="B189" s="1189"/>
      <c r="C189" s="1126"/>
      <c r="D189" s="1118"/>
      <c r="E189" s="1118"/>
      <c r="F189" s="1118"/>
      <c r="G189" s="1118"/>
      <c r="H189" s="1118"/>
      <c r="I189" s="489" t="s">
        <v>1039</v>
      </c>
      <c r="J189" s="1127"/>
      <c r="K189" s="994"/>
      <c r="L189" s="490" t="s">
        <v>2186</v>
      </c>
      <c r="M189" s="451" t="s">
        <v>2176</v>
      </c>
      <c r="N189" s="489">
        <v>0.1</v>
      </c>
      <c r="O189" s="452">
        <v>44197</v>
      </c>
      <c r="P189" s="452">
        <v>44561</v>
      </c>
      <c r="Q189" s="489">
        <v>0.25</v>
      </c>
      <c r="R189" s="491">
        <v>0.5</v>
      </c>
      <c r="S189" s="492">
        <v>0.75</v>
      </c>
      <c r="T189" s="489">
        <v>1</v>
      </c>
      <c r="U189" s="381">
        <v>0.25</v>
      </c>
      <c r="V189" s="493" t="s">
        <v>2187</v>
      </c>
      <c r="W189" s="493" t="s">
        <v>4312</v>
      </c>
      <c r="X189" s="455" t="str">
        <f t="shared" si="51"/>
        <v>En gestión</v>
      </c>
      <c r="Y189" s="455" t="str">
        <f t="shared" si="52"/>
        <v>En gestión</v>
      </c>
      <c r="Z189" s="1125"/>
      <c r="AA189" s="1120"/>
      <c r="AB189" s="1121"/>
      <c r="AC189" s="1124"/>
      <c r="AD189" s="1124"/>
      <c r="AE189" s="494"/>
      <c r="AF189" s="1008"/>
      <c r="AG189" s="1008"/>
      <c r="AH189" s="1008"/>
      <c r="AI189" s="1008"/>
      <c r="AJ189" s="1008"/>
      <c r="AK189" s="1008"/>
      <c r="AL189" s="499"/>
      <c r="AM189" s="499"/>
      <c r="AN189" s="499"/>
      <c r="AO189" s="499"/>
      <c r="AP189" s="499"/>
      <c r="AQ189" s="1215">
        <v>0.75</v>
      </c>
      <c r="AR189" s="493" t="s">
        <v>2322</v>
      </c>
      <c r="AS189" s="493" t="s">
        <v>4313</v>
      </c>
      <c r="AT189" s="455" t="str">
        <f t="shared" si="53"/>
        <v>En gestión</v>
      </c>
      <c r="AU189" s="455" t="str">
        <f t="shared" si="54"/>
        <v>En gestión</v>
      </c>
      <c r="AV189" s="1125"/>
      <c r="AW189" s="1110"/>
      <c r="AX189" s="1111"/>
      <c r="AY189" s="1124"/>
      <c r="AZ189" s="1124"/>
      <c r="BA189" s="493"/>
      <c r="BB189" s="1128"/>
      <c r="BC189" s="1128"/>
      <c r="BD189" s="1128"/>
      <c r="BE189" s="1128"/>
      <c r="BF189" s="1128"/>
      <c r="BG189" s="1128"/>
      <c r="BH189" s="1128"/>
      <c r="BI189" s="1128"/>
      <c r="BJ189" s="1128"/>
      <c r="BK189" s="1128"/>
      <c r="BL189" s="1010"/>
      <c r="BM189" s="506">
        <v>0.95</v>
      </c>
      <c r="BN189" s="454" t="s">
        <v>4314</v>
      </c>
      <c r="BO189" s="454" t="s">
        <v>4315</v>
      </c>
      <c r="BP189" s="455" t="str">
        <f t="shared" si="59"/>
        <v>En gestión</v>
      </c>
      <c r="BQ189" s="455" t="str">
        <f t="shared" si="58"/>
        <v>En gestión</v>
      </c>
      <c r="BR189" s="990"/>
      <c r="BS189" s="1130"/>
      <c r="BT189" s="1131"/>
      <c r="BU189" s="1124"/>
      <c r="BV189" s="1124"/>
      <c r="BW189" s="991"/>
      <c r="BX189" s="990"/>
      <c r="BY189" s="1008"/>
      <c r="BZ189" s="1008"/>
      <c r="CA189" s="1008"/>
      <c r="CB189" s="1008"/>
      <c r="CC189" s="1008"/>
      <c r="CD189" s="1008"/>
      <c r="CE189" s="1010" t="s">
        <v>4137</v>
      </c>
      <c r="CF189" s="1010" t="s">
        <v>4138</v>
      </c>
      <c r="CG189" s="1010" t="s">
        <v>4139</v>
      </c>
      <c r="CH189" s="1010" t="s">
        <v>4316</v>
      </c>
    </row>
    <row r="190" spans="2:86" ht="171.95" customHeight="1" x14ac:dyDescent="0.25">
      <c r="B190" s="1189"/>
      <c r="C190" s="1126"/>
      <c r="D190" s="1118"/>
      <c r="E190" s="1118"/>
      <c r="F190" s="1118"/>
      <c r="G190" s="1118"/>
      <c r="H190" s="1118"/>
      <c r="I190" s="489" t="s">
        <v>132</v>
      </c>
      <c r="J190" s="1127"/>
      <c r="K190" s="994"/>
      <c r="L190" s="490" t="s">
        <v>2188</v>
      </c>
      <c r="M190" s="451" t="s">
        <v>2189</v>
      </c>
      <c r="N190" s="489">
        <v>0.1</v>
      </c>
      <c r="O190" s="452">
        <v>44197</v>
      </c>
      <c r="P190" s="452" t="s">
        <v>2190</v>
      </c>
      <c r="Q190" s="489">
        <v>0.25</v>
      </c>
      <c r="R190" s="491">
        <v>0.5</v>
      </c>
      <c r="S190" s="492">
        <v>1</v>
      </c>
      <c r="T190" s="489">
        <v>1</v>
      </c>
      <c r="U190" s="381">
        <v>0.25</v>
      </c>
      <c r="V190" s="493" t="s">
        <v>2191</v>
      </c>
      <c r="W190" s="493" t="s">
        <v>4317</v>
      </c>
      <c r="X190" s="455" t="str">
        <f t="shared" si="51"/>
        <v>En gestión</v>
      </c>
      <c r="Y190" s="455" t="str">
        <f t="shared" si="52"/>
        <v>En gestión</v>
      </c>
      <c r="Z190" s="1125"/>
      <c r="AA190" s="1120"/>
      <c r="AB190" s="1121"/>
      <c r="AC190" s="1124"/>
      <c r="AD190" s="1124"/>
      <c r="AE190" s="494"/>
      <c r="AF190" s="1008"/>
      <c r="AG190" s="1008"/>
      <c r="AH190" s="1008"/>
      <c r="AI190" s="1008"/>
      <c r="AJ190" s="1008"/>
      <c r="AK190" s="1008"/>
      <c r="AL190" s="499"/>
      <c r="AM190" s="499"/>
      <c r="AN190" s="499"/>
      <c r="AO190" s="499"/>
      <c r="AP190" s="499"/>
      <c r="AQ190" s="1215">
        <v>1</v>
      </c>
      <c r="AR190" s="493" t="s">
        <v>2191</v>
      </c>
      <c r="AS190" s="493" t="s">
        <v>4318</v>
      </c>
      <c r="AT190" s="455" t="str">
        <f t="shared" si="53"/>
        <v>En gestión</v>
      </c>
      <c r="AU190" s="455" t="str">
        <f t="shared" si="54"/>
        <v>Terminado</v>
      </c>
      <c r="AV190" s="1125"/>
      <c r="AW190" s="1110"/>
      <c r="AX190" s="1111"/>
      <c r="AY190" s="1124"/>
      <c r="AZ190" s="1124"/>
      <c r="BA190" s="493"/>
      <c r="BB190" s="1128"/>
      <c r="BC190" s="1128"/>
      <c r="BD190" s="1128"/>
      <c r="BE190" s="1128"/>
      <c r="BF190" s="1128"/>
      <c r="BG190" s="1128"/>
      <c r="BH190" s="1128"/>
      <c r="BI190" s="1128"/>
      <c r="BJ190" s="1128"/>
      <c r="BK190" s="1128"/>
      <c r="BL190" s="1010"/>
      <c r="BM190" s="506">
        <v>1</v>
      </c>
      <c r="BN190" s="454" t="s">
        <v>4319</v>
      </c>
      <c r="BO190" s="454" t="s">
        <v>4320</v>
      </c>
      <c r="BP190" s="455" t="str">
        <f t="shared" si="59"/>
        <v>Terminado</v>
      </c>
      <c r="BQ190" s="455" t="str">
        <f t="shared" si="58"/>
        <v>Terminado</v>
      </c>
      <c r="BR190" s="990"/>
      <c r="BS190" s="1130"/>
      <c r="BT190" s="1131"/>
      <c r="BU190" s="1124"/>
      <c r="BV190" s="1124"/>
      <c r="BW190" s="991"/>
      <c r="BX190" s="990"/>
      <c r="BY190" s="1008"/>
      <c r="BZ190" s="1008"/>
      <c r="CA190" s="1008"/>
      <c r="CB190" s="1008"/>
      <c r="CC190" s="1008"/>
      <c r="CD190" s="1008"/>
      <c r="CE190" s="1010"/>
      <c r="CF190" s="1010"/>
      <c r="CG190" s="1010"/>
      <c r="CH190" s="1010"/>
    </row>
    <row r="191" spans="2:86" ht="171.95" customHeight="1" x14ac:dyDescent="0.25">
      <c r="B191" s="1189"/>
      <c r="C191" s="1126"/>
      <c r="D191" s="1118"/>
      <c r="E191" s="1118"/>
      <c r="F191" s="1118"/>
      <c r="G191" s="1118"/>
      <c r="H191" s="1118"/>
      <c r="I191" s="489" t="s">
        <v>185</v>
      </c>
      <c r="J191" s="1127"/>
      <c r="K191" s="994"/>
      <c r="L191" s="490" t="s">
        <v>2192</v>
      </c>
      <c r="M191" s="451" t="s">
        <v>1331</v>
      </c>
      <c r="N191" s="489">
        <v>0.25</v>
      </c>
      <c r="O191" s="452">
        <v>44287</v>
      </c>
      <c r="P191" s="452" t="s">
        <v>2104</v>
      </c>
      <c r="Q191" s="489">
        <v>0</v>
      </c>
      <c r="R191" s="491">
        <v>0.6</v>
      </c>
      <c r="S191" s="492">
        <v>1</v>
      </c>
      <c r="T191" s="489">
        <v>1</v>
      </c>
      <c r="U191" s="381">
        <v>0.25</v>
      </c>
      <c r="V191" s="493" t="s">
        <v>2193</v>
      </c>
      <c r="W191" s="493" t="s">
        <v>4321</v>
      </c>
      <c r="X191" s="455" t="str">
        <f t="shared" si="51"/>
        <v>Sin iniciar</v>
      </c>
      <c r="Y191" s="455" t="str">
        <f t="shared" si="52"/>
        <v>En gestión</v>
      </c>
      <c r="Z191" s="1125"/>
      <c r="AA191" s="1120"/>
      <c r="AB191" s="1121"/>
      <c r="AC191" s="1124"/>
      <c r="AD191" s="1124"/>
      <c r="AE191" s="494"/>
      <c r="AF191" s="1008"/>
      <c r="AG191" s="1008"/>
      <c r="AH191" s="1008"/>
      <c r="AI191" s="1008"/>
      <c r="AJ191" s="1008"/>
      <c r="AK191" s="1008"/>
      <c r="AL191" s="499"/>
      <c r="AM191" s="499"/>
      <c r="AN191" s="499"/>
      <c r="AO191" s="499"/>
      <c r="AP191" s="499"/>
      <c r="AQ191" s="1215">
        <v>0.6</v>
      </c>
      <c r="AR191" s="493" t="s">
        <v>2323</v>
      </c>
      <c r="AS191" s="493" t="s">
        <v>4322</v>
      </c>
      <c r="AT191" s="455" t="str">
        <f t="shared" si="53"/>
        <v>En gestión</v>
      </c>
      <c r="AU191" s="455" t="str">
        <f t="shared" si="54"/>
        <v>En gestión</v>
      </c>
      <c r="AV191" s="1125"/>
      <c r="AW191" s="1110"/>
      <c r="AX191" s="1111"/>
      <c r="AY191" s="1124"/>
      <c r="AZ191" s="1124"/>
      <c r="BA191" s="493"/>
      <c r="BB191" s="1128"/>
      <c r="BC191" s="1128"/>
      <c r="BD191" s="1128"/>
      <c r="BE191" s="1128"/>
      <c r="BF191" s="1128"/>
      <c r="BG191" s="1128"/>
      <c r="BH191" s="1128"/>
      <c r="BI191" s="1128"/>
      <c r="BJ191" s="1128"/>
      <c r="BK191" s="1128"/>
      <c r="BL191" s="1010"/>
      <c r="BM191" s="506">
        <v>1</v>
      </c>
      <c r="BN191" s="454" t="s">
        <v>4323</v>
      </c>
      <c r="BO191" s="454" t="s">
        <v>4324</v>
      </c>
      <c r="BP191" s="455" t="str">
        <f t="shared" si="59"/>
        <v>Terminado</v>
      </c>
      <c r="BQ191" s="455" t="str">
        <f t="shared" si="58"/>
        <v>Terminado</v>
      </c>
      <c r="BR191" s="990"/>
      <c r="BS191" s="1130"/>
      <c r="BT191" s="1131"/>
      <c r="BU191" s="1124"/>
      <c r="BV191" s="1124"/>
      <c r="BW191" s="991"/>
      <c r="BX191" s="990"/>
      <c r="BY191" s="1008"/>
      <c r="BZ191" s="1008"/>
      <c r="CA191" s="1008"/>
      <c r="CB191" s="1008"/>
      <c r="CC191" s="1008"/>
      <c r="CD191" s="1008"/>
      <c r="CE191" s="1010"/>
      <c r="CF191" s="1010"/>
      <c r="CG191" s="1010"/>
      <c r="CH191" s="1010"/>
    </row>
    <row r="192" spans="2:86" ht="171.95" customHeight="1" x14ac:dyDescent="0.25">
      <c r="B192" s="1189"/>
      <c r="C192" s="1126"/>
      <c r="D192" s="1118"/>
      <c r="E192" s="1118"/>
      <c r="F192" s="1118"/>
      <c r="G192" s="1118"/>
      <c r="H192" s="1118"/>
      <c r="I192" s="489" t="s">
        <v>191</v>
      </c>
      <c r="J192" s="1127"/>
      <c r="K192" s="994"/>
      <c r="L192" s="490" t="s">
        <v>2194</v>
      </c>
      <c r="M192" s="451" t="s">
        <v>1334</v>
      </c>
      <c r="N192" s="489">
        <v>0.3</v>
      </c>
      <c r="O192" s="452">
        <v>44440</v>
      </c>
      <c r="P192" s="452">
        <v>44561</v>
      </c>
      <c r="Q192" s="489">
        <v>0</v>
      </c>
      <c r="R192" s="491">
        <v>0</v>
      </c>
      <c r="S192" s="492">
        <v>0.3</v>
      </c>
      <c r="T192" s="489">
        <v>1</v>
      </c>
      <c r="U192" s="381">
        <v>0</v>
      </c>
      <c r="V192" s="493" t="s">
        <v>1416</v>
      </c>
      <c r="W192" s="493"/>
      <c r="X192" s="455" t="str">
        <f t="shared" si="51"/>
        <v>Sin iniciar</v>
      </c>
      <c r="Y192" s="455" t="str">
        <f t="shared" si="52"/>
        <v>Sin iniciar</v>
      </c>
      <c r="Z192" s="1125"/>
      <c r="AA192" s="1120"/>
      <c r="AB192" s="1121"/>
      <c r="AC192" s="1124"/>
      <c r="AD192" s="1124"/>
      <c r="AE192" s="493" t="s">
        <v>2439</v>
      </c>
      <c r="AF192" s="1008"/>
      <c r="AG192" s="1008"/>
      <c r="AH192" s="1008"/>
      <c r="AI192" s="1008"/>
      <c r="AJ192" s="1008"/>
      <c r="AK192" s="1008"/>
      <c r="AL192" s="499"/>
      <c r="AM192" s="499"/>
      <c r="AN192" s="499"/>
      <c r="AO192" s="499"/>
      <c r="AP192" s="499"/>
      <c r="AQ192" s="1215">
        <v>0.25</v>
      </c>
      <c r="AR192" s="493" t="s">
        <v>2324</v>
      </c>
      <c r="AS192" s="493" t="s">
        <v>4325</v>
      </c>
      <c r="AT192" s="455" t="str">
        <f t="shared" si="53"/>
        <v>Sin iniciar</v>
      </c>
      <c r="AU192" s="455" t="str">
        <f t="shared" si="54"/>
        <v>En gestión</v>
      </c>
      <c r="AV192" s="1125"/>
      <c r="AW192" s="1110"/>
      <c r="AX192" s="1111"/>
      <c r="AY192" s="1124"/>
      <c r="AZ192" s="1124"/>
      <c r="BA192" s="493"/>
      <c r="BB192" s="1128"/>
      <c r="BC192" s="1128"/>
      <c r="BD192" s="1128"/>
      <c r="BE192" s="1128"/>
      <c r="BF192" s="1128"/>
      <c r="BG192" s="1128"/>
      <c r="BH192" s="1128"/>
      <c r="BI192" s="1128"/>
      <c r="BJ192" s="1128"/>
      <c r="BK192" s="1128"/>
      <c r="BL192" s="1010"/>
      <c r="BM192" s="506">
        <v>0.6</v>
      </c>
      <c r="BN192" s="454" t="s">
        <v>4326</v>
      </c>
      <c r="BO192" s="454" t="s">
        <v>4327</v>
      </c>
      <c r="BP192" s="455" t="str">
        <f t="shared" si="59"/>
        <v>En gestión</v>
      </c>
      <c r="BQ192" s="455" t="str">
        <f t="shared" si="58"/>
        <v>En gestión</v>
      </c>
      <c r="BR192" s="990"/>
      <c r="BS192" s="1130"/>
      <c r="BT192" s="1131"/>
      <c r="BU192" s="1124"/>
      <c r="BV192" s="1124"/>
      <c r="BW192" s="991"/>
      <c r="BX192" s="990"/>
      <c r="BY192" s="1008"/>
      <c r="BZ192" s="1008"/>
      <c r="CA192" s="1008"/>
      <c r="CB192" s="1008"/>
      <c r="CC192" s="1008"/>
      <c r="CD192" s="1008"/>
      <c r="CE192" s="1010"/>
      <c r="CF192" s="1010"/>
      <c r="CG192" s="1010"/>
      <c r="CH192" s="1010"/>
    </row>
    <row r="193" spans="2:86" ht="171.95" customHeight="1" x14ac:dyDescent="0.25">
      <c r="B193" s="1189"/>
      <c r="C193" s="1126"/>
      <c r="D193" s="1118"/>
      <c r="E193" s="1118"/>
      <c r="F193" s="1118"/>
      <c r="G193" s="1118"/>
      <c r="H193" s="1118"/>
      <c r="I193" s="489" t="s">
        <v>194</v>
      </c>
      <c r="J193" s="1127"/>
      <c r="K193" s="994"/>
      <c r="L193" s="490" t="s">
        <v>2195</v>
      </c>
      <c r="M193" s="451" t="s">
        <v>2181</v>
      </c>
      <c r="N193" s="489">
        <v>0.2</v>
      </c>
      <c r="O193" s="452">
        <v>44197</v>
      </c>
      <c r="P193" s="452">
        <v>44561</v>
      </c>
      <c r="Q193" s="489">
        <v>0.25</v>
      </c>
      <c r="R193" s="491">
        <v>0.3</v>
      </c>
      <c r="S193" s="492">
        <v>0.35</v>
      </c>
      <c r="T193" s="489">
        <v>1</v>
      </c>
      <c r="U193" s="381">
        <v>0</v>
      </c>
      <c r="V193" s="493" t="s">
        <v>1416</v>
      </c>
      <c r="W193" s="493"/>
      <c r="X193" s="455" t="str">
        <f t="shared" si="51"/>
        <v>En gestión</v>
      </c>
      <c r="Y193" s="455" t="str">
        <f t="shared" si="52"/>
        <v>Sin iniciar</v>
      </c>
      <c r="Z193" s="1125"/>
      <c r="AA193" s="1120"/>
      <c r="AB193" s="1121"/>
      <c r="AC193" s="1124"/>
      <c r="AD193" s="1124"/>
      <c r="AE193" s="493" t="s">
        <v>2439</v>
      </c>
      <c r="AF193" s="1008"/>
      <c r="AG193" s="1008"/>
      <c r="AH193" s="1008"/>
      <c r="AI193" s="1008"/>
      <c r="AJ193" s="1008"/>
      <c r="AK193" s="1008"/>
      <c r="AL193" s="499"/>
      <c r="AM193" s="499"/>
      <c r="AN193" s="499"/>
      <c r="AO193" s="499"/>
      <c r="AP193" s="499"/>
      <c r="AQ193" s="1215">
        <v>0.25</v>
      </c>
      <c r="AR193" s="493" t="s">
        <v>2325</v>
      </c>
      <c r="AS193" s="493" t="s">
        <v>4325</v>
      </c>
      <c r="AT193" s="455" t="str">
        <f t="shared" si="53"/>
        <v>En gestión</v>
      </c>
      <c r="AU193" s="455" t="str">
        <f t="shared" si="54"/>
        <v>En gestión</v>
      </c>
      <c r="AV193" s="1125"/>
      <c r="AW193" s="1110"/>
      <c r="AX193" s="1111"/>
      <c r="AY193" s="1124"/>
      <c r="AZ193" s="1124"/>
      <c r="BA193" s="493"/>
      <c r="BB193" s="1128"/>
      <c r="BC193" s="1128"/>
      <c r="BD193" s="1128"/>
      <c r="BE193" s="1128"/>
      <c r="BF193" s="1128"/>
      <c r="BG193" s="1128"/>
      <c r="BH193" s="1128"/>
      <c r="BI193" s="1128"/>
      <c r="BJ193" s="1128"/>
      <c r="BK193" s="1128"/>
      <c r="BL193" s="1010"/>
      <c r="BM193" s="506">
        <v>0.6</v>
      </c>
      <c r="BN193" s="454" t="s">
        <v>4328</v>
      </c>
      <c r="BO193" s="454" t="s">
        <v>4329</v>
      </c>
      <c r="BP193" s="455" t="str">
        <f t="shared" si="59"/>
        <v>En gestión</v>
      </c>
      <c r="BQ193" s="455" t="str">
        <f t="shared" si="58"/>
        <v>En gestión</v>
      </c>
      <c r="BR193" s="990"/>
      <c r="BS193" s="1130"/>
      <c r="BT193" s="1131"/>
      <c r="BU193" s="1124"/>
      <c r="BV193" s="1124"/>
      <c r="BW193" s="991"/>
      <c r="BX193" s="990"/>
      <c r="BY193" s="1008"/>
      <c r="BZ193" s="1008"/>
      <c r="CA193" s="1008"/>
      <c r="CB193" s="1008"/>
      <c r="CC193" s="1008"/>
      <c r="CD193" s="1008"/>
      <c r="CE193" s="1010"/>
      <c r="CF193" s="1010"/>
      <c r="CG193" s="1010"/>
      <c r="CH193" s="1010"/>
    </row>
    <row r="194" spans="2:86" ht="171.95" customHeight="1" x14ac:dyDescent="0.25">
      <c r="B194" s="1189"/>
      <c r="C194" s="1115" t="s">
        <v>2196</v>
      </c>
      <c r="D194" s="1116" t="s">
        <v>1045</v>
      </c>
      <c r="E194" s="1116" t="s">
        <v>2197</v>
      </c>
      <c r="F194" s="1116" t="s">
        <v>28</v>
      </c>
      <c r="G194" s="1116" t="s">
        <v>28</v>
      </c>
      <c r="H194" s="1116" t="s">
        <v>59</v>
      </c>
      <c r="I194" s="433" t="s">
        <v>1047</v>
      </c>
      <c r="J194" s="1117" t="s">
        <v>2198</v>
      </c>
      <c r="K194" s="1043" t="s">
        <v>187</v>
      </c>
      <c r="L194" s="434" t="s">
        <v>2199</v>
      </c>
      <c r="M194" s="387" t="s">
        <v>2046</v>
      </c>
      <c r="N194" s="433">
        <v>0.1</v>
      </c>
      <c r="O194" s="388">
        <v>44197</v>
      </c>
      <c r="P194" s="388">
        <v>44561</v>
      </c>
      <c r="Q194" s="435">
        <v>0.25</v>
      </c>
      <c r="R194" s="435">
        <v>0.5</v>
      </c>
      <c r="S194" s="436">
        <v>0.75</v>
      </c>
      <c r="T194" s="433">
        <v>1</v>
      </c>
      <c r="U194" s="381">
        <v>0.25</v>
      </c>
      <c r="V194" s="437" t="s">
        <v>2174</v>
      </c>
      <c r="W194" s="437" t="s">
        <v>4330</v>
      </c>
      <c r="X194" s="379" t="str">
        <f t="shared" si="51"/>
        <v>En gestión</v>
      </c>
      <c r="Y194" s="379" t="str">
        <f t="shared" si="52"/>
        <v>En gestión</v>
      </c>
      <c r="Z194" s="1113" t="s">
        <v>2286</v>
      </c>
      <c r="AA194" s="1120">
        <f>SUMPRODUCT(N194:N199,U194:U199)</f>
        <v>0.25</v>
      </c>
      <c r="AB194" s="1121">
        <f>SUMPRODUCT(N194:N199,Q194:Q199)</f>
        <v>0.25</v>
      </c>
      <c r="AC194" s="1122" t="str">
        <f>IF(AB194&lt;1%,"Sin iniciar",IF(AB194=100%,"Terminado","En gestión"))</f>
        <v>En gestión</v>
      </c>
      <c r="AD194" s="1122" t="str">
        <f>IF(AA194&lt;1%,"Sin iniciar",IF(AA194=100%,"Terminado","En gestión"))</f>
        <v>En gestión</v>
      </c>
      <c r="AE194" s="438"/>
      <c r="AF194" s="1005">
        <v>108926472</v>
      </c>
      <c r="AG194" s="1005">
        <v>0</v>
      </c>
      <c r="AH194" s="1005">
        <v>40335450</v>
      </c>
      <c r="AI194" s="1005">
        <f>284816000+4049246661</f>
        <v>4334062661</v>
      </c>
      <c r="AJ194" s="1005">
        <v>0</v>
      </c>
      <c r="AK194" s="1005">
        <f>45000000+2225221505</f>
        <v>2270221505</v>
      </c>
      <c r="AL194" s="441"/>
      <c r="AM194" s="441"/>
      <c r="AN194" s="441"/>
      <c r="AO194" s="441"/>
      <c r="AP194" s="441"/>
      <c r="AQ194" s="1215">
        <v>0.5</v>
      </c>
      <c r="AR194" s="437" t="s">
        <v>2174</v>
      </c>
      <c r="AS194" s="437" t="s">
        <v>4331</v>
      </c>
      <c r="AT194" s="379" t="str">
        <f t="shared" si="53"/>
        <v>En gestión</v>
      </c>
      <c r="AU194" s="379" t="str">
        <f t="shared" si="54"/>
        <v>En gestión</v>
      </c>
      <c r="AV194" s="1113" t="s">
        <v>2414</v>
      </c>
      <c r="AW194" s="1110">
        <f>SUMPRODUCT(N194:N199,AQ194:AQ199)</f>
        <v>0.5</v>
      </c>
      <c r="AX194" s="1111">
        <f>SUMPRODUCT(N194:N199,R194:R199)</f>
        <v>0.5</v>
      </c>
      <c r="AY194" s="1122" t="str">
        <f>IF(AX194&lt;1%,"Sin iniciar",IF(AX194=100%,"Terminado","En gestión"))</f>
        <v>En gestión</v>
      </c>
      <c r="AZ194" s="1122" t="str">
        <f>IF(AW194&lt;1%,"Sin iniciar",IF(AW194=100%,"Terminado","En gestión"))</f>
        <v>En gestión</v>
      </c>
      <c r="BA194" s="437"/>
      <c r="BB194" s="1011">
        <v>108926472</v>
      </c>
      <c r="BC194" s="1011">
        <v>108926472</v>
      </c>
      <c r="BD194" s="1011">
        <v>80670900</v>
      </c>
      <c r="BE194" s="1011">
        <f>284816000+4049246661</f>
        <v>4334062661</v>
      </c>
      <c r="BF194" s="1011">
        <f>284816000+4049246661</f>
        <v>4334062661</v>
      </c>
      <c r="BG194" s="1011">
        <f>145400000+2833229890</f>
        <v>2978629890</v>
      </c>
      <c r="BH194" s="1011" t="s">
        <v>2666</v>
      </c>
      <c r="BI194" s="1011"/>
      <c r="BJ194" s="1132" t="s">
        <v>2737</v>
      </c>
      <c r="BK194" s="1132" t="s">
        <v>2738</v>
      </c>
      <c r="BL194" s="1132" t="s">
        <v>2739</v>
      </c>
      <c r="BM194" s="506">
        <v>0.75</v>
      </c>
      <c r="BN194" s="389" t="s">
        <v>4332</v>
      </c>
      <c r="BO194" s="389" t="s">
        <v>4333</v>
      </c>
      <c r="BP194" s="379" t="str">
        <f t="shared" si="59"/>
        <v>En gestión</v>
      </c>
      <c r="BQ194" s="379" t="str">
        <f t="shared" si="58"/>
        <v>En gestión</v>
      </c>
      <c r="BR194" s="1006" t="s">
        <v>4426</v>
      </c>
      <c r="BS194" s="1130">
        <f>SUMPRODUCT(N194:N199,BM194:BM199)</f>
        <v>0.75000000000000011</v>
      </c>
      <c r="BT194" s="1131">
        <f>SUMPRODUCT(N194:N199,S194:S199)</f>
        <v>0.75000000000000011</v>
      </c>
      <c r="BU194" s="1122" t="str">
        <f>IF(BT194&lt;1%,"Sin iniciar",IF(BT194=100%,"Terminado","En gestión"))</f>
        <v>En gestión</v>
      </c>
      <c r="BV194" s="1122" t="str">
        <f>IF(BS194&lt;1%,"Sin iniciar",IF(BS194=100%,"Terminado","En gestión"))</f>
        <v>En gestión</v>
      </c>
      <c r="BW194" s="1016" t="s">
        <v>28</v>
      </c>
      <c r="BX194" s="1006" t="s">
        <v>3631</v>
      </c>
      <c r="BY194" s="1005">
        <v>108926472</v>
      </c>
      <c r="BZ194" s="1005">
        <v>101769464</v>
      </c>
      <c r="CA194" s="1005">
        <v>124164630</v>
      </c>
      <c r="CB194" s="1005">
        <f>284816000+4049246661</f>
        <v>4334062661</v>
      </c>
      <c r="CC194" s="1005"/>
      <c r="CD194" s="1005">
        <f>195600000+3441238276</f>
        <v>3636838276</v>
      </c>
      <c r="CE194" s="1132" t="s">
        <v>2666</v>
      </c>
      <c r="CF194" s="442" t="s">
        <v>2737</v>
      </c>
      <c r="CG194" s="442" t="s">
        <v>2738</v>
      </c>
      <c r="CH194" s="442" t="s">
        <v>2739</v>
      </c>
    </row>
    <row r="195" spans="2:86" ht="171.95" customHeight="1" x14ac:dyDescent="0.25">
      <c r="B195" s="1189"/>
      <c r="C195" s="1115"/>
      <c r="D195" s="1116"/>
      <c r="E195" s="1116"/>
      <c r="F195" s="1116"/>
      <c r="G195" s="1116"/>
      <c r="H195" s="1116"/>
      <c r="I195" s="433" t="s">
        <v>1039</v>
      </c>
      <c r="J195" s="1117"/>
      <c r="K195" s="1043"/>
      <c r="L195" s="434" t="s">
        <v>2200</v>
      </c>
      <c r="M195" s="387" t="s">
        <v>2201</v>
      </c>
      <c r="N195" s="433">
        <v>0.1</v>
      </c>
      <c r="O195" s="388">
        <v>44197</v>
      </c>
      <c r="P195" s="388">
        <v>44561</v>
      </c>
      <c r="Q195" s="435">
        <v>0.25</v>
      </c>
      <c r="R195" s="435">
        <v>0.5</v>
      </c>
      <c r="S195" s="436">
        <v>0.75</v>
      </c>
      <c r="T195" s="433">
        <v>1</v>
      </c>
      <c r="U195" s="381">
        <v>0.25</v>
      </c>
      <c r="V195" s="437" t="s">
        <v>2202</v>
      </c>
      <c r="W195" s="437" t="s">
        <v>4334</v>
      </c>
      <c r="X195" s="379" t="str">
        <f t="shared" si="51"/>
        <v>En gestión</v>
      </c>
      <c r="Y195" s="379" t="str">
        <f t="shared" si="52"/>
        <v>En gestión</v>
      </c>
      <c r="Z195" s="1113"/>
      <c r="AA195" s="1120"/>
      <c r="AB195" s="1121"/>
      <c r="AC195" s="1122"/>
      <c r="AD195" s="1122"/>
      <c r="AE195" s="438"/>
      <c r="AF195" s="1005"/>
      <c r="AG195" s="1005"/>
      <c r="AH195" s="1005"/>
      <c r="AI195" s="1005"/>
      <c r="AJ195" s="1005"/>
      <c r="AK195" s="1005"/>
      <c r="AL195" s="441"/>
      <c r="AM195" s="441"/>
      <c r="AN195" s="441"/>
      <c r="AO195" s="441"/>
      <c r="AP195" s="441"/>
      <c r="AQ195" s="1215">
        <v>0.5</v>
      </c>
      <c r="AR195" s="437" t="s">
        <v>2326</v>
      </c>
      <c r="AS195" s="437" t="s">
        <v>4335</v>
      </c>
      <c r="AT195" s="379" t="str">
        <f t="shared" si="53"/>
        <v>En gestión</v>
      </c>
      <c r="AU195" s="379" t="str">
        <f t="shared" si="54"/>
        <v>En gestión</v>
      </c>
      <c r="AV195" s="1113"/>
      <c r="AW195" s="1110"/>
      <c r="AX195" s="1111"/>
      <c r="AY195" s="1122"/>
      <c r="AZ195" s="1122"/>
      <c r="BA195" s="437"/>
      <c r="BB195" s="1011"/>
      <c r="BC195" s="1011"/>
      <c r="BD195" s="1011"/>
      <c r="BE195" s="1011"/>
      <c r="BF195" s="1011"/>
      <c r="BG195" s="1011"/>
      <c r="BH195" s="1011"/>
      <c r="BI195" s="1011"/>
      <c r="BJ195" s="1132"/>
      <c r="BK195" s="1132"/>
      <c r="BL195" s="1132"/>
      <c r="BM195" s="506">
        <v>0.75</v>
      </c>
      <c r="BN195" s="389" t="s">
        <v>4336</v>
      </c>
      <c r="BO195" s="389" t="s">
        <v>4337</v>
      </c>
      <c r="BP195" s="379" t="str">
        <f t="shared" si="59"/>
        <v>En gestión</v>
      </c>
      <c r="BQ195" s="379" t="str">
        <f t="shared" si="58"/>
        <v>En gestión</v>
      </c>
      <c r="BR195" s="1006"/>
      <c r="BS195" s="1130"/>
      <c r="BT195" s="1131"/>
      <c r="BU195" s="1122"/>
      <c r="BV195" s="1122"/>
      <c r="BW195" s="1016"/>
      <c r="BX195" s="1006"/>
      <c r="BY195" s="1005"/>
      <c r="BZ195" s="1005"/>
      <c r="CA195" s="1005"/>
      <c r="CB195" s="1005"/>
      <c r="CC195" s="1005"/>
      <c r="CD195" s="1005"/>
      <c r="CE195" s="1132"/>
      <c r="CF195" s="442" t="s">
        <v>2740</v>
      </c>
      <c r="CG195" s="442" t="s">
        <v>2741</v>
      </c>
      <c r="CH195" s="442" t="s">
        <v>2742</v>
      </c>
    </row>
    <row r="196" spans="2:86" ht="171.95" customHeight="1" x14ac:dyDescent="0.25">
      <c r="B196" s="1189"/>
      <c r="C196" s="1115"/>
      <c r="D196" s="1116"/>
      <c r="E196" s="1116"/>
      <c r="F196" s="1116"/>
      <c r="G196" s="1116"/>
      <c r="H196" s="1116"/>
      <c r="I196" s="433" t="s">
        <v>132</v>
      </c>
      <c r="J196" s="1117"/>
      <c r="K196" s="1043"/>
      <c r="L196" s="434" t="s">
        <v>2203</v>
      </c>
      <c r="M196" s="387" t="s">
        <v>2124</v>
      </c>
      <c r="N196" s="433">
        <v>0.2</v>
      </c>
      <c r="O196" s="388">
        <v>44197</v>
      </c>
      <c r="P196" s="388">
        <v>44561</v>
      </c>
      <c r="Q196" s="435">
        <v>0.25</v>
      </c>
      <c r="R196" s="435">
        <v>0.5</v>
      </c>
      <c r="S196" s="436">
        <v>0.75</v>
      </c>
      <c r="T196" s="433">
        <v>1</v>
      </c>
      <c r="U196" s="381">
        <v>0.25</v>
      </c>
      <c r="V196" s="437" t="s">
        <v>2204</v>
      </c>
      <c r="W196" s="437" t="s">
        <v>4338</v>
      </c>
      <c r="X196" s="379" t="str">
        <f t="shared" ref="X196:X222" si="60">IF(Q196&lt;1%,"Sin iniciar",IF(Q196=100%,"Terminado","En gestión"))</f>
        <v>En gestión</v>
      </c>
      <c r="Y196" s="379" t="str">
        <f t="shared" ref="Y196:Y222" si="61">IF(U196&lt;1%,"Sin iniciar",IF(U196=100%,"Terminado","En gestión"))</f>
        <v>En gestión</v>
      </c>
      <c r="Z196" s="1113"/>
      <c r="AA196" s="1120"/>
      <c r="AB196" s="1121"/>
      <c r="AC196" s="1122"/>
      <c r="AD196" s="1122"/>
      <c r="AE196" s="438"/>
      <c r="AF196" s="1005"/>
      <c r="AG196" s="1005"/>
      <c r="AH196" s="1005"/>
      <c r="AI196" s="1005"/>
      <c r="AJ196" s="1005"/>
      <c r="AK196" s="1005"/>
      <c r="AL196" s="441"/>
      <c r="AM196" s="441"/>
      <c r="AN196" s="441"/>
      <c r="AO196" s="441"/>
      <c r="AP196" s="441"/>
      <c r="AQ196" s="1215">
        <v>0.5</v>
      </c>
      <c r="AR196" s="437" t="s">
        <v>2204</v>
      </c>
      <c r="AS196" s="437" t="s">
        <v>4339</v>
      </c>
      <c r="AT196" s="379" t="str">
        <f t="shared" ref="AT196:AT222" si="62">IF(R196&lt;1%,"Sin iniciar",IF(R196=100%,"Terminado","En gestión"))</f>
        <v>En gestión</v>
      </c>
      <c r="AU196" s="379" t="str">
        <f t="shared" ref="AU196:AU222" si="63">IF(AQ196&lt;1%,"Sin iniciar",IF(AQ196=100%,"Terminado","En gestión"))</f>
        <v>En gestión</v>
      </c>
      <c r="AV196" s="1113"/>
      <c r="AW196" s="1110"/>
      <c r="AX196" s="1111"/>
      <c r="AY196" s="1122"/>
      <c r="AZ196" s="1122"/>
      <c r="BA196" s="437"/>
      <c r="BB196" s="1011"/>
      <c r="BC196" s="1011"/>
      <c r="BD196" s="1011"/>
      <c r="BE196" s="1011"/>
      <c r="BF196" s="1011"/>
      <c r="BG196" s="1011"/>
      <c r="BH196" s="1011"/>
      <c r="BI196" s="1011"/>
      <c r="BJ196" s="1132"/>
      <c r="BK196" s="1132"/>
      <c r="BL196" s="1132"/>
      <c r="BM196" s="506">
        <v>0.75</v>
      </c>
      <c r="BN196" s="389" t="s">
        <v>4340</v>
      </c>
      <c r="BO196" s="389" t="s">
        <v>4341</v>
      </c>
      <c r="BP196" s="379" t="str">
        <f t="shared" si="59"/>
        <v>En gestión</v>
      </c>
      <c r="BQ196" s="379" t="str">
        <f t="shared" si="58"/>
        <v>En gestión</v>
      </c>
      <c r="BR196" s="1006"/>
      <c r="BS196" s="1130"/>
      <c r="BT196" s="1131"/>
      <c r="BU196" s="1122"/>
      <c r="BV196" s="1122"/>
      <c r="BW196" s="1016"/>
      <c r="BX196" s="1006"/>
      <c r="BY196" s="1005"/>
      <c r="BZ196" s="1005"/>
      <c r="CA196" s="1005"/>
      <c r="CB196" s="1005"/>
      <c r="CC196" s="1005"/>
      <c r="CD196" s="1005"/>
      <c r="CE196" s="1132" t="s">
        <v>4137</v>
      </c>
      <c r="CF196" s="1132" t="s">
        <v>4138</v>
      </c>
      <c r="CG196" s="1132" t="s">
        <v>4139</v>
      </c>
      <c r="CH196" s="1132" t="s">
        <v>4342</v>
      </c>
    </row>
    <row r="197" spans="2:86" ht="171.95" customHeight="1" x14ac:dyDescent="0.25">
      <c r="B197" s="1189"/>
      <c r="C197" s="1115"/>
      <c r="D197" s="1116"/>
      <c r="E197" s="1116"/>
      <c r="F197" s="1116"/>
      <c r="G197" s="1116"/>
      <c r="H197" s="1116"/>
      <c r="I197" s="433" t="s">
        <v>185</v>
      </c>
      <c r="J197" s="1117"/>
      <c r="K197" s="1043"/>
      <c r="L197" s="434" t="s">
        <v>2205</v>
      </c>
      <c r="M197" s="387" t="s">
        <v>2206</v>
      </c>
      <c r="N197" s="433">
        <v>0.2</v>
      </c>
      <c r="O197" s="388">
        <v>44197</v>
      </c>
      <c r="P197" s="388">
        <v>44561</v>
      </c>
      <c r="Q197" s="435">
        <v>0.25</v>
      </c>
      <c r="R197" s="435">
        <v>0.5</v>
      </c>
      <c r="S197" s="436">
        <v>0.75</v>
      </c>
      <c r="T197" s="433">
        <v>1</v>
      </c>
      <c r="U197" s="381">
        <v>0.25</v>
      </c>
      <c r="V197" s="437" t="s">
        <v>2207</v>
      </c>
      <c r="W197" s="437" t="s">
        <v>4343</v>
      </c>
      <c r="X197" s="379" t="str">
        <f t="shared" si="60"/>
        <v>En gestión</v>
      </c>
      <c r="Y197" s="379" t="str">
        <f t="shared" si="61"/>
        <v>En gestión</v>
      </c>
      <c r="Z197" s="1113"/>
      <c r="AA197" s="1120"/>
      <c r="AB197" s="1121"/>
      <c r="AC197" s="1122"/>
      <c r="AD197" s="1122"/>
      <c r="AE197" s="438"/>
      <c r="AF197" s="1005"/>
      <c r="AG197" s="1005"/>
      <c r="AH197" s="1005"/>
      <c r="AI197" s="1005"/>
      <c r="AJ197" s="1005"/>
      <c r="AK197" s="1005"/>
      <c r="AL197" s="441"/>
      <c r="AM197" s="441"/>
      <c r="AN197" s="441"/>
      <c r="AO197" s="441"/>
      <c r="AP197" s="441"/>
      <c r="AQ197" s="1215">
        <v>0.5</v>
      </c>
      <c r="AR197" s="437" t="s">
        <v>2207</v>
      </c>
      <c r="AS197" s="437" t="s">
        <v>4344</v>
      </c>
      <c r="AT197" s="379" t="str">
        <f t="shared" si="62"/>
        <v>En gestión</v>
      </c>
      <c r="AU197" s="379" t="str">
        <f t="shared" si="63"/>
        <v>En gestión</v>
      </c>
      <c r="AV197" s="1113"/>
      <c r="AW197" s="1110"/>
      <c r="AX197" s="1111"/>
      <c r="AY197" s="1122"/>
      <c r="AZ197" s="1122"/>
      <c r="BA197" s="437"/>
      <c r="BB197" s="1011"/>
      <c r="BC197" s="1011"/>
      <c r="BD197" s="1011"/>
      <c r="BE197" s="1011"/>
      <c r="BF197" s="1011"/>
      <c r="BG197" s="1011"/>
      <c r="BH197" s="1011"/>
      <c r="BI197" s="1011"/>
      <c r="BJ197" s="1132" t="s">
        <v>2740</v>
      </c>
      <c r="BK197" s="1132" t="s">
        <v>2741</v>
      </c>
      <c r="BL197" s="1132" t="s">
        <v>2742</v>
      </c>
      <c r="BM197" s="506">
        <v>0.75</v>
      </c>
      <c r="BN197" s="389" t="s">
        <v>4345</v>
      </c>
      <c r="BO197" s="389" t="s">
        <v>4346</v>
      </c>
      <c r="BP197" s="379" t="str">
        <f t="shared" si="59"/>
        <v>En gestión</v>
      </c>
      <c r="BQ197" s="379" t="str">
        <f t="shared" si="58"/>
        <v>En gestión</v>
      </c>
      <c r="BR197" s="1006"/>
      <c r="BS197" s="1130"/>
      <c r="BT197" s="1131"/>
      <c r="BU197" s="1122"/>
      <c r="BV197" s="1122"/>
      <c r="BW197" s="1016"/>
      <c r="BX197" s="1006"/>
      <c r="BY197" s="1005"/>
      <c r="BZ197" s="1005"/>
      <c r="CA197" s="1005"/>
      <c r="CB197" s="1005"/>
      <c r="CC197" s="1005"/>
      <c r="CD197" s="1005"/>
      <c r="CE197" s="1132"/>
      <c r="CF197" s="1132"/>
      <c r="CG197" s="1132"/>
      <c r="CH197" s="1132"/>
    </row>
    <row r="198" spans="2:86" ht="171.95" customHeight="1" x14ac:dyDescent="0.25">
      <c r="B198" s="1189"/>
      <c r="C198" s="1115"/>
      <c r="D198" s="1116"/>
      <c r="E198" s="1116"/>
      <c r="F198" s="1116"/>
      <c r="G198" s="1116"/>
      <c r="H198" s="1116"/>
      <c r="I198" s="433" t="s">
        <v>191</v>
      </c>
      <c r="J198" s="1117"/>
      <c r="K198" s="1043"/>
      <c r="L198" s="434" t="s">
        <v>2208</v>
      </c>
      <c r="M198" s="387" t="s">
        <v>1334</v>
      </c>
      <c r="N198" s="433">
        <v>0.2</v>
      </c>
      <c r="O198" s="388">
        <v>44197</v>
      </c>
      <c r="P198" s="388">
        <v>44561</v>
      </c>
      <c r="Q198" s="435">
        <v>0.25</v>
      </c>
      <c r="R198" s="435">
        <v>0.5</v>
      </c>
      <c r="S198" s="436">
        <v>0.75</v>
      </c>
      <c r="T198" s="433">
        <v>1</v>
      </c>
      <c r="U198" s="381">
        <v>0.25</v>
      </c>
      <c r="V198" s="437" t="s">
        <v>2209</v>
      </c>
      <c r="W198" s="437" t="s">
        <v>4347</v>
      </c>
      <c r="X198" s="379" t="str">
        <f t="shared" si="60"/>
        <v>En gestión</v>
      </c>
      <c r="Y198" s="379" t="str">
        <f t="shared" si="61"/>
        <v>En gestión</v>
      </c>
      <c r="Z198" s="1113"/>
      <c r="AA198" s="1120"/>
      <c r="AB198" s="1121"/>
      <c r="AC198" s="1122"/>
      <c r="AD198" s="1122"/>
      <c r="AE198" s="438"/>
      <c r="AF198" s="1005"/>
      <c r="AG198" s="1005"/>
      <c r="AH198" s="1005"/>
      <c r="AI198" s="1005"/>
      <c r="AJ198" s="1005"/>
      <c r="AK198" s="1005"/>
      <c r="AL198" s="441"/>
      <c r="AM198" s="441"/>
      <c r="AN198" s="441"/>
      <c r="AO198" s="441"/>
      <c r="AP198" s="441"/>
      <c r="AQ198" s="1215">
        <v>0.5</v>
      </c>
      <c r="AR198" s="437" t="s">
        <v>2209</v>
      </c>
      <c r="AS198" s="437" t="s">
        <v>4348</v>
      </c>
      <c r="AT198" s="379" t="str">
        <f t="shared" si="62"/>
        <v>En gestión</v>
      </c>
      <c r="AU198" s="379" t="str">
        <f t="shared" si="63"/>
        <v>En gestión</v>
      </c>
      <c r="AV198" s="1113"/>
      <c r="AW198" s="1110"/>
      <c r="AX198" s="1111"/>
      <c r="AY198" s="1122"/>
      <c r="AZ198" s="1122"/>
      <c r="BA198" s="437"/>
      <c r="BB198" s="1011"/>
      <c r="BC198" s="1011"/>
      <c r="BD198" s="1011"/>
      <c r="BE198" s="1011"/>
      <c r="BF198" s="1011"/>
      <c r="BG198" s="1011"/>
      <c r="BH198" s="1011"/>
      <c r="BI198" s="1011"/>
      <c r="BJ198" s="1132"/>
      <c r="BK198" s="1132"/>
      <c r="BL198" s="1132"/>
      <c r="BM198" s="506">
        <v>0.75</v>
      </c>
      <c r="BN198" s="389" t="s">
        <v>2209</v>
      </c>
      <c r="BO198" s="389" t="s">
        <v>4349</v>
      </c>
      <c r="BP198" s="379" t="str">
        <f t="shared" si="59"/>
        <v>En gestión</v>
      </c>
      <c r="BQ198" s="379" t="str">
        <f t="shared" si="58"/>
        <v>En gestión</v>
      </c>
      <c r="BR198" s="1006"/>
      <c r="BS198" s="1130"/>
      <c r="BT198" s="1131"/>
      <c r="BU198" s="1122"/>
      <c r="BV198" s="1122"/>
      <c r="BW198" s="1016"/>
      <c r="BX198" s="1006"/>
      <c r="BY198" s="1005"/>
      <c r="BZ198" s="1005"/>
      <c r="CA198" s="1005"/>
      <c r="CB198" s="1005"/>
      <c r="CC198" s="1005"/>
      <c r="CD198" s="1005"/>
      <c r="CE198" s="1132"/>
      <c r="CF198" s="1132"/>
      <c r="CG198" s="1132"/>
      <c r="CH198" s="1132"/>
    </row>
    <row r="199" spans="2:86" ht="171.95" customHeight="1" x14ac:dyDescent="0.25">
      <c r="B199" s="1189"/>
      <c r="C199" s="1115"/>
      <c r="D199" s="1116"/>
      <c r="E199" s="1116"/>
      <c r="F199" s="1116"/>
      <c r="G199" s="1116"/>
      <c r="H199" s="1116"/>
      <c r="I199" s="433" t="s">
        <v>194</v>
      </c>
      <c r="J199" s="1117"/>
      <c r="K199" s="1043"/>
      <c r="L199" s="434" t="s">
        <v>2210</v>
      </c>
      <c r="M199" s="387" t="s">
        <v>2211</v>
      </c>
      <c r="N199" s="433">
        <v>0.2</v>
      </c>
      <c r="O199" s="388">
        <v>44197</v>
      </c>
      <c r="P199" s="388">
        <v>44561</v>
      </c>
      <c r="Q199" s="435">
        <v>0.25</v>
      </c>
      <c r="R199" s="435">
        <v>0.5</v>
      </c>
      <c r="S199" s="436">
        <v>0.75</v>
      </c>
      <c r="T199" s="433">
        <v>1</v>
      </c>
      <c r="U199" s="381">
        <v>0.25</v>
      </c>
      <c r="V199" s="437" t="s">
        <v>2212</v>
      </c>
      <c r="W199" s="437" t="s">
        <v>4350</v>
      </c>
      <c r="X199" s="379" t="str">
        <f t="shared" si="60"/>
        <v>En gestión</v>
      </c>
      <c r="Y199" s="379" t="str">
        <f t="shared" si="61"/>
        <v>En gestión</v>
      </c>
      <c r="Z199" s="1113"/>
      <c r="AA199" s="1120"/>
      <c r="AB199" s="1121"/>
      <c r="AC199" s="1122"/>
      <c r="AD199" s="1122"/>
      <c r="AE199" s="438"/>
      <c r="AF199" s="1005"/>
      <c r="AG199" s="1005"/>
      <c r="AH199" s="1005"/>
      <c r="AI199" s="1005"/>
      <c r="AJ199" s="1005"/>
      <c r="AK199" s="1005"/>
      <c r="AL199" s="441"/>
      <c r="AM199" s="441"/>
      <c r="AN199" s="441"/>
      <c r="AO199" s="441"/>
      <c r="AP199" s="441"/>
      <c r="AQ199" s="1215">
        <v>0.5</v>
      </c>
      <c r="AR199" s="437" t="s">
        <v>2327</v>
      </c>
      <c r="AS199" s="437" t="s">
        <v>4351</v>
      </c>
      <c r="AT199" s="379" t="str">
        <f t="shared" si="62"/>
        <v>En gestión</v>
      </c>
      <c r="AU199" s="379" t="str">
        <f t="shared" si="63"/>
        <v>En gestión</v>
      </c>
      <c r="AV199" s="1113"/>
      <c r="AW199" s="1110"/>
      <c r="AX199" s="1111"/>
      <c r="AY199" s="1122"/>
      <c r="AZ199" s="1122"/>
      <c r="BA199" s="437"/>
      <c r="BB199" s="1011"/>
      <c r="BC199" s="1011"/>
      <c r="BD199" s="1011"/>
      <c r="BE199" s="1011"/>
      <c r="BF199" s="1011"/>
      <c r="BG199" s="1011"/>
      <c r="BH199" s="1011"/>
      <c r="BI199" s="1011"/>
      <c r="BJ199" s="1132"/>
      <c r="BK199" s="1132"/>
      <c r="BL199" s="1132"/>
      <c r="BM199" s="506">
        <v>0.75</v>
      </c>
      <c r="BN199" s="389" t="s">
        <v>4352</v>
      </c>
      <c r="BO199" s="389" t="s">
        <v>4353</v>
      </c>
      <c r="BP199" s="379" t="str">
        <f t="shared" si="59"/>
        <v>En gestión</v>
      </c>
      <c r="BQ199" s="379" t="str">
        <f t="shared" si="58"/>
        <v>En gestión</v>
      </c>
      <c r="BR199" s="1006"/>
      <c r="BS199" s="1130"/>
      <c r="BT199" s="1131"/>
      <c r="BU199" s="1122"/>
      <c r="BV199" s="1122"/>
      <c r="BW199" s="1016"/>
      <c r="BX199" s="1006"/>
      <c r="BY199" s="1005"/>
      <c r="BZ199" s="1005"/>
      <c r="CA199" s="1005"/>
      <c r="CB199" s="1005"/>
      <c r="CC199" s="1005"/>
      <c r="CD199" s="1005"/>
      <c r="CE199" s="1132"/>
      <c r="CF199" s="1132"/>
      <c r="CG199" s="1132"/>
      <c r="CH199" s="1132"/>
    </row>
    <row r="200" spans="2:86" ht="171.95" customHeight="1" x14ac:dyDescent="0.25">
      <c r="B200" s="1189"/>
      <c r="C200" s="1126" t="s">
        <v>2213</v>
      </c>
      <c r="D200" s="1118" t="s">
        <v>1045</v>
      </c>
      <c r="E200" s="1118" t="s">
        <v>2415</v>
      </c>
      <c r="F200" s="1118" t="s">
        <v>28</v>
      </c>
      <c r="G200" s="1118" t="s">
        <v>28</v>
      </c>
      <c r="H200" s="1118" t="s">
        <v>59</v>
      </c>
      <c r="I200" s="489" t="s">
        <v>1047</v>
      </c>
      <c r="J200" s="1127" t="s">
        <v>2214</v>
      </c>
      <c r="K200" s="994" t="s">
        <v>187</v>
      </c>
      <c r="L200" s="490" t="s">
        <v>2215</v>
      </c>
      <c r="M200" s="451" t="s">
        <v>2046</v>
      </c>
      <c r="N200" s="489">
        <v>0.05</v>
      </c>
      <c r="O200" s="452">
        <v>44197</v>
      </c>
      <c r="P200" s="452">
        <v>44561</v>
      </c>
      <c r="Q200" s="491">
        <v>0.25</v>
      </c>
      <c r="R200" s="491">
        <v>0.5</v>
      </c>
      <c r="S200" s="492">
        <v>0.75</v>
      </c>
      <c r="T200" s="489">
        <v>1</v>
      </c>
      <c r="U200" s="381">
        <v>0.25</v>
      </c>
      <c r="V200" s="493" t="s">
        <v>2216</v>
      </c>
      <c r="W200" s="493" t="s">
        <v>4354</v>
      </c>
      <c r="X200" s="455" t="str">
        <f t="shared" si="60"/>
        <v>En gestión</v>
      </c>
      <c r="Y200" s="455" t="str">
        <f t="shared" si="61"/>
        <v>En gestión</v>
      </c>
      <c r="Z200" s="1125" t="s">
        <v>2287</v>
      </c>
      <c r="AA200" s="1120">
        <f>SUMPRODUCT(N200:N205,U200:U205)</f>
        <v>0.25</v>
      </c>
      <c r="AB200" s="1121">
        <f>SUMPRODUCT(N200:N205,Q200:Q205)</f>
        <v>0.25</v>
      </c>
      <c r="AC200" s="1124" t="str">
        <f>IF(AB200&lt;1%,"Sin iniciar",IF(AB200=100%,"Terminado","En gestión"))</f>
        <v>En gestión</v>
      </c>
      <c r="AD200" s="1124" t="str">
        <f>IF(AA200&lt;1%,"Sin iniciar",IF(AA200=100%,"Terminado","En gestión"))</f>
        <v>En gestión</v>
      </c>
      <c r="AE200" s="494"/>
      <c r="AF200" s="1008">
        <v>125133655</v>
      </c>
      <c r="AG200" s="1008">
        <v>0</v>
      </c>
      <c r="AH200" s="1008">
        <v>31283414</v>
      </c>
      <c r="AI200" s="1008">
        <f>40533333+316534086</f>
        <v>357067419</v>
      </c>
      <c r="AJ200" s="1008">
        <v>0</v>
      </c>
      <c r="AK200" s="1008">
        <f>3798813+116286470</f>
        <v>120085283</v>
      </c>
      <c r="AL200" s="499"/>
      <c r="AM200" s="499"/>
      <c r="AN200" s="499"/>
      <c r="AO200" s="499"/>
      <c r="AP200" s="499"/>
      <c r="AQ200" s="1215">
        <v>0.5</v>
      </c>
      <c r="AR200" s="493" t="s">
        <v>2216</v>
      </c>
      <c r="AS200" s="493" t="s">
        <v>4355</v>
      </c>
      <c r="AT200" s="455" t="str">
        <f t="shared" si="62"/>
        <v>En gestión</v>
      </c>
      <c r="AU200" s="455" t="str">
        <f t="shared" si="63"/>
        <v>En gestión</v>
      </c>
      <c r="AV200" s="1125" t="s">
        <v>2416</v>
      </c>
      <c r="AW200" s="1110">
        <f>SUMPRODUCT(N200:N205,AQ200:AQ205)</f>
        <v>0.5</v>
      </c>
      <c r="AX200" s="1111">
        <f>SUMPRODUCT(N200:N205,R200:R205)</f>
        <v>0.5</v>
      </c>
      <c r="AY200" s="1124" t="str">
        <f>IF(AX200&lt;1%,"Sin iniciar",IF(AX200=100%,"Terminado","En gestión"))</f>
        <v>En gestión</v>
      </c>
      <c r="AZ200" s="1124" t="str">
        <f>IF(AW200&lt;1%,"Sin iniciar",IF(AW200=100%,"Terminado","En gestión"))</f>
        <v>En gestión</v>
      </c>
      <c r="BA200" s="493"/>
      <c r="BB200" s="1128">
        <v>125133655</v>
      </c>
      <c r="BC200" s="1128">
        <v>125133655</v>
      </c>
      <c r="BD200" s="1128">
        <v>62566828</v>
      </c>
      <c r="BE200" s="1128">
        <f>40533333+316534086</f>
        <v>357067419</v>
      </c>
      <c r="BF200" s="1128">
        <f>40533333+316534086</f>
        <v>357067419</v>
      </c>
      <c r="BG200" s="1128">
        <f>18994064+183035675</f>
        <v>202029739</v>
      </c>
      <c r="BH200" s="1128" t="s">
        <v>2666</v>
      </c>
      <c r="BI200" s="1128"/>
      <c r="BJ200" s="1128" t="s">
        <v>2743</v>
      </c>
      <c r="BK200" s="1128" t="s">
        <v>2744</v>
      </c>
      <c r="BL200" s="1010" t="s">
        <v>2745</v>
      </c>
      <c r="BM200" s="506">
        <v>0.75</v>
      </c>
      <c r="BN200" s="454" t="s">
        <v>4356</v>
      </c>
      <c r="BO200" s="454" t="s">
        <v>4357</v>
      </c>
      <c r="BP200" s="455" t="str">
        <f t="shared" si="59"/>
        <v>En gestión</v>
      </c>
      <c r="BQ200" s="455" t="str">
        <f t="shared" si="58"/>
        <v>En gestión</v>
      </c>
      <c r="BR200" s="990" t="s">
        <v>4358</v>
      </c>
      <c r="BS200" s="1130">
        <f>SUMPRODUCT(N200:N205,BM200:BM205)</f>
        <v>0.76</v>
      </c>
      <c r="BT200" s="1131">
        <f>SUMPRODUCT(N200:N205,S200:S205)</f>
        <v>0.76</v>
      </c>
      <c r="BU200" s="1124" t="str">
        <f>IF(BT200&lt;1%,"Sin iniciar",IF(BT200=100%,"Terminado","En gestión"))</f>
        <v>En gestión</v>
      </c>
      <c r="BV200" s="1124" t="str">
        <f>IF(BS200&lt;1%,"Sin iniciar",IF(BS200=100%,"Terminado","En gestión"))</f>
        <v>En gestión</v>
      </c>
      <c r="BW200" s="991" t="s">
        <v>28</v>
      </c>
      <c r="BX200" s="990" t="s">
        <v>3631</v>
      </c>
      <c r="BY200" s="1008">
        <v>125133655</v>
      </c>
      <c r="BZ200" s="1008">
        <v>128399657</v>
      </c>
      <c r="CA200" s="1008">
        <v>96299743</v>
      </c>
      <c r="CB200" s="1008">
        <f>40533333+316534086</f>
        <v>357067419</v>
      </c>
      <c r="CC200" s="1008"/>
      <c r="CD200" s="1008">
        <f>22792877+249784881</f>
        <v>272577758</v>
      </c>
      <c r="CE200" s="500" t="s">
        <v>2666</v>
      </c>
      <c r="CF200" s="500" t="s">
        <v>2743</v>
      </c>
      <c r="CG200" s="500" t="s">
        <v>2744</v>
      </c>
      <c r="CH200" s="500" t="s">
        <v>2745</v>
      </c>
    </row>
    <row r="201" spans="2:86" ht="171.95" customHeight="1" x14ac:dyDescent="0.25">
      <c r="B201" s="1189"/>
      <c r="C201" s="1126"/>
      <c r="D201" s="1118"/>
      <c r="E201" s="1118"/>
      <c r="F201" s="1118"/>
      <c r="G201" s="1118"/>
      <c r="H201" s="1118"/>
      <c r="I201" s="489" t="s">
        <v>1039</v>
      </c>
      <c r="J201" s="1127"/>
      <c r="K201" s="994"/>
      <c r="L201" s="490" t="s">
        <v>2217</v>
      </c>
      <c r="M201" s="451" t="s">
        <v>2218</v>
      </c>
      <c r="N201" s="489">
        <v>0.15</v>
      </c>
      <c r="O201" s="452">
        <v>44197</v>
      </c>
      <c r="P201" s="452">
        <v>44561</v>
      </c>
      <c r="Q201" s="491">
        <v>0.25</v>
      </c>
      <c r="R201" s="491">
        <v>0.5</v>
      </c>
      <c r="S201" s="492">
        <v>0.75</v>
      </c>
      <c r="T201" s="489">
        <v>1</v>
      </c>
      <c r="U201" s="381">
        <v>0.25</v>
      </c>
      <c r="V201" s="493" t="s">
        <v>2219</v>
      </c>
      <c r="W201" s="493" t="s">
        <v>4359</v>
      </c>
      <c r="X201" s="455" t="str">
        <f t="shared" si="60"/>
        <v>En gestión</v>
      </c>
      <c r="Y201" s="455" t="str">
        <f t="shared" si="61"/>
        <v>En gestión</v>
      </c>
      <c r="Z201" s="1125"/>
      <c r="AA201" s="1120"/>
      <c r="AB201" s="1121"/>
      <c r="AC201" s="1124"/>
      <c r="AD201" s="1124"/>
      <c r="AE201" s="494"/>
      <c r="AF201" s="1008"/>
      <c r="AG201" s="1008"/>
      <c r="AH201" s="1008"/>
      <c r="AI201" s="1008"/>
      <c r="AJ201" s="1008"/>
      <c r="AK201" s="1008"/>
      <c r="AL201" s="499"/>
      <c r="AM201" s="499"/>
      <c r="AN201" s="499"/>
      <c r="AO201" s="499"/>
      <c r="AP201" s="499"/>
      <c r="AQ201" s="1215">
        <v>0.5</v>
      </c>
      <c r="AR201" s="493" t="s">
        <v>2328</v>
      </c>
      <c r="AS201" s="493" t="s">
        <v>4359</v>
      </c>
      <c r="AT201" s="455" t="str">
        <f t="shared" si="62"/>
        <v>En gestión</v>
      </c>
      <c r="AU201" s="455" t="str">
        <f t="shared" si="63"/>
        <v>En gestión</v>
      </c>
      <c r="AV201" s="1125"/>
      <c r="AW201" s="1110"/>
      <c r="AX201" s="1111"/>
      <c r="AY201" s="1124"/>
      <c r="AZ201" s="1124"/>
      <c r="BA201" s="493"/>
      <c r="BB201" s="1128"/>
      <c r="BC201" s="1128"/>
      <c r="BD201" s="1128"/>
      <c r="BE201" s="1128"/>
      <c r="BF201" s="1128"/>
      <c r="BG201" s="1128"/>
      <c r="BH201" s="1128"/>
      <c r="BI201" s="1128"/>
      <c r="BJ201" s="1128"/>
      <c r="BK201" s="1128"/>
      <c r="BL201" s="1010"/>
      <c r="BM201" s="506">
        <v>0.75</v>
      </c>
      <c r="BN201" s="454" t="s">
        <v>4360</v>
      </c>
      <c r="BO201" s="454" t="s">
        <v>4361</v>
      </c>
      <c r="BP201" s="455" t="str">
        <f t="shared" si="59"/>
        <v>En gestión</v>
      </c>
      <c r="BQ201" s="455" t="str">
        <f t="shared" si="58"/>
        <v>En gestión</v>
      </c>
      <c r="BR201" s="990"/>
      <c r="BS201" s="1130"/>
      <c r="BT201" s="1131"/>
      <c r="BU201" s="1124"/>
      <c r="BV201" s="1124"/>
      <c r="BW201" s="991"/>
      <c r="BX201" s="990"/>
      <c r="BY201" s="1008"/>
      <c r="BZ201" s="1008"/>
      <c r="CA201" s="1008"/>
      <c r="CB201" s="1008"/>
      <c r="CC201" s="1008"/>
      <c r="CD201" s="1008"/>
      <c r="CE201" s="1010" t="s">
        <v>4137</v>
      </c>
      <c r="CF201" s="1010" t="s">
        <v>4138</v>
      </c>
      <c r="CG201" s="1010" t="s">
        <v>4139</v>
      </c>
      <c r="CH201" s="1010" t="s">
        <v>4362</v>
      </c>
    </row>
    <row r="202" spans="2:86" ht="171.95" customHeight="1" x14ac:dyDescent="0.25">
      <c r="B202" s="1189"/>
      <c r="C202" s="1126"/>
      <c r="D202" s="1118"/>
      <c r="E202" s="1118"/>
      <c r="F202" s="1118"/>
      <c r="G202" s="1118"/>
      <c r="H202" s="1118"/>
      <c r="I202" s="489" t="s">
        <v>132</v>
      </c>
      <c r="J202" s="1127"/>
      <c r="K202" s="994"/>
      <c r="L202" s="490" t="s">
        <v>2220</v>
      </c>
      <c r="M202" s="451" t="s">
        <v>2221</v>
      </c>
      <c r="N202" s="489">
        <v>0.15</v>
      </c>
      <c r="O202" s="452">
        <v>44197</v>
      </c>
      <c r="P202" s="452">
        <v>44561</v>
      </c>
      <c r="Q202" s="491">
        <v>0.25</v>
      </c>
      <c r="R202" s="491">
        <v>0.5</v>
      </c>
      <c r="S202" s="492">
        <v>0.75</v>
      </c>
      <c r="T202" s="489">
        <v>1</v>
      </c>
      <c r="U202" s="381">
        <v>0.25</v>
      </c>
      <c r="V202" s="493" t="s">
        <v>2222</v>
      </c>
      <c r="W202" s="493" t="s">
        <v>4363</v>
      </c>
      <c r="X202" s="455" t="str">
        <f t="shared" si="60"/>
        <v>En gestión</v>
      </c>
      <c r="Y202" s="455" t="str">
        <f t="shared" si="61"/>
        <v>En gestión</v>
      </c>
      <c r="Z202" s="1125"/>
      <c r="AA202" s="1120"/>
      <c r="AB202" s="1121"/>
      <c r="AC202" s="1124"/>
      <c r="AD202" s="1124"/>
      <c r="AE202" s="494"/>
      <c r="AF202" s="1008"/>
      <c r="AG202" s="1008"/>
      <c r="AH202" s="1008"/>
      <c r="AI202" s="1008"/>
      <c r="AJ202" s="1008"/>
      <c r="AK202" s="1008"/>
      <c r="AL202" s="499"/>
      <c r="AM202" s="499"/>
      <c r="AN202" s="499"/>
      <c r="AO202" s="499"/>
      <c r="AP202" s="499"/>
      <c r="AQ202" s="1215">
        <v>0.5</v>
      </c>
      <c r="AR202" s="493" t="s">
        <v>2329</v>
      </c>
      <c r="AS202" s="493" t="s">
        <v>4364</v>
      </c>
      <c r="AT202" s="455" t="str">
        <f t="shared" si="62"/>
        <v>En gestión</v>
      </c>
      <c r="AU202" s="455" t="str">
        <f t="shared" si="63"/>
        <v>En gestión</v>
      </c>
      <c r="AV202" s="1125"/>
      <c r="AW202" s="1110"/>
      <c r="AX202" s="1111"/>
      <c r="AY202" s="1124"/>
      <c r="AZ202" s="1124"/>
      <c r="BA202" s="493"/>
      <c r="BB202" s="1128"/>
      <c r="BC202" s="1128"/>
      <c r="BD202" s="1128"/>
      <c r="BE202" s="1128"/>
      <c r="BF202" s="1128"/>
      <c r="BG202" s="1128"/>
      <c r="BH202" s="1128"/>
      <c r="BI202" s="1128"/>
      <c r="BJ202" s="1128"/>
      <c r="BK202" s="1128"/>
      <c r="BL202" s="1010"/>
      <c r="BM202" s="509">
        <v>0.75</v>
      </c>
      <c r="BN202" s="454" t="s">
        <v>4365</v>
      </c>
      <c r="BO202" s="454" t="s">
        <v>4366</v>
      </c>
      <c r="BP202" s="455" t="str">
        <f t="shared" si="59"/>
        <v>En gestión</v>
      </c>
      <c r="BQ202" s="455" t="str">
        <f t="shared" si="58"/>
        <v>En gestión</v>
      </c>
      <c r="BR202" s="990"/>
      <c r="BS202" s="1130"/>
      <c r="BT202" s="1131"/>
      <c r="BU202" s="1124"/>
      <c r="BV202" s="1124"/>
      <c r="BW202" s="991"/>
      <c r="BX202" s="990"/>
      <c r="BY202" s="1008"/>
      <c r="BZ202" s="1008"/>
      <c r="CA202" s="1008"/>
      <c r="CB202" s="1008"/>
      <c r="CC202" s="1008"/>
      <c r="CD202" s="1008"/>
      <c r="CE202" s="1010"/>
      <c r="CF202" s="1010"/>
      <c r="CG202" s="1010"/>
      <c r="CH202" s="1010"/>
    </row>
    <row r="203" spans="2:86" ht="171.95" customHeight="1" x14ac:dyDescent="0.25">
      <c r="B203" s="1189"/>
      <c r="C203" s="1126"/>
      <c r="D203" s="1118"/>
      <c r="E203" s="1118"/>
      <c r="F203" s="1118"/>
      <c r="G203" s="1118"/>
      <c r="H203" s="1118"/>
      <c r="I203" s="489" t="s">
        <v>185</v>
      </c>
      <c r="J203" s="1127"/>
      <c r="K203" s="994"/>
      <c r="L203" s="490" t="s">
        <v>2223</v>
      </c>
      <c r="M203" s="451" t="s">
        <v>2206</v>
      </c>
      <c r="N203" s="489">
        <v>0.2</v>
      </c>
      <c r="O203" s="452">
        <v>44197</v>
      </c>
      <c r="P203" s="452">
        <v>44561</v>
      </c>
      <c r="Q203" s="489">
        <v>0.25</v>
      </c>
      <c r="R203" s="491">
        <v>0.5</v>
      </c>
      <c r="S203" s="492">
        <v>0.8</v>
      </c>
      <c r="T203" s="489">
        <v>1</v>
      </c>
      <c r="U203" s="381">
        <v>0.25</v>
      </c>
      <c r="V203" s="493" t="s">
        <v>2224</v>
      </c>
      <c r="W203" s="493" t="s">
        <v>4367</v>
      </c>
      <c r="X203" s="455" t="str">
        <f t="shared" si="60"/>
        <v>En gestión</v>
      </c>
      <c r="Y203" s="455" t="str">
        <f t="shared" si="61"/>
        <v>En gestión</v>
      </c>
      <c r="Z203" s="1125"/>
      <c r="AA203" s="1120"/>
      <c r="AB203" s="1121"/>
      <c r="AC203" s="1124"/>
      <c r="AD203" s="1124"/>
      <c r="AE203" s="494"/>
      <c r="AF203" s="1008"/>
      <c r="AG203" s="1008"/>
      <c r="AH203" s="1008"/>
      <c r="AI203" s="1008"/>
      <c r="AJ203" s="1008"/>
      <c r="AK203" s="1008"/>
      <c r="AL203" s="499"/>
      <c r="AM203" s="499"/>
      <c r="AN203" s="499"/>
      <c r="AO203" s="499"/>
      <c r="AP203" s="499"/>
      <c r="AQ203" s="1215">
        <v>0.5</v>
      </c>
      <c r="AR203" s="493" t="s">
        <v>2330</v>
      </c>
      <c r="AS203" s="493" t="s">
        <v>4368</v>
      </c>
      <c r="AT203" s="455" t="str">
        <f t="shared" si="62"/>
        <v>En gestión</v>
      </c>
      <c r="AU203" s="455" t="str">
        <f t="shared" si="63"/>
        <v>En gestión</v>
      </c>
      <c r="AV203" s="1125"/>
      <c r="AW203" s="1110"/>
      <c r="AX203" s="1111"/>
      <c r="AY203" s="1124"/>
      <c r="AZ203" s="1124"/>
      <c r="BA203" s="493"/>
      <c r="BB203" s="1128"/>
      <c r="BC203" s="1128"/>
      <c r="BD203" s="1128"/>
      <c r="BE203" s="1128"/>
      <c r="BF203" s="1128"/>
      <c r="BG203" s="1128"/>
      <c r="BH203" s="1128"/>
      <c r="BI203" s="1128"/>
      <c r="BJ203" s="1128"/>
      <c r="BK203" s="1128"/>
      <c r="BL203" s="1010"/>
      <c r="BM203" s="506">
        <v>0.8</v>
      </c>
      <c r="BN203" s="454" t="s">
        <v>4369</v>
      </c>
      <c r="BO203" s="454" t="s">
        <v>4370</v>
      </c>
      <c r="BP203" s="455" t="str">
        <f t="shared" si="59"/>
        <v>En gestión</v>
      </c>
      <c r="BQ203" s="455" t="str">
        <f t="shared" si="58"/>
        <v>En gestión</v>
      </c>
      <c r="BR203" s="990"/>
      <c r="BS203" s="1130"/>
      <c r="BT203" s="1131"/>
      <c r="BU203" s="1124"/>
      <c r="BV203" s="1124"/>
      <c r="BW203" s="991"/>
      <c r="BX203" s="990"/>
      <c r="BY203" s="1008"/>
      <c r="BZ203" s="1008"/>
      <c r="CA203" s="1008"/>
      <c r="CB203" s="1008"/>
      <c r="CC203" s="1008"/>
      <c r="CD203" s="1008"/>
      <c r="CE203" s="1010"/>
      <c r="CF203" s="1010"/>
      <c r="CG203" s="1010"/>
      <c r="CH203" s="1010"/>
    </row>
    <row r="204" spans="2:86" ht="171.95" customHeight="1" x14ac:dyDescent="0.25">
      <c r="B204" s="1189"/>
      <c r="C204" s="1126"/>
      <c r="D204" s="1118"/>
      <c r="E204" s="1118"/>
      <c r="F204" s="1118"/>
      <c r="G204" s="1118"/>
      <c r="H204" s="1118"/>
      <c r="I204" s="489" t="s">
        <v>191</v>
      </c>
      <c r="J204" s="1127"/>
      <c r="K204" s="994"/>
      <c r="L204" s="490" t="s">
        <v>2225</v>
      </c>
      <c r="M204" s="451" t="s">
        <v>1334</v>
      </c>
      <c r="N204" s="489">
        <v>0.2</v>
      </c>
      <c r="O204" s="452">
        <v>44197</v>
      </c>
      <c r="P204" s="452">
        <v>44561</v>
      </c>
      <c r="Q204" s="491">
        <v>0.25</v>
      </c>
      <c r="R204" s="491">
        <v>0.5</v>
      </c>
      <c r="S204" s="492">
        <v>0.75</v>
      </c>
      <c r="T204" s="489">
        <v>1</v>
      </c>
      <c r="U204" s="381">
        <v>0.25</v>
      </c>
      <c r="V204" s="493" t="s">
        <v>2226</v>
      </c>
      <c r="W204" s="493" t="s">
        <v>4371</v>
      </c>
      <c r="X204" s="455" t="str">
        <f t="shared" si="60"/>
        <v>En gestión</v>
      </c>
      <c r="Y204" s="455" t="str">
        <f t="shared" si="61"/>
        <v>En gestión</v>
      </c>
      <c r="Z204" s="1125"/>
      <c r="AA204" s="1120"/>
      <c r="AB204" s="1121"/>
      <c r="AC204" s="1124"/>
      <c r="AD204" s="1124"/>
      <c r="AE204" s="494"/>
      <c r="AF204" s="1008"/>
      <c r="AG204" s="1008"/>
      <c r="AH204" s="1008"/>
      <c r="AI204" s="1008"/>
      <c r="AJ204" s="1008"/>
      <c r="AK204" s="1008"/>
      <c r="AL204" s="499"/>
      <c r="AM204" s="499"/>
      <c r="AN204" s="499"/>
      <c r="AO204" s="499"/>
      <c r="AP204" s="499"/>
      <c r="AQ204" s="1215">
        <v>0.5</v>
      </c>
      <c r="AR204" s="493" t="s">
        <v>2331</v>
      </c>
      <c r="AS204" s="493" t="s">
        <v>4372</v>
      </c>
      <c r="AT204" s="455" t="str">
        <f t="shared" si="62"/>
        <v>En gestión</v>
      </c>
      <c r="AU204" s="455" t="str">
        <f t="shared" si="63"/>
        <v>En gestión</v>
      </c>
      <c r="AV204" s="1125"/>
      <c r="AW204" s="1110"/>
      <c r="AX204" s="1111"/>
      <c r="AY204" s="1124"/>
      <c r="AZ204" s="1124"/>
      <c r="BA204" s="493"/>
      <c r="BB204" s="1128"/>
      <c r="BC204" s="1128"/>
      <c r="BD204" s="1128"/>
      <c r="BE204" s="1128"/>
      <c r="BF204" s="1128"/>
      <c r="BG204" s="1128"/>
      <c r="BH204" s="1128"/>
      <c r="BI204" s="1128"/>
      <c r="BJ204" s="1128"/>
      <c r="BK204" s="1128"/>
      <c r="BL204" s="1010"/>
      <c r="BM204" s="506">
        <v>0.75</v>
      </c>
      <c r="BN204" s="454" t="s">
        <v>4373</v>
      </c>
      <c r="BO204" s="454" t="s">
        <v>4374</v>
      </c>
      <c r="BP204" s="455" t="str">
        <f t="shared" si="59"/>
        <v>En gestión</v>
      </c>
      <c r="BQ204" s="455" t="str">
        <f t="shared" si="58"/>
        <v>En gestión</v>
      </c>
      <c r="BR204" s="990"/>
      <c r="BS204" s="1130"/>
      <c r="BT204" s="1131"/>
      <c r="BU204" s="1124"/>
      <c r="BV204" s="1124"/>
      <c r="BW204" s="991"/>
      <c r="BX204" s="990"/>
      <c r="BY204" s="1008"/>
      <c r="BZ204" s="1008"/>
      <c r="CA204" s="1008"/>
      <c r="CB204" s="1008"/>
      <c r="CC204" s="1008"/>
      <c r="CD204" s="1008"/>
      <c r="CE204" s="1010"/>
      <c r="CF204" s="1010"/>
      <c r="CG204" s="1010"/>
      <c r="CH204" s="1010"/>
    </row>
    <row r="205" spans="2:86" ht="171.95" customHeight="1" x14ac:dyDescent="0.25">
      <c r="B205" s="1189"/>
      <c r="C205" s="1126"/>
      <c r="D205" s="1118"/>
      <c r="E205" s="1118"/>
      <c r="F205" s="1118"/>
      <c r="G205" s="1118"/>
      <c r="H205" s="1118"/>
      <c r="I205" s="489" t="s">
        <v>194</v>
      </c>
      <c r="J205" s="1127"/>
      <c r="K205" s="994"/>
      <c r="L205" s="490" t="s">
        <v>2227</v>
      </c>
      <c r="M205" s="451" t="s">
        <v>2058</v>
      </c>
      <c r="N205" s="489">
        <v>0.25</v>
      </c>
      <c r="O205" s="452">
        <v>44197</v>
      </c>
      <c r="P205" s="452">
        <v>44561</v>
      </c>
      <c r="Q205" s="491">
        <v>0.25</v>
      </c>
      <c r="R205" s="491">
        <v>0.5</v>
      </c>
      <c r="S205" s="492">
        <v>0.75</v>
      </c>
      <c r="T205" s="489">
        <v>1</v>
      </c>
      <c r="U205" s="381">
        <v>0.25</v>
      </c>
      <c r="V205" s="493" t="s">
        <v>2228</v>
      </c>
      <c r="W205" s="493" t="s">
        <v>4375</v>
      </c>
      <c r="X205" s="455" t="str">
        <f t="shared" si="60"/>
        <v>En gestión</v>
      </c>
      <c r="Y205" s="455" t="str">
        <f t="shared" si="61"/>
        <v>En gestión</v>
      </c>
      <c r="Z205" s="1125"/>
      <c r="AA205" s="1120"/>
      <c r="AB205" s="1121"/>
      <c r="AC205" s="1124"/>
      <c r="AD205" s="1124"/>
      <c r="AE205" s="494"/>
      <c r="AF205" s="1008"/>
      <c r="AG205" s="1008"/>
      <c r="AH205" s="1008"/>
      <c r="AI205" s="1008"/>
      <c r="AJ205" s="1008"/>
      <c r="AK205" s="1008"/>
      <c r="AL205" s="499"/>
      <c r="AM205" s="499"/>
      <c r="AN205" s="499"/>
      <c r="AO205" s="499"/>
      <c r="AP205" s="499"/>
      <c r="AQ205" s="1215">
        <v>0.5</v>
      </c>
      <c r="AR205" s="493" t="s">
        <v>2332</v>
      </c>
      <c r="AS205" s="493" t="s">
        <v>4376</v>
      </c>
      <c r="AT205" s="455" t="str">
        <f t="shared" si="62"/>
        <v>En gestión</v>
      </c>
      <c r="AU205" s="455" t="str">
        <f t="shared" si="63"/>
        <v>En gestión</v>
      </c>
      <c r="AV205" s="1125"/>
      <c r="AW205" s="1110"/>
      <c r="AX205" s="1111"/>
      <c r="AY205" s="1124"/>
      <c r="AZ205" s="1124"/>
      <c r="BA205" s="493"/>
      <c r="BB205" s="1128"/>
      <c r="BC205" s="1128"/>
      <c r="BD205" s="1128"/>
      <c r="BE205" s="1128"/>
      <c r="BF205" s="1128"/>
      <c r="BG205" s="1128"/>
      <c r="BH205" s="1128"/>
      <c r="BI205" s="1128"/>
      <c r="BJ205" s="1128"/>
      <c r="BK205" s="1128"/>
      <c r="BL205" s="1010"/>
      <c r="BM205" s="506">
        <v>0.75</v>
      </c>
      <c r="BN205" s="454" t="s">
        <v>4377</v>
      </c>
      <c r="BO205" s="454" t="s">
        <v>4378</v>
      </c>
      <c r="BP205" s="455" t="str">
        <f t="shared" si="59"/>
        <v>En gestión</v>
      </c>
      <c r="BQ205" s="455" t="str">
        <f t="shared" si="58"/>
        <v>En gestión</v>
      </c>
      <c r="BR205" s="990"/>
      <c r="BS205" s="1130"/>
      <c r="BT205" s="1131"/>
      <c r="BU205" s="1124"/>
      <c r="BV205" s="1124"/>
      <c r="BW205" s="991"/>
      <c r="BX205" s="990"/>
      <c r="BY205" s="1008"/>
      <c r="BZ205" s="1008"/>
      <c r="CA205" s="1008"/>
      <c r="CB205" s="1008"/>
      <c r="CC205" s="1008"/>
      <c r="CD205" s="1008"/>
      <c r="CE205" s="1010"/>
      <c r="CF205" s="1010"/>
      <c r="CG205" s="1010"/>
      <c r="CH205" s="1010"/>
    </row>
    <row r="206" spans="2:86" ht="171.95" customHeight="1" x14ac:dyDescent="0.25">
      <c r="B206" s="1189"/>
      <c r="C206" s="1115" t="s">
        <v>2229</v>
      </c>
      <c r="D206" s="1116" t="s">
        <v>1045</v>
      </c>
      <c r="E206" s="1129" t="s">
        <v>2417</v>
      </c>
      <c r="F206" s="1116" t="s">
        <v>28</v>
      </c>
      <c r="G206" s="1116" t="s">
        <v>28</v>
      </c>
      <c r="H206" s="1116" t="s">
        <v>59</v>
      </c>
      <c r="I206" s="433" t="s">
        <v>1047</v>
      </c>
      <c r="J206" s="1117" t="s">
        <v>2230</v>
      </c>
      <c r="K206" s="1043" t="s">
        <v>164</v>
      </c>
      <c r="L206" s="434" t="s">
        <v>2231</v>
      </c>
      <c r="M206" s="387" t="s">
        <v>2046</v>
      </c>
      <c r="N206" s="433">
        <v>0.05</v>
      </c>
      <c r="O206" s="388">
        <v>44197</v>
      </c>
      <c r="P206" s="388">
        <v>44561</v>
      </c>
      <c r="Q206" s="435">
        <v>0.25</v>
      </c>
      <c r="R206" s="435">
        <v>0.5</v>
      </c>
      <c r="S206" s="436">
        <v>0.75</v>
      </c>
      <c r="T206" s="433">
        <v>1</v>
      </c>
      <c r="U206" s="381">
        <v>0.25</v>
      </c>
      <c r="V206" s="437" t="s">
        <v>2232</v>
      </c>
      <c r="W206" s="437" t="s">
        <v>4379</v>
      </c>
      <c r="X206" s="379" t="str">
        <f t="shared" si="60"/>
        <v>En gestión</v>
      </c>
      <c r="Y206" s="379" t="str">
        <f t="shared" si="61"/>
        <v>En gestión</v>
      </c>
      <c r="Z206" s="1113" t="s">
        <v>2288</v>
      </c>
      <c r="AA206" s="1120">
        <f>SUMPRODUCT(N206:N210,U206:U210)</f>
        <v>0.25</v>
      </c>
      <c r="AB206" s="1121">
        <f>SUMPRODUCT(N206:N210,Q206:Q210)</f>
        <v>0.25</v>
      </c>
      <c r="AC206" s="1122" t="str">
        <f>IF(AB206&lt;1%,"Sin iniciar",IF(AB206=100%,"Terminado","En gestión"))</f>
        <v>En gestión</v>
      </c>
      <c r="AD206" s="1122" t="str">
        <f>IF(AA206&lt;1%,"Sin iniciar",IF(AA206=100%,"Terminado","En gestión"))</f>
        <v>En gestión</v>
      </c>
      <c r="AE206" s="438"/>
      <c r="AF206" s="1005">
        <f>55652200+47791596</f>
        <v>103443796</v>
      </c>
      <c r="AG206" s="1005">
        <v>0</v>
      </c>
      <c r="AH206" s="1005">
        <f>13913050+11947899</f>
        <v>25860949</v>
      </c>
      <c r="AI206" s="1005">
        <f>39960000+2098249668</f>
        <v>2138209668</v>
      </c>
      <c r="AJ206" s="1005">
        <v>0</v>
      </c>
      <c r="AK206" s="1005">
        <f>7200000+604454157</f>
        <v>611654157</v>
      </c>
      <c r="AL206" s="441"/>
      <c r="AM206" s="441"/>
      <c r="AN206" s="441"/>
      <c r="AO206" s="441"/>
      <c r="AP206" s="441"/>
      <c r="AQ206" s="1215">
        <v>0.5</v>
      </c>
      <c r="AR206" s="437" t="s">
        <v>2232</v>
      </c>
      <c r="AS206" s="437" t="s">
        <v>4143</v>
      </c>
      <c r="AT206" s="379" t="str">
        <f t="shared" si="62"/>
        <v>En gestión</v>
      </c>
      <c r="AU206" s="379" t="str">
        <f t="shared" si="63"/>
        <v>En gestión</v>
      </c>
      <c r="AV206" s="1113" t="s">
        <v>2288</v>
      </c>
      <c r="AW206" s="1110">
        <f>SUMPRODUCT(N206:N210,AQ206:AQ210)</f>
        <v>0.5</v>
      </c>
      <c r="AX206" s="1111">
        <f>SUMPRODUCT(N206:N210,R206:R210)</f>
        <v>0.5</v>
      </c>
      <c r="AY206" s="1122" t="str">
        <f>IF(AX206&lt;1%,"Sin iniciar",IF(AX206=100%,"Terminado","En gestión"))</f>
        <v>En gestión</v>
      </c>
      <c r="AZ206" s="1122" t="str">
        <f>IF(AW206&lt;1%,"Sin iniciar",IF(AW206=100%,"Terminado","En gestión"))</f>
        <v>En gestión</v>
      </c>
      <c r="BA206" s="437"/>
      <c r="BB206" s="1011">
        <f>55652200+47791596</f>
        <v>103443796</v>
      </c>
      <c r="BC206" s="1011">
        <f>55652200+47791596</f>
        <v>103443796</v>
      </c>
      <c r="BD206" s="1132">
        <v>27826100</v>
      </c>
      <c r="BE206" s="1011">
        <f>39960000+2098249668</f>
        <v>2138209668</v>
      </c>
      <c r="BF206" s="1011">
        <f>39960000+2098249668</f>
        <v>2138209668</v>
      </c>
      <c r="BG206" s="1132">
        <f>18000000+1373972679</f>
        <v>1391972679</v>
      </c>
      <c r="BH206" s="1132" t="s">
        <v>2666</v>
      </c>
      <c r="BI206" s="1132"/>
      <c r="BJ206" s="1132" t="s">
        <v>2746</v>
      </c>
      <c r="BK206" s="1132" t="s">
        <v>2710</v>
      </c>
      <c r="BL206" s="1132" t="s">
        <v>2747</v>
      </c>
      <c r="BM206" s="508">
        <v>0.75</v>
      </c>
      <c r="BN206" s="439" t="s">
        <v>2232</v>
      </c>
      <c r="BO206" s="439" t="s">
        <v>4144</v>
      </c>
      <c r="BP206" s="379" t="str">
        <f>IF(AO206&lt;1%,"Sin iniciar",IF(AO206=100%,"Terminado","En gestión"))</f>
        <v>Sin iniciar</v>
      </c>
      <c r="BQ206" s="379" t="str">
        <f t="shared" si="58"/>
        <v>En gestión</v>
      </c>
      <c r="BR206" s="1007" t="s">
        <v>2288</v>
      </c>
      <c r="BS206" s="1130">
        <f>SUMPRODUCT(N206:N210,BM206:BM210)</f>
        <v>0.75</v>
      </c>
      <c r="BT206" s="1131">
        <f>SUMPRODUCT(N206:N210,S206:S210)</f>
        <v>0.75</v>
      </c>
      <c r="BU206" s="1122" t="str">
        <f>IF(BT206&lt;1%,"Sin iniciar",IF(BT206=100%,"Terminado","En gestión"))</f>
        <v>En gestión</v>
      </c>
      <c r="BV206" s="1122" t="str">
        <f>IF(BS206&lt;1%,"Sin iniciar",IF(BS206=100%,"Terminado","En gestión"))</f>
        <v>En gestión</v>
      </c>
      <c r="BW206" s="1016" t="s">
        <v>28</v>
      </c>
      <c r="BX206" s="1007" t="s">
        <v>3631</v>
      </c>
      <c r="BY206" s="1005">
        <f>55652200+47791596</f>
        <v>103443796</v>
      </c>
      <c r="BZ206" s="1005">
        <f>57104729+47791596</f>
        <v>104896325</v>
      </c>
      <c r="CA206" s="1005">
        <f>42828547+35843747</f>
        <v>78672294</v>
      </c>
      <c r="CB206" s="1005">
        <f>39960000+2098249668</f>
        <v>2138209668</v>
      </c>
      <c r="CC206" s="1005"/>
      <c r="CD206" s="1005">
        <f>28800000+1736111174</f>
        <v>1764911174</v>
      </c>
      <c r="CE206" s="442" t="s">
        <v>2666</v>
      </c>
      <c r="CF206" s="442" t="s">
        <v>2746</v>
      </c>
      <c r="CG206" s="442" t="s">
        <v>2710</v>
      </c>
      <c r="CH206" s="442" t="s">
        <v>2747</v>
      </c>
    </row>
    <row r="207" spans="2:86" ht="171.95" customHeight="1" x14ac:dyDescent="0.25">
      <c r="B207" s="1189"/>
      <c r="C207" s="1115"/>
      <c r="D207" s="1116"/>
      <c r="E207" s="1129"/>
      <c r="F207" s="1116"/>
      <c r="G207" s="1116"/>
      <c r="H207" s="1116"/>
      <c r="I207" s="433" t="s">
        <v>132</v>
      </c>
      <c r="J207" s="1117"/>
      <c r="K207" s="1043"/>
      <c r="L207" s="434" t="s">
        <v>2233</v>
      </c>
      <c r="M207" s="387" t="s">
        <v>2067</v>
      </c>
      <c r="N207" s="433">
        <v>0.1</v>
      </c>
      <c r="O207" s="388">
        <v>44197</v>
      </c>
      <c r="P207" s="388">
        <v>44561</v>
      </c>
      <c r="Q207" s="435">
        <v>0.25</v>
      </c>
      <c r="R207" s="435">
        <v>0.5</v>
      </c>
      <c r="S207" s="436">
        <v>0.75</v>
      </c>
      <c r="T207" s="433">
        <v>1</v>
      </c>
      <c r="U207" s="381">
        <v>0.25</v>
      </c>
      <c r="V207" s="437" t="s">
        <v>2234</v>
      </c>
      <c r="W207" s="437" t="s">
        <v>4380</v>
      </c>
      <c r="X207" s="379" t="str">
        <f t="shared" si="60"/>
        <v>En gestión</v>
      </c>
      <c r="Y207" s="379" t="str">
        <f t="shared" si="61"/>
        <v>En gestión</v>
      </c>
      <c r="Z207" s="1113"/>
      <c r="AA207" s="1120"/>
      <c r="AB207" s="1121"/>
      <c r="AC207" s="1122"/>
      <c r="AD207" s="1122"/>
      <c r="AE207" s="438"/>
      <c r="AF207" s="1005"/>
      <c r="AG207" s="1005"/>
      <c r="AH207" s="1005"/>
      <c r="AI207" s="1005"/>
      <c r="AJ207" s="1005"/>
      <c r="AK207" s="1005"/>
      <c r="AL207" s="441"/>
      <c r="AM207" s="441"/>
      <c r="AN207" s="441"/>
      <c r="AO207" s="441"/>
      <c r="AP207" s="441"/>
      <c r="AQ207" s="1215">
        <v>0.5</v>
      </c>
      <c r="AR207" s="437" t="s">
        <v>2234</v>
      </c>
      <c r="AS207" s="437" t="s">
        <v>4380</v>
      </c>
      <c r="AT207" s="379" t="str">
        <f t="shared" si="62"/>
        <v>En gestión</v>
      </c>
      <c r="AU207" s="379" t="str">
        <f t="shared" si="63"/>
        <v>En gestión</v>
      </c>
      <c r="AV207" s="1113"/>
      <c r="AW207" s="1110"/>
      <c r="AX207" s="1111"/>
      <c r="AY207" s="1122"/>
      <c r="AZ207" s="1122"/>
      <c r="BA207" s="437"/>
      <c r="BB207" s="1011"/>
      <c r="BC207" s="1011"/>
      <c r="BD207" s="1132"/>
      <c r="BE207" s="1011"/>
      <c r="BF207" s="1011"/>
      <c r="BG207" s="1132"/>
      <c r="BH207" s="1132"/>
      <c r="BI207" s="1132"/>
      <c r="BJ207" s="1132"/>
      <c r="BK207" s="1132"/>
      <c r="BL207" s="1132"/>
      <c r="BM207" s="508">
        <v>0.75</v>
      </c>
      <c r="BN207" s="439" t="s">
        <v>2234</v>
      </c>
      <c r="BO207" s="439" t="s">
        <v>4380</v>
      </c>
      <c r="BP207" s="379" t="str">
        <f>IF(AO207&lt;1%,"Sin iniciar",IF(AO207=100%,"Terminado","En gestión"))</f>
        <v>Sin iniciar</v>
      </c>
      <c r="BQ207" s="379" t="str">
        <f t="shared" ref="BQ207:BQ222" si="64">IF(BM207&lt;1%,"Sin iniciar",IF(BM207=100%,"Terminado","En gestión"))</f>
        <v>En gestión</v>
      </c>
      <c r="BR207" s="1007"/>
      <c r="BS207" s="1130"/>
      <c r="BT207" s="1131"/>
      <c r="BU207" s="1122"/>
      <c r="BV207" s="1122"/>
      <c r="BW207" s="1016"/>
      <c r="BX207" s="1007"/>
      <c r="BY207" s="1005"/>
      <c r="BZ207" s="1005"/>
      <c r="CA207" s="1005"/>
      <c r="CB207" s="1005"/>
      <c r="CC207" s="1005"/>
      <c r="CD207" s="1005"/>
      <c r="CE207" s="1132" t="s">
        <v>4137</v>
      </c>
      <c r="CF207" s="1132" t="s">
        <v>4138</v>
      </c>
      <c r="CG207" s="1132" t="s">
        <v>4139</v>
      </c>
      <c r="CH207" s="1132" t="s">
        <v>4381</v>
      </c>
    </row>
    <row r="208" spans="2:86" ht="171.95" customHeight="1" x14ac:dyDescent="0.25">
      <c r="B208" s="1189"/>
      <c r="C208" s="1115"/>
      <c r="D208" s="1116"/>
      <c r="E208" s="1129"/>
      <c r="F208" s="1116"/>
      <c r="G208" s="1116"/>
      <c r="H208" s="1116"/>
      <c r="I208" s="433" t="s">
        <v>185</v>
      </c>
      <c r="J208" s="1117"/>
      <c r="K208" s="1043"/>
      <c r="L208" s="434" t="s">
        <v>2235</v>
      </c>
      <c r="M208" s="387" t="s">
        <v>2069</v>
      </c>
      <c r="N208" s="433">
        <v>0.25</v>
      </c>
      <c r="O208" s="388">
        <v>44197</v>
      </c>
      <c r="P208" s="388">
        <v>44561</v>
      </c>
      <c r="Q208" s="435">
        <v>0.25</v>
      </c>
      <c r="R208" s="435">
        <v>0.5</v>
      </c>
      <c r="S208" s="436">
        <v>0.75</v>
      </c>
      <c r="T208" s="433">
        <v>1</v>
      </c>
      <c r="U208" s="381">
        <v>0.25</v>
      </c>
      <c r="V208" s="437" t="s">
        <v>2236</v>
      </c>
      <c r="W208" s="437" t="s">
        <v>4382</v>
      </c>
      <c r="X208" s="379" t="str">
        <f t="shared" si="60"/>
        <v>En gestión</v>
      </c>
      <c r="Y208" s="379" t="str">
        <f t="shared" si="61"/>
        <v>En gestión</v>
      </c>
      <c r="Z208" s="1113"/>
      <c r="AA208" s="1120"/>
      <c r="AB208" s="1121"/>
      <c r="AC208" s="1122"/>
      <c r="AD208" s="1122"/>
      <c r="AE208" s="438"/>
      <c r="AF208" s="1005"/>
      <c r="AG208" s="1005"/>
      <c r="AH208" s="1005"/>
      <c r="AI208" s="1005"/>
      <c r="AJ208" s="1005"/>
      <c r="AK208" s="1005"/>
      <c r="AL208" s="441"/>
      <c r="AM208" s="441"/>
      <c r="AN208" s="441"/>
      <c r="AO208" s="441"/>
      <c r="AP208" s="441"/>
      <c r="AQ208" s="1215">
        <v>0.5</v>
      </c>
      <c r="AR208" s="437" t="s">
        <v>2236</v>
      </c>
      <c r="AS208" s="437" t="s">
        <v>4383</v>
      </c>
      <c r="AT208" s="379" t="str">
        <f t="shared" si="62"/>
        <v>En gestión</v>
      </c>
      <c r="AU208" s="379" t="str">
        <f t="shared" si="63"/>
        <v>En gestión</v>
      </c>
      <c r="AV208" s="1113"/>
      <c r="AW208" s="1110"/>
      <c r="AX208" s="1111"/>
      <c r="AY208" s="1122"/>
      <c r="AZ208" s="1122"/>
      <c r="BA208" s="437"/>
      <c r="BB208" s="1011"/>
      <c r="BC208" s="1011"/>
      <c r="BD208" s="1132"/>
      <c r="BE208" s="1011"/>
      <c r="BF208" s="1011"/>
      <c r="BG208" s="1132"/>
      <c r="BH208" s="1132"/>
      <c r="BI208" s="1132"/>
      <c r="BJ208" s="1132"/>
      <c r="BK208" s="1132"/>
      <c r="BL208" s="1132"/>
      <c r="BM208" s="508">
        <v>0.75</v>
      </c>
      <c r="BN208" s="439" t="s">
        <v>2236</v>
      </c>
      <c r="BO208" s="439" t="s">
        <v>4384</v>
      </c>
      <c r="BP208" s="379" t="str">
        <f>IF(AO208&lt;1%,"Sin iniciar",IF(AO208=100%,"Terminado","En gestión"))</f>
        <v>Sin iniciar</v>
      </c>
      <c r="BQ208" s="379" t="str">
        <f t="shared" si="64"/>
        <v>En gestión</v>
      </c>
      <c r="BR208" s="1007"/>
      <c r="BS208" s="1130"/>
      <c r="BT208" s="1131"/>
      <c r="BU208" s="1122"/>
      <c r="BV208" s="1122"/>
      <c r="BW208" s="1016"/>
      <c r="BX208" s="1007"/>
      <c r="BY208" s="1005"/>
      <c r="BZ208" s="1005"/>
      <c r="CA208" s="1005"/>
      <c r="CB208" s="1005"/>
      <c r="CC208" s="1005"/>
      <c r="CD208" s="1005"/>
      <c r="CE208" s="1132"/>
      <c r="CF208" s="1132"/>
      <c r="CG208" s="1132"/>
      <c r="CH208" s="1132"/>
    </row>
    <row r="209" spans="2:86" ht="171.95" customHeight="1" x14ac:dyDescent="0.25">
      <c r="B209" s="1189"/>
      <c r="C209" s="1115"/>
      <c r="D209" s="1116"/>
      <c r="E209" s="1129"/>
      <c r="F209" s="1116"/>
      <c r="G209" s="1116"/>
      <c r="H209" s="1116"/>
      <c r="I209" s="433" t="s">
        <v>191</v>
      </c>
      <c r="J209" s="1117"/>
      <c r="K209" s="1043"/>
      <c r="L209" s="434" t="s">
        <v>2237</v>
      </c>
      <c r="M209" s="387" t="s">
        <v>1334</v>
      </c>
      <c r="N209" s="433">
        <v>0.25</v>
      </c>
      <c r="O209" s="388">
        <v>44197</v>
      </c>
      <c r="P209" s="388">
        <v>44561</v>
      </c>
      <c r="Q209" s="435">
        <v>0.25</v>
      </c>
      <c r="R209" s="435">
        <v>0.5</v>
      </c>
      <c r="S209" s="436">
        <v>0.75</v>
      </c>
      <c r="T209" s="433">
        <v>1</v>
      </c>
      <c r="U209" s="381">
        <v>0.25</v>
      </c>
      <c r="V209" s="437" t="s">
        <v>2238</v>
      </c>
      <c r="W209" s="437" t="s">
        <v>4385</v>
      </c>
      <c r="X209" s="379" t="str">
        <f t="shared" si="60"/>
        <v>En gestión</v>
      </c>
      <c r="Y209" s="379" t="str">
        <f t="shared" si="61"/>
        <v>En gestión</v>
      </c>
      <c r="Z209" s="1113"/>
      <c r="AA209" s="1120"/>
      <c r="AB209" s="1121"/>
      <c r="AC209" s="1122"/>
      <c r="AD209" s="1122"/>
      <c r="AE209" s="438"/>
      <c r="AF209" s="1005"/>
      <c r="AG209" s="1005"/>
      <c r="AH209" s="1005"/>
      <c r="AI209" s="1005"/>
      <c r="AJ209" s="1005"/>
      <c r="AK209" s="1005"/>
      <c r="AL209" s="441"/>
      <c r="AM209" s="441"/>
      <c r="AN209" s="441"/>
      <c r="AO209" s="441"/>
      <c r="AP209" s="441"/>
      <c r="AQ209" s="1215">
        <v>0.5</v>
      </c>
      <c r="AR209" s="437" t="s">
        <v>2238</v>
      </c>
      <c r="AS209" s="437" t="s">
        <v>4383</v>
      </c>
      <c r="AT209" s="379" t="str">
        <f t="shared" si="62"/>
        <v>En gestión</v>
      </c>
      <c r="AU209" s="379" t="str">
        <f t="shared" si="63"/>
        <v>En gestión</v>
      </c>
      <c r="AV209" s="1113"/>
      <c r="AW209" s="1110"/>
      <c r="AX209" s="1111"/>
      <c r="AY209" s="1122"/>
      <c r="AZ209" s="1122"/>
      <c r="BA209" s="437"/>
      <c r="BB209" s="1011"/>
      <c r="BC209" s="1011"/>
      <c r="BD209" s="1132"/>
      <c r="BE209" s="1011"/>
      <c r="BF209" s="1011"/>
      <c r="BG209" s="1132"/>
      <c r="BH209" s="1132"/>
      <c r="BI209" s="1132"/>
      <c r="BJ209" s="1132"/>
      <c r="BK209" s="1132"/>
      <c r="BL209" s="1132"/>
      <c r="BM209" s="508">
        <v>0.75</v>
      </c>
      <c r="BN209" s="439" t="s">
        <v>2238</v>
      </c>
      <c r="BO209" s="439" t="s">
        <v>4384</v>
      </c>
      <c r="BP209" s="379" t="str">
        <f>IF(AO209&lt;1%,"Sin iniciar",IF(AO209=100%,"Terminado","En gestión"))</f>
        <v>Sin iniciar</v>
      </c>
      <c r="BQ209" s="379" t="str">
        <f t="shared" si="64"/>
        <v>En gestión</v>
      </c>
      <c r="BR209" s="1007"/>
      <c r="BS209" s="1130"/>
      <c r="BT209" s="1131"/>
      <c r="BU209" s="1122"/>
      <c r="BV209" s="1122"/>
      <c r="BW209" s="1016"/>
      <c r="BX209" s="1007"/>
      <c r="BY209" s="1005"/>
      <c r="BZ209" s="1005"/>
      <c r="CA209" s="1005"/>
      <c r="CB209" s="1005"/>
      <c r="CC209" s="1005"/>
      <c r="CD209" s="1005"/>
      <c r="CE209" s="1132"/>
      <c r="CF209" s="1132"/>
      <c r="CG209" s="1132"/>
      <c r="CH209" s="1132"/>
    </row>
    <row r="210" spans="2:86" ht="171.95" customHeight="1" x14ac:dyDescent="0.25">
      <c r="B210" s="1189"/>
      <c r="C210" s="1115"/>
      <c r="D210" s="1116"/>
      <c r="E210" s="1129"/>
      <c r="F210" s="1116"/>
      <c r="G210" s="1116"/>
      <c r="H210" s="1116"/>
      <c r="I210" s="433" t="s">
        <v>194</v>
      </c>
      <c r="J210" s="1117"/>
      <c r="K210" s="1043"/>
      <c r="L210" s="434" t="s">
        <v>2239</v>
      </c>
      <c r="M210" s="387" t="s">
        <v>2058</v>
      </c>
      <c r="N210" s="433">
        <v>0.35</v>
      </c>
      <c r="O210" s="388">
        <v>44197</v>
      </c>
      <c r="P210" s="388">
        <v>44561</v>
      </c>
      <c r="Q210" s="435">
        <v>0.25</v>
      </c>
      <c r="R210" s="435">
        <v>0.5</v>
      </c>
      <c r="S210" s="436">
        <v>0.75</v>
      </c>
      <c r="T210" s="433">
        <v>1</v>
      </c>
      <c r="U210" s="381">
        <v>0.25</v>
      </c>
      <c r="V210" s="437" t="s">
        <v>2240</v>
      </c>
      <c r="W210" s="437" t="s">
        <v>4386</v>
      </c>
      <c r="X210" s="379" t="str">
        <f t="shared" si="60"/>
        <v>En gestión</v>
      </c>
      <c r="Y210" s="379" t="str">
        <f t="shared" si="61"/>
        <v>En gestión</v>
      </c>
      <c r="Z210" s="1113"/>
      <c r="AA210" s="1120"/>
      <c r="AB210" s="1121"/>
      <c r="AC210" s="1122"/>
      <c r="AD210" s="1122"/>
      <c r="AE210" s="438"/>
      <c r="AF210" s="1005"/>
      <c r="AG210" s="1005"/>
      <c r="AH210" s="1005"/>
      <c r="AI210" s="1005"/>
      <c r="AJ210" s="1005"/>
      <c r="AK210" s="1005"/>
      <c r="AL210" s="441"/>
      <c r="AM210" s="441"/>
      <c r="AN210" s="441"/>
      <c r="AO210" s="441"/>
      <c r="AP210" s="441"/>
      <c r="AQ210" s="1215">
        <v>0.5</v>
      </c>
      <c r="AR210" s="437" t="s">
        <v>2240</v>
      </c>
      <c r="AS210" s="437" t="s">
        <v>4383</v>
      </c>
      <c r="AT210" s="379" t="str">
        <f t="shared" si="62"/>
        <v>En gestión</v>
      </c>
      <c r="AU210" s="379" t="str">
        <f t="shared" si="63"/>
        <v>En gestión</v>
      </c>
      <c r="AV210" s="1113"/>
      <c r="AW210" s="1110"/>
      <c r="AX210" s="1111"/>
      <c r="AY210" s="1122"/>
      <c r="AZ210" s="1122"/>
      <c r="BA210" s="437"/>
      <c r="BB210" s="1011"/>
      <c r="BC210" s="1011"/>
      <c r="BD210" s="1132"/>
      <c r="BE210" s="1011"/>
      <c r="BF210" s="1011"/>
      <c r="BG210" s="1132"/>
      <c r="BH210" s="1132"/>
      <c r="BI210" s="1132"/>
      <c r="BJ210" s="1132"/>
      <c r="BK210" s="1132"/>
      <c r="BL210" s="1132"/>
      <c r="BM210" s="508">
        <v>0.75</v>
      </c>
      <c r="BN210" s="439" t="s">
        <v>2240</v>
      </c>
      <c r="BO210" s="439" t="s">
        <v>4384</v>
      </c>
      <c r="BP210" s="379" t="str">
        <f>IF(AO210&lt;1%,"Sin iniciar",IF(AO210=100%,"Terminado","En gestión"))</f>
        <v>Sin iniciar</v>
      </c>
      <c r="BQ210" s="379" t="str">
        <f t="shared" si="64"/>
        <v>En gestión</v>
      </c>
      <c r="BR210" s="1007"/>
      <c r="BS210" s="1130"/>
      <c r="BT210" s="1131"/>
      <c r="BU210" s="1122"/>
      <c r="BV210" s="1122"/>
      <c r="BW210" s="1016"/>
      <c r="BX210" s="1007"/>
      <c r="BY210" s="1005"/>
      <c r="BZ210" s="1005"/>
      <c r="CA210" s="1005"/>
      <c r="CB210" s="1005"/>
      <c r="CC210" s="1005"/>
      <c r="CD210" s="1005"/>
      <c r="CE210" s="1132"/>
      <c r="CF210" s="1132"/>
      <c r="CG210" s="1132"/>
      <c r="CH210" s="1132"/>
    </row>
    <row r="211" spans="2:86" ht="171.95" customHeight="1" x14ac:dyDescent="0.25">
      <c r="B211" s="1189"/>
      <c r="C211" s="1126" t="s">
        <v>2241</v>
      </c>
      <c r="D211" s="1118" t="s">
        <v>1045</v>
      </c>
      <c r="E211" s="1118" t="s">
        <v>2242</v>
      </c>
      <c r="F211" s="1118" t="s">
        <v>28</v>
      </c>
      <c r="G211" s="1118" t="s">
        <v>28</v>
      </c>
      <c r="H211" s="1118" t="s">
        <v>59</v>
      </c>
      <c r="I211" s="489" t="s">
        <v>1047</v>
      </c>
      <c r="J211" s="1127" t="s">
        <v>2418</v>
      </c>
      <c r="K211" s="994" t="s">
        <v>187</v>
      </c>
      <c r="L211" s="490" t="s">
        <v>2243</v>
      </c>
      <c r="M211" s="451" t="s">
        <v>2046</v>
      </c>
      <c r="N211" s="489">
        <v>0.05</v>
      </c>
      <c r="O211" s="452">
        <v>44197</v>
      </c>
      <c r="P211" s="452">
        <v>44561</v>
      </c>
      <c r="Q211" s="491">
        <v>0.25</v>
      </c>
      <c r="R211" s="491">
        <v>0.5</v>
      </c>
      <c r="S211" s="492">
        <v>0.75</v>
      </c>
      <c r="T211" s="489">
        <v>1</v>
      </c>
      <c r="U211" s="381">
        <v>0.25</v>
      </c>
      <c r="V211" s="493" t="s">
        <v>2244</v>
      </c>
      <c r="W211" s="493" t="s">
        <v>4387</v>
      </c>
      <c r="X211" s="455" t="str">
        <f t="shared" si="60"/>
        <v>En gestión</v>
      </c>
      <c r="Y211" s="455" t="str">
        <f t="shared" si="61"/>
        <v>En gestión</v>
      </c>
      <c r="Z211" s="1125" t="s">
        <v>2289</v>
      </c>
      <c r="AA211" s="1120">
        <f>SUMPRODUCT(N211:N216,U211:U216)</f>
        <v>0.25</v>
      </c>
      <c r="AB211" s="1121">
        <f>SUMPRODUCT(N211:N216,Q211:Q216)</f>
        <v>0.25</v>
      </c>
      <c r="AC211" s="1124" t="str">
        <f>IF(AB211&lt;1%,"Sin iniciar",IF(AB211=100%,"Terminado","En gestión"))</f>
        <v>En gestión</v>
      </c>
      <c r="AD211" s="1124" t="str">
        <f>IF(AA211&lt;1%,"Sin iniciar",IF(AA211=100%,"Terminado","En gestión"))</f>
        <v>En gestión</v>
      </c>
      <c r="AE211" s="494"/>
      <c r="AF211" s="1008">
        <v>59669288</v>
      </c>
      <c r="AG211" s="1008">
        <v>0</v>
      </c>
      <c r="AH211" s="1008">
        <v>14317322</v>
      </c>
      <c r="AI211" s="1008">
        <f>31595250+4761655594</f>
        <v>4793250844</v>
      </c>
      <c r="AJ211" s="1008">
        <v>0</v>
      </c>
      <c r="AK211" s="1008">
        <f>6319050+2566029565</f>
        <v>2572348615</v>
      </c>
      <c r="AL211" s="499"/>
      <c r="AM211" s="499"/>
      <c r="AN211" s="499"/>
      <c r="AO211" s="499"/>
      <c r="AP211" s="499"/>
      <c r="AQ211" s="1215">
        <v>0.5</v>
      </c>
      <c r="AR211" s="493" t="s">
        <v>2244</v>
      </c>
      <c r="AS211" s="493" t="s">
        <v>4388</v>
      </c>
      <c r="AT211" s="455" t="str">
        <f t="shared" si="62"/>
        <v>En gestión</v>
      </c>
      <c r="AU211" s="455" t="str">
        <f t="shared" si="63"/>
        <v>En gestión</v>
      </c>
      <c r="AV211" s="1125" t="s">
        <v>2446</v>
      </c>
      <c r="AW211" s="1110">
        <f>SUMPRODUCT(N211:N216,AQ211:AQ216)</f>
        <v>0.5</v>
      </c>
      <c r="AX211" s="1111">
        <f>SUMPRODUCT(N211:N216,R211:R216)</f>
        <v>0.5</v>
      </c>
      <c r="AY211" s="1124" t="str">
        <f>IF(AX211&lt;1%,"Sin iniciar",IF(AX211=100%,"Terminado","En gestión"))</f>
        <v>En gestión</v>
      </c>
      <c r="AZ211" s="1124" t="str">
        <f>IF(AW211&lt;1%,"Sin iniciar",IF(AW211=100%,"Terminado","En gestión"))</f>
        <v>En gestión</v>
      </c>
      <c r="BA211" s="493"/>
      <c r="BB211" s="1128">
        <v>59669288</v>
      </c>
      <c r="BC211" s="1128">
        <v>59669288</v>
      </c>
      <c r="BD211" s="1010">
        <v>29834644</v>
      </c>
      <c r="BE211" s="1128">
        <f>31595250+4761655594</f>
        <v>4793250844</v>
      </c>
      <c r="BF211" s="1128">
        <f>31595250+4761655594</f>
        <v>4793250844</v>
      </c>
      <c r="BG211" s="1010">
        <f>15797625+3297904902</f>
        <v>3313702527</v>
      </c>
      <c r="BH211" s="1010" t="s">
        <v>2666</v>
      </c>
      <c r="BI211" s="1010"/>
      <c r="BJ211" s="500" t="s">
        <v>2676</v>
      </c>
      <c r="BK211" s="500" t="s">
        <v>2677</v>
      </c>
      <c r="BL211" s="500" t="s">
        <v>2679</v>
      </c>
      <c r="BM211" s="509">
        <v>0.75</v>
      </c>
      <c r="BN211" s="464" t="s">
        <v>5259</v>
      </c>
      <c r="BO211" s="454" t="s">
        <v>4389</v>
      </c>
      <c r="BP211" s="455" t="str">
        <f t="shared" ref="BP211:BP222" si="65">IF(S211&lt;1%,"Sin iniciar",IF(S211=100%,"Terminado","En gestión"))</f>
        <v>En gestión</v>
      </c>
      <c r="BQ211" s="455" t="str">
        <f t="shared" si="64"/>
        <v>En gestión</v>
      </c>
      <c r="BR211" s="990" t="s">
        <v>4390</v>
      </c>
      <c r="BS211" s="1130">
        <f>SUMPRODUCT(N211:N216,BM211:BM216)</f>
        <v>0.78</v>
      </c>
      <c r="BT211" s="1131">
        <f>SUMPRODUCT(N211:N216,S211:S216)</f>
        <v>0.75</v>
      </c>
      <c r="BU211" s="1124" t="str">
        <f>IF(BT211&lt;1%,"Sin iniciar",IF(BT211=100%,"Terminado","En gestión"))</f>
        <v>En gestión</v>
      </c>
      <c r="BV211" s="1124" t="str">
        <f>IF(BS211&lt;1%,"Sin iniciar",IF(BS211=100%,"Terminado","En gestión"))</f>
        <v>En gestión</v>
      </c>
      <c r="BW211" s="991" t="s">
        <v>28</v>
      </c>
      <c r="BX211" s="990" t="s">
        <v>3631</v>
      </c>
      <c r="BY211" s="1008">
        <v>59669288</v>
      </c>
      <c r="BZ211" s="1008">
        <v>58428734</v>
      </c>
      <c r="CA211" s="1008">
        <v>44321181</v>
      </c>
      <c r="CB211" s="1008">
        <f>31595250+4761655594</f>
        <v>4793250844</v>
      </c>
      <c r="CC211" s="1008"/>
      <c r="CD211" s="1008">
        <f>28435725+4029780248</f>
        <v>4058215973</v>
      </c>
      <c r="CE211" s="1010" t="s">
        <v>2666</v>
      </c>
      <c r="CF211" s="501" t="s">
        <v>2676</v>
      </c>
      <c r="CG211" s="501" t="s">
        <v>2677</v>
      </c>
      <c r="CH211" s="500" t="s">
        <v>2679</v>
      </c>
    </row>
    <row r="212" spans="2:86" ht="171.95" customHeight="1" x14ac:dyDescent="0.25">
      <c r="B212" s="1189"/>
      <c r="C212" s="1126"/>
      <c r="D212" s="1118"/>
      <c r="E212" s="1118"/>
      <c r="F212" s="1118"/>
      <c r="G212" s="1118"/>
      <c r="H212" s="1118"/>
      <c r="I212" s="489" t="s">
        <v>1039</v>
      </c>
      <c r="J212" s="1127"/>
      <c r="K212" s="994"/>
      <c r="L212" s="490" t="s">
        <v>2245</v>
      </c>
      <c r="M212" s="451" t="s">
        <v>2176</v>
      </c>
      <c r="N212" s="489">
        <v>0.15</v>
      </c>
      <c r="O212" s="452">
        <v>44197</v>
      </c>
      <c r="P212" s="452">
        <v>44561</v>
      </c>
      <c r="Q212" s="491">
        <v>0.25</v>
      </c>
      <c r="R212" s="491">
        <v>0.5</v>
      </c>
      <c r="S212" s="492">
        <v>0.75</v>
      </c>
      <c r="T212" s="489">
        <v>1</v>
      </c>
      <c r="U212" s="381">
        <v>0.25</v>
      </c>
      <c r="V212" s="493" t="s">
        <v>2246</v>
      </c>
      <c r="W212" s="493" t="s">
        <v>4391</v>
      </c>
      <c r="X212" s="455" t="str">
        <f t="shared" si="60"/>
        <v>En gestión</v>
      </c>
      <c r="Y212" s="455" t="str">
        <f t="shared" si="61"/>
        <v>En gestión</v>
      </c>
      <c r="Z212" s="1125"/>
      <c r="AA212" s="1120"/>
      <c r="AB212" s="1121"/>
      <c r="AC212" s="1124"/>
      <c r="AD212" s="1124"/>
      <c r="AE212" s="494"/>
      <c r="AF212" s="1008"/>
      <c r="AG212" s="1008"/>
      <c r="AH212" s="1008"/>
      <c r="AI212" s="1008"/>
      <c r="AJ212" s="1008"/>
      <c r="AK212" s="1008"/>
      <c r="AL212" s="499"/>
      <c r="AM212" s="499"/>
      <c r="AN212" s="499"/>
      <c r="AO212" s="499"/>
      <c r="AP212" s="499"/>
      <c r="AQ212" s="1215">
        <v>0.5</v>
      </c>
      <c r="AR212" s="493" t="s">
        <v>2333</v>
      </c>
      <c r="AS212" s="493" t="s">
        <v>4392</v>
      </c>
      <c r="AT212" s="455" t="str">
        <f t="shared" si="62"/>
        <v>En gestión</v>
      </c>
      <c r="AU212" s="455" t="str">
        <f t="shared" si="63"/>
        <v>En gestión</v>
      </c>
      <c r="AV212" s="1125"/>
      <c r="AW212" s="1110"/>
      <c r="AX212" s="1111"/>
      <c r="AY212" s="1124"/>
      <c r="AZ212" s="1124"/>
      <c r="BA212" s="493"/>
      <c r="BB212" s="1128"/>
      <c r="BC212" s="1128"/>
      <c r="BD212" s="1010"/>
      <c r="BE212" s="1128"/>
      <c r="BF212" s="1128"/>
      <c r="BG212" s="1010"/>
      <c r="BH212" s="1010"/>
      <c r="BI212" s="1010"/>
      <c r="BJ212" s="1010" t="s">
        <v>2748</v>
      </c>
      <c r="BK212" s="1010" t="s">
        <v>2674</v>
      </c>
      <c r="BL212" s="1010" t="s">
        <v>2749</v>
      </c>
      <c r="BM212" s="509">
        <v>0.95</v>
      </c>
      <c r="BN212" s="464" t="s">
        <v>4393</v>
      </c>
      <c r="BO212" s="454" t="s">
        <v>4394</v>
      </c>
      <c r="BP212" s="455" t="str">
        <f t="shared" si="65"/>
        <v>En gestión</v>
      </c>
      <c r="BQ212" s="455" t="str">
        <f t="shared" si="64"/>
        <v>En gestión</v>
      </c>
      <c r="BR212" s="990"/>
      <c r="BS212" s="1130"/>
      <c r="BT212" s="1131"/>
      <c r="BU212" s="1124"/>
      <c r="BV212" s="1124"/>
      <c r="BW212" s="991"/>
      <c r="BX212" s="990"/>
      <c r="BY212" s="1008"/>
      <c r="BZ212" s="1008"/>
      <c r="CA212" s="1008"/>
      <c r="CB212" s="1008"/>
      <c r="CC212" s="1008"/>
      <c r="CD212" s="1008"/>
      <c r="CE212" s="1010"/>
      <c r="CF212" s="500" t="s">
        <v>2748</v>
      </c>
      <c r="CG212" s="500" t="s">
        <v>2674</v>
      </c>
      <c r="CH212" s="500" t="s">
        <v>2749</v>
      </c>
    </row>
    <row r="213" spans="2:86" ht="171.95" customHeight="1" x14ac:dyDescent="0.25">
      <c r="B213" s="1189"/>
      <c r="C213" s="1126"/>
      <c r="D213" s="1118"/>
      <c r="E213" s="1118"/>
      <c r="F213" s="1118"/>
      <c r="G213" s="1118"/>
      <c r="H213" s="1118"/>
      <c r="I213" s="489" t="s">
        <v>132</v>
      </c>
      <c r="J213" s="1127"/>
      <c r="K213" s="994"/>
      <c r="L213" s="490" t="s">
        <v>2247</v>
      </c>
      <c r="M213" s="451" t="s">
        <v>2124</v>
      </c>
      <c r="N213" s="489">
        <v>0.15</v>
      </c>
      <c r="O213" s="452">
        <v>44197</v>
      </c>
      <c r="P213" s="452">
        <v>44561</v>
      </c>
      <c r="Q213" s="491">
        <v>0.25</v>
      </c>
      <c r="R213" s="491">
        <v>0.5</v>
      </c>
      <c r="S213" s="492">
        <v>0.75</v>
      </c>
      <c r="T213" s="489">
        <v>1</v>
      </c>
      <c r="U213" s="381">
        <v>0.25</v>
      </c>
      <c r="V213" s="493" t="s">
        <v>2248</v>
      </c>
      <c r="W213" s="493" t="s">
        <v>4395</v>
      </c>
      <c r="X213" s="455" t="str">
        <f t="shared" si="60"/>
        <v>En gestión</v>
      </c>
      <c r="Y213" s="455" t="str">
        <f t="shared" si="61"/>
        <v>En gestión</v>
      </c>
      <c r="Z213" s="1125"/>
      <c r="AA213" s="1120"/>
      <c r="AB213" s="1121"/>
      <c r="AC213" s="1124"/>
      <c r="AD213" s="1124"/>
      <c r="AE213" s="494"/>
      <c r="AF213" s="1008"/>
      <c r="AG213" s="1008"/>
      <c r="AH213" s="1008"/>
      <c r="AI213" s="1008"/>
      <c r="AJ213" s="1008"/>
      <c r="AK213" s="1008"/>
      <c r="AL213" s="499"/>
      <c r="AM213" s="499"/>
      <c r="AN213" s="499"/>
      <c r="AO213" s="499"/>
      <c r="AP213" s="499"/>
      <c r="AQ213" s="1215">
        <v>0.5</v>
      </c>
      <c r="AR213" s="493" t="s">
        <v>2447</v>
      </c>
      <c r="AS213" s="493" t="s">
        <v>4396</v>
      </c>
      <c r="AT213" s="455" t="str">
        <f t="shared" si="62"/>
        <v>En gestión</v>
      </c>
      <c r="AU213" s="455" t="str">
        <f t="shared" si="63"/>
        <v>En gestión</v>
      </c>
      <c r="AV213" s="1125"/>
      <c r="AW213" s="1110"/>
      <c r="AX213" s="1111"/>
      <c r="AY213" s="1124"/>
      <c r="AZ213" s="1124"/>
      <c r="BA213" s="493"/>
      <c r="BB213" s="1128"/>
      <c r="BC213" s="1128"/>
      <c r="BD213" s="1010"/>
      <c r="BE213" s="1128"/>
      <c r="BF213" s="1128"/>
      <c r="BG213" s="1010"/>
      <c r="BH213" s="1010"/>
      <c r="BI213" s="1010"/>
      <c r="BJ213" s="1010"/>
      <c r="BK213" s="1010"/>
      <c r="BL213" s="1010"/>
      <c r="BM213" s="509">
        <v>0.75</v>
      </c>
      <c r="BN213" s="464" t="s">
        <v>4397</v>
      </c>
      <c r="BO213" s="464" t="s">
        <v>5260</v>
      </c>
      <c r="BP213" s="455" t="str">
        <f t="shared" si="65"/>
        <v>En gestión</v>
      </c>
      <c r="BQ213" s="455" t="str">
        <f t="shared" si="64"/>
        <v>En gestión</v>
      </c>
      <c r="BR213" s="990"/>
      <c r="BS213" s="1130"/>
      <c r="BT213" s="1131"/>
      <c r="BU213" s="1124"/>
      <c r="BV213" s="1124"/>
      <c r="BW213" s="991"/>
      <c r="BX213" s="990"/>
      <c r="BY213" s="1008"/>
      <c r="BZ213" s="1008"/>
      <c r="CA213" s="1008"/>
      <c r="CB213" s="1008"/>
      <c r="CC213" s="1008"/>
      <c r="CD213" s="1008"/>
      <c r="CE213" s="1136" t="s">
        <v>4137</v>
      </c>
      <c r="CF213" s="1136" t="s">
        <v>4138</v>
      </c>
      <c r="CG213" s="1136" t="s">
        <v>4139</v>
      </c>
      <c r="CH213" s="1136" t="s">
        <v>4398</v>
      </c>
    </row>
    <row r="214" spans="2:86" ht="171.95" customHeight="1" x14ac:dyDescent="0.25">
      <c r="B214" s="1189"/>
      <c r="C214" s="1126"/>
      <c r="D214" s="1118"/>
      <c r="E214" s="1118"/>
      <c r="F214" s="1118"/>
      <c r="G214" s="1118"/>
      <c r="H214" s="1118"/>
      <c r="I214" s="489" t="s">
        <v>185</v>
      </c>
      <c r="J214" s="1127"/>
      <c r="K214" s="994"/>
      <c r="L214" s="490" t="s">
        <v>2249</v>
      </c>
      <c r="M214" s="451" t="s">
        <v>2206</v>
      </c>
      <c r="N214" s="489">
        <v>0.25</v>
      </c>
      <c r="O214" s="452">
        <v>44197</v>
      </c>
      <c r="P214" s="452">
        <v>44561</v>
      </c>
      <c r="Q214" s="491">
        <v>0.25</v>
      </c>
      <c r="R214" s="491">
        <v>0.5</v>
      </c>
      <c r="S214" s="492">
        <v>0.75</v>
      </c>
      <c r="T214" s="489">
        <v>1</v>
      </c>
      <c r="U214" s="381">
        <v>0.25</v>
      </c>
      <c r="V214" s="493" t="s">
        <v>2250</v>
      </c>
      <c r="W214" s="493" t="s">
        <v>4399</v>
      </c>
      <c r="X214" s="455" t="str">
        <f t="shared" si="60"/>
        <v>En gestión</v>
      </c>
      <c r="Y214" s="455" t="str">
        <f t="shared" si="61"/>
        <v>En gestión</v>
      </c>
      <c r="Z214" s="1125"/>
      <c r="AA214" s="1120"/>
      <c r="AB214" s="1121"/>
      <c r="AC214" s="1124"/>
      <c r="AD214" s="1124"/>
      <c r="AE214" s="494"/>
      <c r="AF214" s="1008"/>
      <c r="AG214" s="1008"/>
      <c r="AH214" s="1008"/>
      <c r="AI214" s="1008"/>
      <c r="AJ214" s="1008"/>
      <c r="AK214" s="1008"/>
      <c r="AL214" s="499"/>
      <c r="AM214" s="499"/>
      <c r="AN214" s="499"/>
      <c r="AO214" s="499"/>
      <c r="AP214" s="499"/>
      <c r="AQ214" s="1215">
        <v>0.5</v>
      </c>
      <c r="AR214" s="493" t="s">
        <v>2334</v>
      </c>
      <c r="AS214" s="493" t="s">
        <v>4400</v>
      </c>
      <c r="AT214" s="455" t="str">
        <f t="shared" si="62"/>
        <v>En gestión</v>
      </c>
      <c r="AU214" s="455" t="str">
        <f t="shared" si="63"/>
        <v>En gestión</v>
      </c>
      <c r="AV214" s="1125"/>
      <c r="AW214" s="1110"/>
      <c r="AX214" s="1111"/>
      <c r="AY214" s="1124"/>
      <c r="AZ214" s="1124"/>
      <c r="BA214" s="493"/>
      <c r="BB214" s="1128"/>
      <c r="BC214" s="1128"/>
      <c r="BD214" s="1010"/>
      <c r="BE214" s="1128"/>
      <c r="BF214" s="1128"/>
      <c r="BG214" s="1010"/>
      <c r="BH214" s="1010"/>
      <c r="BI214" s="1010"/>
      <c r="BJ214" s="1010" t="s">
        <v>2748</v>
      </c>
      <c r="BK214" s="1010" t="s">
        <v>2674</v>
      </c>
      <c r="BL214" s="1010" t="s">
        <v>2749</v>
      </c>
      <c r="BM214" s="509">
        <v>0.75</v>
      </c>
      <c r="BN214" s="464" t="s">
        <v>5261</v>
      </c>
      <c r="BO214" s="464" t="s">
        <v>5262</v>
      </c>
      <c r="BP214" s="455" t="str">
        <f t="shared" si="65"/>
        <v>En gestión</v>
      </c>
      <c r="BQ214" s="455" t="str">
        <f t="shared" si="64"/>
        <v>En gestión</v>
      </c>
      <c r="BR214" s="990"/>
      <c r="BS214" s="1130"/>
      <c r="BT214" s="1131"/>
      <c r="BU214" s="1124"/>
      <c r="BV214" s="1124"/>
      <c r="BW214" s="991"/>
      <c r="BX214" s="990"/>
      <c r="BY214" s="1008"/>
      <c r="BZ214" s="1008"/>
      <c r="CA214" s="1008"/>
      <c r="CB214" s="1008"/>
      <c r="CC214" s="1008"/>
      <c r="CD214" s="1008"/>
      <c r="CE214" s="1136"/>
      <c r="CF214" s="1136"/>
      <c r="CG214" s="1136"/>
      <c r="CH214" s="1136"/>
    </row>
    <row r="215" spans="2:86" ht="171.95" customHeight="1" x14ac:dyDescent="0.25">
      <c r="B215" s="1189"/>
      <c r="C215" s="1126"/>
      <c r="D215" s="1118"/>
      <c r="E215" s="1118"/>
      <c r="F215" s="1118"/>
      <c r="G215" s="1118"/>
      <c r="H215" s="1118"/>
      <c r="I215" s="489" t="s">
        <v>191</v>
      </c>
      <c r="J215" s="1127"/>
      <c r="K215" s="994"/>
      <c r="L215" s="490" t="s">
        <v>2251</v>
      </c>
      <c r="M215" s="451" t="s">
        <v>1334</v>
      </c>
      <c r="N215" s="489">
        <v>0.2</v>
      </c>
      <c r="O215" s="452">
        <v>44197</v>
      </c>
      <c r="P215" s="452">
        <v>44561</v>
      </c>
      <c r="Q215" s="491">
        <v>0.25</v>
      </c>
      <c r="R215" s="491">
        <v>0.5</v>
      </c>
      <c r="S215" s="492">
        <v>0.75</v>
      </c>
      <c r="T215" s="489">
        <v>1</v>
      </c>
      <c r="U215" s="381">
        <v>0.25</v>
      </c>
      <c r="V215" s="493" t="s">
        <v>2252</v>
      </c>
      <c r="W215" s="493" t="s">
        <v>4401</v>
      </c>
      <c r="X215" s="455" t="str">
        <f t="shared" si="60"/>
        <v>En gestión</v>
      </c>
      <c r="Y215" s="455" t="str">
        <f t="shared" si="61"/>
        <v>En gestión</v>
      </c>
      <c r="Z215" s="1125"/>
      <c r="AA215" s="1120"/>
      <c r="AB215" s="1121"/>
      <c r="AC215" s="1124"/>
      <c r="AD215" s="1124"/>
      <c r="AE215" s="494"/>
      <c r="AF215" s="1008"/>
      <c r="AG215" s="1008"/>
      <c r="AH215" s="1008"/>
      <c r="AI215" s="1008"/>
      <c r="AJ215" s="1008"/>
      <c r="AK215" s="1008"/>
      <c r="AL215" s="499"/>
      <c r="AM215" s="499"/>
      <c r="AN215" s="499"/>
      <c r="AO215" s="499"/>
      <c r="AP215" s="499"/>
      <c r="AQ215" s="1215">
        <v>0.5</v>
      </c>
      <c r="AR215" s="493" t="s">
        <v>2335</v>
      </c>
      <c r="AS215" s="493" t="s">
        <v>4401</v>
      </c>
      <c r="AT215" s="455" t="str">
        <f t="shared" si="62"/>
        <v>En gestión</v>
      </c>
      <c r="AU215" s="455" t="str">
        <f t="shared" si="63"/>
        <v>En gestión</v>
      </c>
      <c r="AV215" s="1125"/>
      <c r="AW215" s="1110"/>
      <c r="AX215" s="1111"/>
      <c r="AY215" s="1124"/>
      <c r="AZ215" s="1124"/>
      <c r="BA215" s="493"/>
      <c r="BB215" s="1128"/>
      <c r="BC215" s="1128"/>
      <c r="BD215" s="1010"/>
      <c r="BE215" s="1128"/>
      <c r="BF215" s="1128"/>
      <c r="BG215" s="1010"/>
      <c r="BH215" s="1010"/>
      <c r="BI215" s="1010"/>
      <c r="BJ215" s="1010"/>
      <c r="BK215" s="1010"/>
      <c r="BL215" s="1010"/>
      <c r="BM215" s="509">
        <v>0.75</v>
      </c>
      <c r="BN215" s="464" t="s">
        <v>5263</v>
      </c>
      <c r="BO215" s="464" t="s">
        <v>5264</v>
      </c>
      <c r="BP215" s="455" t="str">
        <f t="shared" si="65"/>
        <v>En gestión</v>
      </c>
      <c r="BQ215" s="455" t="str">
        <f t="shared" si="64"/>
        <v>En gestión</v>
      </c>
      <c r="BR215" s="990"/>
      <c r="BS215" s="1130"/>
      <c r="BT215" s="1131"/>
      <c r="BU215" s="1124"/>
      <c r="BV215" s="1124"/>
      <c r="BW215" s="991"/>
      <c r="BX215" s="990"/>
      <c r="BY215" s="1008"/>
      <c r="BZ215" s="1008"/>
      <c r="CA215" s="1008"/>
      <c r="CB215" s="1008"/>
      <c r="CC215" s="1008"/>
      <c r="CD215" s="1008"/>
      <c r="CE215" s="1136"/>
      <c r="CF215" s="1136"/>
      <c r="CG215" s="1136"/>
      <c r="CH215" s="1136"/>
    </row>
    <row r="216" spans="2:86" ht="171.95" customHeight="1" x14ac:dyDescent="0.25">
      <c r="B216" s="1189"/>
      <c r="C216" s="1126"/>
      <c r="D216" s="1118"/>
      <c r="E216" s="1118"/>
      <c r="F216" s="1118"/>
      <c r="G216" s="1118"/>
      <c r="H216" s="1118"/>
      <c r="I216" s="489" t="s">
        <v>194</v>
      </c>
      <c r="J216" s="1127"/>
      <c r="K216" s="994"/>
      <c r="L216" s="490" t="s">
        <v>2253</v>
      </c>
      <c r="M216" s="451" t="s">
        <v>2058</v>
      </c>
      <c r="N216" s="489">
        <v>0.2</v>
      </c>
      <c r="O216" s="452">
        <v>44197</v>
      </c>
      <c r="P216" s="452">
        <v>44561</v>
      </c>
      <c r="Q216" s="491">
        <v>0.25</v>
      </c>
      <c r="R216" s="491">
        <v>0.5</v>
      </c>
      <c r="S216" s="492">
        <v>0.75</v>
      </c>
      <c r="T216" s="489">
        <v>1</v>
      </c>
      <c r="U216" s="381">
        <v>0.25</v>
      </c>
      <c r="V216" s="493" t="s">
        <v>2254</v>
      </c>
      <c r="W216" s="493" t="s">
        <v>4401</v>
      </c>
      <c r="X216" s="455" t="str">
        <f t="shared" si="60"/>
        <v>En gestión</v>
      </c>
      <c r="Y216" s="455" t="str">
        <f t="shared" si="61"/>
        <v>En gestión</v>
      </c>
      <c r="Z216" s="1125"/>
      <c r="AA216" s="1120"/>
      <c r="AB216" s="1121"/>
      <c r="AC216" s="1124"/>
      <c r="AD216" s="1124"/>
      <c r="AE216" s="494"/>
      <c r="AF216" s="1008"/>
      <c r="AG216" s="1008"/>
      <c r="AH216" s="1008"/>
      <c r="AI216" s="1008"/>
      <c r="AJ216" s="1008"/>
      <c r="AK216" s="1008"/>
      <c r="AL216" s="499"/>
      <c r="AM216" s="499"/>
      <c r="AN216" s="499"/>
      <c r="AO216" s="499"/>
      <c r="AP216" s="499"/>
      <c r="AQ216" s="1215">
        <v>0.5</v>
      </c>
      <c r="AR216" s="493" t="s">
        <v>2336</v>
      </c>
      <c r="AS216" s="493" t="s">
        <v>4401</v>
      </c>
      <c r="AT216" s="455" t="str">
        <f t="shared" si="62"/>
        <v>En gestión</v>
      </c>
      <c r="AU216" s="455" t="str">
        <f t="shared" si="63"/>
        <v>En gestión</v>
      </c>
      <c r="AV216" s="1125"/>
      <c r="AW216" s="1110"/>
      <c r="AX216" s="1111"/>
      <c r="AY216" s="1124"/>
      <c r="AZ216" s="1124"/>
      <c r="BA216" s="493"/>
      <c r="BB216" s="1128"/>
      <c r="BC216" s="1128"/>
      <c r="BD216" s="1010"/>
      <c r="BE216" s="1128"/>
      <c r="BF216" s="1128"/>
      <c r="BG216" s="1010"/>
      <c r="BH216" s="1010"/>
      <c r="BI216" s="1010"/>
      <c r="BJ216" s="1010"/>
      <c r="BK216" s="1010"/>
      <c r="BL216" s="1010"/>
      <c r="BM216" s="509">
        <v>0.75</v>
      </c>
      <c r="BN216" s="464" t="s">
        <v>5265</v>
      </c>
      <c r="BO216" s="464" t="s">
        <v>5264</v>
      </c>
      <c r="BP216" s="455" t="str">
        <f t="shared" si="65"/>
        <v>En gestión</v>
      </c>
      <c r="BQ216" s="455" t="str">
        <f t="shared" si="64"/>
        <v>En gestión</v>
      </c>
      <c r="BR216" s="990"/>
      <c r="BS216" s="1130"/>
      <c r="BT216" s="1131"/>
      <c r="BU216" s="1124"/>
      <c r="BV216" s="1124"/>
      <c r="BW216" s="991"/>
      <c r="BX216" s="990"/>
      <c r="BY216" s="1008"/>
      <c r="BZ216" s="1008"/>
      <c r="CA216" s="1008"/>
      <c r="CB216" s="1008"/>
      <c r="CC216" s="1008"/>
      <c r="CD216" s="1008"/>
      <c r="CE216" s="1136"/>
      <c r="CF216" s="1136"/>
      <c r="CG216" s="1136"/>
      <c r="CH216" s="1136"/>
    </row>
    <row r="217" spans="2:86" ht="171.95" customHeight="1" x14ac:dyDescent="0.25">
      <c r="B217" s="1189"/>
      <c r="C217" s="1115" t="s">
        <v>2255</v>
      </c>
      <c r="D217" s="1116" t="s">
        <v>1045</v>
      </c>
      <c r="E217" s="1116" t="s">
        <v>2256</v>
      </c>
      <c r="F217" s="1116" t="s">
        <v>28</v>
      </c>
      <c r="G217" s="1116" t="s">
        <v>28</v>
      </c>
      <c r="H217" s="1116" t="s">
        <v>59</v>
      </c>
      <c r="I217" s="433" t="s">
        <v>1047</v>
      </c>
      <c r="J217" s="1117" t="s">
        <v>2257</v>
      </c>
      <c r="K217" s="1043" t="s">
        <v>1710</v>
      </c>
      <c r="L217" s="434" t="s">
        <v>2258</v>
      </c>
      <c r="M217" s="387" t="s">
        <v>2046</v>
      </c>
      <c r="N217" s="433">
        <v>0.05</v>
      </c>
      <c r="O217" s="388">
        <v>44197</v>
      </c>
      <c r="P217" s="388">
        <v>44561</v>
      </c>
      <c r="Q217" s="435">
        <v>0.25</v>
      </c>
      <c r="R217" s="435">
        <v>0.5</v>
      </c>
      <c r="S217" s="436">
        <v>0.75</v>
      </c>
      <c r="T217" s="433">
        <v>1</v>
      </c>
      <c r="U217" s="381">
        <v>0.25</v>
      </c>
      <c r="V217" s="437" t="s">
        <v>2259</v>
      </c>
      <c r="W217" s="437" t="s">
        <v>4402</v>
      </c>
      <c r="X217" s="379" t="str">
        <f t="shared" si="60"/>
        <v>En gestión</v>
      </c>
      <c r="Y217" s="379" t="str">
        <f t="shared" si="61"/>
        <v>En gestión</v>
      </c>
      <c r="Z217" s="1113" t="s">
        <v>2290</v>
      </c>
      <c r="AA217" s="1120">
        <f>SUMPRODUCT(N217:N222,U217:U222)</f>
        <v>0.25</v>
      </c>
      <c r="AB217" s="1121">
        <f>SUMPRODUCT(N217:N222,Q217:Q222)</f>
        <v>0.25</v>
      </c>
      <c r="AC217" s="1122" t="str">
        <f>IF(AB217&lt;1%,"Sin iniciar",IF(AB217=100%,"Terminado","En gestión"))</f>
        <v>En gestión</v>
      </c>
      <c r="AD217" s="1122" t="str">
        <f>IF(AA217&lt;1%,"Sin iniciar",IF(AA217=100%,"Terminado","En gestión"))</f>
        <v>En gestión</v>
      </c>
      <c r="AE217" s="438"/>
      <c r="AF217" s="1005">
        <v>37061130</v>
      </c>
      <c r="AG217" s="1005"/>
      <c r="AH217" s="1005">
        <v>9265283</v>
      </c>
      <c r="AI217" s="1005">
        <f>23400000+6100401143</f>
        <v>6123801143</v>
      </c>
      <c r="AJ217" s="1005"/>
      <c r="AK217" s="1005">
        <f>7200000+3600353897</f>
        <v>3607553897</v>
      </c>
      <c r="AL217" s="441"/>
      <c r="AM217" s="441"/>
      <c r="AN217" s="441"/>
      <c r="AO217" s="441"/>
      <c r="AP217" s="441"/>
      <c r="AQ217" s="1215">
        <v>0.5</v>
      </c>
      <c r="AR217" s="437" t="s">
        <v>2337</v>
      </c>
      <c r="AS217" s="437" t="s">
        <v>4403</v>
      </c>
      <c r="AT217" s="379" t="str">
        <f t="shared" si="62"/>
        <v>En gestión</v>
      </c>
      <c r="AU217" s="379" t="str">
        <f t="shared" si="63"/>
        <v>En gestión</v>
      </c>
      <c r="AV217" s="1113" t="s">
        <v>2419</v>
      </c>
      <c r="AW217" s="1110">
        <f>SUMPRODUCT(N217:N222,AQ217:AQ222)</f>
        <v>0.60000000000000009</v>
      </c>
      <c r="AX217" s="1111">
        <f>SUMPRODUCT(N217:N222,R217:R222)</f>
        <v>0.5</v>
      </c>
      <c r="AY217" s="1122" t="str">
        <f>IF(AX217&lt;1%,"Sin iniciar",IF(AX217=100%,"Terminado","En gestión"))</f>
        <v>En gestión</v>
      </c>
      <c r="AZ217" s="1122" t="str">
        <f>IF(AW217&lt;1%,"Sin iniciar",IF(AW217=100%,"Terminado","En gestión"))</f>
        <v>En gestión</v>
      </c>
      <c r="BA217" s="437"/>
      <c r="BB217" s="1011">
        <v>37061130</v>
      </c>
      <c r="BC217" s="1011">
        <v>37061130</v>
      </c>
      <c r="BD217" s="1132">
        <v>18530565</v>
      </c>
      <c r="BE217" s="1011">
        <f>23400000+6100401143</f>
        <v>6123801143</v>
      </c>
      <c r="BF217" s="1011">
        <f>23400000+6100401143</f>
        <v>6123801143</v>
      </c>
      <c r="BG217" s="1132">
        <f>18000000+4433702979</f>
        <v>4451702979</v>
      </c>
      <c r="BH217" s="1132" t="s">
        <v>2666</v>
      </c>
      <c r="BI217" s="1132"/>
      <c r="BJ217" s="1132" t="s">
        <v>2750</v>
      </c>
      <c r="BK217" s="1132" t="s">
        <v>2731</v>
      </c>
      <c r="BL217" s="1132" t="s">
        <v>2751</v>
      </c>
      <c r="BM217" s="507">
        <v>0.75</v>
      </c>
      <c r="BN217" s="389" t="s">
        <v>4404</v>
      </c>
      <c r="BO217" s="389" t="s">
        <v>4405</v>
      </c>
      <c r="BP217" s="379" t="str">
        <f t="shared" si="65"/>
        <v>En gestión</v>
      </c>
      <c r="BQ217" s="379" t="str">
        <f t="shared" si="64"/>
        <v>En gestión</v>
      </c>
      <c r="BR217" s="1006" t="s">
        <v>4406</v>
      </c>
      <c r="BS217" s="1130">
        <f>SUMPRODUCT(N217:N222,BM217:BM222)</f>
        <v>0.83000000000000007</v>
      </c>
      <c r="BT217" s="1131">
        <f>SUMPRODUCT(N217:N222,S217:S222)</f>
        <v>0.75000000000000011</v>
      </c>
      <c r="BU217" s="1122" t="str">
        <f>IF(BT217&lt;1%,"Sin iniciar",IF(BT217=100%,"Terminado","En gestión"))</f>
        <v>En gestión</v>
      </c>
      <c r="BV217" s="1122" t="str">
        <f>IF(BS217&lt;1%,"Sin iniciar",IF(BS217=100%,"Terminado","En gestión"))</f>
        <v>En gestión</v>
      </c>
      <c r="BW217" s="1016" t="s">
        <v>28</v>
      </c>
      <c r="BX217" s="1006" t="s">
        <v>3631</v>
      </c>
      <c r="BY217" s="1005">
        <v>37061130</v>
      </c>
      <c r="BZ217" s="1005">
        <v>38028426</v>
      </c>
      <c r="CA217" s="1005">
        <v>28521320</v>
      </c>
      <c r="CB217" s="1005">
        <f>23400000+6100401143</f>
        <v>6123801143</v>
      </c>
      <c r="CC217" s="1005"/>
      <c r="CD217" s="1005">
        <f>23400000+5267052061</f>
        <v>5290452061</v>
      </c>
      <c r="CE217" s="1132" t="s">
        <v>2666</v>
      </c>
      <c r="CF217" s="1132" t="s">
        <v>2750</v>
      </c>
      <c r="CG217" s="1132" t="s">
        <v>2731</v>
      </c>
      <c r="CH217" s="1132" t="s">
        <v>2751</v>
      </c>
    </row>
    <row r="218" spans="2:86" ht="171.95" customHeight="1" x14ac:dyDescent="0.25">
      <c r="B218" s="1189"/>
      <c r="C218" s="1115"/>
      <c r="D218" s="1116"/>
      <c r="E218" s="1116"/>
      <c r="F218" s="1116"/>
      <c r="G218" s="1116"/>
      <c r="H218" s="1116"/>
      <c r="I218" s="433" t="s">
        <v>1039</v>
      </c>
      <c r="J218" s="1117"/>
      <c r="K218" s="1043"/>
      <c r="L218" s="434" t="s">
        <v>2260</v>
      </c>
      <c r="M218" s="387" t="s">
        <v>2176</v>
      </c>
      <c r="N218" s="433">
        <v>0.2</v>
      </c>
      <c r="O218" s="388">
        <v>44197</v>
      </c>
      <c r="P218" s="388">
        <v>44561</v>
      </c>
      <c r="Q218" s="435">
        <v>0.25</v>
      </c>
      <c r="R218" s="435">
        <v>0.5</v>
      </c>
      <c r="S218" s="436">
        <v>0.75</v>
      </c>
      <c r="T218" s="433">
        <v>1</v>
      </c>
      <c r="U218" s="381">
        <v>0.25</v>
      </c>
      <c r="V218" s="437" t="s">
        <v>2261</v>
      </c>
      <c r="W218" s="437" t="s">
        <v>4407</v>
      </c>
      <c r="X218" s="379" t="str">
        <f t="shared" si="60"/>
        <v>En gestión</v>
      </c>
      <c r="Y218" s="379" t="str">
        <f t="shared" si="61"/>
        <v>En gestión</v>
      </c>
      <c r="Z218" s="1113"/>
      <c r="AA218" s="1120"/>
      <c r="AB218" s="1121"/>
      <c r="AC218" s="1122"/>
      <c r="AD218" s="1122"/>
      <c r="AE218" s="438"/>
      <c r="AF218" s="1005"/>
      <c r="AG218" s="1005"/>
      <c r="AH218" s="1005"/>
      <c r="AI218" s="1005"/>
      <c r="AJ218" s="1005"/>
      <c r="AK218" s="1005"/>
      <c r="AL218" s="441"/>
      <c r="AM218" s="441"/>
      <c r="AN218" s="441"/>
      <c r="AO218" s="441"/>
      <c r="AP218" s="441"/>
      <c r="AQ218" s="1215">
        <v>0.75</v>
      </c>
      <c r="AR218" s="437" t="s">
        <v>2338</v>
      </c>
      <c r="AS218" s="437" t="s">
        <v>4408</v>
      </c>
      <c r="AT218" s="379" t="str">
        <f t="shared" si="62"/>
        <v>En gestión</v>
      </c>
      <c r="AU218" s="379" t="str">
        <f t="shared" si="63"/>
        <v>En gestión</v>
      </c>
      <c r="AV218" s="1113"/>
      <c r="AW218" s="1134"/>
      <c r="AX218" s="1111"/>
      <c r="AY218" s="1122"/>
      <c r="AZ218" s="1122"/>
      <c r="BA218" s="437"/>
      <c r="BB218" s="1011"/>
      <c r="BC218" s="1011"/>
      <c r="BD218" s="1132"/>
      <c r="BE218" s="1011"/>
      <c r="BF218" s="1011"/>
      <c r="BG218" s="1132"/>
      <c r="BH218" s="1132"/>
      <c r="BI218" s="1132"/>
      <c r="BJ218" s="1132"/>
      <c r="BK218" s="1132"/>
      <c r="BL218" s="1132"/>
      <c r="BM218" s="507">
        <v>0.9</v>
      </c>
      <c r="BN218" s="389" t="s">
        <v>4409</v>
      </c>
      <c r="BO218" s="389" t="s">
        <v>4408</v>
      </c>
      <c r="BP218" s="379" t="str">
        <f t="shared" si="65"/>
        <v>En gestión</v>
      </c>
      <c r="BQ218" s="379" t="str">
        <f t="shared" si="64"/>
        <v>En gestión</v>
      </c>
      <c r="BR218" s="1006"/>
      <c r="BS218" s="1130"/>
      <c r="BT218" s="1131"/>
      <c r="BU218" s="1122"/>
      <c r="BV218" s="1122"/>
      <c r="BW218" s="1016"/>
      <c r="BX218" s="1006"/>
      <c r="BY218" s="1005"/>
      <c r="BZ218" s="1005"/>
      <c r="CA218" s="1005"/>
      <c r="CB218" s="1005"/>
      <c r="CC218" s="1005"/>
      <c r="CD218" s="1005"/>
      <c r="CE218" s="1132"/>
      <c r="CF218" s="1132"/>
      <c r="CG218" s="1132"/>
      <c r="CH218" s="1132"/>
    </row>
    <row r="219" spans="2:86" ht="171.95" customHeight="1" x14ac:dyDescent="0.25">
      <c r="B219" s="1189"/>
      <c r="C219" s="1115"/>
      <c r="D219" s="1116"/>
      <c r="E219" s="1116"/>
      <c r="F219" s="1116"/>
      <c r="G219" s="1116"/>
      <c r="H219" s="1116"/>
      <c r="I219" s="433" t="s">
        <v>132</v>
      </c>
      <c r="J219" s="1117"/>
      <c r="K219" s="1043"/>
      <c r="L219" s="434" t="s">
        <v>2262</v>
      </c>
      <c r="M219" s="387" t="s">
        <v>2124</v>
      </c>
      <c r="N219" s="433">
        <v>0.2</v>
      </c>
      <c r="O219" s="388">
        <v>44197</v>
      </c>
      <c r="P219" s="388">
        <v>44561</v>
      </c>
      <c r="Q219" s="435">
        <v>0.25</v>
      </c>
      <c r="R219" s="435">
        <v>0.5</v>
      </c>
      <c r="S219" s="436">
        <v>0.75</v>
      </c>
      <c r="T219" s="433">
        <v>1</v>
      </c>
      <c r="U219" s="381">
        <v>0.25</v>
      </c>
      <c r="V219" s="437" t="s">
        <v>2263</v>
      </c>
      <c r="W219" s="437" t="s">
        <v>4411</v>
      </c>
      <c r="X219" s="379" t="str">
        <f t="shared" si="60"/>
        <v>En gestión</v>
      </c>
      <c r="Y219" s="379" t="str">
        <f t="shared" si="61"/>
        <v>En gestión</v>
      </c>
      <c r="Z219" s="1113"/>
      <c r="AA219" s="1120"/>
      <c r="AB219" s="1121"/>
      <c r="AC219" s="1122"/>
      <c r="AD219" s="1122"/>
      <c r="AE219" s="438"/>
      <c r="AF219" s="1005"/>
      <c r="AG219" s="1005"/>
      <c r="AH219" s="1005"/>
      <c r="AI219" s="1005"/>
      <c r="AJ219" s="1005"/>
      <c r="AK219" s="1005"/>
      <c r="AL219" s="441"/>
      <c r="AM219" s="441"/>
      <c r="AN219" s="441"/>
      <c r="AO219" s="441"/>
      <c r="AP219" s="441"/>
      <c r="AQ219" s="1215">
        <v>0.75</v>
      </c>
      <c r="AR219" s="437" t="s">
        <v>2339</v>
      </c>
      <c r="AS219" s="437" t="s">
        <v>4412</v>
      </c>
      <c r="AT219" s="379" t="str">
        <f t="shared" si="62"/>
        <v>En gestión</v>
      </c>
      <c r="AU219" s="379" t="str">
        <f t="shared" si="63"/>
        <v>En gestión</v>
      </c>
      <c r="AV219" s="1113"/>
      <c r="AW219" s="1134"/>
      <c r="AX219" s="1111"/>
      <c r="AY219" s="1122"/>
      <c r="AZ219" s="1122"/>
      <c r="BA219" s="437"/>
      <c r="BB219" s="1011"/>
      <c r="BC219" s="1011"/>
      <c r="BD219" s="1132"/>
      <c r="BE219" s="1011"/>
      <c r="BF219" s="1011"/>
      <c r="BG219" s="1132"/>
      <c r="BH219" s="1132"/>
      <c r="BI219" s="1132"/>
      <c r="BJ219" s="1132"/>
      <c r="BK219" s="1132"/>
      <c r="BL219" s="1132"/>
      <c r="BM219" s="507">
        <v>1</v>
      </c>
      <c r="BN219" s="389" t="s">
        <v>4413</v>
      </c>
      <c r="BO219" s="389" t="s">
        <v>4414</v>
      </c>
      <c r="BP219" s="379" t="str">
        <f t="shared" si="65"/>
        <v>En gestión</v>
      </c>
      <c r="BQ219" s="379" t="str">
        <f t="shared" si="64"/>
        <v>Terminado</v>
      </c>
      <c r="BR219" s="1006"/>
      <c r="BS219" s="1130"/>
      <c r="BT219" s="1131"/>
      <c r="BU219" s="1122"/>
      <c r="BV219" s="1122"/>
      <c r="BW219" s="1016"/>
      <c r="BX219" s="1006"/>
      <c r="BY219" s="1005"/>
      <c r="BZ219" s="1005"/>
      <c r="CA219" s="1005"/>
      <c r="CB219" s="1005"/>
      <c r="CC219" s="1005"/>
      <c r="CD219" s="1005"/>
      <c r="CE219" s="1132"/>
      <c r="CF219" s="1132"/>
      <c r="CG219" s="1132"/>
      <c r="CH219" s="1132"/>
    </row>
    <row r="220" spans="2:86" ht="171.95" customHeight="1" x14ac:dyDescent="0.25">
      <c r="B220" s="1189"/>
      <c r="C220" s="1115"/>
      <c r="D220" s="1116"/>
      <c r="E220" s="1116"/>
      <c r="F220" s="1116"/>
      <c r="G220" s="1116"/>
      <c r="H220" s="1116"/>
      <c r="I220" s="433" t="s">
        <v>185</v>
      </c>
      <c r="J220" s="1117"/>
      <c r="K220" s="1043"/>
      <c r="L220" s="434" t="s">
        <v>2264</v>
      </c>
      <c r="M220" s="387" t="s">
        <v>2265</v>
      </c>
      <c r="N220" s="433">
        <v>0.15</v>
      </c>
      <c r="O220" s="388">
        <v>44197</v>
      </c>
      <c r="P220" s="388">
        <v>44561</v>
      </c>
      <c r="Q220" s="435">
        <v>0.25</v>
      </c>
      <c r="R220" s="435">
        <v>0.5</v>
      </c>
      <c r="S220" s="436">
        <v>0.75</v>
      </c>
      <c r="T220" s="433">
        <v>1</v>
      </c>
      <c r="U220" s="381">
        <v>0.25</v>
      </c>
      <c r="V220" s="437" t="s">
        <v>2266</v>
      </c>
      <c r="W220" s="437" t="s">
        <v>4415</v>
      </c>
      <c r="X220" s="379" t="str">
        <f t="shared" si="60"/>
        <v>En gestión</v>
      </c>
      <c r="Y220" s="379" t="str">
        <f t="shared" si="61"/>
        <v>En gestión</v>
      </c>
      <c r="Z220" s="1113"/>
      <c r="AA220" s="1120"/>
      <c r="AB220" s="1121"/>
      <c r="AC220" s="1122"/>
      <c r="AD220" s="1122"/>
      <c r="AE220" s="438"/>
      <c r="AF220" s="1005"/>
      <c r="AG220" s="1005"/>
      <c r="AH220" s="1005"/>
      <c r="AI220" s="1005"/>
      <c r="AJ220" s="1005"/>
      <c r="AK220" s="1005"/>
      <c r="AL220" s="441"/>
      <c r="AM220" s="441"/>
      <c r="AN220" s="441"/>
      <c r="AO220" s="441"/>
      <c r="AP220" s="441"/>
      <c r="AQ220" s="1215">
        <v>0.5</v>
      </c>
      <c r="AR220" s="437" t="s">
        <v>2340</v>
      </c>
      <c r="AS220" s="437" t="s">
        <v>4416</v>
      </c>
      <c r="AT220" s="379" t="str">
        <f t="shared" si="62"/>
        <v>En gestión</v>
      </c>
      <c r="AU220" s="379" t="str">
        <f t="shared" si="63"/>
        <v>En gestión</v>
      </c>
      <c r="AV220" s="1113"/>
      <c r="AW220" s="1134"/>
      <c r="AX220" s="1111"/>
      <c r="AY220" s="1122"/>
      <c r="AZ220" s="1122"/>
      <c r="BA220" s="437"/>
      <c r="BB220" s="1011"/>
      <c r="BC220" s="1011"/>
      <c r="BD220" s="1132"/>
      <c r="BE220" s="1011"/>
      <c r="BF220" s="1011"/>
      <c r="BG220" s="1132"/>
      <c r="BH220" s="1132"/>
      <c r="BI220" s="1132"/>
      <c r="BJ220" s="1132"/>
      <c r="BK220" s="1132"/>
      <c r="BL220" s="1132"/>
      <c r="BM220" s="507">
        <v>0.75</v>
      </c>
      <c r="BN220" s="389" t="s">
        <v>4417</v>
      </c>
      <c r="BO220" s="389" t="s">
        <v>4416</v>
      </c>
      <c r="BP220" s="379" t="str">
        <f t="shared" si="65"/>
        <v>En gestión</v>
      </c>
      <c r="BQ220" s="379" t="str">
        <f t="shared" si="64"/>
        <v>En gestión</v>
      </c>
      <c r="BR220" s="1006"/>
      <c r="BS220" s="1130"/>
      <c r="BT220" s="1131"/>
      <c r="BU220" s="1122"/>
      <c r="BV220" s="1122"/>
      <c r="BW220" s="1016"/>
      <c r="BX220" s="1006"/>
      <c r="BY220" s="1005"/>
      <c r="BZ220" s="1005"/>
      <c r="CA220" s="1005"/>
      <c r="CB220" s="1005"/>
      <c r="CC220" s="1005"/>
      <c r="CD220" s="1005"/>
      <c r="CE220" s="1132" t="s">
        <v>4137</v>
      </c>
      <c r="CF220" s="1132" t="s">
        <v>4138</v>
      </c>
      <c r="CG220" s="1132" t="s">
        <v>4139</v>
      </c>
      <c r="CH220" s="1132" t="s">
        <v>4410</v>
      </c>
    </row>
    <row r="221" spans="2:86" ht="171.95" customHeight="1" x14ac:dyDescent="0.25">
      <c r="B221" s="1189"/>
      <c r="C221" s="1115"/>
      <c r="D221" s="1116"/>
      <c r="E221" s="1116"/>
      <c r="F221" s="1116"/>
      <c r="G221" s="1116"/>
      <c r="H221" s="1116"/>
      <c r="I221" s="433" t="s">
        <v>191</v>
      </c>
      <c r="J221" s="1117"/>
      <c r="K221" s="1043"/>
      <c r="L221" s="434" t="s">
        <v>2267</v>
      </c>
      <c r="M221" s="387" t="s">
        <v>2268</v>
      </c>
      <c r="N221" s="433">
        <v>0.2</v>
      </c>
      <c r="O221" s="388">
        <v>44197</v>
      </c>
      <c r="P221" s="388">
        <v>44561</v>
      </c>
      <c r="Q221" s="435">
        <v>0.25</v>
      </c>
      <c r="R221" s="435">
        <v>0.5</v>
      </c>
      <c r="S221" s="436">
        <v>0.75</v>
      </c>
      <c r="T221" s="433">
        <v>1</v>
      </c>
      <c r="U221" s="381">
        <v>0.25</v>
      </c>
      <c r="V221" s="437" t="s">
        <v>2269</v>
      </c>
      <c r="W221" s="437" t="s">
        <v>4418</v>
      </c>
      <c r="X221" s="379" t="str">
        <f t="shared" si="60"/>
        <v>En gestión</v>
      </c>
      <c r="Y221" s="379" t="str">
        <f t="shared" si="61"/>
        <v>En gestión</v>
      </c>
      <c r="Z221" s="1113"/>
      <c r="AA221" s="1120"/>
      <c r="AB221" s="1121"/>
      <c r="AC221" s="1122"/>
      <c r="AD221" s="1122"/>
      <c r="AE221" s="438"/>
      <c r="AF221" s="1005"/>
      <c r="AG221" s="1005"/>
      <c r="AH221" s="1005"/>
      <c r="AI221" s="1005"/>
      <c r="AJ221" s="1005"/>
      <c r="AK221" s="1005"/>
      <c r="AL221" s="441"/>
      <c r="AM221" s="441"/>
      <c r="AN221" s="441"/>
      <c r="AO221" s="441"/>
      <c r="AP221" s="441"/>
      <c r="AQ221" s="1215">
        <v>0.5</v>
      </c>
      <c r="AR221" s="437" t="s">
        <v>2341</v>
      </c>
      <c r="AS221" s="437" t="s">
        <v>4419</v>
      </c>
      <c r="AT221" s="379" t="str">
        <f t="shared" si="62"/>
        <v>En gestión</v>
      </c>
      <c r="AU221" s="379" t="str">
        <f t="shared" si="63"/>
        <v>En gestión</v>
      </c>
      <c r="AV221" s="1113"/>
      <c r="AW221" s="1134"/>
      <c r="AX221" s="1111"/>
      <c r="AY221" s="1122"/>
      <c r="AZ221" s="1122"/>
      <c r="BA221" s="437"/>
      <c r="BB221" s="1011"/>
      <c r="BC221" s="1011"/>
      <c r="BD221" s="1132"/>
      <c r="BE221" s="1011"/>
      <c r="BF221" s="1011"/>
      <c r="BG221" s="1132"/>
      <c r="BH221" s="1132"/>
      <c r="BI221" s="1132"/>
      <c r="BJ221" s="1132"/>
      <c r="BK221" s="1132"/>
      <c r="BL221" s="1132"/>
      <c r="BM221" s="507">
        <v>0.75</v>
      </c>
      <c r="BN221" s="389" t="s">
        <v>4420</v>
      </c>
      <c r="BO221" s="389" t="s">
        <v>4421</v>
      </c>
      <c r="BP221" s="379" t="str">
        <f t="shared" si="65"/>
        <v>En gestión</v>
      </c>
      <c r="BQ221" s="379" t="str">
        <f t="shared" si="64"/>
        <v>En gestión</v>
      </c>
      <c r="BR221" s="1006"/>
      <c r="BS221" s="1130"/>
      <c r="BT221" s="1131"/>
      <c r="BU221" s="1122"/>
      <c r="BV221" s="1122"/>
      <c r="BW221" s="1016"/>
      <c r="BX221" s="1006"/>
      <c r="BY221" s="1005"/>
      <c r="BZ221" s="1005"/>
      <c r="CA221" s="1005"/>
      <c r="CB221" s="1005"/>
      <c r="CC221" s="1005"/>
      <c r="CD221" s="1005"/>
      <c r="CE221" s="1132"/>
      <c r="CF221" s="1132"/>
      <c r="CG221" s="1132"/>
      <c r="CH221" s="1132"/>
    </row>
    <row r="222" spans="2:86" ht="171.95" customHeight="1" x14ac:dyDescent="0.25">
      <c r="B222" s="1190"/>
      <c r="C222" s="1115"/>
      <c r="D222" s="1116"/>
      <c r="E222" s="1116"/>
      <c r="F222" s="1116"/>
      <c r="G222" s="1116"/>
      <c r="H222" s="1116"/>
      <c r="I222" s="433" t="s">
        <v>194</v>
      </c>
      <c r="J222" s="1117"/>
      <c r="K222" s="1043"/>
      <c r="L222" s="434" t="s">
        <v>2270</v>
      </c>
      <c r="M222" s="387" t="s">
        <v>2271</v>
      </c>
      <c r="N222" s="433">
        <v>0.2</v>
      </c>
      <c r="O222" s="388">
        <v>44197</v>
      </c>
      <c r="P222" s="388">
        <v>44561</v>
      </c>
      <c r="Q222" s="435">
        <v>0.25</v>
      </c>
      <c r="R222" s="435">
        <v>0.5</v>
      </c>
      <c r="S222" s="436">
        <v>0.75</v>
      </c>
      <c r="T222" s="433">
        <v>1</v>
      </c>
      <c r="U222" s="381">
        <v>0.25</v>
      </c>
      <c r="V222" s="437" t="s">
        <v>2272</v>
      </c>
      <c r="W222" s="437" t="s">
        <v>4422</v>
      </c>
      <c r="X222" s="379" t="str">
        <f t="shared" si="60"/>
        <v>En gestión</v>
      </c>
      <c r="Y222" s="379" t="str">
        <f t="shared" si="61"/>
        <v>En gestión</v>
      </c>
      <c r="Z222" s="1113"/>
      <c r="AA222" s="1120"/>
      <c r="AB222" s="1121"/>
      <c r="AC222" s="1122"/>
      <c r="AD222" s="1122"/>
      <c r="AE222" s="438"/>
      <c r="AF222" s="1005"/>
      <c r="AG222" s="1005"/>
      <c r="AH222" s="1005"/>
      <c r="AI222" s="1005"/>
      <c r="AJ222" s="1005"/>
      <c r="AK222" s="1005"/>
      <c r="AL222" s="441"/>
      <c r="AM222" s="441"/>
      <c r="AN222" s="441"/>
      <c r="AO222" s="441"/>
      <c r="AP222" s="441"/>
      <c r="AQ222" s="1215">
        <v>0.5</v>
      </c>
      <c r="AR222" s="437" t="s">
        <v>2342</v>
      </c>
      <c r="AS222" s="437" t="s">
        <v>4423</v>
      </c>
      <c r="AT222" s="379" t="str">
        <f t="shared" si="62"/>
        <v>En gestión</v>
      </c>
      <c r="AU222" s="379" t="str">
        <f t="shared" si="63"/>
        <v>En gestión</v>
      </c>
      <c r="AV222" s="1113"/>
      <c r="AW222" s="1134"/>
      <c r="AX222" s="1111"/>
      <c r="AY222" s="1122"/>
      <c r="AZ222" s="1122"/>
      <c r="BA222" s="437"/>
      <c r="BB222" s="1011"/>
      <c r="BC222" s="1011"/>
      <c r="BD222" s="1132"/>
      <c r="BE222" s="1011"/>
      <c r="BF222" s="1011"/>
      <c r="BG222" s="1132"/>
      <c r="BH222" s="1132"/>
      <c r="BI222" s="1132"/>
      <c r="BJ222" s="1132"/>
      <c r="BK222" s="1132"/>
      <c r="BL222" s="1132"/>
      <c r="BM222" s="507">
        <v>0.75</v>
      </c>
      <c r="BN222" s="389" t="s">
        <v>4424</v>
      </c>
      <c r="BO222" s="389" t="s">
        <v>4425</v>
      </c>
      <c r="BP222" s="379" t="str">
        <f t="shared" si="65"/>
        <v>En gestión</v>
      </c>
      <c r="BQ222" s="379" t="str">
        <f t="shared" si="64"/>
        <v>En gestión</v>
      </c>
      <c r="BR222" s="1006"/>
      <c r="BS222" s="1130"/>
      <c r="BT222" s="1131"/>
      <c r="BU222" s="1122"/>
      <c r="BV222" s="1122"/>
      <c r="BW222" s="1016"/>
      <c r="BX222" s="1006"/>
      <c r="BY222" s="1005"/>
      <c r="BZ222" s="1005"/>
      <c r="CA222" s="1005"/>
      <c r="CB222" s="1005"/>
      <c r="CC222" s="1005"/>
      <c r="CD222" s="1005"/>
      <c r="CE222" s="1132"/>
      <c r="CF222" s="1132"/>
      <c r="CG222" s="1132"/>
      <c r="CH222" s="1132"/>
    </row>
  </sheetData>
  <mergeCells count="3078">
    <mergeCell ref="B1:I2"/>
    <mergeCell ref="B63:B131"/>
    <mergeCell ref="B132:B222"/>
    <mergeCell ref="B43:B62"/>
    <mergeCell ref="B5:B11"/>
    <mergeCell ref="B12:B16"/>
    <mergeCell ref="B17:B23"/>
    <mergeCell ref="B24:B28"/>
    <mergeCell ref="B32:B36"/>
    <mergeCell ref="B37:B40"/>
    <mergeCell ref="B41:B42"/>
    <mergeCell ref="B29:B31"/>
    <mergeCell ref="CE201:CE205"/>
    <mergeCell ref="CF201:CF205"/>
    <mergeCell ref="CG201:CG205"/>
    <mergeCell ref="CH201:CH205"/>
    <mergeCell ref="CE207:CE210"/>
    <mergeCell ref="CF207:CF210"/>
    <mergeCell ref="CG207:CG210"/>
    <mergeCell ref="CH207:CH210"/>
    <mergeCell ref="BB138:BB142"/>
    <mergeCell ref="BC138:BC142"/>
    <mergeCell ref="BD138:BD142"/>
    <mergeCell ref="BE138:BE142"/>
    <mergeCell ref="BF138:BF142"/>
    <mergeCell ref="BG138:BG142"/>
    <mergeCell ref="BH138:BH142"/>
    <mergeCell ref="BI138:BI142"/>
    <mergeCell ref="BJ138:BJ139"/>
    <mergeCell ref="BK138:BK139"/>
    <mergeCell ref="BK140:BK142"/>
    <mergeCell ref="BJ140:BJ142"/>
    <mergeCell ref="CH151:CH154"/>
    <mergeCell ref="CE156:CE158"/>
    <mergeCell ref="CF156:CF158"/>
    <mergeCell ref="CG156:CG158"/>
    <mergeCell ref="CE163:CE166"/>
    <mergeCell ref="CF163:CF166"/>
    <mergeCell ref="CG163:CG166"/>
    <mergeCell ref="CH163:CH166"/>
    <mergeCell ref="CE167:CE168"/>
    <mergeCell ref="CE132:CE133"/>
    <mergeCell ref="BW32:BW33"/>
    <mergeCell ref="BW34:BW35"/>
    <mergeCell ref="BW39:BW40"/>
    <mergeCell ref="BW43:BW44"/>
    <mergeCell ref="U2:AP2"/>
    <mergeCell ref="AQ2:BL2"/>
    <mergeCell ref="BM2:CH2"/>
    <mergeCell ref="CF132:CF133"/>
    <mergeCell ref="CG132:CG133"/>
    <mergeCell ref="CH132:CH133"/>
    <mergeCell ref="BE155:BE158"/>
    <mergeCell ref="BF155:BF158"/>
    <mergeCell ref="BG155:BG158"/>
    <mergeCell ref="BH155:BH158"/>
    <mergeCell ref="BI155:BI158"/>
    <mergeCell ref="BJ155:BJ158"/>
    <mergeCell ref="BK155:BK158"/>
    <mergeCell ref="BS143:BS148"/>
    <mergeCell ref="BT143:BT148"/>
    <mergeCell ref="BU143:BU148"/>
    <mergeCell ref="CE211:CE212"/>
    <mergeCell ref="CE213:CE216"/>
    <mergeCell ref="CF213:CF216"/>
    <mergeCell ref="CG213:CG216"/>
    <mergeCell ref="CH213:CH216"/>
    <mergeCell ref="BO75:BO77"/>
    <mergeCell ref="BO78:BO80"/>
    <mergeCell ref="BR84:BR86"/>
    <mergeCell ref="BR87:BR89"/>
    <mergeCell ref="BO90:BO92"/>
    <mergeCell ref="BO93:BO95"/>
    <mergeCell ref="BO100:BO101"/>
    <mergeCell ref="BO102:BO104"/>
    <mergeCell ref="BO105:BO106"/>
    <mergeCell ref="CE144:CE148"/>
    <mergeCell ref="CF144:CF148"/>
    <mergeCell ref="CG144:CG148"/>
    <mergeCell ref="CH144:CH148"/>
    <mergeCell ref="CE149:CE150"/>
    <mergeCell ref="CE151:CE154"/>
    <mergeCell ref="CF151:CF154"/>
    <mergeCell ref="CG151:CG154"/>
    <mergeCell ref="BB161:BB166"/>
    <mergeCell ref="BC161:BC166"/>
    <mergeCell ref="BD161:BD166"/>
    <mergeCell ref="BE161:BE166"/>
    <mergeCell ref="BF161:BF166"/>
    <mergeCell ref="BG161:BG166"/>
    <mergeCell ref="BH161:BH166"/>
    <mergeCell ref="BI161:BI166"/>
    <mergeCell ref="BJ161:BJ166"/>
    <mergeCell ref="BK161:BK166"/>
    <mergeCell ref="CE135:CE137"/>
    <mergeCell ref="CF135:CF137"/>
    <mergeCell ref="CG135:CG137"/>
    <mergeCell ref="CH135:CH137"/>
    <mergeCell ref="CE140:CE142"/>
    <mergeCell ref="CF140:CF142"/>
    <mergeCell ref="CG140:CG142"/>
    <mergeCell ref="CH140:CH142"/>
    <mergeCell ref="BL161:BL166"/>
    <mergeCell ref="BB159:BB160"/>
    <mergeCell ref="BC159:BC160"/>
    <mergeCell ref="BD159:BD160"/>
    <mergeCell ref="BE159:BE160"/>
    <mergeCell ref="BF159:BF160"/>
    <mergeCell ref="BG159:BG160"/>
    <mergeCell ref="BH159:BH160"/>
    <mergeCell ref="BI159:BI160"/>
    <mergeCell ref="BJ159:BJ160"/>
    <mergeCell ref="BK159:BK160"/>
    <mergeCell ref="BB155:BB158"/>
    <mergeCell ref="BC155:BC158"/>
    <mergeCell ref="BD155:BD158"/>
    <mergeCell ref="BL182:BL187"/>
    <mergeCell ref="BB178:BB181"/>
    <mergeCell ref="BC178:BC181"/>
    <mergeCell ref="BD178:BD181"/>
    <mergeCell ref="BE178:BE181"/>
    <mergeCell ref="BF178:BF181"/>
    <mergeCell ref="BG178:BG181"/>
    <mergeCell ref="BH178:BH181"/>
    <mergeCell ref="BI178:BI181"/>
    <mergeCell ref="BJ178:BJ181"/>
    <mergeCell ref="BK178:BK181"/>
    <mergeCell ref="BD167:BD172"/>
    <mergeCell ref="BE167:BE172"/>
    <mergeCell ref="BF167:BF172"/>
    <mergeCell ref="BG167:BG172"/>
    <mergeCell ref="BH167:BH172"/>
    <mergeCell ref="BI167:BI172"/>
    <mergeCell ref="BJ167:BJ169"/>
    <mergeCell ref="BK167:BK169"/>
    <mergeCell ref="BJ170:BJ172"/>
    <mergeCell ref="BK170:BK172"/>
    <mergeCell ref="BK194:BK196"/>
    <mergeCell ref="BK197:BK199"/>
    <mergeCell ref="BJ197:BJ199"/>
    <mergeCell ref="BB188:BB193"/>
    <mergeCell ref="BC188:BC193"/>
    <mergeCell ref="BD188:BD193"/>
    <mergeCell ref="BE188:BE193"/>
    <mergeCell ref="BF188:BF193"/>
    <mergeCell ref="BG188:BG193"/>
    <mergeCell ref="BH188:BH193"/>
    <mergeCell ref="BI188:BI193"/>
    <mergeCell ref="BJ188:BJ193"/>
    <mergeCell ref="BK188:BK193"/>
    <mergeCell ref="BD182:BD187"/>
    <mergeCell ref="BE182:BE187"/>
    <mergeCell ref="BF182:BF187"/>
    <mergeCell ref="BG182:BG187"/>
    <mergeCell ref="BH182:BH187"/>
    <mergeCell ref="BI182:BI187"/>
    <mergeCell ref="BJ182:BJ187"/>
    <mergeCell ref="BK182:BK187"/>
    <mergeCell ref="BH75:BH77"/>
    <mergeCell ref="BI75:BI77"/>
    <mergeCell ref="BH72:BH74"/>
    <mergeCell ref="BG211:BG216"/>
    <mergeCell ref="BH211:BH216"/>
    <mergeCell ref="BI211:BI213"/>
    <mergeCell ref="BK212:BK213"/>
    <mergeCell ref="BJ212:BJ213"/>
    <mergeCell ref="BB206:BB210"/>
    <mergeCell ref="BC206:BC210"/>
    <mergeCell ref="BD206:BD210"/>
    <mergeCell ref="BE206:BE210"/>
    <mergeCell ref="BF206:BF210"/>
    <mergeCell ref="BG206:BG210"/>
    <mergeCell ref="BH206:BH210"/>
    <mergeCell ref="BI206:BI210"/>
    <mergeCell ref="BJ206:BJ210"/>
    <mergeCell ref="BK206:BK210"/>
    <mergeCell ref="BB200:BB205"/>
    <mergeCell ref="BC200:BC205"/>
    <mergeCell ref="BD200:BD205"/>
    <mergeCell ref="BE200:BE205"/>
    <mergeCell ref="BF200:BF205"/>
    <mergeCell ref="BG200:BG205"/>
    <mergeCell ref="BH200:BH205"/>
    <mergeCell ref="BI200:BI205"/>
    <mergeCell ref="BJ200:BJ205"/>
    <mergeCell ref="BK200:BK205"/>
    <mergeCell ref="BG194:BG199"/>
    <mergeCell ref="BH194:BH199"/>
    <mergeCell ref="BI194:BI199"/>
    <mergeCell ref="BJ194:BJ196"/>
    <mergeCell ref="BB132:BB137"/>
    <mergeCell ref="BC132:BC137"/>
    <mergeCell ref="BD132:BD137"/>
    <mergeCell ref="BE132:BE137"/>
    <mergeCell ref="BF132:BF137"/>
    <mergeCell ref="BG132:BG137"/>
    <mergeCell ref="BH132:BH137"/>
    <mergeCell ref="BI132:BI137"/>
    <mergeCell ref="BJ132:BJ133"/>
    <mergeCell ref="BK132:BK133"/>
    <mergeCell ref="BK134:BK137"/>
    <mergeCell ref="BJ134:BJ137"/>
    <mergeCell ref="BK105:BK107"/>
    <mergeCell ref="BH102:BH104"/>
    <mergeCell ref="BC102:BC104"/>
    <mergeCell ref="BG100:BG101"/>
    <mergeCell ref="BH100:BH101"/>
    <mergeCell ref="BW49:BW55"/>
    <mergeCell ref="BV49:BV55"/>
    <mergeCell ref="BU49:BU55"/>
    <mergeCell ref="BT49:BT55"/>
    <mergeCell ref="BS49:BS55"/>
    <mergeCell ref="BS47:BS48"/>
    <mergeCell ref="BT47:BT48"/>
    <mergeCell ref="BU47:BU48"/>
    <mergeCell ref="BV47:BV48"/>
    <mergeCell ref="BW47:BW48"/>
    <mergeCell ref="BW45:BW46"/>
    <mergeCell ref="BV45:BV46"/>
    <mergeCell ref="BU45:BU46"/>
    <mergeCell ref="BT45:BT46"/>
    <mergeCell ref="BS45:BS46"/>
    <mergeCell ref="BS43:BS44"/>
    <mergeCell ref="BT43:BT44"/>
    <mergeCell ref="BU43:BU44"/>
    <mergeCell ref="BV43:BV44"/>
    <mergeCell ref="BS60:BS62"/>
    <mergeCell ref="BT60:BT62"/>
    <mergeCell ref="BU60:BU62"/>
    <mergeCell ref="BV60:BV62"/>
    <mergeCell ref="BW60:BW62"/>
    <mergeCell ref="BV87:BV89"/>
    <mergeCell ref="BW87:BW89"/>
    <mergeCell ref="BW58:BW59"/>
    <mergeCell ref="BV58:BV59"/>
    <mergeCell ref="BU58:BU59"/>
    <mergeCell ref="BT58:BT59"/>
    <mergeCell ref="BS58:BS59"/>
    <mergeCell ref="BS56:BS57"/>
    <mergeCell ref="BT56:BT57"/>
    <mergeCell ref="BU56:BU57"/>
    <mergeCell ref="BV56:BV57"/>
    <mergeCell ref="BW56:BW57"/>
    <mergeCell ref="BT155:BT158"/>
    <mergeCell ref="BS155:BS158"/>
    <mergeCell ref="BU155:BU158"/>
    <mergeCell ref="BV155:BV158"/>
    <mergeCell ref="BV149:BV154"/>
    <mergeCell ref="BU149:BU154"/>
    <mergeCell ref="BT149:BT154"/>
    <mergeCell ref="BS149:BS154"/>
    <mergeCell ref="BW151:BW154"/>
    <mergeCell ref="BV143:BV148"/>
    <mergeCell ref="BW143:BW148"/>
    <mergeCell ref="BS138:BS142"/>
    <mergeCell ref="BT138:BT142"/>
    <mergeCell ref="BU138:BU142"/>
    <mergeCell ref="BV138:BV142"/>
    <mergeCell ref="BW138:BW142"/>
    <mergeCell ref="BS132:BS137"/>
    <mergeCell ref="BT132:BT137"/>
    <mergeCell ref="BU132:BU137"/>
    <mergeCell ref="BV132:BV137"/>
    <mergeCell ref="BW132:BW137"/>
    <mergeCell ref="CE189:CE193"/>
    <mergeCell ref="CF189:CF193"/>
    <mergeCell ref="CG189:CG193"/>
    <mergeCell ref="CH189:CH193"/>
    <mergeCell ref="CE194:CE195"/>
    <mergeCell ref="CE196:CE199"/>
    <mergeCell ref="CF196:CF199"/>
    <mergeCell ref="BW169:BW172"/>
    <mergeCell ref="BW161:BW166"/>
    <mergeCell ref="BV161:BV166"/>
    <mergeCell ref="BU161:BU166"/>
    <mergeCell ref="BT161:BT166"/>
    <mergeCell ref="BS161:BS166"/>
    <mergeCell ref="BV159:BV160"/>
    <mergeCell ref="BU159:BU160"/>
    <mergeCell ref="BT159:BT160"/>
    <mergeCell ref="BS159:BS160"/>
    <mergeCell ref="CG196:CG199"/>
    <mergeCell ref="CH196:CH199"/>
    <mergeCell ref="BX161:BX166"/>
    <mergeCell ref="BX167:BX172"/>
    <mergeCell ref="BX143:BX148"/>
    <mergeCell ref="BX149:BX154"/>
    <mergeCell ref="BX155:BX158"/>
    <mergeCell ref="BX159:BX160"/>
    <mergeCell ref="BS217:BS222"/>
    <mergeCell ref="BT217:BT222"/>
    <mergeCell ref="BU217:BU222"/>
    <mergeCell ref="BV217:BV222"/>
    <mergeCell ref="BL217:BL222"/>
    <mergeCell ref="CE220:CE222"/>
    <mergeCell ref="CF220:CF222"/>
    <mergeCell ref="CG220:CG222"/>
    <mergeCell ref="CH220:CH222"/>
    <mergeCell ref="CE217:CE219"/>
    <mergeCell ref="CF217:CF219"/>
    <mergeCell ref="CG217:CG219"/>
    <mergeCell ref="CH217:CH219"/>
    <mergeCell ref="BW217:BW222"/>
    <mergeCell ref="BW211:BW216"/>
    <mergeCell ref="BW206:BW210"/>
    <mergeCell ref="BW200:BW205"/>
    <mergeCell ref="BW194:BW199"/>
    <mergeCell ref="BW188:BW193"/>
    <mergeCell ref="BW183:BW187"/>
    <mergeCell ref="BW178:BW181"/>
    <mergeCell ref="BW173:BW177"/>
    <mergeCell ref="CE174:CE177"/>
    <mergeCell ref="CF174:CF177"/>
    <mergeCell ref="CG174:CG177"/>
    <mergeCell ref="CH174:CH177"/>
    <mergeCell ref="BS206:BS210"/>
    <mergeCell ref="BT206:BT210"/>
    <mergeCell ref="BU206:BU210"/>
    <mergeCell ref="BV206:BV210"/>
    <mergeCell ref="BR200:BR205"/>
    <mergeCell ref="BS200:BS205"/>
    <mergeCell ref="BT200:BT205"/>
    <mergeCell ref="BU200:BU205"/>
    <mergeCell ref="BV200:BV205"/>
    <mergeCell ref="BX211:BX216"/>
    <mergeCell ref="BX217:BX222"/>
    <mergeCell ref="BR217:BR222"/>
    <mergeCell ref="BX188:BX193"/>
    <mergeCell ref="BX194:BX199"/>
    <mergeCell ref="BX200:BX205"/>
    <mergeCell ref="BX206:BX210"/>
    <mergeCell ref="BX173:BX177"/>
    <mergeCell ref="BX178:BX181"/>
    <mergeCell ref="BX182:BX187"/>
    <mergeCell ref="AV217:AV222"/>
    <mergeCell ref="AW217:AW222"/>
    <mergeCell ref="AX217:AX222"/>
    <mergeCell ref="AY217:AY222"/>
    <mergeCell ref="AC217:AC222"/>
    <mergeCell ref="AD217:AD222"/>
    <mergeCell ref="AF217:AF222"/>
    <mergeCell ref="AG217:AG222"/>
    <mergeCell ref="AH217:AH222"/>
    <mergeCell ref="AI217:AI222"/>
    <mergeCell ref="J217:J222"/>
    <mergeCell ref="K217:K222"/>
    <mergeCell ref="Z217:Z222"/>
    <mergeCell ref="AA217:AA222"/>
    <mergeCell ref="AB217:AB222"/>
    <mergeCell ref="BR206:BR210"/>
    <mergeCell ref="BR43:BR44"/>
    <mergeCell ref="BJ49:BJ55"/>
    <mergeCell ref="BK49:BK55"/>
    <mergeCell ref="BJ47:BJ48"/>
    <mergeCell ref="BK47:BK48"/>
    <mergeCell ref="BK45:BK46"/>
    <mergeCell ref="BJ45:BJ46"/>
    <mergeCell ref="BJ43:BJ44"/>
    <mergeCell ref="BK43:BK44"/>
    <mergeCell ref="BJ56:BJ57"/>
    <mergeCell ref="BK56:BK57"/>
    <mergeCell ref="BK58:BK59"/>
    <mergeCell ref="BJ58:BJ59"/>
    <mergeCell ref="BJ60:BJ62"/>
    <mergeCell ref="BK60:BK62"/>
    <mergeCell ref="BB217:BB222"/>
    <mergeCell ref="BC217:BC222"/>
    <mergeCell ref="BD217:BD222"/>
    <mergeCell ref="BE217:BE222"/>
    <mergeCell ref="BF217:BF222"/>
    <mergeCell ref="BG217:BG222"/>
    <mergeCell ref="BH217:BH222"/>
    <mergeCell ref="BI217:BI222"/>
    <mergeCell ref="BJ217:BJ222"/>
    <mergeCell ref="BK217:BK222"/>
    <mergeCell ref="C217:C222"/>
    <mergeCell ref="D217:D222"/>
    <mergeCell ref="E217:E222"/>
    <mergeCell ref="F217:F222"/>
    <mergeCell ref="G217:G222"/>
    <mergeCell ref="H217:H222"/>
    <mergeCell ref="BL212:BL213"/>
    <mergeCell ref="BL214:BL216"/>
    <mergeCell ref="J211:J216"/>
    <mergeCell ref="K211:K216"/>
    <mergeCell ref="Z211:Z216"/>
    <mergeCell ref="AA211:AA216"/>
    <mergeCell ref="AB211:AB216"/>
    <mergeCell ref="C211:C216"/>
    <mergeCell ref="D211:D216"/>
    <mergeCell ref="E211:E216"/>
    <mergeCell ref="F211:F216"/>
    <mergeCell ref="G211:G216"/>
    <mergeCell ref="H211:H216"/>
    <mergeCell ref="AZ217:AZ222"/>
    <mergeCell ref="AJ217:AJ222"/>
    <mergeCell ref="AK217:AK222"/>
    <mergeCell ref="BV211:BV216"/>
    <mergeCell ref="BR211:BR216"/>
    <mergeCell ref="BS211:BS216"/>
    <mergeCell ref="BT211:BT216"/>
    <mergeCell ref="BU211:BU216"/>
    <mergeCell ref="AZ211:AZ216"/>
    <mergeCell ref="AJ211:AJ216"/>
    <mergeCell ref="AK211:AK216"/>
    <mergeCell ref="AV211:AV216"/>
    <mergeCell ref="AW211:AW216"/>
    <mergeCell ref="AX211:AX216"/>
    <mergeCell ref="AY211:AY216"/>
    <mergeCell ref="AC211:AC216"/>
    <mergeCell ref="AD211:AD216"/>
    <mergeCell ref="AF211:AF216"/>
    <mergeCell ref="AG211:AG216"/>
    <mergeCell ref="AH211:AH216"/>
    <mergeCell ref="AI211:AI216"/>
    <mergeCell ref="BK214:BK216"/>
    <mergeCell ref="BJ214:BJ216"/>
    <mergeCell ref="BI214:BI216"/>
    <mergeCell ref="BB211:BB216"/>
    <mergeCell ref="BC211:BC216"/>
    <mergeCell ref="BD211:BD216"/>
    <mergeCell ref="BE211:BE216"/>
    <mergeCell ref="BF211:BF216"/>
    <mergeCell ref="BL206:BL210"/>
    <mergeCell ref="AZ206:AZ210"/>
    <mergeCell ref="AJ206:AJ210"/>
    <mergeCell ref="AK206:AK210"/>
    <mergeCell ref="AV206:AV210"/>
    <mergeCell ref="AW206:AW210"/>
    <mergeCell ref="AX206:AX210"/>
    <mergeCell ref="AY206:AY210"/>
    <mergeCell ref="AC206:AC210"/>
    <mergeCell ref="AD206:AD210"/>
    <mergeCell ref="AF206:AF210"/>
    <mergeCell ref="AG206:AG210"/>
    <mergeCell ref="AH206:AH210"/>
    <mergeCell ref="AI206:AI210"/>
    <mergeCell ref="J206:J210"/>
    <mergeCell ref="K206:K210"/>
    <mergeCell ref="Z206:Z210"/>
    <mergeCell ref="AA206:AA210"/>
    <mergeCell ref="AB206:AB210"/>
    <mergeCell ref="C206:C210"/>
    <mergeCell ref="D206:D210"/>
    <mergeCell ref="E206:E210"/>
    <mergeCell ref="F206:F210"/>
    <mergeCell ref="G206:G210"/>
    <mergeCell ref="H206:H210"/>
    <mergeCell ref="BS194:BS199"/>
    <mergeCell ref="BU194:BU199"/>
    <mergeCell ref="BV194:BV199"/>
    <mergeCell ref="BT194:BT199"/>
    <mergeCell ref="BL200:BL205"/>
    <mergeCell ref="AZ200:AZ205"/>
    <mergeCell ref="AJ200:AJ205"/>
    <mergeCell ref="AK200:AK205"/>
    <mergeCell ref="AV200:AV205"/>
    <mergeCell ref="AW200:AW205"/>
    <mergeCell ref="AX200:AX205"/>
    <mergeCell ref="AY200:AY205"/>
    <mergeCell ref="AC200:AC205"/>
    <mergeCell ref="AD200:AD205"/>
    <mergeCell ref="AF200:AF205"/>
    <mergeCell ref="AG200:AG205"/>
    <mergeCell ref="AH200:AH205"/>
    <mergeCell ref="AI200:AI205"/>
    <mergeCell ref="J200:J205"/>
    <mergeCell ref="K200:K205"/>
    <mergeCell ref="Z200:Z205"/>
    <mergeCell ref="AA200:AA205"/>
    <mergeCell ref="AB200:AB205"/>
    <mergeCell ref="C200:C205"/>
    <mergeCell ref="D200:D205"/>
    <mergeCell ref="E200:E205"/>
    <mergeCell ref="F200:F205"/>
    <mergeCell ref="G200:G205"/>
    <mergeCell ref="H200:H205"/>
    <mergeCell ref="BS188:BS193"/>
    <mergeCell ref="BT188:BT193"/>
    <mergeCell ref="BU188:BU193"/>
    <mergeCell ref="BV188:BV193"/>
    <mergeCell ref="BL194:BL196"/>
    <mergeCell ref="BL197:BL199"/>
    <mergeCell ref="AZ194:AZ199"/>
    <mergeCell ref="AJ194:AJ199"/>
    <mergeCell ref="AK194:AK199"/>
    <mergeCell ref="AV194:AV199"/>
    <mergeCell ref="AW194:AW199"/>
    <mergeCell ref="AX194:AX199"/>
    <mergeCell ref="AY194:AY199"/>
    <mergeCell ref="AC194:AC199"/>
    <mergeCell ref="AD194:AD199"/>
    <mergeCell ref="AF194:AF199"/>
    <mergeCell ref="AG194:AG199"/>
    <mergeCell ref="AH194:AH199"/>
    <mergeCell ref="AI194:AI199"/>
    <mergeCell ref="J194:J199"/>
    <mergeCell ref="K194:K199"/>
    <mergeCell ref="Z194:Z199"/>
    <mergeCell ref="AA194:AA199"/>
    <mergeCell ref="AB194:AB199"/>
    <mergeCell ref="BB194:BB199"/>
    <mergeCell ref="BC194:BC199"/>
    <mergeCell ref="BD194:BD199"/>
    <mergeCell ref="BE194:BE199"/>
    <mergeCell ref="BF194:BF199"/>
    <mergeCell ref="C194:C199"/>
    <mergeCell ref="D194:D199"/>
    <mergeCell ref="E194:E199"/>
    <mergeCell ref="F194:F199"/>
    <mergeCell ref="G194:G199"/>
    <mergeCell ref="H194:H199"/>
    <mergeCell ref="BU182:BU187"/>
    <mergeCell ref="BV182:BV187"/>
    <mergeCell ref="BL188:BL193"/>
    <mergeCell ref="BR194:BR199"/>
    <mergeCell ref="BR188:BR193"/>
    <mergeCell ref="BR182:BR187"/>
    <mergeCell ref="BS182:BS187"/>
    <mergeCell ref="AV188:AV193"/>
    <mergeCell ref="AW188:AW193"/>
    <mergeCell ref="AX188:AX193"/>
    <mergeCell ref="AY188:AY193"/>
    <mergeCell ref="AZ188:AZ193"/>
    <mergeCell ref="AF188:AF193"/>
    <mergeCell ref="AG188:AG193"/>
    <mergeCell ref="AH188:AH193"/>
    <mergeCell ref="AI188:AI193"/>
    <mergeCell ref="AJ188:AJ193"/>
    <mergeCell ref="AK188:AK193"/>
    <mergeCell ref="K188:K193"/>
    <mergeCell ref="Z188:Z193"/>
    <mergeCell ref="AA188:AA193"/>
    <mergeCell ref="AB188:AB193"/>
    <mergeCell ref="AC188:AC193"/>
    <mergeCell ref="AD188:AD193"/>
    <mergeCell ref="C188:C193"/>
    <mergeCell ref="D188:D193"/>
    <mergeCell ref="E188:E193"/>
    <mergeCell ref="F188:F193"/>
    <mergeCell ref="G188:G193"/>
    <mergeCell ref="H188:H193"/>
    <mergeCell ref="J188:J193"/>
    <mergeCell ref="BT182:BT187"/>
    <mergeCell ref="BR178:BR181"/>
    <mergeCell ref="BS178:BS181"/>
    <mergeCell ref="BT178:BT181"/>
    <mergeCell ref="AZ182:AZ187"/>
    <mergeCell ref="AJ182:AJ187"/>
    <mergeCell ref="AK182:AK187"/>
    <mergeCell ref="AV182:AV187"/>
    <mergeCell ref="AW182:AW187"/>
    <mergeCell ref="AX182:AX187"/>
    <mergeCell ref="AY182:AY187"/>
    <mergeCell ref="AC182:AC187"/>
    <mergeCell ref="AD182:AD187"/>
    <mergeCell ref="AF182:AF187"/>
    <mergeCell ref="AG182:AG187"/>
    <mergeCell ref="AH182:AH187"/>
    <mergeCell ref="AI182:AI187"/>
    <mergeCell ref="J182:J187"/>
    <mergeCell ref="K182:K187"/>
    <mergeCell ref="Z182:Z187"/>
    <mergeCell ref="AA182:AA187"/>
    <mergeCell ref="AB182:AB187"/>
    <mergeCell ref="F178:F181"/>
    <mergeCell ref="G178:G181"/>
    <mergeCell ref="H178:H181"/>
    <mergeCell ref="BB182:BB187"/>
    <mergeCell ref="BC182:BC187"/>
    <mergeCell ref="C182:C187"/>
    <mergeCell ref="D182:D187"/>
    <mergeCell ref="E182:E187"/>
    <mergeCell ref="F182:F187"/>
    <mergeCell ref="G182:G187"/>
    <mergeCell ref="H182:H187"/>
    <mergeCell ref="BU178:BU181"/>
    <mergeCell ref="BV178:BV181"/>
    <mergeCell ref="BS173:BS177"/>
    <mergeCell ref="BT173:BT177"/>
    <mergeCell ref="BL178:BL181"/>
    <mergeCell ref="AZ178:AZ181"/>
    <mergeCell ref="AJ178:AJ181"/>
    <mergeCell ref="AK178:AK181"/>
    <mergeCell ref="AV178:AV181"/>
    <mergeCell ref="AW178:AW181"/>
    <mergeCell ref="AX178:AX181"/>
    <mergeCell ref="AY178:AY181"/>
    <mergeCell ref="AC178:AC181"/>
    <mergeCell ref="AD178:AD181"/>
    <mergeCell ref="AF178:AF181"/>
    <mergeCell ref="AG178:AG181"/>
    <mergeCell ref="AH178:AH181"/>
    <mergeCell ref="AI178:AI181"/>
    <mergeCell ref="J178:J181"/>
    <mergeCell ref="K178:K181"/>
    <mergeCell ref="Z178:Z181"/>
    <mergeCell ref="AA178:AA181"/>
    <mergeCell ref="AB178:AB181"/>
    <mergeCell ref="C178:C181"/>
    <mergeCell ref="D178:D181"/>
    <mergeCell ref="E178:E181"/>
    <mergeCell ref="BU173:BU177"/>
    <mergeCell ref="BV173:BV177"/>
    <mergeCell ref="BS167:BS172"/>
    <mergeCell ref="BT167:BT172"/>
    <mergeCell ref="BL173:BL177"/>
    <mergeCell ref="AZ173:AZ177"/>
    <mergeCell ref="AJ173:AJ177"/>
    <mergeCell ref="AK173:AK177"/>
    <mergeCell ref="AV173:AV177"/>
    <mergeCell ref="AW173:AW177"/>
    <mergeCell ref="AX173:AX177"/>
    <mergeCell ref="AY173:AY177"/>
    <mergeCell ref="AC173:AC177"/>
    <mergeCell ref="AD173:AD177"/>
    <mergeCell ref="AF173:AF177"/>
    <mergeCell ref="AG173:AG177"/>
    <mergeCell ref="AH173:AH177"/>
    <mergeCell ref="AI173:AI177"/>
    <mergeCell ref="AC167:AC172"/>
    <mergeCell ref="AD167:AD172"/>
    <mergeCell ref="BB173:BB177"/>
    <mergeCell ref="BC173:BC177"/>
    <mergeCell ref="BD173:BD177"/>
    <mergeCell ref="BE173:BE177"/>
    <mergeCell ref="BF173:BF177"/>
    <mergeCell ref="BG173:BG177"/>
    <mergeCell ref="BH173:BH177"/>
    <mergeCell ref="BI173:BI177"/>
    <mergeCell ref="BJ173:BJ177"/>
    <mergeCell ref="BK173:BK177"/>
    <mergeCell ref="BB167:BB172"/>
    <mergeCell ref="BC167:BC172"/>
    <mergeCell ref="J173:J177"/>
    <mergeCell ref="K173:K177"/>
    <mergeCell ref="Z173:Z177"/>
    <mergeCell ref="AA173:AA177"/>
    <mergeCell ref="AB173:AB177"/>
    <mergeCell ref="C173:C177"/>
    <mergeCell ref="D173:D177"/>
    <mergeCell ref="E173:E177"/>
    <mergeCell ref="F173:F177"/>
    <mergeCell ref="G173:G177"/>
    <mergeCell ref="H173:H177"/>
    <mergeCell ref="BL170:BL172"/>
    <mergeCell ref="BR173:BR177"/>
    <mergeCell ref="BR167:BR172"/>
    <mergeCell ref="BU167:BU172"/>
    <mergeCell ref="BV167:BV172"/>
    <mergeCell ref="BL167:BL169"/>
    <mergeCell ref="AV167:AV172"/>
    <mergeCell ref="AW167:AW172"/>
    <mergeCell ref="AX167:AX172"/>
    <mergeCell ref="AY167:AY172"/>
    <mergeCell ref="AZ167:AZ172"/>
    <mergeCell ref="AF167:AF172"/>
    <mergeCell ref="AG167:AG172"/>
    <mergeCell ref="AH167:AH172"/>
    <mergeCell ref="AI167:AI172"/>
    <mergeCell ref="AJ167:AJ172"/>
    <mergeCell ref="AK167:AK172"/>
    <mergeCell ref="K167:K172"/>
    <mergeCell ref="Z167:Z172"/>
    <mergeCell ref="AA167:AA172"/>
    <mergeCell ref="AB167:AB172"/>
    <mergeCell ref="C167:C172"/>
    <mergeCell ref="D167:D172"/>
    <mergeCell ref="E167:E172"/>
    <mergeCell ref="F167:F172"/>
    <mergeCell ref="G167:G172"/>
    <mergeCell ref="H167:H172"/>
    <mergeCell ref="J167:J172"/>
    <mergeCell ref="AZ161:AZ166"/>
    <mergeCell ref="AJ161:AJ166"/>
    <mergeCell ref="AK161:AK166"/>
    <mergeCell ref="AV161:AV166"/>
    <mergeCell ref="AW161:AW166"/>
    <mergeCell ref="AX161:AX166"/>
    <mergeCell ref="AY161:AY166"/>
    <mergeCell ref="AC161:AC166"/>
    <mergeCell ref="AD161:AD166"/>
    <mergeCell ref="AF161:AF166"/>
    <mergeCell ref="AG161:AG166"/>
    <mergeCell ref="AH161:AH166"/>
    <mergeCell ref="AI161:AI166"/>
    <mergeCell ref="J161:J166"/>
    <mergeCell ref="K161:K166"/>
    <mergeCell ref="Z161:Z166"/>
    <mergeCell ref="AA161:AA166"/>
    <mergeCell ref="AB161:AB166"/>
    <mergeCell ref="C161:C166"/>
    <mergeCell ref="D161:D166"/>
    <mergeCell ref="E161:E166"/>
    <mergeCell ref="F161:F166"/>
    <mergeCell ref="G161:G166"/>
    <mergeCell ref="H161:H166"/>
    <mergeCell ref="AZ159:AZ160"/>
    <mergeCell ref="AJ159:AJ160"/>
    <mergeCell ref="AK159:AK160"/>
    <mergeCell ref="AV159:AV160"/>
    <mergeCell ref="AW159:AW160"/>
    <mergeCell ref="AX159:AX160"/>
    <mergeCell ref="AY159:AY160"/>
    <mergeCell ref="AC159:AC160"/>
    <mergeCell ref="AD159:AD160"/>
    <mergeCell ref="AF159:AF160"/>
    <mergeCell ref="AG159:AG160"/>
    <mergeCell ref="AH159:AH160"/>
    <mergeCell ref="AI159:AI160"/>
    <mergeCell ref="J159:J160"/>
    <mergeCell ref="K159:K160"/>
    <mergeCell ref="Z159:Z160"/>
    <mergeCell ref="AA159:AA160"/>
    <mergeCell ref="AB159:AB160"/>
    <mergeCell ref="C159:C160"/>
    <mergeCell ref="D159:D160"/>
    <mergeCell ref="E159:E160"/>
    <mergeCell ref="F159:F160"/>
    <mergeCell ref="G159:G160"/>
    <mergeCell ref="H159:H160"/>
    <mergeCell ref="BL155:BL158"/>
    <mergeCell ref="AZ155:AZ158"/>
    <mergeCell ref="AJ155:AJ158"/>
    <mergeCell ref="AK155:AK158"/>
    <mergeCell ref="AV155:AV158"/>
    <mergeCell ref="AW155:AW158"/>
    <mergeCell ref="AX155:AX158"/>
    <mergeCell ref="AY155:AY158"/>
    <mergeCell ref="AC155:AC158"/>
    <mergeCell ref="AD155:AD158"/>
    <mergeCell ref="AF155:AF158"/>
    <mergeCell ref="AG155:AG158"/>
    <mergeCell ref="AH155:AH158"/>
    <mergeCell ref="AI155:AI158"/>
    <mergeCell ref="J155:J158"/>
    <mergeCell ref="K155:K158"/>
    <mergeCell ref="Z155:Z158"/>
    <mergeCell ref="AA155:AA158"/>
    <mergeCell ref="AB155:AB158"/>
    <mergeCell ref="C155:C158"/>
    <mergeCell ref="D155:D158"/>
    <mergeCell ref="E155:E158"/>
    <mergeCell ref="F155:F158"/>
    <mergeCell ref="G155:G158"/>
    <mergeCell ref="H155:H158"/>
    <mergeCell ref="BL159:BL160"/>
    <mergeCell ref="BL149:BL151"/>
    <mergeCell ref="BL152:BL154"/>
    <mergeCell ref="AZ149:AZ154"/>
    <mergeCell ref="AJ149:AJ154"/>
    <mergeCell ref="AK149:AK154"/>
    <mergeCell ref="AV149:AV154"/>
    <mergeCell ref="AW149:AW154"/>
    <mergeCell ref="AX149:AX154"/>
    <mergeCell ref="AY149:AY154"/>
    <mergeCell ref="AC149:AC154"/>
    <mergeCell ref="AD149:AD154"/>
    <mergeCell ref="AF149:AF154"/>
    <mergeCell ref="AG149:AG154"/>
    <mergeCell ref="AH149:AH154"/>
    <mergeCell ref="AI149:AI154"/>
    <mergeCell ref="J149:J154"/>
    <mergeCell ref="K149:K154"/>
    <mergeCell ref="Z149:Z154"/>
    <mergeCell ref="AA149:AA154"/>
    <mergeCell ref="AB149:AB154"/>
    <mergeCell ref="BB149:BB154"/>
    <mergeCell ref="BC149:BC154"/>
    <mergeCell ref="BD149:BD154"/>
    <mergeCell ref="BE149:BE154"/>
    <mergeCell ref="BF149:BF154"/>
    <mergeCell ref="BG149:BG154"/>
    <mergeCell ref="BH149:BH154"/>
    <mergeCell ref="BI149:BI154"/>
    <mergeCell ref="BJ149:BJ151"/>
    <mergeCell ref="BK149:BK151"/>
    <mergeCell ref="BJ152:BJ154"/>
    <mergeCell ref="BK152:BK154"/>
    <mergeCell ref="BL143:BL148"/>
    <mergeCell ref="AZ143:AZ148"/>
    <mergeCell ref="AJ143:AJ148"/>
    <mergeCell ref="AK143:AK148"/>
    <mergeCell ref="AV143:AV148"/>
    <mergeCell ref="AW143:AW148"/>
    <mergeCell ref="AX143:AX148"/>
    <mergeCell ref="AY143:AY148"/>
    <mergeCell ref="AC143:AC148"/>
    <mergeCell ref="AD143:AD148"/>
    <mergeCell ref="AF143:AF148"/>
    <mergeCell ref="AG143:AG148"/>
    <mergeCell ref="AH143:AH148"/>
    <mergeCell ref="AI143:AI148"/>
    <mergeCell ref="J143:J148"/>
    <mergeCell ref="K143:K148"/>
    <mergeCell ref="Z143:Z148"/>
    <mergeCell ref="AA143:AA148"/>
    <mergeCell ref="AB143:AB148"/>
    <mergeCell ref="BB143:BB148"/>
    <mergeCell ref="BC143:BC148"/>
    <mergeCell ref="BD143:BD148"/>
    <mergeCell ref="BE143:BE148"/>
    <mergeCell ref="BF143:BF148"/>
    <mergeCell ref="BG143:BG148"/>
    <mergeCell ref="BH143:BH148"/>
    <mergeCell ref="BI143:BI148"/>
    <mergeCell ref="BJ143:BJ148"/>
    <mergeCell ref="BK143:BK148"/>
    <mergeCell ref="AZ138:AZ142"/>
    <mergeCell ref="AJ138:AJ139"/>
    <mergeCell ref="AK138:AK139"/>
    <mergeCell ref="AV138:AV142"/>
    <mergeCell ref="AW138:AW142"/>
    <mergeCell ref="AX138:AX142"/>
    <mergeCell ref="AY138:AY142"/>
    <mergeCell ref="AC138:AC142"/>
    <mergeCell ref="AD138:AD142"/>
    <mergeCell ref="AF138:AF139"/>
    <mergeCell ref="AG138:AG139"/>
    <mergeCell ref="AH138:AH139"/>
    <mergeCell ref="AI138:AI139"/>
    <mergeCell ref="C149:C154"/>
    <mergeCell ref="D149:D154"/>
    <mergeCell ref="E149:E154"/>
    <mergeCell ref="F149:F154"/>
    <mergeCell ref="G149:G154"/>
    <mergeCell ref="H149:H154"/>
    <mergeCell ref="C143:C148"/>
    <mergeCell ref="D143:D148"/>
    <mergeCell ref="E143:E148"/>
    <mergeCell ref="F143:F148"/>
    <mergeCell ref="G143:G148"/>
    <mergeCell ref="H143:H148"/>
    <mergeCell ref="J138:J142"/>
    <mergeCell ref="K138:K142"/>
    <mergeCell ref="Z138:Z142"/>
    <mergeCell ref="AA138:AA142"/>
    <mergeCell ref="AB138:AB142"/>
    <mergeCell ref="C138:C142"/>
    <mergeCell ref="D138:D142"/>
    <mergeCell ref="E138:E142"/>
    <mergeCell ref="F138:F142"/>
    <mergeCell ref="G138:G142"/>
    <mergeCell ref="H138:H142"/>
    <mergeCell ref="AL134:AL135"/>
    <mergeCell ref="AM134:AM135"/>
    <mergeCell ref="AN134:AN135"/>
    <mergeCell ref="AO134:AO135"/>
    <mergeCell ref="AP134:AP135"/>
    <mergeCell ref="BL134:BL137"/>
    <mergeCell ref="AL136:AL137"/>
    <mergeCell ref="AA132:AA137"/>
    <mergeCell ref="AB132:AB137"/>
    <mergeCell ref="AC132:AC137"/>
    <mergeCell ref="AD132:AD137"/>
    <mergeCell ref="AF132:AF137"/>
    <mergeCell ref="AG132:AG137"/>
    <mergeCell ref="AF140:AF142"/>
    <mergeCell ref="AG140:AG142"/>
    <mergeCell ref="AH140:AH142"/>
    <mergeCell ref="AI140:AI142"/>
    <mergeCell ref="AJ140:AJ142"/>
    <mergeCell ref="AK140:AK142"/>
    <mergeCell ref="BL138:BL139"/>
    <mergeCell ref="BL140:BL142"/>
    <mergeCell ref="BL132:BL133"/>
    <mergeCell ref="AY132:AY137"/>
    <mergeCell ref="AZ132:AZ137"/>
    <mergeCell ref="AN132:AN133"/>
    <mergeCell ref="AO132:AO133"/>
    <mergeCell ref="AP132:AP133"/>
    <mergeCell ref="AV132:AV137"/>
    <mergeCell ref="AW132:AW137"/>
    <mergeCell ref="AX132:AX137"/>
    <mergeCell ref="AN136:AN137"/>
    <mergeCell ref="AO136:AO137"/>
    <mergeCell ref="AP136:AP137"/>
    <mergeCell ref="AH132:AH137"/>
    <mergeCell ref="AI132:AI137"/>
    <mergeCell ref="AJ132:AJ137"/>
    <mergeCell ref="AK132:AK137"/>
    <mergeCell ref="AL132:AL133"/>
    <mergeCell ref="AM132:AM133"/>
    <mergeCell ref="AM136:AM137"/>
    <mergeCell ref="CH129:CH131"/>
    <mergeCell ref="C132:C137"/>
    <mergeCell ref="D132:D137"/>
    <mergeCell ref="E132:E137"/>
    <mergeCell ref="F132:F137"/>
    <mergeCell ref="G132:G137"/>
    <mergeCell ref="H132:H137"/>
    <mergeCell ref="J132:J137"/>
    <mergeCell ref="Z132:Z137"/>
    <mergeCell ref="CB129:CB131"/>
    <mergeCell ref="CC129:CC131"/>
    <mergeCell ref="CD129:CD131"/>
    <mergeCell ref="CE129:CE131"/>
    <mergeCell ref="CF129:CF131"/>
    <mergeCell ref="CG129:CG131"/>
    <mergeCell ref="BV129:BV131"/>
    <mergeCell ref="BW129:BW131"/>
    <mergeCell ref="BX129:BX131"/>
    <mergeCell ref="BY129:BY131"/>
    <mergeCell ref="BZ129:BZ131"/>
    <mergeCell ref="CA129:CA131"/>
    <mergeCell ref="BK129:BK131"/>
    <mergeCell ref="BL129:BL131"/>
    <mergeCell ref="BR129:BR131"/>
    <mergeCell ref="BS129:BS131"/>
    <mergeCell ref="BT129:BT131"/>
    <mergeCell ref="BU129:BU131"/>
    <mergeCell ref="BE129:BE131"/>
    <mergeCell ref="BF129:BF131"/>
    <mergeCell ref="BG129:BG131"/>
    <mergeCell ref="BH129:BH131"/>
    <mergeCell ref="BI129:BI131"/>
    <mergeCell ref="BJ129:BJ131"/>
    <mergeCell ref="AX129:AX131"/>
    <mergeCell ref="AY129:AY131"/>
    <mergeCell ref="AZ129:AZ131"/>
    <mergeCell ref="BB129:BB131"/>
    <mergeCell ref="BC129:BC131"/>
    <mergeCell ref="BD129:BD131"/>
    <mergeCell ref="AM129:AM131"/>
    <mergeCell ref="AN129:AN131"/>
    <mergeCell ref="AO129:AO131"/>
    <mergeCell ref="AP129:AP131"/>
    <mergeCell ref="AV129:AV131"/>
    <mergeCell ref="AW129:AW131"/>
    <mergeCell ref="AG129:AG131"/>
    <mergeCell ref="AH129:AH131"/>
    <mergeCell ref="AI129:AI131"/>
    <mergeCell ref="AJ129:AJ131"/>
    <mergeCell ref="AK129:AK131"/>
    <mergeCell ref="AL129:AL131"/>
    <mergeCell ref="CH126:CH128"/>
    <mergeCell ref="C129:C131"/>
    <mergeCell ref="E129:E131"/>
    <mergeCell ref="J129:J131"/>
    <mergeCell ref="Z129:Z131"/>
    <mergeCell ref="AA129:AA131"/>
    <mergeCell ref="AB129:AB131"/>
    <mergeCell ref="AC129:AC131"/>
    <mergeCell ref="AD129:AD131"/>
    <mergeCell ref="AF129:AF131"/>
    <mergeCell ref="CB126:CB128"/>
    <mergeCell ref="CC126:CC128"/>
    <mergeCell ref="CD126:CD128"/>
    <mergeCell ref="CE126:CE128"/>
    <mergeCell ref="CF126:CF128"/>
    <mergeCell ref="CG126:CG128"/>
    <mergeCell ref="BV126:BV128"/>
    <mergeCell ref="BW126:BW128"/>
    <mergeCell ref="BX126:BX128"/>
    <mergeCell ref="BY126:BY128"/>
    <mergeCell ref="BZ126:BZ128"/>
    <mergeCell ref="CA126:CA128"/>
    <mergeCell ref="BK126:BK128"/>
    <mergeCell ref="BL126:BL128"/>
    <mergeCell ref="BR126:BR128"/>
    <mergeCell ref="BS126:BS128"/>
    <mergeCell ref="BT126:BT128"/>
    <mergeCell ref="BU126:BU128"/>
    <mergeCell ref="BE126:BE128"/>
    <mergeCell ref="BF126:BF128"/>
    <mergeCell ref="BG126:BG128"/>
    <mergeCell ref="BH126:BH128"/>
    <mergeCell ref="BI126:BI128"/>
    <mergeCell ref="BJ126:BJ128"/>
    <mergeCell ref="AX126:AX128"/>
    <mergeCell ref="AY126:AY128"/>
    <mergeCell ref="AZ126:AZ128"/>
    <mergeCell ref="BB126:BB128"/>
    <mergeCell ref="BC126:BC128"/>
    <mergeCell ref="BD126:BD128"/>
    <mergeCell ref="AM126:AM128"/>
    <mergeCell ref="AN126:AN128"/>
    <mergeCell ref="AO126:AO128"/>
    <mergeCell ref="AP126:AP128"/>
    <mergeCell ref="AV126:AV128"/>
    <mergeCell ref="AW126:AW128"/>
    <mergeCell ref="AG126:AG128"/>
    <mergeCell ref="AH126:AH128"/>
    <mergeCell ref="AI126:AI128"/>
    <mergeCell ref="AJ126:AJ128"/>
    <mergeCell ref="AK126:AK128"/>
    <mergeCell ref="AL126:AL128"/>
    <mergeCell ref="CH123:CH125"/>
    <mergeCell ref="C126:C128"/>
    <mergeCell ref="E126:E128"/>
    <mergeCell ref="J126:J128"/>
    <mergeCell ref="Z126:Z128"/>
    <mergeCell ref="AA126:AA128"/>
    <mergeCell ref="AB126:AB128"/>
    <mergeCell ref="AC126:AC128"/>
    <mergeCell ref="AD126:AD128"/>
    <mergeCell ref="AF126:AF128"/>
    <mergeCell ref="CB123:CB125"/>
    <mergeCell ref="CC123:CC125"/>
    <mergeCell ref="CD123:CD125"/>
    <mergeCell ref="CE123:CE125"/>
    <mergeCell ref="CF123:CF125"/>
    <mergeCell ref="CG123:CG125"/>
    <mergeCell ref="BV123:BV125"/>
    <mergeCell ref="BW123:BW125"/>
    <mergeCell ref="BX123:BX125"/>
    <mergeCell ref="BY123:BY125"/>
    <mergeCell ref="CA123:CA125"/>
    <mergeCell ref="BK123:BK125"/>
    <mergeCell ref="BL123:BL125"/>
    <mergeCell ref="BR123:BR125"/>
    <mergeCell ref="BS123:BS125"/>
    <mergeCell ref="BT123:BT125"/>
    <mergeCell ref="BU123:BU125"/>
    <mergeCell ref="BE123:BE125"/>
    <mergeCell ref="BF123:BF125"/>
    <mergeCell ref="BG123:BG125"/>
    <mergeCell ref="BH123:BH125"/>
    <mergeCell ref="BI123:BI125"/>
    <mergeCell ref="BJ123:BJ125"/>
    <mergeCell ref="AX123:AX125"/>
    <mergeCell ref="AY123:AY125"/>
    <mergeCell ref="AZ123:AZ125"/>
    <mergeCell ref="BB123:BB125"/>
    <mergeCell ref="BC123:BC125"/>
    <mergeCell ref="BD123:BD125"/>
    <mergeCell ref="AM123:AM125"/>
    <mergeCell ref="AN123:AN125"/>
    <mergeCell ref="AO123:AO125"/>
    <mergeCell ref="AP123:AP125"/>
    <mergeCell ref="AV123:AV125"/>
    <mergeCell ref="AW123:AW125"/>
    <mergeCell ref="AG123:AG125"/>
    <mergeCell ref="AH123:AH125"/>
    <mergeCell ref="AI123:AI125"/>
    <mergeCell ref="AJ123:AJ125"/>
    <mergeCell ref="AK123:AK125"/>
    <mergeCell ref="AL123:AL125"/>
    <mergeCell ref="CH120:CH122"/>
    <mergeCell ref="C123:C125"/>
    <mergeCell ref="E123:E125"/>
    <mergeCell ref="J123:J125"/>
    <mergeCell ref="Z123:Z125"/>
    <mergeCell ref="AA123:AA125"/>
    <mergeCell ref="AB123:AB125"/>
    <mergeCell ref="AC123:AC125"/>
    <mergeCell ref="AD123:AD125"/>
    <mergeCell ref="AF123:AF125"/>
    <mergeCell ref="CB120:CB122"/>
    <mergeCell ref="CC120:CC122"/>
    <mergeCell ref="CD120:CD122"/>
    <mergeCell ref="CE120:CE122"/>
    <mergeCell ref="CF120:CF122"/>
    <mergeCell ref="CG120:CG122"/>
    <mergeCell ref="BV120:BV122"/>
    <mergeCell ref="BW120:BW122"/>
    <mergeCell ref="BX120:BX122"/>
    <mergeCell ref="BY120:BY122"/>
    <mergeCell ref="BK120:BK122"/>
    <mergeCell ref="BL120:BL122"/>
    <mergeCell ref="BR120:BR122"/>
    <mergeCell ref="BS120:BS122"/>
    <mergeCell ref="BT120:BT122"/>
    <mergeCell ref="BU120:BU122"/>
    <mergeCell ref="BE120:BE122"/>
    <mergeCell ref="BF120:BF122"/>
    <mergeCell ref="BG120:BG122"/>
    <mergeCell ref="BH120:BH122"/>
    <mergeCell ref="BI120:BI122"/>
    <mergeCell ref="BJ120:BJ122"/>
    <mergeCell ref="AX120:AX122"/>
    <mergeCell ref="AY120:AY122"/>
    <mergeCell ref="AZ120:AZ122"/>
    <mergeCell ref="BB120:BB122"/>
    <mergeCell ref="BC120:BC122"/>
    <mergeCell ref="BD120:BD122"/>
    <mergeCell ref="AM120:AM122"/>
    <mergeCell ref="AN120:AN122"/>
    <mergeCell ref="AO120:AO122"/>
    <mergeCell ref="AP120:AP122"/>
    <mergeCell ref="AV120:AV122"/>
    <mergeCell ref="AW120:AW122"/>
    <mergeCell ref="AG120:AG122"/>
    <mergeCell ref="AH120:AH122"/>
    <mergeCell ref="AI120:AI122"/>
    <mergeCell ref="AJ120:AJ122"/>
    <mergeCell ref="AK120:AK122"/>
    <mergeCell ref="AL120:AL122"/>
    <mergeCell ref="CH117:CH119"/>
    <mergeCell ref="C120:C122"/>
    <mergeCell ref="E120:E122"/>
    <mergeCell ref="J120:J122"/>
    <mergeCell ref="Z120:Z122"/>
    <mergeCell ref="AA120:AA122"/>
    <mergeCell ref="AB120:AB122"/>
    <mergeCell ref="AC120:AC122"/>
    <mergeCell ref="AD120:AD122"/>
    <mergeCell ref="AF120:AF122"/>
    <mergeCell ref="CB117:CB119"/>
    <mergeCell ref="CC117:CC119"/>
    <mergeCell ref="CD117:CD119"/>
    <mergeCell ref="CE117:CE119"/>
    <mergeCell ref="CF117:CF119"/>
    <mergeCell ref="CG117:CG119"/>
    <mergeCell ref="BV117:BV119"/>
    <mergeCell ref="BW117:BW119"/>
    <mergeCell ref="BX117:BX119"/>
    <mergeCell ref="BY117:BY119"/>
    <mergeCell ref="BK117:BK119"/>
    <mergeCell ref="BL117:BL119"/>
    <mergeCell ref="BR117:BR119"/>
    <mergeCell ref="BS117:BS119"/>
    <mergeCell ref="BT117:BT119"/>
    <mergeCell ref="BU117:BU119"/>
    <mergeCell ref="BE117:BE119"/>
    <mergeCell ref="BF117:BF119"/>
    <mergeCell ref="BG117:BG119"/>
    <mergeCell ref="BH117:BH119"/>
    <mergeCell ref="BI117:BI119"/>
    <mergeCell ref="BJ117:BJ119"/>
    <mergeCell ref="AX117:AX119"/>
    <mergeCell ref="AY117:AY119"/>
    <mergeCell ref="AZ117:AZ119"/>
    <mergeCell ref="BB117:BB119"/>
    <mergeCell ref="BC117:BC119"/>
    <mergeCell ref="BD117:BD119"/>
    <mergeCell ref="AM117:AM119"/>
    <mergeCell ref="AN117:AN119"/>
    <mergeCell ref="AO117:AO119"/>
    <mergeCell ref="AP117:AP119"/>
    <mergeCell ref="AV117:AV119"/>
    <mergeCell ref="AW117:AW119"/>
    <mergeCell ref="AG117:AG119"/>
    <mergeCell ref="AH117:AH119"/>
    <mergeCell ref="AI117:AI119"/>
    <mergeCell ref="AJ117:AJ119"/>
    <mergeCell ref="AK117:AK119"/>
    <mergeCell ref="AL117:AL119"/>
    <mergeCell ref="CH114:CH116"/>
    <mergeCell ref="C117:C119"/>
    <mergeCell ref="E117:E119"/>
    <mergeCell ref="J117:J119"/>
    <mergeCell ref="Z117:Z119"/>
    <mergeCell ref="AA117:AA119"/>
    <mergeCell ref="AB117:AB119"/>
    <mergeCell ref="AC117:AC119"/>
    <mergeCell ref="AD117:AD119"/>
    <mergeCell ref="AF117:AF119"/>
    <mergeCell ref="CB114:CB116"/>
    <mergeCell ref="CC114:CC116"/>
    <mergeCell ref="CD114:CD116"/>
    <mergeCell ref="CE114:CE116"/>
    <mergeCell ref="CF114:CF116"/>
    <mergeCell ref="CG114:CG116"/>
    <mergeCell ref="BV114:BV116"/>
    <mergeCell ref="BW114:BW116"/>
    <mergeCell ref="BX114:BX116"/>
    <mergeCell ref="BY114:BY116"/>
    <mergeCell ref="BK114:BK116"/>
    <mergeCell ref="BL114:BL116"/>
    <mergeCell ref="BR114:BR116"/>
    <mergeCell ref="BS114:BS116"/>
    <mergeCell ref="BT114:BT116"/>
    <mergeCell ref="BU114:BU116"/>
    <mergeCell ref="BE114:BE116"/>
    <mergeCell ref="BF114:BF116"/>
    <mergeCell ref="BG114:BG116"/>
    <mergeCell ref="BH114:BH116"/>
    <mergeCell ref="BI114:BI116"/>
    <mergeCell ref="BJ114:BJ116"/>
    <mergeCell ref="AX114:AX116"/>
    <mergeCell ref="AY114:AY116"/>
    <mergeCell ref="AZ114:AZ116"/>
    <mergeCell ref="BB114:BB116"/>
    <mergeCell ref="BC114:BC116"/>
    <mergeCell ref="BD114:BD116"/>
    <mergeCell ref="AM114:AM116"/>
    <mergeCell ref="AN114:AN116"/>
    <mergeCell ref="AO114:AO116"/>
    <mergeCell ref="AP114:AP116"/>
    <mergeCell ref="AV114:AV116"/>
    <mergeCell ref="AW114:AW116"/>
    <mergeCell ref="AG114:AG116"/>
    <mergeCell ref="AH114:AH116"/>
    <mergeCell ref="AI114:AI116"/>
    <mergeCell ref="AJ114:AJ116"/>
    <mergeCell ref="AK114:AK116"/>
    <mergeCell ref="AL114:AL116"/>
    <mergeCell ref="CH111:CH113"/>
    <mergeCell ref="C114:C116"/>
    <mergeCell ref="E114:E116"/>
    <mergeCell ref="J114:J116"/>
    <mergeCell ref="Z114:Z116"/>
    <mergeCell ref="AA114:AA116"/>
    <mergeCell ref="AB114:AB116"/>
    <mergeCell ref="AC114:AC116"/>
    <mergeCell ref="AD114:AD116"/>
    <mergeCell ref="AF114:AF116"/>
    <mergeCell ref="CB111:CB113"/>
    <mergeCell ref="CC111:CC113"/>
    <mergeCell ref="CD111:CD113"/>
    <mergeCell ref="CE111:CE113"/>
    <mergeCell ref="CF111:CF113"/>
    <mergeCell ref="CG111:CG113"/>
    <mergeCell ref="BV111:BV113"/>
    <mergeCell ref="BW111:BW113"/>
    <mergeCell ref="BX111:BX113"/>
    <mergeCell ref="BY111:BY113"/>
    <mergeCell ref="BK111:BK113"/>
    <mergeCell ref="BL111:BL113"/>
    <mergeCell ref="BR111:BR113"/>
    <mergeCell ref="BS111:BS113"/>
    <mergeCell ref="BT111:BT113"/>
    <mergeCell ref="BU111:BU113"/>
    <mergeCell ref="BE111:BE113"/>
    <mergeCell ref="BF111:BF113"/>
    <mergeCell ref="BG111:BG113"/>
    <mergeCell ref="BH111:BH113"/>
    <mergeCell ref="BI111:BI113"/>
    <mergeCell ref="BJ111:BJ113"/>
    <mergeCell ref="AX111:AX113"/>
    <mergeCell ref="AY111:AY113"/>
    <mergeCell ref="AZ111:AZ113"/>
    <mergeCell ref="BB111:BB113"/>
    <mergeCell ref="BC111:BC113"/>
    <mergeCell ref="BD111:BD113"/>
    <mergeCell ref="AM111:AM113"/>
    <mergeCell ref="AN111:AN113"/>
    <mergeCell ref="AO111:AO113"/>
    <mergeCell ref="AP111:AP113"/>
    <mergeCell ref="AV111:AV113"/>
    <mergeCell ref="AW111:AW113"/>
    <mergeCell ref="AG111:AG113"/>
    <mergeCell ref="AH111:AH113"/>
    <mergeCell ref="AI111:AI113"/>
    <mergeCell ref="AJ111:AJ113"/>
    <mergeCell ref="AK111:AK113"/>
    <mergeCell ref="AL111:AL113"/>
    <mergeCell ref="CH108:CH110"/>
    <mergeCell ref="C111:C113"/>
    <mergeCell ref="E111:E113"/>
    <mergeCell ref="J111:J113"/>
    <mergeCell ref="Z111:Z113"/>
    <mergeCell ref="AA111:AA113"/>
    <mergeCell ref="AB111:AB113"/>
    <mergeCell ref="AC111:AC113"/>
    <mergeCell ref="AD111:AD113"/>
    <mergeCell ref="AF111:AF113"/>
    <mergeCell ref="CB108:CB110"/>
    <mergeCell ref="CC108:CC110"/>
    <mergeCell ref="CD108:CD110"/>
    <mergeCell ref="CE108:CE110"/>
    <mergeCell ref="CF108:CF110"/>
    <mergeCell ref="CG108:CG110"/>
    <mergeCell ref="BV108:BV110"/>
    <mergeCell ref="BW108:BW110"/>
    <mergeCell ref="BX108:BX110"/>
    <mergeCell ref="BY108:BY110"/>
    <mergeCell ref="BK108:BK110"/>
    <mergeCell ref="BL108:BL110"/>
    <mergeCell ref="BR108:BR110"/>
    <mergeCell ref="BS108:BS110"/>
    <mergeCell ref="BT108:BT110"/>
    <mergeCell ref="BU108:BU110"/>
    <mergeCell ref="BE108:BE110"/>
    <mergeCell ref="BF108:BF110"/>
    <mergeCell ref="BG108:BG110"/>
    <mergeCell ref="BH108:BH110"/>
    <mergeCell ref="BI108:BI110"/>
    <mergeCell ref="BJ108:BJ110"/>
    <mergeCell ref="AX108:AX110"/>
    <mergeCell ref="AY108:AY110"/>
    <mergeCell ref="AZ108:AZ110"/>
    <mergeCell ref="BB108:BB110"/>
    <mergeCell ref="BC108:BC110"/>
    <mergeCell ref="BD108:BD110"/>
    <mergeCell ref="AM108:AM110"/>
    <mergeCell ref="AN108:AN110"/>
    <mergeCell ref="AO108:AO110"/>
    <mergeCell ref="AP108:AP110"/>
    <mergeCell ref="AV108:AV110"/>
    <mergeCell ref="AW108:AW110"/>
    <mergeCell ref="AG108:AG110"/>
    <mergeCell ref="AH108:AH110"/>
    <mergeCell ref="AI108:AI110"/>
    <mergeCell ref="AJ108:AJ110"/>
    <mergeCell ref="AK108:AK110"/>
    <mergeCell ref="AL108:AL110"/>
    <mergeCell ref="CH105:CH107"/>
    <mergeCell ref="C108:C110"/>
    <mergeCell ref="E108:E110"/>
    <mergeCell ref="J108:J110"/>
    <mergeCell ref="Z108:Z110"/>
    <mergeCell ref="AA108:AA110"/>
    <mergeCell ref="AB108:AB110"/>
    <mergeCell ref="AC108:AC110"/>
    <mergeCell ref="AD108:AD110"/>
    <mergeCell ref="AF108:AF110"/>
    <mergeCell ref="CB105:CB107"/>
    <mergeCell ref="CC105:CC107"/>
    <mergeCell ref="CD105:CD107"/>
    <mergeCell ref="CE105:CE107"/>
    <mergeCell ref="CF105:CF107"/>
    <mergeCell ref="CG105:CG107"/>
    <mergeCell ref="BV105:BV107"/>
    <mergeCell ref="BW105:BW107"/>
    <mergeCell ref="BX105:BX107"/>
    <mergeCell ref="BY105:BY107"/>
    <mergeCell ref="BL105:BL107"/>
    <mergeCell ref="BR105:BR107"/>
    <mergeCell ref="BS105:BS107"/>
    <mergeCell ref="BT105:BT107"/>
    <mergeCell ref="BU105:BU107"/>
    <mergeCell ref="BE105:BE107"/>
    <mergeCell ref="BF105:BF107"/>
    <mergeCell ref="BG105:BG107"/>
    <mergeCell ref="BH105:BH107"/>
    <mergeCell ref="BI105:BI107"/>
    <mergeCell ref="BJ105:BJ107"/>
    <mergeCell ref="AX105:AX107"/>
    <mergeCell ref="AY105:AY107"/>
    <mergeCell ref="AZ105:AZ107"/>
    <mergeCell ref="BB105:BB107"/>
    <mergeCell ref="BC105:BC107"/>
    <mergeCell ref="BD105:BD107"/>
    <mergeCell ref="AM105:AM107"/>
    <mergeCell ref="AN105:AN107"/>
    <mergeCell ref="AO105:AO107"/>
    <mergeCell ref="AP105:AP107"/>
    <mergeCell ref="AV105:AV107"/>
    <mergeCell ref="AW105:AW107"/>
    <mergeCell ref="AG105:AG107"/>
    <mergeCell ref="AH105:AH107"/>
    <mergeCell ref="AI105:AI107"/>
    <mergeCell ref="AJ105:AJ107"/>
    <mergeCell ref="AK105:AK107"/>
    <mergeCell ref="AL105:AL107"/>
    <mergeCell ref="CH102:CH104"/>
    <mergeCell ref="C105:C107"/>
    <mergeCell ref="E105:E107"/>
    <mergeCell ref="J105:J107"/>
    <mergeCell ref="Z105:Z107"/>
    <mergeCell ref="AA105:AA107"/>
    <mergeCell ref="AB105:AB107"/>
    <mergeCell ref="AC105:AC107"/>
    <mergeCell ref="AD105:AD107"/>
    <mergeCell ref="AF105:AF107"/>
    <mergeCell ref="CB102:CB104"/>
    <mergeCell ref="CC102:CC104"/>
    <mergeCell ref="CD102:CD104"/>
    <mergeCell ref="CE102:CE104"/>
    <mergeCell ref="CF102:CF104"/>
    <mergeCell ref="CG102:CG104"/>
    <mergeCell ref="BV102:BV104"/>
    <mergeCell ref="BW102:BW104"/>
    <mergeCell ref="BX102:BX104"/>
    <mergeCell ref="BY102:BY104"/>
    <mergeCell ref="C102:C104"/>
    <mergeCell ref="E102:E104"/>
    <mergeCell ref="J102:J104"/>
    <mergeCell ref="Z102:Z104"/>
    <mergeCell ref="AA102:AA104"/>
    <mergeCell ref="AB102:AB104"/>
    <mergeCell ref="AC102:AC104"/>
    <mergeCell ref="AD102:AD104"/>
    <mergeCell ref="CA100:CA101"/>
    <mergeCell ref="CB100:CB101"/>
    <mergeCell ref="CC100:CC101"/>
    <mergeCell ref="CD100:CD101"/>
    <mergeCell ref="CE100:CE101"/>
    <mergeCell ref="CF100:CF101"/>
    <mergeCell ref="BU100:BU101"/>
    <mergeCell ref="BV100:BV101"/>
    <mergeCell ref="BW100:BW101"/>
    <mergeCell ref="BX100:BX101"/>
    <mergeCell ref="BY100:BY101"/>
    <mergeCell ref="BZ102:BZ104"/>
    <mergeCell ref="CA102:CA104"/>
    <mergeCell ref="BJ102:BJ104"/>
    <mergeCell ref="BK102:BK104"/>
    <mergeCell ref="BL102:BL104"/>
    <mergeCell ref="BS102:BS104"/>
    <mergeCell ref="BT102:BT104"/>
    <mergeCell ref="BU102:BU104"/>
    <mergeCell ref="BD102:BD104"/>
    <mergeCell ref="BE102:BE104"/>
    <mergeCell ref="BF102:BF104"/>
    <mergeCell ref="BG102:BG104"/>
    <mergeCell ref="BI102:BI104"/>
    <mergeCell ref="AV100:AV101"/>
    <mergeCell ref="AW100:AW101"/>
    <mergeCell ref="AX100:AX101"/>
    <mergeCell ref="AY100:AY101"/>
    <mergeCell ref="AZ100:AZ101"/>
    <mergeCell ref="BB100:BB101"/>
    <mergeCell ref="AL102:AL104"/>
    <mergeCell ref="AM102:AM104"/>
    <mergeCell ref="AN102:AN104"/>
    <mergeCell ref="AO102:AO104"/>
    <mergeCell ref="AP102:AP104"/>
    <mergeCell ref="AV102:AV104"/>
    <mergeCell ref="AF102:AF104"/>
    <mergeCell ref="AG102:AG104"/>
    <mergeCell ref="AH102:AH104"/>
    <mergeCell ref="AI102:AI104"/>
    <mergeCell ref="AJ102:AJ104"/>
    <mergeCell ref="AK102:AK104"/>
    <mergeCell ref="AW102:AW104"/>
    <mergeCell ref="AX102:AX104"/>
    <mergeCell ref="AY102:AY104"/>
    <mergeCell ref="AZ102:AZ104"/>
    <mergeCell ref="BB102:BB104"/>
    <mergeCell ref="CH96:CH99"/>
    <mergeCell ref="C100:C101"/>
    <mergeCell ref="E100:E101"/>
    <mergeCell ref="J100:J101"/>
    <mergeCell ref="Z100:Z101"/>
    <mergeCell ref="AA100:AA101"/>
    <mergeCell ref="AB100:AB101"/>
    <mergeCell ref="AC100:AC101"/>
    <mergeCell ref="BZ96:BZ99"/>
    <mergeCell ref="CA96:CA99"/>
    <mergeCell ref="CB96:CB99"/>
    <mergeCell ref="CC96:CC99"/>
    <mergeCell ref="CD96:CD99"/>
    <mergeCell ref="CE96:CE99"/>
    <mergeCell ref="BT96:BT99"/>
    <mergeCell ref="BU96:BU99"/>
    <mergeCell ref="BV96:BV99"/>
    <mergeCell ref="BW96:BW99"/>
    <mergeCell ref="BX96:BX99"/>
    <mergeCell ref="BY96:BY99"/>
    <mergeCell ref="BZ100:BZ101"/>
    <mergeCell ref="BI100:BI101"/>
    <mergeCell ref="BJ100:BJ101"/>
    <mergeCell ref="BK100:BK101"/>
    <mergeCell ref="BL100:BL101"/>
    <mergeCell ref="BS100:BS101"/>
    <mergeCell ref="BT100:BT101"/>
    <mergeCell ref="BC100:BC101"/>
    <mergeCell ref="BD100:BD101"/>
    <mergeCell ref="BE100:BE101"/>
    <mergeCell ref="BF100:BF101"/>
    <mergeCell ref="CH100:CH101"/>
    <mergeCell ref="AK100:AK101"/>
    <mergeCell ref="AL100:AL101"/>
    <mergeCell ref="AM100:AM101"/>
    <mergeCell ref="AN100:AN101"/>
    <mergeCell ref="AO100:AO101"/>
    <mergeCell ref="AP100:AP101"/>
    <mergeCell ref="AD100:AD101"/>
    <mergeCell ref="AF100:AF101"/>
    <mergeCell ref="AG100:AG101"/>
    <mergeCell ref="AH100:AH101"/>
    <mergeCell ref="AI100:AI101"/>
    <mergeCell ref="AJ100:AJ101"/>
    <mergeCell ref="AK96:AK99"/>
    <mergeCell ref="AL96:AL99"/>
    <mergeCell ref="AM96:AM99"/>
    <mergeCell ref="AN96:AN99"/>
    <mergeCell ref="AO96:AO99"/>
    <mergeCell ref="AP96:AP99"/>
    <mergeCell ref="AD96:AD99"/>
    <mergeCell ref="AF96:AF99"/>
    <mergeCell ref="AG96:AG99"/>
    <mergeCell ref="AH96:AH99"/>
    <mergeCell ref="AI96:AI99"/>
    <mergeCell ref="AJ96:AJ99"/>
    <mergeCell ref="CH93:CH95"/>
    <mergeCell ref="C96:C99"/>
    <mergeCell ref="E96:E99"/>
    <mergeCell ref="J96:J99"/>
    <mergeCell ref="Z96:Z99"/>
    <mergeCell ref="AA96:AA99"/>
    <mergeCell ref="AB96:AB99"/>
    <mergeCell ref="AC96:AC99"/>
    <mergeCell ref="BZ93:BZ95"/>
    <mergeCell ref="CA93:CA95"/>
    <mergeCell ref="CB93:CB95"/>
    <mergeCell ref="CC93:CC95"/>
    <mergeCell ref="CD93:CD95"/>
    <mergeCell ref="CE93:CE95"/>
    <mergeCell ref="BT93:BT95"/>
    <mergeCell ref="BU93:BU95"/>
    <mergeCell ref="BV93:BV95"/>
    <mergeCell ref="BW93:BW95"/>
    <mergeCell ref="BX93:BX95"/>
    <mergeCell ref="BY93:BY95"/>
    <mergeCell ref="BH93:BH95"/>
    <mergeCell ref="BI93:BI95"/>
    <mergeCell ref="BJ93:BJ95"/>
    <mergeCell ref="BK93:BK95"/>
    <mergeCell ref="BL93:BL95"/>
    <mergeCell ref="BS93:BS95"/>
    <mergeCell ref="BB93:BB95"/>
    <mergeCell ref="BC93:BC95"/>
    <mergeCell ref="BD93:BD95"/>
    <mergeCell ref="BE93:BE95"/>
    <mergeCell ref="BG96:BG99"/>
    <mergeCell ref="BH96:BH99"/>
    <mergeCell ref="AP93:AP95"/>
    <mergeCell ref="AV93:AV95"/>
    <mergeCell ref="AW93:AW95"/>
    <mergeCell ref="AX93:AX95"/>
    <mergeCell ref="AY93:AY95"/>
    <mergeCell ref="AZ93:AZ95"/>
    <mergeCell ref="BI96:BI99"/>
    <mergeCell ref="BJ96:BJ99"/>
    <mergeCell ref="BK96:BK99"/>
    <mergeCell ref="BL96:BL99"/>
    <mergeCell ref="BR96:BR99"/>
    <mergeCell ref="BS96:BS99"/>
    <mergeCell ref="BC96:BC99"/>
    <mergeCell ref="BD96:BD99"/>
    <mergeCell ref="BE96:BE99"/>
    <mergeCell ref="BF96:BF99"/>
    <mergeCell ref="AJ93:AJ95"/>
    <mergeCell ref="AK93:AK95"/>
    <mergeCell ref="AL93:AL95"/>
    <mergeCell ref="AM93:AM95"/>
    <mergeCell ref="AN93:AN95"/>
    <mergeCell ref="AO93:AO95"/>
    <mergeCell ref="AV96:AV99"/>
    <mergeCell ref="AW96:AW99"/>
    <mergeCell ref="AX96:AX99"/>
    <mergeCell ref="AY96:AY99"/>
    <mergeCell ref="AZ96:AZ99"/>
    <mergeCell ref="BB96:BB99"/>
    <mergeCell ref="BF93:BF95"/>
    <mergeCell ref="BG93:BG95"/>
    <mergeCell ref="AC93:AC95"/>
    <mergeCell ref="AD93:AD95"/>
    <mergeCell ref="AF93:AF95"/>
    <mergeCell ref="AG93:AG95"/>
    <mergeCell ref="AH93:AH95"/>
    <mergeCell ref="AI93:AI95"/>
    <mergeCell ref="C93:C95"/>
    <mergeCell ref="E93:E95"/>
    <mergeCell ref="J93:J95"/>
    <mergeCell ref="Z93:Z95"/>
    <mergeCell ref="AA93:AA95"/>
    <mergeCell ref="AB93:AB95"/>
    <mergeCell ref="AM90:AM92"/>
    <mergeCell ref="AN90:AN92"/>
    <mergeCell ref="AO90:AO92"/>
    <mergeCell ref="AP90:AP92"/>
    <mergeCell ref="AV90:AV92"/>
    <mergeCell ref="AG90:AG92"/>
    <mergeCell ref="AH90:AH92"/>
    <mergeCell ref="AI90:AI92"/>
    <mergeCell ref="AJ90:AJ92"/>
    <mergeCell ref="AK90:AK92"/>
    <mergeCell ref="AL90:AL92"/>
    <mergeCell ref="C90:C92"/>
    <mergeCell ref="E90:E92"/>
    <mergeCell ref="J90:J92"/>
    <mergeCell ref="Z90:Z92"/>
    <mergeCell ref="AA90:AA92"/>
    <mergeCell ref="AB90:AB92"/>
    <mergeCell ref="AC90:AC92"/>
    <mergeCell ref="AD90:AD92"/>
    <mergeCell ref="AF90:AF92"/>
    <mergeCell ref="AW90:AW92"/>
    <mergeCell ref="CC90:CC92"/>
    <mergeCell ref="CD90:CD92"/>
    <mergeCell ref="CE90:CE92"/>
    <mergeCell ref="CF90:CF92"/>
    <mergeCell ref="CG90:CG92"/>
    <mergeCell ref="CH90:CH92"/>
    <mergeCell ref="BW90:BW92"/>
    <mergeCell ref="BX90:BX92"/>
    <mergeCell ref="BY90:BY92"/>
    <mergeCell ref="BZ90:BZ92"/>
    <mergeCell ref="CA90:CA92"/>
    <mergeCell ref="CB90:CB92"/>
    <mergeCell ref="BK90:BK92"/>
    <mergeCell ref="BL90:BL92"/>
    <mergeCell ref="BS90:BS92"/>
    <mergeCell ref="BT90:BT92"/>
    <mergeCell ref="BU90:BU92"/>
    <mergeCell ref="BV90:BV92"/>
    <mergeCell ref="CH87:CH89"/>
    <mergeCell ref="BI87:BI89"/>
    <mergeCell ref="AW87:AW89"/>
    <mergeCell ref="AX87:AX89"/>
    <mergeCell ref="AY87:AY89"/>
    <mergeCell ref="AZ87:AZ89"/>
    <mergeCell ref="BB87:BB89"/>
    <mergeCell ref="BC87:BC89"/>
    <mergeCell ref="AL87:AL89"/>
    <mergeCell ref="AM87:AM89"/>
    <mergeCell ref="AN87:AN89"/>
    <mergeCell ref="AO87:AO89"/>
    <mergeCell ref="AP87:AP89"/>
    <mergeCell ref="AV87:AV89"/>
    <mergeCell ref="BE90:BE92"/>
    <mergeCell ref="BF90:BF92"/>
    <mergeCell ref="BG90:BG92"/>
    <mergeCell ref="BH90:BH92"/>
    <mergeCell ref="BI90:BI92"/>
    <mergeCell ref="BJ90:BJ92"/>
    <mergeCell ref="AX90:AX92"/>
    <mergeCell ref="AY90:AY92"/>
    <mergeCell ref="AZ90:AZ92"/>
    <mergeCell ref="BB90:BB92"/>
    <mergeCell ref="BC90:BC92"/>
    <mergeCell ref="BD90:BD92"/>
    <mergeCell ref="CB87:CB89"/>
    <mergeCell ref="CC87:CC89"/>
    <mergeCell ref="CD87:CD89"/>
    <mergeCell ref="CE87:CE89"/>
    <mergeCell ref="CF87:CF89"/>
    <mergeCell ref="CG87:CG89"/>
    <mergeCell ref="BY87:BY89"/>
    <mergeCell ref="BZ87:BZ89"/>
    <mergeCell ref="CA87:CA89"/>
    <mergeCell ref="BJ87:BJ89"/>
    <mergeCell ref="BK87:BK89"/>
    <mergeCell ref="BL87:BL89"/>
    <mergeCell ref="BS87:BS89"/>
    <mergeCell ref="BT87:BT89"/>
    <mergeCell ref="BU87:BU89"/>
    <mergeCell ref="BD87:BD89"/>
    <mergeCell ref="BE87:BE89"/>
    <mergeCell ref="BF87:BF89"/>
    <mergeCell ref="BG87:BG89"/>
    <mergeCell ref="BH87:BH89"/>
    <mergeCell ref="AF87:AF89"/>
    <mergeCell ref="AG87:AG89"/>
    <mergeCell ref="AH87:AH89"/>
    <mergeCell ref="AI87:AI89"/>
    <mergeCell ref="AJ87:AJ89"/>
    <mergeCell ref="AK87:AK89"/>
    <mergeCell ref="CH84:CH86"/>
    <mergeCell ref="C87:C89"/>
    <mergeCell ref="E87:E89"/>
    <mergeCell ref="J87:J89"/>
    <mergeCell ref="Z87:Z89"/>
    <mergeCell ref="AA87:AA89"/>
    <mergeCell ref="AB87:AB89"/>
    <mergeCell ref="AC87:AC89"/>
    <mergeCell ref="AD87:AD89"/>
    <mergeCell ref="CA84:CA86"/>
    <mergeCell ref="CB84:CB86"/>
    <mergeCell ref="CC84:CC86"/>
    <mergeCell ref="CD84:CD86"/>
    <mergeCell ref="CE84:CE86"/>
    <mergeCell ref="CF84:CF86"/>
    <mergeCell ref="BU84:BU86"/>
    <mergeCell ref="BV84:BV86"/>
    <mergeCell ref="BW84:BW86"/>
    <mergeCell ref="BX84:BX86"/>
    <mergeCell ref="BY84:BY86"/>
    <mergeCell ref="BZ84:BZ86"/>
    <mergeCell ref="BI84:BI86"/>
    <mergeCell ref="BJ84:BJ86"/>
    <mergeCell ref="BK84:BK86"/>
    <mergeCell ref="BL84:BL86"/>
    <mergeCell ref="BS84:BS86"/>
    <mergeCell ref="BT84:BT86"/>
    <mergeCell ref="BC84:BC86"/>
    <mergeCell ref="BD84:BD86"/>
    <mergeCell ref="BE84:BE86"/>
    <mergeCell ref="BF84:BF86"/>
    <mergeCell ref="BX87:BX89"/>
    <mergeCell ref="AX84:AX86"/>
    <mergeCell ref="AY84:AY86"/>
    <mergeCell ref="AZ84:AZ86"/>
    <mergeCell ref="BB84:BB86"/>
    <mergeCell ref="AK84:AK86"/>
    <mergeCell ref="AL84:AL86"/>
    <mergeCell ref="AM84:AM86"/>
    <mergeCell ref="AN84:AN86"/>
    <mergeCell ref="AO84:AO86"/>
    <mergeCell ref="AP84:AP86"/>
    <mergeCell ref="AD84:AD86"/>
    <mergeCell ref="AF84:AF86"/>
    <mergeCell ref="AG84:AG86"/>
    <mergeCell ref="AH84:AH86"/>
    <mergeCell ref="AI84:AI86"/>
    <mergeCell ref="AJ84:AJ86"/>
    <mergeCell ref="CG84:CG86"/>
    <mergeCell ref="BG84:BG86"/>
    <mergeCell ref="BH84:BH86"/>
    <mergeCell ref="CH81:CH83"/>
    <mergeCell ref="C84:C86"/>
    <mergeCell ref="E84:E86"/>
    <mergeCell ref="J84:J86"/>
    <mergeCell ref="Z84:Z86"/>
    <mergeCell ref="AA84:AA86"/>
    <mergeCell ref="AB84:AB86"/>
    <mergeCell ref="AC84:AC86"/>
    <mergeCell ref="BZ81:BZ83"/>
    <mergeCell ref="CA81:CA83"/>
    <mergeCell ref="CB81:CB83"/>
    <mergeCell ref="CC81:CC83"/>
    <mergeCell ref="CD81:CD83"/>
    <mergeCell ref="CE81:CE83"/>
    <mergeCell ref="BT81:BT83"/>
    <mergeCell ref="BU81:BU83"/>
    <mergeCell ref="BV81:BV83"/>
    <mergeCell ref="BW81:BW83"/>
    <mergeCell ref="BX81:BX83"/>
    <mergeCell ref="BY81:BY83"/>
    <mergeCell ref="BH81:BH83"/>
    <mergeCell ref="BI81:BI83"/>
    <mergeCell ref="BJ81:BJ83"/>
    <mergeCell ref="BK81:BK83"/>
    <mergeCell ref="BL81:BL83"/>
    <mergeCell ref="BS81:BS83"/>
    <mergeCell ref="BB81:BB83"/>
    <mergeCell ref="BC81:BC83"/>
    <mergeCell ref="BD81:BD83"/>
    <mergeCell ref="BE81:BE83"/>
    <mergeCell ref="AV84:AV86"/>
    <mergeCell ref="AW84:AW86"/>
    <mergeCell ref="AX81:AX83"/>
    <mergeCell ref="AY81:AY83"/>
    <mergeCell ref="AZ81:AZ83"/>
    <mergeCell ref="AJ81:AJ83"/>
    <mergeCell ref="AK81:AK83"/>
    <mergeCell ref="AL81:AL83"/>
    <mergeCell ref="AM81:AM83"/>
    <mergeCell ref="AN81:AN83"/>
    <mergeCell ref="AO81:AO83"/>
    <mergeCell ref="AC81:AC83"/>
    <mergeCell ref="AD81:AD83"/>
    <mergeCell ref="AF81:AF83"/>
    <mergeCell ref="AG81:AG83"/>
    <mergeCell ref="AH81:AH83"/>
    <mergeCell ref="AI81:AI83"/>
    <mergeCell ref="CF81:CF83"/>
    <mergeCell ref="CG81:CG83"/>
    <mergeCell ref="BF81:BF83"/>
    <mergeCell ref="BG81:BG83"/>
    <mergeCell ref="C81:C83"/>
    <mergeCell ref="E81:E83"/>
    <mergeCell ref="J81:J83"/>
    <mergeCell ref="Z81:Z83"/>
    <mergeCell ref="AA81:AA83"/>
    <mergeCell ref="AB81:AB83"/>
    <mergeCell ref="CC78:CC80"/>
    <mergeCell ref="CD78:CD80"/>
    <mergeCell ref="CE78:CE80"/>
    <mergeCell ref="CF78:CF80"/>
    <mergeCell ref="CG78:CG80"/>
    <mergeCell ref="AX78:AX80"/>
    <mergeCell ref="AY78:AY80"/>
    <mergeCell ref="AZ78:AZ80"/>
    <mergeCell ref="BB78:BB80"/>
    <mergeCell ref="BC78:BC80"/>
    <mergeCell ref="BD78:BD80"/>
    <mergeCell ref="AM78:AM80"/>
    <mergeCell ref="AN78:AN80"/>
    <mergeCell ref="AO78:AO80"/>
    <mergeCell ref="AP78:AP80"/>
    <mergeCell ref="AV78:AV80"/>
    <mergeCell ref="AW78:AW80"/>
    <mergeCell ref="AG78:AG80"/>
    <mergeCell ref="AH78:AH80"/>
    <mergeCell ref="AI78:AI80"/>
    <mergeCell ref="AJ78:AJ80"/>
    <mergeCell ref="AK78:AK80"/>
    <mergeCell ref="AL78:AL80"/>
    <mergeCell ref="AP81:AP83"/>
    <mergeCell ref="AV81:AV83"/>
    <mergeCell ref="AW81:AW83"/>
    <mergeCell ref="CH78:CH80"/>
    <mergeCell ref="BW78:BW80"/>
    <mergeCell ref="BX78:BX80"/>
    <mergeCell ref="BY78:BY80"/>
    <mergeCell ref="BZ78:BZ80"/>
    <mergeCell ref="CA78:CA80"/>
    <mergeCell ref="CB78:CB80"/>
    <mergeCell ref="BK78:BK80"/>
    <mergeCell ref="BL78:BL80"/>
    <mergeCell ref="BS78:BS80"/>
    <mergeCell ref="BT78:BT80"/>
    <mergeCell ref="BU78:BU80"/>
    <mergeCell ref="BV78:BV80"/>
    <mergeCell ref="BE78:BE80"/>
    <mergeCell ref="BF78:BF80"/>
    <mergeCell ref="BG78:BG80"/>
    <mergeCell ref="BH78:BH80"/>
    <mergeCell ref="BI78:BI80"/>
    <mergeCell ref="BJ78:BJ80"/>
    <mergeCell ref="CH75:CH77"/>
    <mergeCell ref="C78:C80"/>
    <mergeCell ref="E78:E80"/>
    <mergeCell ref="J78:J80"/>
    <mergeCell ref="Z78:Z80"/>
    <mergeCell ref="AA78:AA80"/>
    <mergeCell ref="AB78:AB80"/>
    <mergeCell ref="AC78:AC80"/>
    <mergeCell ref="AD78:AD80"/>
    <mergeCell ref="AF78:AF80"/>
    <mergeCell ref="CB75:CB77"/>
    <mergeCell ref="CC75:CC77"/>
    <mergeCell ref="CD75:CD77"/>
    <mergeCell ref="CE75:CE77"/>
    <mergeCell ref="CF75:CF77"/>
    <mergeCell ref="CG75:CG77"/>
    <mergeCell ref="BV75:BV77"/>
    <mergeCell ref="BW75:BW77"/>
    <mergeCell ref="BX75:BX77"/>
    <mergeCell ref="BY75:BY77"/>
    <mergeCell ref="BZ75:BZ77"/>
    <mergeCell ref="CA75:CA77"/>
    <mergeCell ref="BJ75:BJ77"/>
    <mergeCell ref="BK75:BK77"/>
    <mergeCell ref="BL75:BL77"/>
    <mergeCell ref="BS75:BS77"/>
    <mergeCell ref="BT75:BT77"/>
    <mergeCell ref="BU75:BU77"/>
    <mergeCell ref="BD75:BD77"/>
    <mergeCell ref="BE75:BE77"/>
    <mergeCell ref="BF75:BF77"/>
    <mergeCell ref="BG75:BG77"/>
    <mergeCell ref="AW75:AW77"/>
    <mergeCell ref="AX75:AX77"/>
    <mergeCell ref="AY75:AY77"/>
    <mergeCell ref="AZ75:AZ77"/>
    <mergeCell ref="BB75:BB77"/>
    <mergeCell ref="BC75:BC77"/>
    <mergeCell ref="AL75:AL77"/>
    <mergeCell ref="AM75:AM77"/>
    <mergeCell ref="AN75:AN77"/>
    <mergeCell ref="AO75:AO77"/>
    <mergeCell ref="AP75:AP77"/>
    <mergeCell ref="AV75:AV77"/>
    <mergeCell ref="AF75:AF77"/>
    <mergeCell ref="AG75:AG77"/>
    <mergeCell ref="AH75:AH77"/>
    <mergeCell ref="AI75:AI77"/>
    <mergeCell ref="AJ75:AJ77"/>
    <mergeCell ref="AK75:AK77"/>
    <mergeCell ref="CG72:CG74"/>
    <mergeCell ref="CH72:CH74"/>
    <mergeCell ref="C75:C77"/>
    <mergeCell ref="E75:E77"/>
    <mergeCell ref="J75:J77"/>
    <mergeCell ref="Z75:Z77"/>
    <mergeCell ref="AA75:AA77"/>
    <mergeCell ref="AB75:AB77"/>
    <mergeCell ref="AC75:AC77"/>
    <mergeCell ref="AD75:AD77"/>
    <mergeCell ref="CA72:CA74"/>
    <mergeCell ref="CB72:CB74"/>
    <mergeCell ref="CC72:CC74"/>
    <mergeCell ref="CD72:CD74"/>
    <mergeCell ref="CE72:CE74"/>
    <mergeCell ref="CF72:CF74"/>
    <mergeCell ref="BU72:BU74"/>
    <mergeCell ref="BV72:BV74"/>
    <mergeCell ref="BW72:BW74"/>
    <mergeCell ref="BX72:BX74"/>
    <mergeCell ref="BY72:BY74"/>
    <mergeCell ref="BZ72:BZ74"/>
    <mergeCell ref="BJ72:BJ74"/>
    <mergeCell ref="BK72:BK74"/>
    <mergeCell ref="BL72:BL74"/>
    <mergeCell ref="BR72:BR74"/>
    <mergeCell ref="BS72:BS74"/>
    <mergeCell ref="BT72:BT74"/>
    <mergeCell ref="BD72:BD74"/>
    <mergeCell ref="BE72:BE74"/>
    <mergeCell ref="BF72:BF74"/>
    <mergeCell ref="BG72:BG74"/>
    <mergeCell ref="BI72:BI74"/>
    <mergeCell ref="AW72:AW74"/>
    <mergeCell ref="AX72:AX74"/>
    <mergeCell ref="AY72:AY74"/>
    <mergeCell ref="AZ72:AZ74"/>
    <mergeCell ref="BB72:BB74"/>
    <mergeCell ref="BC72:BC74"/>
    <mergeCell ref="AL72:AL74"/>
    <mergeCell ref="AM72:AM74"/>
    <mergeCell ref="AN72:AN74"/>
    <mergeCell ref="AO72:AO74"/>
    <mergeCell ref="AP72:AP74"/>
    <mergeCell ref="AV72:AV74"/>
    <mergeCell ref="AF72:AF74"/>
    <mergeCell ref="AG72:AG74"/>
    <mergeCell ref="AH72:AH74"/>
    <mergeCell ref="AI72:AI74"/>
    <mergeCell ref="AJ72:AJ74"/>
    <mergeCell ref="AK72:AK74"/>
    <mergeCell ref="CG69:CG71"/>
    <mergeCell ref="CH69:CH71"/>
    <mergeCell ref="C72:C74"/>
    <mergeCell ref="E72:E74"/>
    <mergeCell ref="J72:J74"/>
    <mergeCell ref="Z72:Z74"/>
    <mergeCell ref="AA72:AA74"/>
    <mergeCell ref="AB72:AB74"/>
    <mergeCell ref="AC72:AC74"/>
    <mergeCell ref="AD72:AD74"/>
    <mergeCell ref="CA69:CA71"/>
    <mergeCell ref="CB69:CB71"/>
    <mergeCell ref="CC69:CC71"/>
    <mergeCell ref="CD69:CD71"/>
    <mergeCell ref="CE69:CE71"/>
    <mergeCell ref="CF69:CF71"/>
    <mergeCell ref="BU69:BU71"/>
    <mergeCell ref="BV69:BV71"/>
    <mergeCell ref="BW69:BW71"/>
    <mergeCell ref="BX69:BX71"/>
    <mergeCell ref="BY69:BY71"/>
    <mergeCell ref="BZ69:BZ71"/>
    <mergeCell ref="BJ69:BJ71"/>
    <mergeCell ref="BK69:BK71"/>
    <mergeCell ref="BL69:BL71"/>
    <mergeCell ref="BO69:BO71"/>
    <mergeCell ref="BS69:BS71"/>
    <mergeCell ref="BT69:BT71"/>
    <mergeCell ref="BD69:BD71"/>
    <mergeCell ref="BE69:BE71"/>
    <mergeCell ref="BF69:BF71"/>
    <mergeCell ref="BG69:BG71"/>
    <mergeCell ref="BH69:BH71"/>
    <mergeCell ref="BI69:BI71"/>
    <mergeCell ref="AW69:AW71"/>
    <mergeCell ref="AX69:AX71"/>
    <mergeCell ref="AY69:AY71"/>
    <mergeCell ref="AZ69:AZ71"/>
    <mergeCell ref="BB69:BB71"/>
    <mergeCell ref="BC69:BC71"/>
    <mergeCell ref="AL69:AL71"/>
    <mergeCell ref="AM69:AM71"/>
    <mergeCell ref="AN69:AN71"/>
    <mergeCell ref="AO69:AO71"/>
    <mergeCell ref="AP69:AP71"/>
    <mergeCell ref="AV69:AV71"/>
    <mergeCell ref="AF69:AF71"/>
    <mergeCell ref="AG69:AG71"/>
    <mergeCell ref="AH69:AH71"/>
    <mergeCell ref="AI69:AI71"/>
    <mergeCell ref="AJ69:AJ71"/>
    <mergeCell ref="AK69:AK71"/>
    <mergeCell ref="CG66:CG68"/>
    <mergeCell ref="CH66:CH68"/>
    <mergeCell ref="C69:C71"/>
    <mergeCell ref="E69:E71"/>
    <mergeCell ref="J69:J71"/>
    <mergeCell ref="Z69:Z71"/>
    <mergeCell ref="AA69:AA71"/>
    <mergeCell ref="AB69:AB71"/>
    <mergeCell ref="AC69:AC71"/>
    <mergeCell ref="AD69:AD71"/>
    <mergeCell ref="CA66:CA68"/>
    <mergeCell ref="CB66:CB68"/>
    <mergeCell ref="CC66:CC68"/>
    <mergeCell ref="CD66:CD68"/>
    <mergeCell ref="CE66:CE68"/>
    <mergeCell ref="CF66:CF68"/>
    <mergeCell ref="BU66:BU68"/>
    <mergeCell ref="BV66:BV68"/>
    <mergeCell ref="BW66:BW68"/>
    <mergeCell ref="BX66:BX68"/>
    <mergeCell ref="BY66:BY68"/>
    <mergeCell ref="BZ66:BZ68"/>
    <mergeCell ref="BK66:BK68"/>
    <mergeCell ref="BL66:BL68"/>
    <mergeCell ref="BO66:BO68"/>
    <mergeCell ref="BR66:BR68"/>
    <mergeCell ref="BS66:BS68"/>
    <mergeCell ref="BT66:BT68"/>
    <mergeCell ref="BE66:BE68"/>
    <mergeCell ref="BF66:BF68"/>
    <mergeCell ref="BG66:BG68"/>
    <mergeCell ref="BH66:BH68"/>
    <mergeCell ref="BI66:BI68"/>
    <mergeCell ref="BJ66:BJ68"/>
    <mergeCell ref="AX66:AX68"/>
    <mergeCell ref="AY66:AY68"/>
    <mergeCell ref="AZ66:AZ68"/>
    <mergeCell ref="BB66:BB68"/>
    <mergeCell ref="BC66:BC68"/>
    <mergeCell ref="BD66:BD68"/>
    <mergeCell ref="AM66:AM68"/>
    <mergeCell ref="AN66:AN68"/>
    <mergeCell ref="AO66:AO68"/>
    <mergeCell ref="AP66:AP68"/>
    <mergeCell ref="AV66:AV68"/>
    <mergeCell ref="AW66:AW68"/>
    <mergeCell ref="AG66:AG68"/>
    <mergeCell ref="AH66:AH68"/>
    <mergeCell ref="AI66:AI68"/>
    <mergeCell ref="AJ66:AJ68"/>
    <mergeCell ref="AK66:AK68"/>
    <mergeCell ref="AL66:AL68"/>
    <mergeCell ref="CH63:CH65"/>
    <mergeCell ref="C66:C68"/>
    <mergeCell ref="E66:E68"/>
    <mergeCell ref="J66:J68"/>
    <mergeCell ref="Z66:Z68"/>
    <mergeCell ref="AA66:AA68"/>
    <mergeCell ref="AB66:AB68"/>
    <mergeCell ref="AC66:AC68"/>
    <mergeCell ref="AD66:AD68"/>
    <mergeCell ref="AF66:AF68"/>
    <mergeCell ref="CB63:CB65"/>
    <mergeCell ref="CC63:CC65"/>
    <mergeCell ref="CD63:CD65"/>
    <mergeCell ref="CE63:CE65"/>
    <mergeCell ref="CF63:CF65"/>
    <mergeCell ref="CG63:CG65"/>
    <mergeCell ref="BV63:BV65"/>
    <mergeCell ref="BW63:BW65"/>
    <mergeCell ref="BX63:BX65"/>
    <mergeCell ref="BY63:BY65"/>
    <mergeCell ref="BZ63:BZ65"/>
    <mergeCell ref="CA63:CA65"/>
    <mergeCell ref="BK63:BK65"/>
    <mergeCell ref="BL63:BL65"/>
    <mergeCell ref="BR63:BR65"/>
    <mergeCell ref="BS63:BS65"/>
    <mergeCell ref="BT63:BT65"/>
    <mergeCell ref="BU63:BU65"/>
    <mergeCell ref="BE63:BE65"/>
    <mergeCell ref="BF63:BF65"/>
    <mergeCell ref="BG63:BG65"/>
    <mergeCell ref="BH63:BH65"/>
    <mergeCell ref="BI63:BI65"/>
    <mergeCell ref="BJ63:BJ65"/>
    <mergeCell ref="AX63:AX65"/>
    <mergeCell ref="AY63:AY65"/>
    <mergeCell ref="AZ63:AZ65"/>
    <mergeCell ref="BB63:BB65"/>
    <mergeCell ref="BC63:BC65"/>
    <mergeCell ref="BD63:BD65"/>
    <mergeCell ref="AM63:AM65"/>
    <mergeCell ref="AN63:AN65"/>
    <mergeCell ref="AO63:AO65"/>
    <mergeCell ref="AP63:AP65"/>
    <mergeCell ref="AV63:AV65"/>
    <mergeCell ref="AW63:AW65"/>
    <mergeCell ref="AG63:AG65"/>
    <mergeCell ref="AH63:AH65"/>
    <mergeCell ref="AI63:AI65"/>
    <mergeCell ref="AJ63:AJ65"/>
    <mergeCell ref="AK63:AK65"/>
    <mergeCell ref="AL63:AL65"/>
    <mergeCell ref="CH60:CH62"/>
    <mergeCell ref="C63:C65"/>
    <mergeCell ref="E63:E65"/>
    <mergeCell ref="J63:J65"/>
    <mergeCell ref="Z63:Z65"/>
    <mergeCell ref="AA63:AA65"/>
    <mergeCell ref="AB63:AB65"/>
    <mergeCell ref="AC63:AC65"/>
    <mergeCell ref="AD63:AD65"/>
    <mergeCell ref="AF63:AF65"/>
    <mergeCell ref="BL60:BL62"/>
    <mergeCell ref="BD60:BD62"/>
    <mergeCell ref="BE60:BE62"/>
    <mergeCell ref="BF60:BF62"/>
    <mergeCell ref="BG60:BG62"/>
    <mergeCell ref="BH60:BH62"/>
    <mergeCell ref="BI60:BI62"/>
    <mergeCell ref="AV60:AV62"/>
    <mergeCell ref="AW60:AW62"/>
    <mergeCell ref="AX60:AX62"/>
    <mergeCell ref="AY60:AY62"/>
    <mergeCell ref="AZ60:AZ62"/>
    <mergeCell ref="BC60:BC62"/>
    <mergeCell ref="AJ60:AJ62"/>
    <mergeCell ref="AK60:AK62"/>
    <mergeCell ref="AL60:AL62"/>
    <mergeCell ref="AM60:AM62"/>
    <mergeCell ref="AN60:AN62"/>
    <mergeCell ref="AO60:AO62"/>
    <mergeCell ref="AC60:AC62"/>
    <mergeCell ref="AD60:AD62"/>
    <mergeCell ref="AF60:AF62"/>
    <mergeCell ref="AG60:AG62"/>
    <mergeCell ref="AH60:AH62"/>
    <mergeCell ref="AI60:AI62"/>
    <mergeCell ref="CH58:CH59"/>
    <mergeCell ref="C60:C62"/>
    <mergeCell ref="E60:E62"/>
    <mergeCell ref="J60:J62"/>
    <mergeCell ref="Z60:Z62"/>
    <mergeCell ref="AA60:AA62"/>
    <mergeCell ref="AB60:AB62"/>
    <mergeCell ref="BL58:BL59"/>
    <mergeCell ref="BG58:BG59"/>
    <mergeCell ref="BH58:BH59"/>
    <mergeCell ref="BI58:BI59"/>
    <mergeCell ref="AY58:AY59"/>
    <mergeCell ref="AZ58:AZ59"/>
    <mergeCell ref="BC58:BC59"/>
    <mergeCell ref="BD58:BD59"/>
    <mergeCell ref="BE58:BE59"/>
    <mergeCell ref="BF58:BF59"/>
    <mergeCell ref="AM58:AM59"/>
    <mergeCell ref="AN58:AN59"/>
    <mergeCell ref="AO58:AO59"/>
    <mergeCell ref="AV58:AV59"/>
    <mergeCell ref="AW58:AW59"/>
    <mergeCell ref="AX58:AX59"/>
    <mergeCell ref="AG58:AG59"/>
    <mergeCell ref="AH58:AH59"/>
    <mergeCell ref="AI58:AI59"/>
    <mergeCell ref="AJ58:AJ59"/>
    <mergeCell ref="AK58:AK59"/>
    <mergeCell ref="AL58:AL59"/>
    <mergeCell ref="CH56:CH57"/>
    <mergeCell ref="C58:C59"/>
    <mergeCell ref="E58:E59"/>
    <mergeCell ref="J58:J59"/>
    <mergeCell ref="Z58:Z59"/>
    <mergeCell ref="AA58:AA59"/>
    <mergeCell ref="AB58:AB59"/>
    <mergeCell ref="AC58:AC59"/>
    <mergeCell ref="AD58:AD59"/>
    <mergeCell ref="AF58:AF59"/>
    <mergeCell ref="BL56:BL57"/>
    <mergeCell ref="BD56:BD57"/>
    <mergeCell ref="BE56:BE57"/>
    <mergeCell ref="BF56:BF57"/>
    <mergeCell ref="BG56:BG57"/>
    <mergeCell ref="BH56:BH57"/>
    <mergeCell ref="BI56:BI57"/>
    <mergeCell ref="AV56:AV57"/>
    <mergeCell ref="AW56:AW57"/>
    <mergeCell ref="AX56:AX57"/>
    <mergeCell ref="AY56:AY57"/>
    <mergeCell ref="AZ56:AZ57"/>
    <mergeCell ref="BC56:BC57"/>
    <mergeCell ref="AJ56:AJ57"/>
    <mergeCell ref="AK56:AK57"/>
    <mergeCell ref="AL56:AL57"/>
    <mergeCell ref="AM56:AM57"/>
    <mergeCell ref="AN56:AN57"/>
    <mergeCell ref="AO56:AO57"/>
    <mergeCell ref="AC56:AC57"/>
    <mergeCell ref="AD56:AD57"/>
    <mergeCell ref="AF56:AF57"/>
    <mergeCell ref="AG56:AG57"/>
    <mergeCell ref="AH56:AH57"/>
    <mergeCell ref="AI56:AI57"/>
    <mergeCell ref="C56:C57"/>
    <mergeCell ref="E56:E57"/>
    <mergeCell ref="J56:J57"/>
    <mergeCell ref="Z56:Z57"/>
    <mergeCell ref="AA56:AA57"/>
    <mergeCell ref="AB56:AB57"/>
    <mergeCell ref="CH49:CH55"/>
    <mergeCell ref="E50:E55"/>
    <mergeCell ref="BL49:BL55"/>
    <mergeCell ref="BF49:BF55"/>
    <mergeCell ref="BG49:BG55"/>
    <mergeCell ref="BH49:BH55"/>
    <mergeCell ref="BI49:BI55"/>
    <mergeCell ref="AX49:AX55"/>
    <mergeCell ref="AY49:AY55"/>
    <mergeCell ref="AZ49:AZ55"/>
    <mergeCell ref="BC49:BC55"/>
    <mergeCell ref="BD49:BD55"/>
    <mergeCell ref="BE49:BE55"/>
    <mergeCell ref="AL49:AL55"/>
    <mergeCell ref="AM49:AM55"/>
    <mergeCell ref="AN49:AN55"/>
    <mergeCell ref="AO49:AO55"/>
    <mergeCell ref="AV49:AV55"/>
    <mergeCell ref="AW49:AW55"/>
    <mergeCell ref="AF49:AF55"/>
    <mergeCell ref="AG49:AG55"/>
    <mergeCell ref="AH49:AH55"/>
    <mergeCell ref="AI49:AI55"/>
    <mergeCell ref="AJ49:AJ55"/>
    <mergeCell ref="AK49:AK55"/>
    <mergeCell ref="CH47:CH48"/>
    <mergeCell ref="C49:C55"/>
    <mergeCell ref="J49:J55"/>
    <mergeCell ref="Z49:Z55"/>
    <mergeCell ref="AA49:AA55"/>
    <mergeCell ref="AB49:AB55"/>
    <mergeCell ref="AC49:AC55"/>
    <mergeCell ref="AD49:AD55"/>
    <mergeCell ref="BH47:BH48"/>
    <mergeCell ref="BI47:BI48"/>
    <mergeCell ref="BL47:BL48"/>
    <mergeCell ref="BB47:BB48"/>
    <mergeCell ref="BC47:BC48"/>
    <mergeCell ref="BD47:BD48"/>
    <mergeCell ref="BE47:BE48"/>
    <mergeCell ref="BF47:BF48"/>
    <mergeCell ref="BG47:BG48"/>
    <mergeCell ref="AD47:AD48"/>
    <mergeCell ref="AV47:AV48"/>
    <mergeCell ref="AW47:AW48"/>
    <mergeCell ref="AX47:AX48"/>
    <mergeCell ref="AY47:AY48"/>
    <mergeCell ref="AZ47:AZ48"/>
    <mergeCell ref="BX47:BX48"/>
    <mergeCell ref="BY47:BY48"/>
    <mergeCell ref="BZ47:BZ48"/>
    <mergeCell ref="CA47:CA48"/>
    <mergeCell ref="CB47:CB48"/>
    <mergeCell ref="CC47:CC48"/>
    <mergeCell ref="CD47:CD48"/>
    <mergeCell ref="CH45:CH46"/>
    <mergeCell ref="C47:C48"/>
    <mergeCell ref="E47:E48"/>
    <mergeCell ref="J47:J48"/>
    <mergeCell ref="Z47:Z48"/>
    <mergeCell ref="AA47:AA48"/>
    <mergeCell ref="AB47:AB48"/>
    <mergeCell ref="AC47:AC48"/>
    <mergeCell ref="BH45:BH46"/>
    <mergeCell ref="BI45:BI46"/>
    <mergeCell ref="BL45:BL46"/>
    <mergeCell ref="BB45:BB46"/>
    <mergeCell ref="BC45:BC46"/>
    <mergeCell ref="BD45:BD46"/>
    <mergeCell ref="BE45:BE46"/>
    <mergeCell ref="BF45:BF46"/>
    <mergeCell ref="BG45:BG46"/>
    <mergeCell ref="AP45:AP46"/>
    <mergeCell ref="AV45:AV46"/>
    <mergeCell ref="AW45:AW46"/>
    <mergeCell ref="AX45:AX46"/>
    <mergeCell ref="AY45:AY46"/>
    <mergeCell ref="AZ45:AZ46"/>
    <mergeCell ref="AI45:AI46"/>
    <mergeCell ref="AJ45:AJ46"/>
    <mergeCell ref="AK45:AK46"/>
    <mergeCell ref="AL45:AL46"/>
    <mergeCell ref="AM45:AM46"/>
    <mergeCell ref="AN45:AN46"/>
    <mergeCell ref="AB45:AB46"/>
    <mergeCell ref="AC45:AC46"/>
    <mergeCell ref="AD45:AD46"/>
    <mergeCell ref="AF45:AF46"/>
    <mergeCell ref="AG45:AG46"/>
    <mergeCell ref="AH45:AH46"/>
    <mergeCell ref="CH43:CH44"/>
    <mergeCell ref="C45:C46"/>
    <mergeCell ref="E45:E46"/>
    <mergeCell ref="J45:J46"/>
    <mergeCell ref="Z45:Z46"/>
    <mergeCell ref="AA45:AA46"/>
    <mergeCell ref="BL43:BL44"/>
    <mergeCell ref="BF43:BF44"/>
    <mergeCell ref="BG43:BG44"/>
    <mergeCell ref="BH43:BH44"/>
    <mergeCell ref="BI43:BI44"/>
    <mergeCell ref="AY43:AY44"/>
    <mergeCell ref="AZ43:AZ44"/>
    <mergeCell ref="BB43:BB44"/>
    <mergeCell ref="BC43:BC44"/>
    <mergeCell ref="BD43:BD44"/>
    <mergeCell ref="BE43:BE44"/>
    <mergeCell ref="AM43:AM44"/>
    <mergeCell ref="AN43:AN44"/>
    <mergeCell ref="AP43:AP44"/>
    <mergeCell ref="AV43:AV44"/>
    <mergeCell ref="AW43:AW44"/>
    <mergeCell ref="AX43:AX44"/>
    <mergeCell ref="AG43:AG44"/>
    <mergeCell ref="AH43:AH44"/>
    <mergeCell ref="AI43:AI44"/>
    <mergeCell ref="AJ43:AJ44"/>
    <mergeCell ref="AK43:AK44"/>
    <mergeCell ref="AL43:AL44"/>
    <mergeCell ref="CH12:CH15"/>
    <mergeCell ref="C43:C44"/>
    <mergeCell ref="E43:E44"/>
    <mergeCell ref="J43:J44"/>
    <mergeCell ref="Z43:Z44"/>
    <mergeCell ref="AA43:AA44"/>
    <mergeCell ref="AB43:AB44"/>
    <mergeCell ref="AC43:AC44"/>
    <mergeCell ref="AD43:AD44"/>
    <mergeCell ref="AF43:AF44"/>
    <mergeCell ref="CB12:CB15"/>
    <mergeCell ref="CC12:CC15"/>
    <mergeCell ref="CD12:CD15"/>
    <mergeCell ref="CE12:CE15"/>
    <mergeCell ref="CF12:CF15"/>
    <mergeCell ref="CG12:CG15"/>
    <mergeCell ref="BV12:BV15"/>
    <mergeCell ref="BW12:BW15"/>
    <mergeCell ref="BX12:BX15"/>
    <mergeCell ref="BY12:BY15"/>
    <mergeCell ref="BZ12:BZ15"/>
    <mergeCell ref="CA12:CA15"/>
    <mergeCell ref="BK12:BK15"/>
    <mergeCell ref="BL12:BL15"/>
    <mergeCell ref="BR12:BR15"/>
    <mergeCell ref="BS12:BS15"/>
    <mergeCell ref="BT12:BT15"/>
    <mergeCell ref="BU12:BU15"/>
    <mergeCell ref="BE12:BE15"/>
    <mergeCell ref="BF12:BF15"/>
    <mergeCell ref="BG12:BG15"/>
    <mergeCell ref="BH12:BH15"/>
    <mergeCell ref="BI12:BI15"/>
    <mergeCell ref="BJ12:BJ15"/>
    <mergeCell ref="AX12:AX15"/>
    <mergeCell ref="AY12:AY15"/>
    <mergeCell ref="AZ12:AZ15"/>
    <mergeCell ref="BB12:BB15"/>
    <mergeCell ref="BC12:BC15"/>
    <mergeCell ref="BD12:BD15"/>
    <mergeCell ref="AM12:AM15"/>
    <mergeCell ref="AN12:AN15"/>
    <mergeCell ref="AO12:AO15"/>
    <mergeCell ref="AP12:AP15"/>
    <mergeCell ref="AV12:AV15"/>
    <mergeCell ref="AW12:AW15"/>
    <mergeCell ref="AG12:AG15"/>
    <mergeCell ref="AH12:AH15"/>
    <mergeCell ref="AI12:AI15"/>
    <mergeCell ref="AJ12:AJ15"/>
    <mergeCell ref="AK12:AK15"/>
    <mergeCell ref="AL12:AL15"/>
    <mergeCell ref="CH34:CH35"/>
    <mergeCell ref="C12:C15"/>
    <mergeCell ref="E12:E15"/>
    <mergeCell ref="J12:J15"/>
    <mergeCell ref="Z12:Z15"/>
    <mergeCell ref="AA12:AA15"/>
    <mergeCell ref="AB12:AB15"/>
    <mergeCell ref="AC12:AC15"/>
    <mergeCell ref="AD12:AD15"/>
    <mergeCell ref="AF12:AF15"/>
    <mergeCell ref="CB34:CB35"/>
    <mergeCell ref="CC34:CC35"/>
    <mergeCell ref="CD34:CD35"/>
    <mergeCell ref="CE34:CE35"/>
    <mergeCell ref="CF34:CF35"/>
    <mergeCell ref="CG34:CG35"/>
    <mergeCell ref="BU34:BU35"/>
    <mergeCell ref="BV34:BV35"/>
    <mergeCell ref="BX34:BX35"/>
    <mergeCell ref="BY34:BY35"/>
    <mergeCell ref="BZ34:BZ35"/>
    <mergeCell ref="CA34:CA35"/>
    <mergeCell ref="BJ34:BJ35"/>
    <mergeCell ref="BK34:BK35"/>
    <mergeCell ref="BL34:BL35"/>
    <mergeCell ref="BR34:BR35"/>
    <mergeCell ref="BS34:BS35"/>
    <mergeCell ref="BT34:BT35"/>
    <mergeCell ref="BD34:BD35"/>
    <mergeCell ref="BE34:BE35"/>
    <mergeCell ref="BF34:BF35"/>
    <mergeCell ref="BG34:BG35"/>
    <mergeCell ref="BH34:BH35"/>
    <mergeCell ref="BI34:BI35"/>
    <mergeCell ref="AW34:AW35"/>
    <mergeCell ref="AX34:AX35"/>
    <mergeCell ref="AY34:AY35"/>
    <mergeCell ref="AZ34:AZ35"/>
    <mergeCell ref="BB34:BB35"/>
    <mergeCell ref="BC34:BC35"/>
    <mergeCell ref="AL34:AL35"/>
    <mergeCell ref="AM34:AM35"/>
    <mergeCell ref="AN34:AN35"/>
    <mergeCell ref="AO34:AO35"/>
    <mergeCell ref="AP34:AP35"/>
    <mergeCell ref="AV34:AV35"/>
    <mergeCell ref="AF34:AF35"/>
    <mergeCell ref="AG34:AG35"/>
    <mergeCell ref="AH34:AH35"/>
    <mergeCell ref="AI34:AI35"/>
    <mergeCell ref="AJ34:AJ35"/>
    <mergeCell ref="AK34:AK35"/>
    <mergeCell ref="CG32:CG33"/>
    <mergeCell ref="CH32:CH33"/>
    <mergeCell ref="C34:C35"/>
    <mergeCell ref="E34:E35"/>
    <mergeCell ref="J34:J35"/>
    <mergeCell ref="Z34:Z35"/>
    <mergeCell ref="AA34:AA35"/>
    <mergeCell ref="AB34:AB35"/>
    <mergeCell ref="AC34:AC35"/>
    <mergeCell ref="AD34:AD35"/>
    <mergeCell ref="CA32:CA33"/>
    <mergeCell ref="CB32:CB33"/>
    <mergeCell ref="CC32:CC33"/>
    <mergeCell ref="CD32:CD33"/>
    <mergeCell ref="CE32:CE33"/>
    <mergeCell ref="CF32:CF33"/>
    <mergeCell ref="BT32:BT33"/>
    <mergeCell ref="BU32:BU33"/>
    <mergeCell ref="BV32:BV33"/>
    <mergeCell ref="BX32:BX33"/>
    <mergeCell ref="BY32:BY33"/>
    <mergeCell ref="BZ32:BZ33"/>
    <mergeCell ref="BI32:BI33"/>
    <mergeCell ref="BJ32:BJ33"/>
    <mergeCell ref="BK32:BK33"/>
    <mergeCell ref="BL32:BL33"/>
    <mergeCell ref="BR32:BR33"/>
    <mergeCell ref="BS32:BS33"/>
    <mergeCell ref="BC32:BC33"/>
    <mergeCell ref="BD32:BD33"/>
    <mergeCell ref="BE32:BE33"/>
    <mergeCell ref="BF32:BF33"/>
    <mergeCell ref="BG32:BG33"/>
    <mergeCell ref="BH32:BH33"/>
    <mergeCell ref="AV32:AV33"/>
    <mergeCell ref="AW32:AW33"/>
    <mergeCell ref="AX32:AX33"/>
    <mergeCell ref="AY32:AY33"/>
    <mergeCell ref="AZ32:AZ33"/>
    <mergeCell ref="BB32:BB33"/>
    <mergeCell ref="AK32:AK33"/>
    <mergeCell ref="AL32:AL33"/>
    <mergeCell ref="AM32:AM33"/>
    <mergeCell ref="AN32:AN33"/>
    <mergeCell ref="AO32:AO33"/>
    <mergeCell ref="AP32:AP33"/>
    <mergeCell ref="AD32:AD33"/>
    <mergeCell ref="AF32:AF33"/>
    <mergeCell ref="AG32:AG33"/>
    <mergeCell ref="AH32:AH33"/>
    <mergeCell ref="AI32:AI33"/>
    <mergeCell ref="AJ32:AJ33"/>
    <mergeCell ref="CF29:CF31"/>
    <mergeCell ref="CG29:CG31"/>
    <mergeCell ref="CH29:CH31"/>
    <mergeCell ref="C32:C33"/>
    <mergeCell ref="E32:E33"/>
    <mergeCell ref="J32:J33"/>
    <mergeCell ref="Z32:Z33"/>
    <mergeCell ref="AA32:AA33"/>
    <mergeCell ref="AB32:AB33"/>
    <mergeCell ref="AC32:AC33"/>
    <mergeCell ref="BZ29:BZ31"/>
    <mergeCell ref="CA29:CA31"/>
    <mergeCell ref="CB29:CB31"/>
    <mergeCell ref="CC29:CC31"/>
    <mergeCell ref="CD29:CD31"/>
    <mergeCell ref="CE29:CE31"/>
    <mergeCell ref="BS29:BS31"/>
    <mergeCell ref="BT29:BT31"/>
    <mergeCell ref="BU29:BU31"/>
    <mergeCell ref="BV29:BV31"/>
    <mergeCell ref="BW29:BW31"/>
    <mergeCell ref="BY29:BY31"/>
    <mergeCell ref="BH29:BH31"/>
    <mergeCell ref="BI29:BI31"/>
    <mergeCell ref="BJ29:BJ31"/>
    <mergeCell ref="BK29:BK31"/>
    <mergeCell ref="BL29:BL31"/>
    <mergeCell ref="BR29:BR31"/>
    <mergeCell ref="BB29:BB31"/>
    <mergeCell ref="BC29:BC31"/>
    <mergeCell ref="BD29:BD31"/>
    <mergeCell ref="BE29:BE31"/>
    <mergeCell ref="BF29:BF31"/>
    <mergeCell ref="BG29:BG31"/>
    <mergeCell ref="AP29:AP31"/>
    <mergeCell ref="AV29:AV31"/>
    <mergeCell ref="AW29:AW31"/>
    <mergeCell ref="AX29:AX31"/>
    <mergeCell ref="AY29:AY31"/>
    <mergeCell ref="AZ29:AZ31"/>
    <mergeCell ref="AJ29:AJ31"/>
    <mergeCell ref="AK29:AK31"/>
    <mergeCell ref="AL29:AL31"/>
    <mergeCell ref="AM29:AM31"/>
    <mergeCell ref="AN29:AN31"/>
    <mergeCell ref="AO29:AO31"/>
    <mergeCell ref="AC29:AC31"/>
    <mergeCell ref="AD29:AD31"/>
    <mergeCell ref="AF29:AF31"/>
    <mergeCell ref="AG29:AG31"/>
    <mergeCell ref="AH29:AH31"/>
    <mergeCell ref="AI29:AI31"/>
    <mergeCell ref="CE24:CE27"/>
    <mergeCell ref="CF24:CF27"/>
    <mergeCell ref="CG24:CG27"/>
    <mergeCell ref="CH24:CH27"/>
    <mergeCell ref="C29:C31"/>
    <mergeCell ref="E29:E31"/>
    <mergeCell ref="J29:J31"/>
    <mergeCell ref="Z29:Z31"/>
    <mergeCell ref="AA29:AA31"/>
    <mergeCell ref="AB29:AB31"/>
    <mergeCell ref="BY24:BY27"/>
    <mergeCell ref="BZ24:BZ27"/>
    <mergeCell ref="CA24:CA27"/>
    <mergeCell ref="CB24:CB27"/>
    <mergeCell ref="CC24:CC27"/>
    <mergeCell ref="CD24:CD27"/>
    <mergeCell ref="BS24:BS27"/>
    <mergeCell ref="BT24:BT27"/>
    <mergeCell ref="BU24:BU27"/>
    <mergeCell ref="BV24:BV27"/>
    <mergeCell ref="BW24:BW27"/>
    <mergeCell ref="BX24:BX27"/>
    <mergeCell ref="BH24:BH27"/>
    <mergeCell ref="BI24:BI27"/>
    <mergeCell ref="BJ24:BJ27"/>
    <mergeCell ref="BK24:BK27"/>
    <mergeCell ref="BL24:BL27"/>
    <mergeCell ref="BR24:BR27"/>
    <mergeCell ref="BB24:BB27"/>
    <mergeCell ref="BC24:BC27"/>
    <mergeCell ref="BD24:BD27"/>
    <mergeCell ref="BE24:BE27"/>
    <mergeCell ref="BF24:BF27"/>
    <mergeCell ref="BG24:BG27"/>
    <mergeCell ref="AP24:AP27"/>
    <mergeCell ref="AV24:AV27"/>
    <mergeCell ref="AW24:AW27"/>
    <mergeCell ref="AX24:AX27"/>
    <mergeCell ref="AY24:AY27"/>
    <mergeCell ref="AZ24:AZ27"/>
    <mergeCell ref="AJ24:AJ27"/>
    <mergeCell ref="AK24:AK27"/>
    <mergeCell ref="AL24:AL27"/>
    <mergeCell ref="AM24:AM27"/>
    <mergeCell ref="AN24:AN27"/>
    <mergeCell ref="AO24:AO27"/>
    <mergeCell ref="AC24:AC27"/>
    <mergeCell ref="AD24:AD27"/>
    <mergeCell ref="AF24:AF27"/>
    <mergeCell ref="AG24:AG27"/>
    <mergeCell ref="AH24:AH27"/>
    <mergeCell ref="AI24:AI27"/>
    <mergeCell ref="I24:I27"/>
    <mergeCell ref="J24:J27"/>
    <mergeCell ref="K24:K27"/>
    <mergeCell ref="Z24:Z27"/>
    <mergeCell ref="AA24:AA27"/>
    <mergeCell ref="AB24:AB27"/>
    <mergeCell ref="CE22:CE23"/>
    <mergeCell ref="CF22:CF23"/>
    <mergeCell ref="CG22:CG23"/>
    <mergeCell ref="CH22:CH23"/>
    <mergeCell ref="C24:C27"/>
    <mergeCell ref="D24:D27"/>
    <mergeCell ref="E24:E27"/>
    <mergeCell ref="F24:F27"/>
    <mergeCell ref="G24:G27"/>
    <mergeCell ref="H24:H27"/>
    <mergeCell ref="BY22:BY23"/>
    <mergeCell ref="BZ22:BZ23"/>
    <mergeCell ref="CA22:CA23"/>
    <mergeCell ref="CB22:CB23"/>
    <mergeCell ref="CC22:CC23"/>
    <mergeCell ref="CD22:CD23"/>
    <mergeCell ref="BS22:BS23"/>
    <mergeCell ref="BT22:BT23"/>
    <mergeCell ref="BU22:BU23"/>
    <mergeCell ref="BV22:BV23"/>
    <mergeCell ref="BW22:BW23"/>
    <mergeCell ref="BX22:BX23"/>
    <mergeCell ref="BH22:BH23"/>
    <mergeCell ref="BI22:BI23"/>
    <mergeCell ref="BJ22:BJ23"/>
    <mergeCell ref="BK22:BK23"/>
    <mergeCell ref="BL22:BL23"/>
    <mergeCell ref="BR22:BR23"/>
    <mergeCell ref="BB22:BB23"/>
    <mergeCell ref="BC22:BC23"/>
    <mergeCell ref="BD22:BD23"/>
    <mergeCell ref="BE22:BE23"/>
    <mergeCell ref="BF22:BF23"/>
    <mergeCell ref="BG22:BG23"/>
    <mergeCell ref="AP22:AP23"/>
    <mergeCell ref="AV22:AV23"/>
    <mergeCell ref="AW22:AW23"/>
    <mergeCell ref="AX22:AX23"/>
    <mergeCell ref="AY22:AY23"/>
    <mergeCell ref="AZ22:AZ23"/>
    <mergeCell ref="AJ22:AJ23"/>
    <mergeCell ref="AK22:AK23"/>
    <mergeCell ref="AL22:AL23"/>
    <mergeCell ref="AM22:AM23"/>
    <mergeCell ref="AN22:AN23"/>
    <mergeCell ref="AO22:AO23"/>
    <mergeCell ref="AC22:AC23"/>
    <mergeCell ref="AD22:AD23"/>
    <mergeCell ref="AF22:AF23"/>
    <mergeCell ref="AG22:AG23"/>
    <mergeCell ref="AH22:AH23"/>
    <mergeCell ref="AI22:AI23"/>
    <mergeCell ref="I22:I23"/>
    <mergeCell ref="J22:J23"/>
    <mergeCell ref="K22:K23"/>
    <mergeCell ref="Z22:Z23"/>
    <mergeCell ref="AA22:AA23"/>
    <mergeCell ref="AB22:AB23"/>
    <mergeCell ref="CE17:CE21"/>
    <mergeCell ref="CF17:CF21"/>
    <mergeCell ref="CG17:CG21"/>
    <mergeCell ref="CH17:CH21"/>
    <mergeCell ref="C22:C23"/>
    <mergeCell ref="D22:D23"/>
    <mergeCell ref="E22:E23"/>
    <mergeCell ref="F22:F23"/>
    <mergeCell ref="G22:G23"/>
    <mergeCell ref="H22:H23"/>
    <mergeCell ref="BY17:BY21"/>
    <mergeCell ref="BZ17:BZ21"/>
    <mergeCell ref="CA17:CA21"/>
    <mergeCell ref="CB17:CB21"/>
    <mergeCell ref="CC17:CC21"/>
    <mergeCell ref="CD17:CD21"/>
    <mergeCell ref="BS17:BS21"/>
    <mergeCell ref="BT17:BT21"/>
    <mergeCell ref="BU17:BU21"/>
    <mergeCell ref="BV17:BV21"/>
    <mergeCell ref="BW17:BW21"/>
    <mergeCell ref="BX17:BX21"/>
    <mergeCell ref="BH17:BH21"/>
    <mergeCell ref="BI17:BI21"/>
    <mergeCell ref="BJ17:BJ21"/>
    <mergeCell ref="BK17:BK21"/>
    <mergeCell ref="BL17:BL21"/>
    <mergeCell ref="BR17:BR21"/>
    <mergeCell ref="BB17:BB21"/>
    <mergeCell ref="BC17:BC21"/>
    <mergeCell ref="BD17:BD21"/>
    <mergeCell ref="BE17:BE21"/>
    <mergeCell ref="BF17:BF21"/>
    <mergeCell ref="BG17:BG21"/>
    <mergeCell ref="AP17:AP21"/>
    <mergeCell ref="AV17:AV21"/>
    <mergeCell ref="AW17:AW21"/>
    <mergeCell ref="AX17:AX21"/>
    <mergeCell ref="AY17:AY21"/>
    <mergeCell ref="AZ17:AZ21"/>
    <mergeCell ref="AJ17:AJ21"/>
    <mergeCell ref="AK17:AK21"/>
    <mergeCell ref="AL17:AL21"/>
    <mergeCell ref="AM17:AM21"/>
    <mergeCell ref="AN17:AN21"/>
    <mergeCell ref="AO17:AO21"/>
    <mergeCell ref="AC17:AC21"/>
    <mergeCell ref="AD17:AD21"/>
    <mergeCell ref="AF17:AF21"/>
    <mergeCell ref="AG17:AG21"/>
    <mergeCell ref="AH17:AH21"/>
    <mergeCell ref="AI17:AI21"/>
    <mergeCell ref="I17:I21"/>
    <mergeCell ref="J17:J21"/>
    <mergeCell ref="K17:K21"/>
    <mergeCell ref="Z17:Z21"/>
    <mergeCell ref="AA17:AA21"/>
    <mergeCell ref="AB17:AB21"/>
    <mergeCell ref="AJ10:AJ11"/>
    <mergeCell ref="AK10:AK11"/>
    <mergeCell ref="AL10:AL11"/>
    <mergeCell ref="AM10:AM11"/>
    <mergeCell ref="AN10:AN11"/>
    <mergeCell ref="AO10:AO11"/>
    <mergeCell ref="AC10:AC11"/>
    <mergeCell ref="AD10:AD11"/>
    <mergeCell ref="AF10:AF11"/>
    <mergeCell ref="AG10:AG11"/>
    <mergeCell ref="AH10:AH11"/>
    <mergeCell ref="AI10:AI11"/>
    <mergeCell ref="CE10:CE11"/>
    <mergeCell ref="CF10:CF11"/>
    <mergeCell ref="CG10:CG11"/>
    <mergeCell ref="CH10:CH11"/>
    <mergeCell ref="C17:C21"/>
    <mergeCell ref="D17:D21"/>
    <mergeCell ref="E17:E21"/>
    <mergeCell ref="F17:F21"/>
    <mergeCell ref="G17:G21"/>
    <mergeCell ref="H17:H21"/>
    <mergeCell ref="BY10:BY11"/>
    <mergeCell ref="BZ10:BZ11"/>
    <mergeCell ref="CA10:CA11"/>
    <mergeCell ref="CB10:CB11"/>
    <mergeCell ref="CC10:CC11"/>
    <mergeCell ref="CD10:CD11"/>
    <mergeCell ref="BS10:BS11"/>
    <mergeCell ref="BT10:BT11"/>
    <mergeCell ref="BU10:BU11"/>
    <mergeCell ref="BV10:BV11"/>
    <mergeCell ref="BW7:BW9"/>
    <mergeCell ref="BX7:BX9"/>
    <mergeCell ref="BH7:BH9"/>
    <mergeCell ref="BI7:BI9"/>
    <mergeCell ref="BJ7:BJ9"/>
    <mergeCell ref="BK7:BK9"/>
    <mergeCell ref="BL7:BL9"/>
    <mergeCell ref="BR7:BR9"/>
    <mergeCell ref="BB7:BB9"/>
    <mergeCell ref="BC7:BC9"/>
    <mergeCell ref="BD7:BD9"/>
    <mergeCell ref="BE7:BE9"/>
    <mergeCell ref="BF10:BF11"/>
    <mergeCell ref="BG10:BG11"/>
    <mergeCell ref="AP10:AP11"/>
    <mergeCell ref="AV10:AV11"/>
    <mergeCell ref="AW10:AW11"/>
    <mergeCell ref="AX10:AX11"/>
    <mergeCell ref="AY10:AY11"/>
    <mergeCell ref="AZ10:AZ11"/>
    <mergeCell ref="BW10:BW11"/>
    <mergeCell ref="BX10:BX11"/>
    <mergeCell ref="BH10:BH11"/>
    <mergeCell ref="BI10:BI11"/>
    <mergeCell ref="BJ10:BJ11"/>
    <mergeCell ref="BK10:BK11"/>
    <mergeCell ref="BL10:BL11"/>
    <mergeCell ref="BR10:BR11"/>
    <mergeCell ref="BB10:BB11"/>
    <mergeCell ref="BC10:BC11"/>
    <mergeCell ref="BD10:BD11"/>
    <mergeCell ref="BE10:BE11"/>
    <mergeCell ref="AJ7:AJ9"/>
    <mergeCell ref="AK7:AK9"/>
    <mergeCell ref="AL7:AL9"/>
    <mergeCell ref="AM7:AM9"/>
    <mergeCell ref="AN7:AN9"/>
    <mergeCell ref="AO7:AO9"/>
    <mergeCell ref="AC7:AC9"/>
    <mergeCell ref="AD7:AD9"/>
    <mergeCell ref="AF7:AF9"/>
    <mergeCell ref="AG7:AG9"/>
    <mergeCell ref="AH7:AH9"/>
    <mergeCell ref="AI7:AI9"/>
    <mergeCell ref="CE7:CE9"/>
    <mergeCell ref="CF7:CF9"/>
    <mergeCell ref="CG7:CG9"/>
    <mergeCell ref="CH7:CH9"/>
    <mergeCell ref="C10:C11"/>
    <mergeCell ref="E10:E11"/>
    <mergeCell ref="J10:J11"/>
    <mergeCell ref="Z10:Z11"/>
    <mergeCell ref="AA10:AA11"/>
    <mergeCell ref="AB10:AB11"/>
    <mergeCell ref="BY7:BY9"/>
    <mergeCell ref="BZ7:BZ9"/>
    <mergeCell ref="CA7:CA9"/>
    <mergeCell ref="CB7:CB9"/>
    <mergeCell ref="CC7:CC9"/>
    <mergeCell ref="CD7:CD9"/>
    <mergeCell ref="BS7:BS9"/>
    <mergeCell ref="BT7:BT9"/>
    <mergeCell ref="BU7:BU9"/>
    <mergeCell ref="BV7:BV9"/>
    <mergeCell ref="C7:C9"/>
    <mergeCell ref="E7:E9"/>
    <mergeCell ref="J7:J9"/>
    <mergeCell ref="Z7:Z9"/>
    <mergeCell ref="AA7:AA9"/>
    <mergeCell ref="AB7:AB9"/>
    <mergeCell ref="BR5:BR6"/>
    <mergeCell ref="BS5:BS6"/>
    <mergeCell ref="BT5:BT6"/>
    <mergeCell ref="BU5:BU6"/>
    <mergeCell ref="BV5:BV6"/>
    <mergeCell ref="BX5:BX6"/>
    <mergeCell ref="AZ5:AZ6"/>
    <mergeCell ref="BB5:BB6"/>
    <mergeCell ref="BC5:BC6"/>
    <mergeCell ref="BD5:BD6"/>
    <mergeCell ref="BE5:BE6"/>
    <mergeCell ref="BI5:BI6"/>
    <mergeCell ref="AL5:AL6"/>
    <mergeCell ref="AM5:AM6"/>
    <mergeCell ref="AV5:AV6"/>
    <mergeCell ref="AW5:AW6"/>
    <mergeCell ref="AX5:AX6"/>
    <mergeCell ref="AY5:AY6"/>
    <mergeCell ref="BF7:BF9"/>
    <mergeCell ref="BG7:BG9"/>
    <mergeCell ref="AP7:AP9"/>
    <mergeCell ref="AV7:AV9"/>
    <mergeCell ref="AW7:AW9"/>
    <mergeCell ref="AX7:AX9"/>
    <mergeCell ref="AY7:AY9"/>
    <mergeCell ref="AZ7:AZ9"/>
    <mergeCell ref="AQ3:BB3"/>
    <mergeCell ref="BC3:BL3"/>
    <mergeCell ref="BM3:BX3"/>
    <mergeCell ref="BY3:CH3"/>
    <mergeCell ref="E5:E6"/>
    <mergeCell ref="J5:J6"/>
    <mergeCell ref="Z5:Z6"/>
    <mergeCell ref="AA5:AA6"/>
    <mergeCell ref="AB5:AB6"/>
    <mergeCell ref="AC5:AC6"/>
    <mergeCell ref="D3:I3"/>
    <mergeCell ref="J3:P3"/>
    <mergeCell ref="Q3:T3"/>
    <mergeCell ref="U3:AE3"/>
    <mergeCell ref="AF3:AP3"/>
    <mergeCell ref="C5:C6"/>
    <mergeCell ref="AD5:AD6"/>
    <mergeCell ref="AF5:AF6"/>
    <mergeCell ref="AG5:AG6"/>
    <mergeCell ref="AH5:AH6"/>
    <mergeCell ref="BY5:BY6"/>
    <mergeCell ref="BZ5:BZ6"/>
    <mergeCell ref="CA5:CA6"/>
    <mergeCell ref="CE5:CE6"/>
    <mergeCell ref="BW5:BW6"/>
    <mergeCell ref="BX43:BX44"/>
    <mergeCell ref="BY43:BY44"/>
    <mergeCell ref="BZ43:BZ44"/>
    <mergeCell ref="CA43:CA44"/>
    <mergeCell ref="CB43:CB44"/>
    <mergeCell ref="CC43:CC44"/>
    <mergeCell ref="CD43:CD44"/>
    <mergeCell ref="CE43:CE44"/>
    <mergeCell ref="CF43:CF44"/>
    <mergeCell ref="CG43:CG44"/>
    <mergeCell ref="CG45:CG46"/>
    <mergeCell ref="CF45:CF46"/>
    <mergeCell ref="CE45:CE46"/>
    <mergeCell ref="CD45:CD46"/>
    <mergeCell ref="CC45:CC46"/>
    <mergeCell ref="CB45:CB46"/>
    <mergeCell ref="CA45:CA46"/>
    <mergeCell ref="BZ45:BZ46"/>
    <mergeCell ref="BY45:BY46"/>
    <mergeCell ref="BX45:BX46"/>
    <mergeCell ref="CE47:CE48"/>
    <mergeCell ref="CF47:CF48"/>
    <mergeCell ref="CG47:CG48"/>
    <mergeCell ref="CG49:CG55"/>
    <mergeCell ref="CF49:CF55"/>
    <mergeCell ref="CE49:CE55"/>
    <mergeCell ref="CD49:CD55"/>
    <mergeCell ref="CC49:CC55"/>
    <mergeCell ref="CB49:CB55"/>
    <mergeCell ref="CA49:CA55"/>
    <mergeCell ref="BZ49:BZ55"/>
    <mergeCell ref="BY49:BY55"/>
    <mergeCell ref="BX49:BX55"/>
    <mergeCell ref="BX56:BX57"/>
    <mergeCell ref="BY56:BY57"/>
    <mergeCell ref="BZ56:BZ57"/>
    <mergeCell ref="CA56:CA57"/>
    <mergeCell ref="CB56:CB57"/>
    <mergeCell ref="CC56:CC57"/>
    <mergeCell ref="CD56:CD57"/>
    <mergeCell ref="CE56:CE57"/>
    <mergeCell ref="CF56:CF57"/>
    <mergeCell ref="CG56:CG57"/>
    <mergeCell ref="CG58:CG59"/>
    <mergeCell ref="CF58:CF59"/>
    <mergeCell ref="CE58:CE59"/>
    <mergeCell ref="CD58:CD59"/>
    <mergeCell ref="CC58:CC59"/>
    <mergeCell ref="CB58:CB59"/>
    <mergeCell ref="CA58:CA59"/>
    <mergeCell ref="BZ58:BZ59"/>
    <mergeCell ref="BY58:BY59"/>
    <mergeCell ref="BX58:BX59"/>
    <mergeCell ref="BX60:BX62"/>
    <mergeCell ref="BY60:BY62"/>
    <mergeCell ref="BZ60:BZ62"/>
    <mergeCell ref="CA60:CA62"/>
    <mergeCell ref="CB60:CB62"/>
    <mergeCell ref="CC60:CC62"/>
    <mergeCell ref="CD60:CD62"/>
    <mergeCell ref="CE60:CE62"/>
    <mergeCell ref="CF60:CF62"/>
    <mergeCell ref="CG60:CG62"/>
    <mergeCell ref="BY132:BY137"/>
    <mergeCell ref="BZ132:BZ137"/>
    <mergeCell ref="CA132:CA137"/>
    <mergeCell ref="CB132:CB137"/>
    <mergeCell ref="CC132:CC137"/>
    <mergeCell ref="CD132:CD137"/>
    <mergeCell ref="CD138:CD142"/>
    <mergeCell ref="CC138:CC142"/>
    <mergeCell ref="CB138:CB142"/>
    <mergeCell ref="CA138:CA142"/>
    <mergeCell ref="BZ138:BZ142"/>
    <mergeCell ref="BY138:BY142"/>
    <mergeCell ref="BX138:BX142"/>
    <mergeCell ref="CF93:CF95"/>
    <mergeCell ref="CG93:CG95"/>
    <mergeCell ref="CF96:CF99"/>
    <mergeCell ref="CG96:CG99"/>
    <mergeCell ref="CG100:CG101"/>
    <mergeCell ref="BX132:BX137"/>
    <mergeCell ref="BZ105:BZ107"/>
    <mergeCell ref="CA105:CA107"/>
    <mergeCell ref="BZ108:BZ110"/>
    <mergeCell ref="CA108:CA110"/>
    <mergeCell ref="BZ111:BZ113"/>
    <mergeCell ref="CA111:CA113"/>
    <mergeCell ref="BZ114:BZ116"/>
    <mergeCell ref="CA114:CA116"/>
    <mergeCell ref="BZ117:BZ119"/>
    <mergeCell ref="CA117:CA119"/>
    <mergeCell ref="BZ120:BZ122"/>
    <mergeCell ref="CA120:CA122"/>
    <mergeCell ref="BZ123:BZ125"/>
    <mergeCell ref="BY143:BY148"/>
    <mergeCell ref="BZ143:BZ148"/>
    <mergeCell ref="CA143:CA148"/>
    <mergeCell ref="CB143:CB148"/>
    <mergeCell ref="CC143:CC148"/>
    <mergeCell ref="CD143:CD148"/>
    <mergeCell ref="BY149:BY154"/>
    <mergeCell ref="BZ149:BZ154"/>
    <mergeCell ref="CA149:CA154"/>
    <mergeCell ref="CB149:CB154"/>
    <mergeCell ref="CC149:CC154"/>
    <mergeCell ref="CD149:CD154"/>
    <mergeCell ref="BY155:BY158"/>
    <mergeCell ref="BZ155:BZ158"/>
    <mergeCell ref="CA155:CA158"/>
    <mergeCell ref="CB155:CB158"/>
    <mergeCell ref="CC155:CC158"/>
    <mergeCell ref="CD155:CD158"/>
    <mergeCell ref="CC178:CC181"/>
    <mergeCell ref="CD178:CD181"/>
    <mergeCell ref="CH155:CH158"/>
    <mergeCell ref="BY159:BY160"/>
    <mergeCell ref="BZ159:BZ160"/>
    <mergeCell ref="CA159:CA160"/>
    <mergeCell ref="CB159:CB160"/>
    <mergeCell ref="CC159:CC160"/>
    <mergeCell ref="CD159:CD160"/>
    <mergeCell ref="CE159:CE160"/>
    <mergeCell ref="CF159:CF160"/>
    <mergeCell ref="CG159:CG160"/>
    <mergeCell ref="CH159:CH160"/>
    <mergeCell ref="BY161:BY166"/>
    <mergeCell ref="BZ161:BZ166"/>
    <mergeCell ref="CA161:CA166"/>
    <mergeCell ref="CB161:CB166"/>
    <mergeCell ref="CC161:CC166"/>
    <mergeCell ref="CD161:CD166"/>
    <mergeCell ref="CE169:CE172"/>
    <mergeCell ref="CF169:CF172"/>
    <mergeCell ref="CG169:CG172"/>
    <mergeCell ref="CH169:CH172"/>
    <mergeCell ref="CE179:CE181"/>
    <mergeCell ref="CF179:CF181"/>
    <mergeCell ref="CG179:CG181"/>
    <mergeCell ref="CH179:CH181"/>
    <mergeCell ref="CE182:CE187"/>
    <mergeCell ref="CF182:CF187"/>
    <mergeCell ref="CG182:CG187"/>
    <mergeCell ref="CH182:CH187"/>
    <mergeCell ref="BY188:BY193"/>
    <mergeCell ref="BZ188:BZ193"/>
    <mergeCell ref="CA188:CA193"/>
    <mergeCell ref="CB188:CB193"/>
    <mergeCell ref="CC188:CC193"/>
    <mergeCell ref="CD188:CD193"/>
    <mergeCell ref="BY194:BY199"/>
    <mergeCell ref="BZ194:BZ199"/>
    <mergeCell ref="CA194:CA199"/>
    <mergeCell ref="CB194:CB199"/>
    <mergeCell ref="CC194:CC199"/>
    <mergeCell ref="CD194:CD199"/>
    <mergeCell ref="BY167:BY172"/>
    <mergeCell ref="BZ167:BZ172"/>
    <mergeCell ref="CA167:CA172"/>
    <mergeCell ref="CB167:CB172"/>
    <mergeCell ref="CC167:CC172"/>
    <mergeCell ref="CD167:CD172"/>
    <mergeCell ref="BY173:BY177"/>
    <mergeCell ref="BZ173:BZ177"/>
    <mergeCell ref="CA173:CA177"/>
    <mergeCell ref="CB173:CB177"/>
    <mergeCell ref="CC173:CC177"/>
    <mergeCell ref="CD173:CD177"/>
    <mergeCell ref="BY178:BY181"/>
    <mergeCell ref="BZ178:BZ181"/>
    <mergeCell ref="CA178:CA181"/>
    <mergeCell ref="CB178:CB181"/>
    <mergeCell ref="BZ206:BZ210"/>
    <mergeCell ref="CA206:CA210"/>
    <mergeCell ref="CB206:CB210"/>
    <mergeCell ref="CC206:CC210"/>
    <mergeCell ref="CD206:CD210"/>
    <mergeCell ref="BY211:BY216"/>
    <mergeCell ref="BZ211:BZ216"/>
    <mergeCell ref="CA211:CA216"/>
    <mergeCell ref="CB211:CB216"/>
    <mergeCell ref="CC211:CC216"/>
    <mergeCell ref="CD211:CD216"/>
    <mergeCell ref="BY182:BY187"/>
    <mergeCell ref="BZ182:BZ187"/>
    <mergeCell ref="CA182:CA187"/>
    <mergeCell ref="CB182:CB187"/>
    <mergeCell ref="CC182:CC187"/>
    <mergeCell ref="CD182:CD187"/>
    <mergeCell ref="BY217:BY222"/>
    <mergeCell ref="BZ217:BZ222"/>
    <mergeCell ref="CA217:CA222"/>
    <mergeCell ref="CB217:CB222"/>
    <mergeCell ref="CC217:CC222"/>
    <mergeCell ref="CD217:CD222"/>
    <mergeCell ref="BX29:BX31"/>
    <mergeCell ref="BR56:BR57"/>
    <mergeCell ref="BR58:BR59"/>
    <mergeCell ref="BR60:BR62"/>
    <mergeCell ref="BR69:BR71"/>
    <mergeCell ref="BR75:BR77"/>
    <mergeCell ref="BR78:BR80"/>
    <mergeCell ref="BR90:BR92"/>
    <mergeCell ref="BR93:BR95"/>
    <mergeCell ref="BR100:BR101"/>
    <mergeCell ref="BR102:BR104"/>
    <mergeCell ref="BR132:BR137"/>
    <mergeCell ref="BR143:BR148"/>
    <mergeCell ref="BR149:BR154"/>
    <mergeCell ref="BR155:BR158"/>
    <mergeCell ref="BR159:BR160"/>
    <mergeCell ref="BR161:BR166"/>
    <mergeCell ref="CC39:CC40"/>
    <mergeCell ref="CD39:CD40"/>
    <mergeCell ref="BY200:BY205"/>
    <mergeCell ref="BZ200:BZ205"/>
    <mergeCell ref="CA200:CA205"/>
    <mergeCell ref="CB200:CB205"/>
    <mergeCell ref="CC200:CC205"/>
    <mergeCell ref="CD200:CD205"/>
    <mergeCell ref="BY206:BY210"/>
    <mergeCell ref="C39:C40"/>
    <mergeCell ref="D39:D40"/>
    <mergeCell ref="E39:E40"/>
    <mergeCell ref="F39:F40"/>
    <mergeCell ref="G39:G40"/>
    <mergeCell ref="H39:H40"/>
    <mergeCell ref="I39:I40"/>
    <mergeCell ref="J39:J40"/>
    <mergeCell ref="K39:K40"/>
    <mergeCell ref="Z39:Z40"/>
    <mergeCell ref="AA39:AA40"/>
    <mergeCell ref="AB39:AB40"/>
    <mergeCell ref="AC39:AC40"/>
    <mergeCell ref="AD39:AD40"/>
    <mergeCell ref="AF39:AF40"/>
    <mergeCell ref="AG39:AG40"/>
    <mergeCell ref="AH39:AH40"/>
    <mergeCell ref="AI39:AI40"/>
    <mergeCell ref="AJ39:AJ40"/>
    <mergeCell ref="AK39:AK40"/>
    <mergeCell ref="AL39:AL40"/>
    <mergeCell ref="AM39:AM40"/>
    <mergeCell ref="AN39:AN40"/>
    <mergeCell ref="AO39:AO40"/>
    <mergeCell ref="AP39:AP40"/>
    <mergeCell ref="AV39:AV40"/>
    <mergeCell ref="AW39:AW40"/>
    <mergeCell ref="AX39:AX40"/>
    <mergeCell ref="AY39:AY40"/>
    <mergeCell ref="AZ39:AZ40"/>
    <mergeCell ref="BB39:BB40"/>
    <mergeCell ref="BC39:BC40"/>
    <mergeCell ref="BD39:BD40"/>
    <mergeCell ref="BE39:BE40"/>
    <mergeCell ref="CE39:CE40"/>
    <mergeCell ref="CF39:CF40"/>
    <mergeCell ref="CG39:CG40"/>
    <mergeCell ref="CH39:CH40"/>
    <mergeCell ref="BR39:BR40"/>
    <mergeCell ref="BX39:BX40"/>
    <mergeCell ref="BF39:BF40"/>
    <mergeCell ref="BG39:BG40"/>
    <mergeCell ref="BH39:BH40"/>
    <mergeCell ref="BI39:BI40"/>
    <mergeCell ref="BJ39:BJ40"/>
    <mergeCell ref="BK39:BK40"/>
    <mergeCell ref="BL39:BL40"/>
    <mergeCell ref="BS39:BS40"/>
    <mergeCell ref="BT39:BT40"/>
    <mergeCell ref="BU39:BU40"/>
    <mergeCell ref="BV39:BV40"/>
    <mergeCell ref="BY39:BY40"/>
    <mergeCell ref="BZ39:BZ40"/>
    <mergeCell ref="CA39:CA40"/>
    <mergeCell ref="CB39:CB40"/>
  </mergeCells>
  <conditionalFormatting sqref="X5:Y11">
    <cfRule type="beginsWith" dxfId="692" priority="691" operator="beginsWith" text="T">
      <formula>LEFT(X5,LEN("T"))="T"</formula>
    </cfRule>
    <cfRule type="containsText" dxfId="691" priority="692" operator="containsText" text="Sin iniciar">
      <formula>NOT(ISERROR(SEARCH("Sin iniciar",X5)))</formula>
    </cfRule>
    <cfRule type="containsText" dxfId="690" priority="693" operator="containsText" text="En gestión">
      <formula>NOT(ISERROR(SEARCH("En gestión",X5)))</formula>
    </cfRule>
  </conditionalFormatting>
  <conditionalFormatting sqref="AC5">
    <cfRule type="beginsWith" dxfId="689" priority="688" operator="beginsWith" text="T">
      <formula>LEFT(AC5,LEN("T"))="T"</formula>
    </cfRule>
    <cfRule type="containsText" dxfId="688" priority="689" operator="containsText" text="Sin iniciar">
      <formula>NOT(ISERROR(SEARCH("Sin iniciar",AC5)))</formula>
    </cfRule>
    <cfRule type="containsText" dxfId="687" priority="690" operator="containsText" text="En gestión">
      <formula>NOT(ISERROR(SEARCH("En gestión",AC5)))</formula>
    </cfRule>
  </conditionalFormatting>
  <conditionalFormatting sqref="AD5">
    <cfRule type="beginsWith" dxfId="686" priority="685" operator="beginsWith" text="T">
      <formula>LEFT(AD5,LEN("T"))="T"</formula>
    </cfRule>
    <cfRule type="containsText" dxfId="685" priority="686" operator="containsText" text="Sin iniciar">
      <formula>NOT(ISERROR(SEARCH("Sin iniciar",AD5)))</formula>
    </cfRule>
    <cfRule type="containsText" dxfId="684" priority="687" operator="containsText" text="En gestión">
      <formula>NOT(ISERROR(SEARCH("En gestión",AD5)))</formula>
    </cfRule>
  </conditionalFormatting>
  <conditionalFormatting sqref="AC10:AD10">
    <cfRule type="beginsWith" dxfId="683" priority="682" operator="beginsWith" text="T">
      <formula>LEFT(AC10,LEN("T"))="T"</formula>
    </cfRule>
    <cfRule type="containsText" dxfId="682" priority="683" operator="containsText" text="Sin iniciar">
      <formula>NOT(ISERROR(SEARCH("Sin iniciar",AC10)))</formula>
    </cfRule>
    <cfRule type="containsText" dxfId="681" priority="684" operator="containsText" text="En gestión">
      <formula>NOT(ISERROR(SEARCH("En gestión",AC10)))</formula>
    </cfRule>
  </conditionalFormatting>
  <conditionalFormatting sqref="AC7">
    <cfRule type="beginsWith" dxfId="680" priority="679" operator="beginsWith" text="T">
      <formula>LEFT(AC7,LEN("T"))="T"</formula>
    </cfRule>
    <cfRule type="containsText" dxfId="679" priority="680" operator="containsText" text="Sin iniciar">
      <formula>NOT(ISERROR(SEARCH("Sin iniciar",AC7)))</formula>
    </cfRule>
    <cfRule type="containsText" dxfId="678" priority="681" operator="containsText" text="En gestión">
      <formula>NOT(ISERROR(SEARCH("En gestión",AC7)))</formula>
    </cfRule>
  </conditionalFormatting>
  <conditionalFormatting sqref="AD7">
    <cfRule type="beginsWith" dxfId="677" priority="676" operator="beginsWith" text="T">
      <formula>LEFT(AD7,LEN("T"))="T"</formula>
    </cfRule>
    <cfRule type="containsText" dxfId="676" priority="677" operator="containsText" text="Sin iniciar">
      <formula>NOT(ISERROR(SEARCH("Sin iniciar",AD7)))</formula>
    </cfRule>
    <cfRule type="containsText" dxfId="675" priority="678" operator="containsText" text="En gestión">
      <formula>NOT(ISERROR(SEARCH("En gestión",AD7)))</formula>
    </cfRule>
  </conditionalFormatting>
  <conditionalFormatting sqref="AT5:AU11">
    <cfRule type="beginsWith" dxfId="674" priority="673" operator="beginsWith" text="T">
      <formula>LEFT(AT5,LEN("T"))="T"</formula>
    </cfRule>
    <cfRule type="containsText" dxfId="673" priority="674" operator="containsText" text="Sin iniciar">
      <formula>NOT(ISERROR(SEARCH("Sin iniciar",AT5)))</formula>
    </cfRule>
    <cfRule type="containsText" dxfId="672" priority="675" operator="containsText" text="En gestión">
      <formula>NOT(ISERROR(SEARCH("En gestión",AT5)))</formula>
    </cfRule>
  </conditionalFormatting>
  <conditionalFormatting sqref="AY5">
    <cfRule type="beginsWith" dxfId="671" priority="670" operator="beginsWith" text="T">
      <formula>LEFT(AY5,LEN("T"))="T"</formula>
    </cfRule>
    <cfRule type="containsText" dxfId="670" priority="671" operator="containsText" text="Sin iniciar">
      <formula>NOT(ISERROR(SEARCH("Sin iniciar",AY5)))</formula>
    </cfRule>
    <cfRule type="containsText" dxfId="669" priority="672" operator="containsText" text="En gestión">
      <formula>NOT(ISERROR(SEARCH("En gestión",AY5)))</formula>
    </cfRule>
  </conditionalFormatting>
  <conditionalFormatting sqref="AZ5:BA5">
    <cfRule type="beginsWith" dxfId="668" priority="667" operator="beginsWith" text="T">
      <formula>LEFT(AZ5,LEN("T"))="T"</formula>
    </cfRule>
    <cfRule type="containsText" dxfId="667" priority="668" operator="containsText" text="Sin iniciar">
      <formula>NOT(ISERROR(SEARCH("Sin iniciar",AZ5)))</formula>
    </cfRule>
    <cfRule type="containsText" dxfId="666" priority="669" operator="containsText" text="En gestión">
      <formula>NOT(ISERROR(SEARCH("En gestión",AZ5)))</formula>
    </cfRule>
  </conditionalFormatting>
  <conditionalFormatting sqref="AY10:BA10">
    <cfRule type="beginsWith" dxfId="665" priority="664" operator="beginsWith" text="T">
      <formula>LEFT(AY10,LEN("T"))="T"</formula>
    </cfRule>
    <cfRule type="containsText" dxfId="664" priority="665" operator="containsText" text="Sin iniciar">
      <formula>NOT(ISERROR(SEARCH("Sin iniciar",AY10)))</formula>
    </cfRule>
    <cfRule type="containsText" dxfId="663" priority="666" operator="containsText" text="En gestión">
      <formula>NOT(ISERROR(SEARCH("En gestión",AY10)))</formula>
    </cfRule>
  </conditionalFormatting>
  <conditionalFormatting sqref="AY7">
    <cfRule type="beginsWith" dxfId="662" priority="661" operator="beginsWith" text="T">
      <formula>LEFT(AY7,LEN("T"))="T"</formula>
    </cfRule>
    <cfRule type="containsText" dxfId="661" priority="662" operator="containsText" text="Sin iniciar">
      <formula>NOT(ISERROR(SEARCH("Sin iniciar",AY7)))</formula>
    </cfRule>
    <cfRule type="containsText" dxfId="660" priority="663" operator="containsText" text="En gestión">
      <formula>NOT(ISERROR(SEARCH("En gestión",AY7)))</formula>
    </cfRule>
  </conditionalFormatting>
  <conditionalFormatting sqref="AZ7:BA7">
    <cfRule type="beginsWith" dxfId="659" priority="658" operator="beginsWith" text="T">
      <formula>LEFT(AZ7,LEN("T"))="T"</formula>
    </cfRule>
    <cfRule type="containsText" dxfId="658" priority="659" operator="containsText" text="Sin iniciar">
      <formula>NOT(ISERROR(SEARCH("Sin iniciar",AZ7)))</formula>
    </cfRule>
    <cfRule type="containsText" dxfId="657" priority="660" operator="containsText" text="En gestión">
      <formula>NOT(ISERROR(SEARCH("En gestión",AZ7)))</formula>
    </cfRule>
  </conditionalFormatting>
  <conditionalFormatting sqref="BP5:BQ11">
    <cfRule type="beginsWith" dxfId="656" priority="655" operator="beginsWith" text="T">
      <formula>LEFT(BP5,LEN("T"))="T"</formula>
    </cfRule>
    <cfRule type="containsText" dxfId="655" priority="656" operator="containsText" text="Sin iniciar">
      <formula>NOT(ISERROR(SEARCH("Sin iniciar",BP5)))</formula>
    </cfRule>
    <cfRule type="containsText" dxfId="654" priority="657" operator="containsText" text="En gestión">
      <formula>NOT(ISERROR(SEARCH("En gestión",BP5)))</formula>
    </cfRule>
  </conditionalFormatting>
  <conditionalFormatting sqref="BU5">
    <cfRule type="beginsWith" dxfId="653" priority="652" operator="beginsWith" text="T">
      <formula>LEFT(BU5,LEN("T"))="T"</formula>
    </cfRule>
    <cfRule type="containsText" dxfId="652" priority="653" operator="containsText" text="Sin iniciar">
      <formula>NOT(ISERROR(SEARCH("Sin iniciar",BU5)))</formula>
    </cfRule>
    <cfRule type="containsText" dxfId="651" priority="654" operator="containsText" text="En gestión">
      <formula>NOT(ISERROR(SEARCH("En gestión",BU5)))</formula>
    </cfRule>
  </conditionalFormatting>
  <conditionalFormatting sqref="BV5">
    <cfRule type="beginsWith" dxfId="650" priority="649" operator="beginsWith" text="T">
      <formula>LEFT(BV5,LEN("T"))="T"</formula>
    </cfRule>
    <cfRule type="containsText" dxfId="649" priority="650" operator="containsText" text="Sin iniciar">
      <formula>NOT(ISERROR(SEARCH("Sin iniciar",BV5)))</formula>
    </cfRule>
    <cfRule type="containsText" dxfId="648" priority="651" operator="containsText" text="En gestión">
      <formula>NOT(ISERROR(SEARCH("En gestión",BV5)))</formula>
    </cfRule>
  </conditionalFormatting>
  <conditionalFormatting sqref="BU10:BV10">
    <cfRule type="beginsWith" dxfId="647" priority="646" operator="beginsWith" text="T">
      <formula>LEFT(BU10,LEN("T"))="T"</formula>
    </cfRule>
    <cfRule type="containsText" dxfId="646" priority="647" operator="containsText" text="Sin iniciar">
      <formula>NOT(ISERROR(SEARCH("Sin iniciar",BU10)))</formula>
    </cfRule>
    <cfRule type="containsText" dxfId="645" priority="648" operator="containsText" text="En gestión">
      <formula>NOT(ISERROR(SEARCH("En gestión",BU10)))</formula>
    </cfRule>
  </conditionalFormatting>
  <conditionalFormatting sqref="BU7">
    <cfRule type="beginsWith" dxfId="644" priority="643" operator="beginsWith" text="T">
      <formula>LEFT(BU7,LEN("T"))="T"</formula>
    </cfRule>
    <cfRule type="containsText" dxfId="643" priority="644" operator="containsText" text="Sin iniciar">
      <formula>NOT(ISERROR(SEARCH("Sin iniciar",BU7)))</formula>
    </cfRule>
    <cfRule type="containsText" dxfId="642" priority="645" operator="containsText" text="En gestión">
      <formula>NOT(ISERROR(SEARCH("En gestión",BU7)))</formula>
    </cfRule>
  </conditionalFormatting>
  <conditionalFormatting sqref="BV7">
    <cfRule type="beginsWith" dxfId="641" priority="640" operator="beginsWith" text="T">
      <formula>LEFT(BV7,LEN("T"))="T"</formula>
    </cfRule>
    <cfRule type="containsText" dxfId="640" priority="641" operator="containsText" text="Sin iniciar">
      <formula>NOT(ISERROR(SEARCH("Sin iniciar",BV7)))</formula>
    </cfRule>
    <cfRule type="containsText" dxfId="639" priority="642" operator="containsText" text="En gestión">
      <formula>NOT(ISERROR(SEARCH("En gestión",BV7)))</formula>
    </cfRule>
  </conditionalFormatting>
  <conditionalFormatting sqref="X17:Y31">
    <cfRule type="beginsWith" dxfId="638" priority="637" operator="beginsWith" text="T">
      <formula>LEFT(X17,LEN("T"))="T"</formula>
    </cfRule>
    <cfRule type="containsText" dxfId="637" priority="638" operator="containsText" text="Sin iniciar">
      <formula>NOT(ISERROR(SEARCH("Sin iniciar",X17)))</formula>
    </cfRule>
    <cfRule type="containsText" dxfId="636" priority="639" operator="containsText" text="En gestión">
      <formula>NOT(ISERROR(SEARCH("En gestión",X17)))</formula>
    </cfRule>
  </conditionalFormatting>
  <conditionalFormatting sqref="AT17:AU31">
    <cfRule type="beginsWith" dxfId="635" priority="634" operator="beginsWith" text="T">
      <formula>LEFT(AT17,LEN("T"))="T"</formula>
    </cfRule>
    <cfRule type="containsText" dxfId="634" priority="635" operator="containsText" text="Sin iniciar">
      <formula>NOT(ISERROR(SEARCH("Sin iniciar",AT17)))</formula>
    </cfRule>
    <cfRule type="containsText" dxfId="633" priority="636" operator="containsText" text="En gestión">
      <formula>NOT(ISERROR(SEARCH("En gestión",AT17)))</formula>
    </cfRule>
  </conditionalFormatting>
  <conditionalFormatting sqref="AC17">
    <cfRule type="beginsWith" dxfId="632" priority="631" operator="beginsWith" text="T">
      <formula>LEFT(AC17,LEN("T"))="T"</formula>
    </cfRule>
    <cfRule type="containsText" dxfId="631" priority="632" operator="containsText" text="Sin iniciar">
      <formula>NOT(ISERROR(SEARCH("Sin iniciar",AC17)))</formula>
    </cfRule>
    <cfRule type="containsText" dxfId="630" priority="633" operator="containsText" text="En gestión">
      <formula>NOT(ISERROR(SEARCH("En gestión",AC17)))</formula>
    </cfRule>
  </conditionalFormatting>
  <conditionalFormatting sqref="AD17">
    <cfRule type="beginsWith" dxfId="629" priority="628" operator="beginsWith" text="T">
      <formula>LEFT(AD17,LEN("T"))="T"</formula>
    </cfRule>
    <cfRule type="containsText" dxfId="628" priority="629" operator="containsText" text="Sin iniciar">
      <formula>NOT(ISERROR(SEARCH("Sin iniciar",AD17)))</formula>
    </cfRule>
    <cfRule type="containsText" dxfId="627" priority="630" operator="containsText" text="En gestión">
      <formula>NOT(ISERROR(SEARCH("En gestión",AD17)))</formula>
    </cfRule>
  </conditionalFormatting>
  <conditionalFormatting sqref="AC22">
    <cfRule type="beginsWith" dxfId="626" priority="625" operator="beginsWith" text="T">
      <formula>LEFT(AC22,LEN("T"))="T"</formula>
    </cfRule>
    <cfRule type="containsText" dxfId="625" priority="626" operator="containsText" text="Sin iniciar">
      <formula>NOT(ISERROR(SEARCH("Sin iniciar",AC22)))</formula>
    </cfRule>
    <cfRule type="containsText" dxfId="624" priority="627" operator="containsText" text="En gestión">
      <formula>NOT(ISERROR(SEARCH("En gestión",AC22)))</formula>
    </cfRule>
  </conditionalFormatting>
  <conditionalFormatting sqref="AD22">
    <cfRule type="beginsWith" dxfId="623" priority="622" operator="beginsWith" text="T">
      <formula>LEFT(AD22,LEN("T"))="T"</formula>
    </cfRule>
    <cfRule type="containsText" dxfId="622" priority="623" operator="containsText" text="Sin iniciar">
      <formula>NOT(ISERROR(SEARCH("Sin iniciar",AD22)))</formula>
    </cfRule>
    <cfRule type="containsText" dxfId="621" priority="624" operator="containsText" text="En gestión">
      <formula>NOT(ISERROR(SEARCH("En gestión",AD22)))</formula>
    </cfRule>
  </conditionalFormatting>
  <conditionalFormatting sqref="AY17">
    <cfRule type="beginsWith" dxfId="620" priority="619" operator="beginsWith" text="T">
      <formula>LEFT(AY17,LEN("T"))="T"</formula>
    </cfRule>
    <cfRule type="containsText" dxfId="619" priority="620" operator="containsText" text="Sin iniciar">
      <formula>NOT(ISERROR(SEARCH("Sin iniciar",AY17)))</formula>
    </cfRule>
    <cfRule type="containsText" dxfId="618" priority="621" operator="containsText" text="En gestión">
      <formula>NOT(ISERROR(SEARCH("En gestión",AY17)))</formula>
    </cfRule>
  </conditionalFormatting>
  <conditionalFormatting sqref="AZ17:BA17">
    <cfRule type="beginsWith" dxfId="617" priority="616" operator="beginsWith" text="T">
      <formula>LEFT(AZ17,LEN("T"))="T"</formula>
    </cfRule>
    <cfRule type="containsText" dxfId="616" priority="617" operator="containsText" text="Sin iniciar">
      <formula>NOT(ISERROR(SEARCH("Sin iniciar",AZ17)))</formula>
    </cfRule>
    <cfRule type="containsText" dxfId="615" priority="618" operator="containsText" text="En gestión">
      <formula>NOT(ISERROR(SEARCH("En gestión",AZ17)))</formula>
    </cfRule>
  </conditionalFormatting>
  <conditionalFormatting sqref="AY22">
    <cfRule type="beginsWith" dxfId="614" priority="613" operator="beginsWith" text="T">
      <formula>LEFT(AY22,LEN("T"))="T"</formula>
    </cfRule>
    <cfRule type="containsText" dxfId="613" priority="614" operator="containsText" text="Sin iniciar">
      <formula>NOT(ISERROR(SEARCH("Sin iniciar",AY22)))</formula>
    </cfRule>
    <cfRule type="containsText" dxfId="612" priority="615" operator="containsText" text="En gestión">
      <formula>NOT(ISERROR(SEARCH("En gestión",AY22)))</formula>
    </cfRule>
  </conditionalFormatting>
  <conditionalFormatting sqref="AZ22">
    <cfRule type="beginsWith" dxfId="611" priority="610" operator="beginsWith" text="T">
      <formula>LEFT(AZ22,LEN("T"))="T"</formula>
    </cfRule>
    <cfRule type="containsText" dxfId="610" priority="611" operator="containsText" text="Sin iniciar">
      <formula>NOT(ISERROR(SEARCH("Sin iniciar",AZ22)))</formula>
    </cfRule>
    <cfRule type="containsText" dxfId="609" priority="612" operator="containsText" text="En gestión">
      <formula>NOT(ISERROR(SEARCH("En gestión",AZ22)))</formula>
    </cfRule>
  </conditionalFormatting>
  <conditionalFormatting sqref="AC24">
    <cfRule type="beginsWith" dxfId="608" priority="607" operator="beginsWith" text="T">
      <formula>LEFT(AC24,LEN("T"))="T"</formula>
    </cfRule>
    <cfRule type="containsText" dxfId="607" priority="608" operator="containsText" text="Sin iniciar">
      <formula>NOT(ISERROR(SEARCH("Sin iniciar",AC24)))</formula>
    </cfRule>
    <cfRule type="containsText" dxfId="606" priority="609" operator="containsText" text="En gestión">
      <formula>NOT(ISERROR(SEARCH("En gestión",AC24)))</formula>
    </cfRule>
  </conditionalFormatting>
  <conditionalFormatting sqref="AD24">
    <cfRule type="beginsWith" dxfId="605" priority="604" operator="beginsWith" text="T">
      <formula>LEFT(AD24,LEN("T"))="T"</formula>
    </cfRule>
    <cfRule type="containsText" dxfId="604" priority="605" operator="containsText" text="Sin iniciar">
      <formula>NOT(ISERROR(SEARCH("Sin iniciar",AD24)))</formula>
    </cfRule>
    <cfRule type="containsText" dxfId="603" priority="606" operator="containsText" text="En gestión">
      <formula>NOT(ISERROR(SEARCH("En gestión",AD24)))</formula>
    </cfRule>
  </conditionalFormatting>
  <conditionalFormatting sqref="AC28">
    <cfRule type="beginsWith" dxfId="602" priority="601" operator="beginsWith" text="T">
      <formula>LEFT(AC28,LEN("T"))="T"</formula>
    </cfRule>
    <cfRule type="containsText" dxfId="601" priority="602" operator="containsText" text="Sin iniciar">
      <formula>NOT(ISERROR(SEARCH("Sin iniciar",AC28)))</formula>
    </cfRule>
    <cfRule type="containsText" dxfId="600" priority="603" operator="containsText" text="En gestión">
      <formula>NOT(ISERROR(SEARCH("En gestión",AC28)))</formula>
    </cfRule>
  </conditionalFormatting>
  <conditionalFormatting sqref="AD28">
    <cfRule type="beginsWith" dxfId="599" priority="598" operator="beginsWith" text="T">
      <formula>LEFT(AD28,LEN("T"))="T"</formula>
    </cfRule>
    <cfRule type="containsText" dxfId="598" priority="599" operator="containsText" text="Sin iniciar">
      <formula>NOT(ISERROR(SEARCH("Sin iniciar",AD28)))</formula>
    </cfRule>
    <cfRule type="containsText" dxfId="597" priority="600" operator="containsText" text="En gestión">
      <formula>NOT(ISERROR(SEARCH("En gestión",AD28)))</formula>
    </cfRule>
  </conditionalFormatting>
  <conditionalFormatting sqref="AY24">
    <cfRule type="beginsWith" dxfId="596" priority="595" operator="beginsWith" text="T">
      <formula>LEFT(AY24,LEN("T"))="T"</formula>
    </cfRule>
    <cfRule type="containsText" dxfId="595" priority="596" operator="containsText" text="Sin iniciar">
      <formula>NOT(ISERROR(SEARCH("Sin iniciar",AY24)))</formula>
    </cfRule>
    <cfRule type="containsText" dxfId="594" priority="597" operator="containsText" text="En gestión">
      <formula>NOT(ISERROR(SEARCH("En gestión",AY24)))</formula>
    </cfRule>
  </conditionalFormatting>
  <conditionalFormatting sqref="AZ24:BA24">
    <cfRule type="beginsWith" dxfId="593" priority="592" operator="beginsWith" text="T">
      <formula>LEFT(AZ24,LEN("T"))="T"</formula>
    </cfRule>
    <cfRule type="containsText" dxfId="592" priority="593" operator="containsText" text="Sin iniciar">
      <formula>NOT(ISERROR(SEARCH("Sin iniciar",AZ24)))</formula>
    </cfRule>
    <cfRule type="containsText" dxfId="591" priority="594" operator="containsText" text="En gestión">
      <formula>NOT(ISERROR(SEARCH("En gestión",AZ24)))</formula>
    </cfRule>
  </conditionalFormatting>
  <conditionalFormatting sqref="AY28">
    <cfRule type="beginsWith" dxfId="590" priority="589" operator="beginsWith" text="T">
      <formula>LEFT(AY28,LEN("T"))="T"</formula>
    </cfRule>
    <cfRule type="containsText" dxfId="589" priority="590" operator="containsText" text="Sin iniciar">
      <formula>NOT(ISERROR(SEARCH("Sin iniciar",AY28)))</formula>
    </cfRule>
    <cfRule type="containsText" dxfId="588" priority="591" operator="containsText" text="En gestión">
      <formula>NOT(ISERROR(SEARCH("En gestión",AY28)))</formula>
    </cfRule>
  </conditionalFormatting>
  <conditionalFormatting sqref="AZ28">
    <cfRule type="beginsWith" dxfId="587" priority="586" operator="beginsWith" text="T">
      <formula>LEFT(AZ28,LEN("T"))="T"</formula>
    </cfRule>
    <cfRule type="containsText" dxfId="586" priority="587" operator="containsText" text="Sin iniciar">
      <formula>NOT(ISERROR(SEARCH("Sin iniciar",AZ28)))</formula>
    </cfRule>
    <cfRule type="containsText" dxfId="585" priority="588" operator="containsText" text="En gestión">
      <formula>NOT(ISERROR(SEARCH("En gestión",AZ28)))</formula>
    </cfRule>
  </conditionalFormatting>
  <conditionalFormatting sqref="AC29">
    <cfRule type="beginsWith" dxfId="584" priority="583" operator="beginsWith" text="T">
      <formula>LEFT(AC29,LEN("T"))="T"</formula>
    </cfRule>
    <cfRule type="containsText" dxfId="583" priority="584" operator="containsText" text="Sin iniciar">
      <formula>NOT(ISERROR(SEARCH("Sin iniciar",AC29)))</formula>
    </cfRule>
    <cfRule type="containsText" dxfId="582" priority="585" operator="containsText" text="En gestión">
      <formula>NOT(ISERROR(SEARCH("En gestión",AC29)))</formula>
    </cfRule>
  </conditionalFormatting>
  <conditionalFormatting sqref="AD29">
    <cfRule type="beginsWith" dxfId="581" priority="580" operator="beginsWith" text="T">
      <formula>LEFT(AD29,LEN("T"))="T"</formula>
    </cfRule>
    <cfRule type="containsText" dxfId="580" priority="581" operator="containsText" text="Sin iniciar">
      <formula>NOT(ISERROR(SEARCH("Sin iniciar",AD29)))</formula>
    </cfRule>
    <cfRule type="containsText" dxfId="579" priority="582" operator="containsText" text="En gestión">
      <formula>NOT(ISERROR(SEARCH("En gestión",AD29)))</formula>
    </cfRule>
  </conditionalFormatting>
  <conditionalFormatting sqref="AY29">
    <cfRule type="beginsWith" dxfId="578" priority="577" operator="beginsWith" text="T">
      <formula>LEFT(AY29,LEN("T"))="T"</formula>
    </cfRule>
    <cfRule type="containsText" dxfId="577" priority="578" operator="containsText" text="Sin iniciar">
      <formula>NOT(ISERROR(SEARCH("Sin iniciar",AY29)))</formula>
    </cfRule>
    <cfRule type="containsText" dxfId="576" priority="579" operator="containsText" text="En gestión">
      <formula>NOT(ISERROR(SEARCH("En gestión",AY29)))</formula>
    </cfRule>
  </conditionalFormatting>
  <conditionalFormatting sqref="AZ29:BA29">
    <cfRule type="beginsWith" dxfId="575" priority="574" operator="beginsWith" text="T">
      <formula>LEFT(AZ29,LEN("T"))="T"</formula>
    </cfRule>
    <cfRule type="containsText" dxfId="574" priority="575" operator="containsText" text="Sin iniciar">
      <formula>NOT(ISERROR(SEARCH("Sin iniciar",AZ29)))</formula>
    </cfRule>
    <cfRule type="containsText" dxfId="573" priority="576" operator="containsText" text="En gestión">
      <formula>NOT(ISERROR(SEARCH("En gestión",AZ29)))</formula>
    </cfRule>
  </conditionalFormatting>
  <conditionalFormatting sqref="BP17:BQ31">
    <cfRule type="beginsWith" dxfId="572" priority="571" operator="beginsWith" text="T">
      <formula>LEFT(BP17,LEN("T"))="T"</formula>
    </cfRule>
    <cfRule type="containsText" dxfId="571" priority="572" operator="containsText" text="Sin iniciar">
      <formula>NOT(ISERROR(SEARCH("Sin iniciar",BP17)))</formula>
    </cfRule>
    <cfRule type="containsText" dxfId="570" priority="573" operator="containsText" text="En gestión">
      <formula>NOT(ISERROR(SEARCH("En gestión",BP17)))</formula>
    </cfRule>
  </conditionalFormatting>
  <conditionalFormatting sqref="BU17">
    <cfRule type="beginsWith" dxfId="569" priority="568" operator="beginsWith" text="T">
      <formula>LEFT(BU17,LEN("T"))="T"</formula>
    </cfRule>
    <cfRule type="containsText" dxfId="568" priority="569" operator="containsText" text="Sin iniciar">
      <formula>NOT(ISERROR(SEARCH("Sin iniciar",BU17)))</formula>
    </cfRule>
    <cfRule type="containsText" dxfId="567" priority="570" operator="containsText" text="En gestión">
      <formula>NOT(ISERROR(SEARCH("En gestión",BU17)))</formula>
    </cfRule>
  </conditionalFormatting>
  <conditionalFormatting sqref="BV17">
    <cfRule type="beginsWith" dxfId="566" priority="565" operator="beginsWith" text="T">
      <formula>LEFT(BV17,LEN("T"))="T"</formula>
    </cfRule>
    <cfRule type="containsText" dxfId="565" priority="566" operator="containsText" text="Sin iniciar">
      <formula>NOT(ISERROR(SEARCH("Sin iniciar",BV17)))</formula>
    </cfRule>
    <cfRule type="containsText" dxfId="564" priority="567" operator="containsText" text="En gestión">
      <formula>NOT(ISERROR(SEARCH("En gestión",BV17)))</formula>
    </cfRule>
  </conditionalFormatting>
  <conditionalFormatting sqref="BU22">
    <cfRule type="beginsWith" dxfId="563" priority="562" operator="beginsWith" text="T">
      <formula>LEFT(BU22,LEN("T"))="T"</formula>
    </cfRule>
    <cfRule type="containsText" dxfId="562" priority="563" operator="containsText" text="Sin iniciar">
      <formula>NOT(ISERROR(SEARCH("Sin iniciar",BU22)))</formula>
    </cfRule>
    <cfRule type="containsText" dxfId="561" priority="564" operator="containsText" text="En gestión">
      <formula>NOT(ISERROR(SEARCH("En gestión",BU22)))</formula>
    </cfRule>
  </conditionalFormatting>
  <conditionalFormatting sqref="BV22">
    <cfRule type="beginsWith" dxfId="560" priority="559" operator="beginsWith" text="T">
      <formula>LEFT(BV22,LEN("T"))="T"</formula>
    </cfRule>
    <cfRule type="containsText" dxfId="559" priority="560" operator="containsText" text="Sin iniciar">
      <formula>NOT(ISERROR(SEARCH("Sin iniciar",BV22)))</formula>
    </cfRule>
    <cfRule type="containsText" dxfId="558" priority="561" operator="containsText" text="En gestión">
      <formula>NOT(ISERROR(SEARCH("En gestión",BV22)))</formula>
    </cfRule>
  </conditionalFormatting>
  <conditionalFormatting sqref="BU24">
    <cfRule type="beginsWith" dxfId="557" priority="556" operator="beginsWith" text="T">
      <formula>LEFT(BU24,LEN("T"))="T"</formula>
    </cfRule>
    <cfRule type="containsText" dxfId="556" priority="557" operator="containsText" text="Sin iniciar">
      <formula>NOT(ISERROR(SEARCH("Sin iniciar",BU24)))</formula>
    </cfRule>
    <cfRule type="containsText" dxfId="555" priority="558" operator="containsText" text="En gestión">
      <formula>NOT(ISERROR(SEARCH("En gestión",BU24)))</formula>
    </cfRule>
  </conditionalFormatting>
  <conditionalFormatting sqref="BV24">
    <cfRule type="beginsWith" dxfId="554" priority="553" operator="beginsWith" text="T">
      <formula>LEFT(BV24,LEN("T"))="T"</formula>
    </cfRule>
    <cfRule type="containsText" dxfId="553" priority="554" operator="containsText" text="Sin iniciar">
      <formula>NOT(ISERROR(SEARCH("Sin iniciar",BV24)))</formula>
    </cfRule>
    <cfRule type="containsText" dxfId="552" priority="555" operator="containsText" text="En gestión">
      <formula>NOT(ISERROR(SEARCH("En gestión",BV24)))</formula>
    </cfRule>
  </conditionalFormatting>
  <conditionalFormatting sqref="BU28">
    <cfRule type="beginsWith" dxfId="551" priority="550" operator="beginsWith" text="T">
      <formula>LEFT(BU28,LEN("T"))="T"</formula>
    </cfRule>
    <cfRule type="containsText" dxfId="550" priority="551" operator="containsText" text="Sin iniciar">
      <formula>NOT(ISERROR(SEARCH("Sin iniciar",BU28)))</formula>
    </cfRule>
    <cfRule type="containsText" dxfId="549" priority="552" operator="containsText" text="En gestión">
      <formula>NOT(ISERROR(SEARCH("En gestión",BU28)))</formula>
    </cfRule>
  </conditionalFormatting>
  <conditionalFormatting sqref="BV28">
    <cfRule type="beginsWith" dxfId="548" priority="547" operator="beginsWith" text="T">
      <formula>LEFT(BV28,LEN("T"))="T"</formula>
    </cfRule>
    <cfRule type="containsText" dxfId="547" priority="548" operator="containsText" text="Sin iniciar">
      <formula>NOT(ISERROR(SEARCH("Sin iniciar",BV28)))</formula>
    </cfRule>
    <cfRule type="containsText" dxfId="546" priority="549" operator="containsText" text="En gestión">
      <formula>NOT(ISERROR(SEARCH("En gestión",BV28)))</formula>
    </cfRule>
  </conditionalFormatting>
  <conditionalFormatting sqref="BU29">
    <cfRule type="beginsWith" dxfId="545" priority="544" operator="beginsWith" text="T">
      <formula>LEFT(BU29,LEN("T"))="T"</formula>
    </cfRule>
    <cfRule type="containsText" dxfId="544" priority="545" operator="containsText" text="Sin iniciar">
      <formula>NOT(ISERROR(SEARCH("Sin iniciar",BU29)))</formula>
    </cfRule>
    <cfRule type="containsText" dxfId="543" priority="546" operator="containsText" text="En gestión">
      <formula>NOT(ISERROR(SEARCH("En gestión",BU29)))</formula>
    </cfRule>
  </conditionalFormatting>
  <conditionalFormatting sqref="BV29">
    <cfRule type="beginsWith" dxfId="542" priority="541" operator="beginsWith" text="T">
      <formula>LEFT(BV29,LEN("T"))="T"</formula>
    </cfRule>
    <cfRule type="containsText" dxfId="541" priority="542" operator="containsText" text="Sin iniciar">
      <formula>NOT(ISERROR(SEARCH("Sin iniciar",BV29)))</formula>
    </cfRule>
    <cfRule type="containsText" dxfId="540" priority="543" operator="containsText" text="En gestión">
      <formula>NOT(ISERROR(SEARCH("En gestión",BV29)))</formula>
    </cfRule>
  </conditionalFormatting>
  <conditionalFormatting sqref="X32:Y36">
    <cfRule type="beginsWith" dxfId="539" priority="538" operator="beginsWith" text="T">
      <formula>LEFT(X32,LEN("T"))="T"</formula>
    </cfRule>
    <cfRule type="containsText" dxfId="538" priority="539" operator="containsText" text="Sin iniciar">
      <formula>NOT(ISERROR(SEARCH("Sin iniciar",X32)))</formula>
    </cfRule>
    <cfRule type="containsText" dxfId="537" priority="540" operator="containsText" text="En gestión">
      <formula>NOT(ISERROR(SEARCH("En gestión",X32)))</formula>
    </cfRule>
  </conditionalFormatting>
  <conditionalFormatting sqref="AT32:AU36">
    <cfRule type="beginsWith" dxfId="536" priority="535" operator="beginsWith" text="T">
      <formula>LEFT(AT32,LEN("T"))="T"</formula>
    </cfRule>
    <cfRule type="containsText" dxfId="535" priority="536" operator="containsText" text="Sin iniciar">
      <formula>NOT(ISERROR(SEARCH("Sin iniciar",AT32)))</formula>
    </cfRule>
    <cfRule type="containsText" dxfId="534" priority="537" operator="containsText" text="En gestión">
      <formula>NOT(ISERROR(SEARCH("En gestión",AT32)))</formula>
    </cfRule>
  </conditionalFormatting>
  <conditionalFormatting sqref="AD32 AD36 AD34">
    <cfRule type="beginsWith" dxfId="533" priority="529" operator="beginsWith" text="T">
      <formula>LEFT(AD32,LEN("T"))="T"</formula>
    </cfRule>
    <cfRule type="containsText" dxfId="532" priority="530" operator="containsText" text="Sin iniciar">
      <formula>NOT(ISERROR(SEARCH("Sin iniciar",AD32)))</formula>
    </cfRule>
    <cfRule type="containsText" dxfId="531" priority="531" operator="containsText" text="En gestión">
      <formula>NOT(ISERROR(SEARCH("En gestión",AD32)))</formula>
    </cfRule>
  </conditionalFormatting>
  <conditionalFormatting sqref="AC32 AC36 AC34">
    <cfRule type="beginsWith" dxfId="530" priority="532" operator="beginsWith" text="T">
      <formula>LEFT(AC32,LEN("T"))="T"</formula>
    </cfRule>
    <cfRule type="containsText" dxfId="529" priority="533" operator="containsText" text="Sin iniciar">
      <formula>NOT(ISERROR(SEARCH("Sin iniciar",AC32)))</formula>
    </cfRule>
    <cfRule type="containsText" dxfId="528" priority="534" operator="containsText" text="En gestión">
      <formula>NOT(ISERROR(SEARCH("En gestión",AC32)))</formula>
    </cfRule>
  </conditionalFormatting>
  <conditionalFormatting sqref="AY32">
    <cfRule type="beginsWith" dxfId="527" priority="526" operator="beginsWith" text="T">
      <formula>LEFT(AY32,LEN("T"))="T"</formula>
    </cfRule>
    <cfRule type="containsText" dxfId="526" priority="527" operator="containsText" text="Sin iniciar">
      <formula>NOT(ISERROR(SEARCH("Sin iniciar",AY32)))</formula>
    </cfRule>
    <cfRule type="containsText" dxfId="525" priority="528" operator="containsText" text="En gestión">
      <formula>NOT(ISERROR(SEARCH("En gestión",AY32)))</formula>
    </cfRule>
  </conditionalFormatting>
  <conditionalFormatting sqref="AZ32:BA32">
    <cfRule type="beginsWith" dxfId="524" priority="523" operator="beginsWith" text="T">
      <formula>LEFT(AZ32,LEN("T"))="T"</formula>
    </cfRule>
    <cfRule type="containsText" dxfId="523" priority="524" operator="containsText" text="Sin iniciar">
      <formula>NOT(ISERROR(SEARCH("Sin iniciar",AZ32)))</formula>
    </cfRule>
    <cfRule type="containsText" dxfId="522" priority="525" operator="containsText" text="En gestión">
      <formula>NOT(ISERROR(SEARCH("En gestión",AZ32)))</formula>
    </cfRule>
  </conditionalFormatting>
  <conditionalFormatting sqref="AZ36">
    <cfRule type="beginsWith" dxfId="521" priority="517" operator="beginsWith" text="T">
      <formula>LEFT(AZ36,LEN("T"))="T"</formula>
    </cfRule>
    <cfRule type="containsText" dxfId="520" priority="518" operator="containsText" text="Sin iniciar">
      <formula>NOT(ISERROR(SEARCH("Sin iniciar",AZ36)))</formula>
    </cfRule>
    <cfRule type="containsText" dxfId="519" priority="519" operator="containsText" text="En gestión">
      <formula>NOT(ISERROR(SEARCH("En gestión",AZ36)))</formula>
    </cfRule>
  </conditionalFormatting>
  <conditionalFormatting sqref="AY36">
    <cfRule type="beginsWith" dxfId="518" priority="520" operator="beginsWith" text="T">
      <formula>LEFT(AY36,LEN("T"))="T"</formula>
    </cfRule>
    <cfRule type="containsText" dxfId="517" priority="521" operator="containsText" text="Sin iniciar">
      <formula>NOT(ISERROR(SEARCH("Sin iniciar",AY36)))</formula>
    </cfRule>
    <cfRule type="containsText" dxfId="516" priority="522" operator="containsText" text="En gestión">
      <formula>NOT(ISERROR(SEARCH("En gestión",AY36)))</formula>
    </cfRule>
  </conditionalFormatting>
  <conditionalFormatting sqref="AY34">
    <cfRule type="beginsWith" dxfId="515" priority="514" operator="beginsWith" text="T">
      <formula>LEFT(AY34,LEN("T"))="T"</formula>
    </cfRule>
    <cfRule type="containsText" dxfId="514" priority="515" operator="containsText" text="Sin iniciar">
      <formula>NOT(ISERROR(SEARCH("Sin iniciar",AY34)))</formula>
    </cfRule>
    <cfRule type="containsText" dxfId="513" priority="516" operator="containsText" text="En gestión">
      <formula>NOT(ISERROR(SEARCH("En gestión",AY34)))</formula>
    </cfRule>
  </conditionalFormatting>
  <conditionalFormatting sqref="AZ34:BA34">
    <cfRule type="beginsWith" dxfId="512" priority="511" operator="beginsWith" text="T">
      <formula>LEFT(AZ34,LEN("T"))="T"</formula>
    </cfRule>
    <cfRule type="containsText" dxfId="511" priority="512" operator="containsText" text="Sin iniciar">
      <formula>NOT(ISERROR(SEARCH("Sin iniciar",AZ34)))</formula>
    </cfRule>
    <cfRule type="containsText" dxfId="510" priority="513" operator="containsText" text="En gestión">
      <formula>NOT(ISERROR(SEARCH("En gestión",AZ34)))</formula>
    </cfRule>
  </conditionalFormatting>
  <conditionalFormatting sqref="BP32:BQ36">
    <cfRule type="beginsWith" dxfId="509" priority="508" operator="beginsWith" text="T">
      <formula>LEFT(BP32,LEN("T"))="T"</formula>
    </cfRule>
    <cfRule type="containsText" dxfId="508" priority="509" operator="containsText" text="Sin iniciar">
      <formula>NOT(ISERROR(SEARCH("Sin iniciar",BP32)))</formula>
    </cfRule>
    <cfRule type="containsText" dxfId="507" priority="510" operator="containsText" text="En gestión">
      <formula>NOT(ISERROR(SEARCH("En gestión",BP32)))</formula>
    </cfRule>
  </conditionalFormatting>
  <conditionalFormatting sqref="BU32">
    <cfRule type="beginsWith" dxfId="506" priority="505" operator="beginsWith" text="T">
      <formula>LEFT(BU32,LEN("T"))="T"</formula>
    </cfRule>
    <cfRule type="containsText" dxfId="505" priority="506" operator="containsText" text="Sin iniciar">
      <formula>NOT(ISERROR(SEARCH("Sin iniciar",BU32)))</formula>
    </cfRule>
    <cfRule type="containsText" dxfId="504" priority="507" operator="containsText" text="En gestión">
      <formula>NOT(ISERROR(SEARCH("En gestión",BU32)))</formula>
    </cfRule>
  </conditionalFormatting>
  <conditionalFormatting sqref="BV32">
    <cfRule type="beginsWith" dxfId="503" priority="502" operator="beginsWith" text="T">
      <formula>LEFT(BV32,LEN("T"))="T"</formula>
    </cfRule>
    <cfRule type="containsText" dxfId="502" priority="503" operator="containsText" text="Sin iniciar">
      <formula>NOT(ISERROR(SEARCH("Sin iniciar",BV32)))</formula>
    </cfRule>
    <cfRule type="containsText" dxfId="501" priority="504" operator="containsText" text="En gestión">
      <formula>NOT(ISERROR(SEARCH("En gestión",BV32)))</formula>
    </cfRule>
  </conditionalFormatting>
  <conditionalFormatting sqref="BV36">
    <cfRule type="beginsWith" dxfId="500" priority="496" operator="beginsWith" text="T">
      <formula>LEFT(BV36,LEN("T"))="T"</formula>
    </cfRule>
    <cfRule type="containsText" dxfId="499" priority="497" operator="containsText" text="Sin iniciar">
      <formula>NOT(ISERROR(SEARCH("Sin iniciar",BV36)))</formula>
    </cfRule>
    <cfRule type="containsText" dxfId="498" priority="498" operator="containsText" text="En gestión">
      <formula>NOT(ISERROR(SEARCH("En gestión",BV36)))</formula>
    </cfRule>
  </conditionalFormatting>
  <conditionalFormatting sqref="BU36">
    <cfRule type="beginsWith" dxfId="497" priority="499" operator="beginsWith" text="T">
      <formula>LEFT(BU36,LEN("T"))="T"</formula>
    </cfRule>
    <cfRule type="containsText" dxfId="496" priority="500" operator="containsText" text="Sin iniciar">
      <formula>NOT(ISERROR(SEARCH("Sin iniciar",BU36)))</formula>
    </cfRule>
    <cfRule type="containsText" dxfId="495" priority="501" operator="containsText" text="En gestión">
      <formula>NOT(ISERROR(SEARCH("En gestión",BU36)))</formula>
    </cfRule>
  </conditionalFormatting>
  <conditionalFormatting sqref="BU34">
    <cfRule type="beginsWith" dxfId="494" priority="493" operator="beginsWith" text="T">
      <formula>LEFT(BU34,LEN("T"))="T"</formula>
    </cfRule>
    <cfRule type="containsText" dxfId="493" priority="494" operator="containsText" text="Sin iniciar">
      <formula>NOT(ISERROR(SEARCH("Sin iniciar",BU34)))</formula>
    </cfRule>
    <cfRule type="containsText" dxfId="492" priority="495" operator="containsText" text="En gestión">
      <formula>NOT(ISERROR(SEARCH("En gestión",BU34)))</formula>
    </cfRule>
  </conditionalFormatting>
  <conditionalFormatting sqref="BV34">
    <cfRule type="beginsWith" dxfId="491" priority="490" operator="beginsWith" text="T">
      <formula>LEFT(BV34,LEN("T"))="T"</formula>
    </cfRule>
    <cfRule type="containsText" dxfId="490" priority="491" operator="containsText" text="Sin iniciar">
      <formula>NOT(ISERROR(SEARCH("Sin iniciar",BV34)))</formula>
    </cfRule>
    <cfRule type="containsText" dxfId="489" priority="492" operator="containsText" text="En gestión">
      <formula>NOT(ISERROR(SEARCH("En gestión",BV34)))</formula>
    </cfRule>
  </conditionalFormatting>
  <conditionalFormatting sqref="X12:Y16">
    <cfRule type="beginsWith" dxfId="488" priority="487" operator="beginsWith" text="T">
      <formula>LEFT(X12,LEN("T"))="T"</formula>
    </cfRule>
    <cfRule type="containsText" dxfId="487" priority="488" operator="containsText" text="Sin iniciar">
      <formula>NOT(ISERROR(SEARCH("Sin iniciar",X12)))</formula>
    </cfRule>
    <cfRule type="containsText" dxfId="486" priority="489" operator="containsText" text="En gestión">
      <formula>NOT(ISERROR(SEARCH("En gestión",X12)))</formula>
    </cfRule>
  </conditionalFormatting>
  <conditionalFormatting sqref="AT12:AU16">
    <cfRule type="beginsWith" dxfId="485" priority="484" operator="beginsWith" text="T">
      <formula>LEFT(AT12,LEN("T"))="T"</formula>
    </cfRule>
    <cfRule type="containsText" dxfId="484" priority="485" operator="containsText" text="Sin iniciar">
      <formula>NOT(ISERROR(SEARCH("Sin iniciar",AT12)))</formula>
    </cfRule>
    <cfRule type="containsText" dxfId="483" priority="486" operator="containsText" text="En gestión">
      <formula>NOT(ISERROR(SEARCH("En gestión",AT12)))</formula>
    </cfRule>
  </conditionalFormatting>
  <conditionalFormatting sqref="AD12">
    <cfRule type="beginsWith" dxfId="482" priority="475" operator="beginsWith" text="T">
      <formula>LEFT(AD12,LEN("T"))="T"</formula>
    </cfRule>
    <cfRule type="containsText" dxfId="481" priority="476" operator="containsText" text="Sin iniciar">
      <formula>NOT(ISERROR(SEARCH("Sin iniciar",AD12)))</formula>
    </cfRule>
    <cfRule type="containsText" dxfId="480" priority="477" operator="containsText" text="En gestión">
      <formula>NOT(ISERROR(SEARCH("En gestión",AD12)))</formula>
    </cfRule>
  </conditionalFormatting>
  <conditionalFormatting sqref="AC16:AD16">
    <cfRule type="beginsWith" dxfId="479" priority="481" operator="beginsWith" text="T">
      <formula>LEFT(AC16,LEN("T"))="T"</formula>
    </cfRule>
    <cfRule type="containsText" dxfId="478" priority="482" operator="containsText" text="Sin iniciar">
      <formula>NOT(ISERROR(SEARCH("Sin iniciar",AC16)))</formula>
    </cfRule>
    <cfRule type="containsText" dxfId="477" priority="483" operator="containsText" text="En gestión">
      <formula>NOT(ISERROR(SEARCH("En gestión",AC16)))</formula>
    </cfRule>
  </conditionalFormatting>
  <conditionalFormatting sqref="AC12">
    <cfRule type="beginsWith" dxfId="476" priority="478" operator="beginsWith" text="T">
      <formula>LEFT(AC12,LEN("T"))="T"</formula>
    </cfRule>
    <cfRule type="containsText" dxfId="475" priority="479" operator="containsText" text="Sin iniciar">
      <formula>NOT(ISERROR(SEARCH("Sin iniciar",AC12)))</formula>
    </cfRule>
    <cfRule type="containsText" dxfId="474" priority="480" operator="containsText" text="En gestión">
      <formula>NOT(ISERROR(SEARCH("En gestión",AC12)))</formula>
    </cfRule>
  </conditionalFormatting>
  <conditionalFormatting sqref="AY12">
    <cfRule type="beginsWith" dxfId="473" priority="472" operator="beginsWith" text="T">
      <formula>LEFT(AY12,LEN("T"))="T"</formula>
    </cfRule>
    <cfRule type="containsText" dxfId="472" priority="473" operator="containsText" text="Sin iniciar">
      <formula>NOT(ISERROR(SEARCH("Sin iniciar",AY12)))</formula>
    </cfRule>
    <cfRule type="containsText" dxfId="471" priority="474" operator="containsText" text="En gestión">
      <formula>NOT(ISERROR(SEARCH("En gestión",AY12)))</formula>
    </cfRule>
  </conditionalFormatting>
  <conditionalFormatting sqref="AZ12:BA12">
    <cfRule type="beginsWith" dxfId="470" priority="469" operator="beginsWith" text="T">
      <formula>LEFT(AZ12,LEN("T"))="T"</formula>
    </cfRule>
    <cfRule type="containsText" dxfId="469" priority="470" operator="containsText" text="Sin iniciar">
      <formula>NOT(ISERROR(SEARCH("Sin iniciar",AZ12)))</formula>
    </cfRule>
    <cfRule type="containsText" dxfId="468" priority="471" operator="containsText" text="En gestión">
      <formula>NOT(ISERROR(SEARCH("En gestión",AZ12)))</formula>
    </cfRule>
  </conditionalFormatting>
  <conditionalFormatting sqref="AY16">
    <cfRule type="beginsWith" dxfId="467" priority="466" operator="beginsWith" text="T">
      <formula>LEFT(AY16,LEN("T"))="T"</formula>
    </cfRule>
    <cfRule type="containsText" dxfId="466" priority="467" operator="containsText" text="Sin iniciar">
      <formula>NOT(ISERROR(SEARCH("Sin iniciar",AY16)))</formula>
    </cfRule>
    <cfRule type="containsText" dxfId="465" priority="468" operator="containsText" text="En gestión">
      <formula>NOT(ISERROR(SEARCH("En gestión",AY16)))</formula>
    </cfRule>
  </conditionalFormatting>
  <conditionalFormatting sqref="AZ16">
    <cfRule type="beginsWith" dxfId="464" priority="463" operator="beginsWith" text="T">
      <formula>LEFT(AZ16,LEN("T"))="T"</formula>
    </cfRule>
    <cfRule type="containsText" dxfId="463" priority="464" operator="containsText" text="Sin iniciar">
      <formula>NOT(ISERROR(SEARCH("Sin iniciar",AZ16)))</formula>
    </cfRule>
    <cfRule type="containsText" dxfId="462" priority="465" operator="containsText" text="En gestión">
      <formula>NOT(ISERROR(SEARCH("En gestión",AZ16)))</formula>
    </cfRule>
  </conditionalFormatting>
  <conditionalFormatting sqref="BR12">
    <cfRule type="beginsWith" dxfId="461" priority="460" operator="beginsWith" text="T">
      <formula>LEFT(BR12,LEN("T"))="T"</formula>
    </cfRule>
    <cfRule type="containsText" dxfId="460" priority="461" operator="containsText" text="Sin iniciar">
      <formula>NOT(ISERROR(SEARCH("Sin iniciar",BR12)))</formula>
    </cfRule>
    <cfRule type="containsText" dxfId="459" priority="462" operator="containsText" text="En gestión">
      <formula>NOT(ISERROR(SEARCH("En gestión",BR12)))</formula>
    </cfRule>
  </conditionalFormatting>
  <conditionalFormatting sqref="BW12:BX12">
    <cfRule type="beginsWith" dxfId="458" priority="457" operator="beginsWith" text="T">
      <formula>LEFT(BW12,LEN("T"))="T"</formula>
    </cfRule>
    <cfRule type="containsText" dxfId="457" priority="458" operator="containsText" text="Sin iniciar">
      <formula>NOT(ISERROR(SEARCH("Sin iniciar",BW12)))</formula>
    </cfRule>
    <cfRule type="containsText" dxfId="456" priority="459" operator="containsText" text="En gestión">
      <formula>NOT(ISERROR(SEARCH("En gestión",BW12)))</formula>
    </cfRule>
  </conditionalFormatting>
  <conditionalFormatting sqref="BW16">
    <cfRule type="beginsWith" dxfId="455" priority="454" operator="beginsWith" text="T">
      <formula>LEFT(BW16,LEN("T"))="T"</formula>
    </cfRule>
    <cfRule type="containsText" dxfId="454" priority="455" operator="containsText" text="Sin iniciar">
      <formula>NOT(ISERROR(SEARCH("Sin iniciar",BW16)))</formula>
    </cfRule>
    <cfRule type="containsText" dxfId="453" priority="456" operator="containsText" text="En gestión">
      <formula>NOT(ISERROR(SEARCH("En gestión",BW16)))</formula>
    </cfRule>
  </conditionalFormatting>
  <conditionalFormatting sqref="BP12:BQ16">
    <cfRule type="beginsWith" dxfId="452" priority="451" operator="beginsWith" text="T">
      <formula>LEFT(BP12,LEN("T"))="T"</formula>
    </cfRule>
    <cfRule type="containsText" dxfId="451" priority="452" operator="containsText" text="Sin iniciar">
      <formula>NOT(ISERROR(SEARCH("Sin iniciar",BP12)))</formula>
    </cfRule>
    <cfRule type="containsText" dxfId="450" priority="453" operator="containsText" text="En gestión">
      <formula>NOT(ISERROR(SEARCH("En gestión",BP12)))</formula>
    </cfRule>
  </conditionalFormatting>
  <conditionalFormatting sqref="BU12">
    <cfRule type="beginsWith" dxfId="449" priority="448" operator="beginsWith" text="T">
      <formula>LEFT(BU12,LEN("T"))="T"</formula>
    </cfRule>
    <cfRule type="containsText" dxfId="448" priority="449" operator="containsText" text="Sin iniciar">
      <formula>NOT(ISERROR(SEARCH("Sin iniciar",BU12)))</formula>
    </cfRule>
    <cfRule type="containsText" dxfId="447" priority="450" operator="containsText" text="En gestión">
      <formula>NOT(ISERROR(SEARCH("En gestión",BU12)))</formula>
    </cfRule>
  </conditionalFormatting>
  <conditionalFormatting sqref="BV12">
    <cfRule type="beginsWith" dxfId="446" priority="445" operator="beginsWith" text="T">
      <formula>LEFT(BV12,LEN("T"))="T"</formula>
    </cfRule>
    <cfRule type="containsText" dxfId="445" priority="446" operator="containsText" text="Sin iniciar">
      <formula>NOT(ISERROR(SEARCH("Sin iniciar",BV12)))</formula>
    </cfRule>
    <cfRule type="containsText" dxfId="444" priority="447" operator="containsText" text="En gestión">
      <formula>NOT(ISERROR(SEARCH("En gestión",BV12)))</formula>
    </cfRule>
  </conditionalFormatting>
  <conditionalFormatting sqref="BU16">
    <cfRule type="beginsWith" dxfId="443" priority="442" operator="beginsWith" text="T">
      <formula>LEFT(BU16,LEN("T"))="T"</formula>
    </cfRule>
    <cfRule type="containsText" dxfId="442" priority="443" operator="containsText" text="Sin iniciar">
      <formula>NOT(ISERROR(SEARCH("Sin iniciar",BU16)))</formula>
    </cfRule>
    <cfRule type="containsText" dxfId="441" priority="444" operator="containsText" text="En gestión">
      <formula>NOT(ISERROR(SEARCH("En gestión",BU16)))</formula>
    </cfRule>
  </conditionalFormatting>
  <conditionalFormatting sqref="BV16">
    <cfRule type="beginsWith" dxfId="440" priority="439" operator="beginsWith" text="T">
      <formula>LEFT(BV16,LEN("T"))="T"</formula>
    </cfRule>
    <cfRule type="containsText" dxfId="439" priority="440" operator="containsText" text="Sin iniciar">
      <formula>NOT(ISERROR(SEARCH("Sin iniciar",BV16)))</formula>
    </cfRule>
    <cfRule type="containsText" dxfId="438" priority="441" operator="containsText" text="En gestión">
      <formula>NOT(ISERROR(SEARCH("En gestión",BV16)))</formula>
    </cfRule>
  </conditionalFormatting>
  <conditionalFormatting sqref="X43:Y62">
    <cfRule type="beginsWith" dxfId="437" priority="436" operator="beginsWith" text="T">
      <formula>LEFT(X43,LEN("T"))="T"</formula>
    </cfRule>
    <cfRule type="containsText" dxfId="436" priority="437" operator="containsText" text="Sin iniciar">
      <formula>NOT(ISERROR(SEARCH("Sin iniciar",X43)))</formula>
    </cfRule>
    <cfRule type="containsText" dxfId="435" priority="438" operator="containsText" text="En gestión">
      <formula>NOT(ISERROR(SEARCH("En gestión",X43)))</formula>
    </cfRule>
  </conditionalFormatting>
  <conditionalFormatting sqref="AT43:AU62">
    <cfRule type="beginsWith" dxfId="434" priority="433" operator="beginsWith" text="T">
      <formula>LEFT(AT43,LEN("T"))="T"</formula>
    </cfRule>
    <cfRule type="containsText" dxfId="433" priority="434" operator="containsText" text="Sin iniciar">
      <formula>NOT(ISERROR(SEARCH("Sin iniciar",AT43)))</formula>
    </cfRule>
    <cfRule type="containsText" dxfId="432" priority="435" operator="containsText" text="En gestión">
      <formula>NOT(ISERROR(SEARCH("En gestión",AT43)))</formula>
    </cfRule>
  </conditionalFormatting>
  <conditionalFormatting sqref="AC43">
    <cfRule type="beginsWith" dxfId="431" priority="391" operator="beginsWith" text="T">
      <formula>LEFT(AC43,LEN("T"))="T"</formula>
    </cfRule>
    <cfRule type="containsText" dxfId="430" priority="392" operator="containsText" text="Sin iniciar">
      <formula>NOT(ISERROR(SEARCH("Sin iniciar",AC43)))</formula>
    </cfRule>
    <cfRule type="containsText" dxfId="429" priority="393" operator="containsText" text="En gestión">
      <formula>NOT(ISERROR(SEARCH("En gestión",AC43)))</formula>
    </cfRule>
  </conditionalFormatting>
  <conditionalFormatting sqref="AD43">
    <cfRule type="beginsWith" dxfId="428" priority="394" operator="beginsWith" text="T">
      <formula>LEFT(AD43,LEN("T"))="T"</formula>
    </cfRule>
    <cfRule type="containsText" dxfId="427" priority="395" operator="containsText" text="Sin iniciar">
      <formula>NOT(ISERROR(SEARCH("Sin iniciar",AD43)))</formula>
    </cfRule>
    <cfRule type="containsText" dxfId="426" priority="396" operator="containsText" text="En gestión">
      <formula>NOT(ISERROR(SEARCH("En gestión",AD43)))</formula>
    </cfRule>
  </conditionalFormatting>
  <conditionalFormatting sqref="AC45">
    <cfRule type="beginsWith" dxfId="425" priority="397" operator="beginsWith" text="T">
      <formula>LEFT(AC45,LEN("T"))="T"</formula>
    </cfRule>
    <cfRule type="containsText" dxfId="424" priority="398" operator="containsText" text="Sin iniciar">
      <formula>NOT(ISERROR(SEARCH("Sin iniciar",AC45)))</formula>
    </cfRule>
    <cfRule type="containsText" dxfId="423" priority="399" operator="containsText" text="En gestión">
      <formula>NOT(ISERROR(SEARCH("En gestión",AC45)))</formula>
    </cfRule>
  </conditionalFormatting>
  <conditionalFormatting sqref="AD45">
    <cfRule type="beginsWith" dxfId="422" priority="400" operator="beginsWith" text="T">
      <formula>LEFT(AD45,LEN("T"))="T"</formula>
    </cfRule>
    <cfRule type="containsText" dxfId="421" priority="401" operator="containsText" text="Sin iniciar">
      <formula>NOT(ISERROR(SEARCH("Sin iniciar",AD45)))</formula>
    </cfRule>
    <cfRule type="containsText" dxfId="420" priority="402" operator="containsText" text="En gestión">
      <formula>NOT(ISERROR(SEARCH("En gestión",AD45)))</formula>
    </cfRule>
  </conditionalFormatting>
  <conditionalFormatting sqref="AC47">
    <cfRule type="beginsWith" dxfId="419" priority="403" operator="beginsWith" text="T">
      <formula>LEFT(AC47,LEN("T"))="T"</formula>
    </cfRule>
    <cfRule type="containsText" dxfId="418" priority="404" operator="containsText" text="Sin iniciar">
      <formula>NOT(ISERROR(SEARCH("Sin iniciar",AC47)))</formula>
    </cfRule>
    <cfRule type="containsText" dxfId="417" priority="405" operator="containsText" text="En gestión">
      <formula>NOT(ISERROR(SEARCH("En gestión",AC47)))</formula>
    </cfRule>
  </conditionalFormatting>
  <conditionalFormatting sqref="AD47">
    <cfRule type="beginsWith" dxfId="416" priority="406" operator="beginsWith" text="T">
      <formula>LEFT(AD47,LEN("T"))="T"</formula>
    </cfRule>
    <cfRule type="containsText" dxfId="415" priority="407" operator="containsText" text="Sin iniciar">
      <formula>NOT(ISERROR(SEARCH("Sin iniciar",AD47)))</formula>
    </cfRule>
    <cfRule type="containsText" dxfId="414" priority="408" operator="containsText" text="En gestión">
      <formula>NOT(ISERROR(SEARCH("En gestión",AD47)))</formula>
    </cfRule>
  </conditionalFormatting>
  <conditionalFormatting sqref="AC49">
    <cfRule type="beginsWith" dxfId="413" priority="409" operator="beginsWith" text="T">
      <formula>LEFT(AC49,LEN("T"))="T"</formula>
    </cfRule>
    <cfRule type="containsText" dxfId="412" priority="410" operator="containsText" text="Sin iniciar">
      <formula>NOT(ISERROR(SEARCH("Sin iniciar",AC49)))</formula>
    </cfRule>
    <cfRule type="containsText" dxfId="411" priority="411" operator="containsText" text="En gestión">
      <formula>NOT(ISERROR(SEARCH("En gestión",AC49)))</formula>
    </cfRule>
  </conditionalFormatting>
  <conditionalFormatting sqref="AD49">
    <cfRule type="beginsWith" dxfId="410" priority="412" operator="beginsWith" text="T">
      <formula>LEFT(AD49,LEN("T"))="T"</formula>
    </cfRule>
    <cfRule type="containsText" dxfId="409" priority="413" operator="containsText" text="Sin iniciar">
      <formula>NOT(ISERROR(SEARCH("Sin iniciar",AD49)))</formula>
    </cfRule>
    <cfRule type="containsText" dxfId="408" priority="414" operator="containsText" text="En gestión">
      <formula>NOT(ISERROR(SEARCH("En gestión",AD49)))</formula>
    </cfRule>
  </conditionalFormatting>
  <conditionalFormatting sqref="AC56">
    <cfRule type="beginsWith" dxfId="407" priority="415" operator="beginsWith" text="T">
      <formula>LEFT(AC56,LEN("T"))="T"</formula>
    </cfRule>
    <cfRule type="containsText" dxfId="406" priority="416" operator="containsText" text="Sin iniciar">
      <formula>NOT(ISERROR(SEARCH("Sin iniciar",AC56)))</formula>
    </cfRule>
    <cfRule type="containsText" dxfId="405" priority="417" operator="containsText" text="En gestión">
      <formula>NOT(ISERROR(SEARCH("En gestión",AC56)))</formula>
    </cfRule>
  </conditionalFormatting>
  <conditionalFormatting sqref="AD56">
    <cfRule type="beginsWith" dxfId="404" priority="418" operator="beginsWith" text="T">
      <formula>LEFT(AD56,LEN("T"))="T"</formula>
    </cfRule>
    <cfRule type="containsText" dxfId="403" priority="419" operator="containsText" text="Sin iniciar">
      <formula>NOT(ISERROR(SEARCH("Sin iniciar",AD56)))</formula>
    </cfRule>
    <cfRule type="containsText" dxfId="402" priority="420" operator="containsText" text="En gestión">
      <formula>NOT(ISERROR(SEARCH("En gestión",AD56)))</formula>
    </cfRule>
  </conditionalFormatting>
  <conditionalFormatting sqref="AC58">
    <cfRule type="beginsWith" dxfId="401" priority="421" operator="beginsWith" text="T">
      <formula>LEFT(AC58,LEN("T"))="T"</formula>
    </cfRule>
    <cfRule type="containsText" dxfId="400" priority="422" operator="containsText" text="Sin iniciar">
      <formula>NOT(ISERROR(SEARCH("Sin iniciar",AC58)))</formula>
    </cfRule>
    <cfRule type="containsText" dxfId="399" priority="423" operator="containsText" text="En gestión">
      <formula>NOT(ISERROR(SEARCH("En gestión",AC58)))</formula>
    </cfRule>
  </conditionalFormatting>
  <conditionalFormatting sqref="AD58">
    <cfRule type="beginsWith" dxfId="398" priority="424" operator="beginsWith" text="T">
      <formula>LEFT(AD58,LEN("T"))="T"</formula>
    </cfRule>
    <cfRule type="containsText" dxfId="397" priority="425" operator="containsText" text="Sin iniciar">
      <formula>NOT(ISERROR(SEARCH("Sin iniciar",AD58)))</formula>
    </cfRule>
    <cfRule type="containsText" dxfId="396" priority="426" operator="containsText" text="En gestión">
      <formula>NOT(ISERROR(SEARCH("En gestión",AD58)))</formula>
    </cfRule>
  </conditionalFormatting>
  <conditionalFormatting sqref="AD60">
    <cfRule type="beginsWith" dxfId="395" priority="427" operator="beginsWith" text="T">
      <formula>LEFT(AD60,LEN("T"))="T"</formula>
    </cfRule>
    <cfRule type="containsText" dxfId="394" priority="428" operator="containsText" text="Sin iniciar">
      <formula>NOT(ISERROR(SEARCH("Sin iniciar",AD60)))</formula>
    </cfRule>
    <cfRule type="containsText" dxfId="393" priority="429" operator="containsText" text="En gestión">
      <formula>NOT(ISERROR(SEARCH("En gestión",AD60)))</formula>
    </cfRule>
  </conditionalFormatting>
  <conditionalFormatting sqref="AC60">
    <cfRule type="beginsWith" dxfId="392" priority="430" operator="beginsWith" text="T">
      <formula>LEFT(AC60,LEN("T"))="T"</formula>
    </cfRule>
    <cfRule type="containsText" dxfId="391" priority="431" operator="containsText" text="Sin iniciar">
      <formula>NOT(ISERROR(SEARCH("Sin iniciar",AC60)))</formula>
    </cfRule>
    <cfRule type="containsText" dxfId="390" priority="432" operator="containsText" text="En gestión">
      <formula>NOT(ISERROR(SEARCH("En gestión",AC60)))</formula>
    </cfRule>
  </conditionalFormatting>
  <conditionalFormatting sqref="AY43">
    <cfRule type="beginsWith" dxfId="389" priority="349" operator="beginsWith" text="T">
      <formula>LEFT(AY43,LEN("T"))="T"</formula>
    </cfRule>
    <cfRule type="containsText" dxfId="388" priority="350" operator="containsText" text="Sin iniciar">
      <formula>NOT(ISERROR(SEARCH("Sin iniciar",AY43)))</formula>
    </cfRule>
    <cfRule type="containsText" dxfId="387" priority="351" operator="containsText" text="En gestión">
      <formula>NOT(ISERROR(SEARCH("En gestión",AY43)))</formula>
    </cfRule>
  </conditionalFormatting>
  <conditionalFormatting sqref="AZ43">
    <cfRule type="beginsWith" dxfId="386" priority="352" operator="beginsWith" text="T">
      <formula>LEFT(AZ43,LEN("T"))="T"</formula>
    </cfRule>
    <cfRule type="containsText" dxfId="385" priority="353" operator="containsText" text="Sin iniciar">
      <formula>NOT(ISERROR(SEARCH("Sin iniciar",AZ43)))</formula>
    </cfRule>
    <cfRule type="containsText" dxfId="384" priority="354" operator="containsText" text="En gestión">
      <formula>NOT(ISERROR(SEARCH("En gestión",AZ43)))</formula>
    </cfRule>
  </conditionalFormatting>
  <conditionalFormatting sqref="AY45">
    <cfRule type="beginsWith" dxfId="383" priority="355" operator="beginsWith" text="T">
      <formula>LEFT(AY45,LEN("T"))="T"</formula>
    </cfRule>
    <cfRule type="containsText" dxfId="382" priority="356" operator="containsText" text="Sin iniciar">
      <formula>NOT(ISERROR(SEARCH("Sin iniciar",AY45)))</formula>
    </cfRule>
    <cfRule type="containsText" dxfId="381" priority="357" operator="containsText" text="En gestión">
      <formula>NOT(ISERROR(SEARCH("En gestión",AY45)))</formula>
    </cfRule>
  </conditionalFormatting>
  <conditionalFormatting sqref="AZ45">
    <cfRule type="beginsWith" dxfId="380" priority="358" operator="beginsWith" text="T">
      <formula>LEFT(AZ45,LEN("T"))="T"</formula>
    </cfRule>
    <cfRule type="containsText" dxfId="379" priority="359" operator="containsText" text="Sin iniciar">
      <formula>NOT(ISERROR(SEARCH("Sin iniciar",AZ45)))</formula>
    </cfRule>
    <cfRule type="containsText" dxfId="378" priority="360" operator="containsText" text="En gestión">
      <formula>NOT(ISERROR(SEARCH("En gestión",AZ45)))</formula>
    </cfRule>
  </conditionalFormatting>
  <conditionalFormatting sqref="AY47">
    <cfRule type="beginsWith" dxfId="377" priority="361" operator="beginsWith" text="T">
      <formula>LEFT(AY47,LEN("T"))="T"</formula>
    </cfRule>
    <cfRule type="containsText" dxfId="376" priority="362" operator="containsText" text="Sin iniciar">
      <formula>NOT(ISERROR(SEARCH("Sin iniciar",AY47)))</formula>
    </cfRule>
    <cfRule type="containsText" dxfId="375" priority="363" operator="containsText" text="En gestión">
      <formula>NOT(ISERROR(SEARCH("En gestión",AY47)))</formula>
    </cfRule>
  </conditionalFormatting>
  <conditionalFormatting sqref="AZ47">
    <cfRule type="beginsWith" dxfId="374" priority="364" operator="beginsWith" text="T">
      <formula>LEFT(AZ47,LEN("T"))="T"</formula>
    </cfRule>
    <cfRule type="containsText" dxfId="373" priority="365" operator="containsText" text="Sin iniciar">
      <formula>NOT(ISERROR(SEARCH("Sin iniciar",AZ47)))</formula>
    </cfRule>
    <cfRule type="containsText" dxfId="372" priority="366" operator="containsText" text="En gestión">
      <formula>NOT(ISERROR(SEARCH("En gestión",AZ47)))</formula>
    </cfRule>
  </conditionalFormatting>
  <conditionalFormatting sqref="AY49">
    <cfRule type="beginsWith" dxfId="371" priority="367" operator="beginsWith" text="T">
      <formula>LEFT(AY49,LEN("T"))="T"</formula>
    </cfRule>
    <cfRule type="containsText" dxfId="370" priority="368" operator="containsText" text="Sin iniciar">
      <formula>NOT(ISERROR(SEARCH("Sin iniciar",AY49)))</formula>
    </cfRule>
    <cfRule type="containsText" dxfId="369" priority="369" operator="containsText" text="En gestión">
      <formula>NOT(ISERROR(SEARCH("En gestión",AY49)))</formula>
    </cfRule>
  </conditionalFormatting>
  <conditionalFormatting sqref="AZ49">
    <cfRule type="beginsWith" dxfId="368" priority="370" operator="beginsWith" text="T">
      <formula>LEFT(AZ49,LEN("T"))="T"</formula>
    </cfRule>
    <cfRule type="containsText" dxfId="367" priority="371" operator="containsText" text="Sin iniciar">
      <formula>NOT(ISERROR(SEARCH("Sin iniciar",AZ49)))</formula>
    </cfRule>
    <cfRule type="containsText" dxfId="366" priority="372" operator="containsText" text="En gestión">
      <formula>NOT(ISERROR(SEARCH("En gestión",AZ49)))</formula>
    </cfRule>
  </conditionalFormatting>
  <conditionalFormatting sqref="AY56">
    <cfRule type="beginsWith" dxfId="365" priority="373" operator="beginsWith" text="T">
      <formula>LEFT(AY56,LEN("T"))="T"</formula>
    </cfRule>
    <cfRule type="containsText" dxfId="364" priority="374" operator="containsText" text="Sin iniciar">
      <formula>NOT(ISERROR(SEARCH("Sin iniciar",AY56)))</formula>
    </cfRule>
    <cfRule type="containsText" dxfId="363" priority="375" operator="containsText" text="En gestión">
      <formula>NOT(ISERROR(SEARCH("En gestión",AY56)))</formula>
    </cfRule>
  </conditionalFormatting>
  <conditionalFormatting sqref="AZ56">
    <cfRule type="beginsWith" dxfId="362" priority="376" operator="beginsWith" text="T">
      <formula>LEFT(AZ56,LEN("T"))="T"</formula>
    </cfRule>
    <cfRule type="containsText" dxfId="361" priority="377" operator="containsText" text="Sin iniciar">
      <formula>NOT(ISERROR(SEARCH("Sin iniciar",AZ56)))</formula>
    </cfRule>
    <cfRule type="containsText" dxfId="360" priority="378" operator="containsText" text="En gestión">
      <formula>NOT(ISERROR(SEARCH("En gestión",AZ56)))</formula>
    </cfRule>
  </conditionalFormatting>
  <conditionalFormatting sqref="AY58">
    <cfRule type="beginsWith" dxfId="359" priority="379" operator="beginsWith" text="T">
      <formula>LEFT(AY58,LEN("T"))="T"</formula>
    </cfRule>
    <cfRule type="containsText" dxfId="358" priority="380" operator="containsText" text="Sin iniciar">
      <formula>NOT(ISERROR(SEARCH("Sin iniciar",AY58)))</formula>
    </cfRule>
    <cfRule type="containsText" dxfId="357" priority="381" operator="containsText" text="En gestión">
      <formula>NOT(ISERROR(SEARCH("En gestión",AY58)))</formula>
    </cfRule>
  </conditionalFormatting>
  <conditionalFormatting sqref="AZ58">
    <cfRule type="beginsWith" dxfId="356" priority="382" operator="beginsWith" text="T">
      <formula>LEFT(AZ58,LEN("T"))="T"</formula>
    </cfRule>
    <cfRule type="containsText" dxfId="355" priority="383" operator="containsText" text="Sin iniciar">
      <formula>NOT(ISERROR(SEARCH("Sin iniciar",AZ58)))</formula>
    </cfRule>
    <cfRule type="containsText" dxfId="354" priority="384" operator="containsText" text="En gestión">
      <formula>NOT(ISERROR(SEARCH("En gestión",AZ58)))</formula>
    </cfRule>
  </conditionalFormatting>
  <conditionalFormatting sqref="AZ60">
    <cfRule type="beginsWith" dxfId="353" priority="385" operator="beginsWith" text="T">
      <formula>LEFT(AZ60,LEN("T"))="T"</formula>
    </cfRule>
    <cfRule type="containsText" dxfId="352" priority="386" operator="containsText" text="Sin iniciar">
      <formula>NOT(ISERROR(SEARCH("Sin iniciar",AZ60)))</formula>
    </cfRule>
    <cfRule type="containsText" dxfId="351" priority="387" operator="containsText" text="En gestión">
      <formula>NOT(ISERROR(SEARCH("En gestión",AZ60)))</formula>
    </cfRule>
  </conditionalFormatting>
  <conditionalFormatting sqref="AY60">
    <cfRule type="beginsWith" dxfId="350" priority="388" operator="beginsWith" text="T">
      <formula>LEFT(AY60,LEN("T"))="T"</formula>
    </cfRule>
    <cfRule type="containsText" dxfId="349" priority="389" operator="containsText" text="Sin iniciar">
      <formula>NOT(ISERROR(SEARCH("Sin iniciar",AY60)))</formula>
    </cfRule>
    <cfRule type="containsText" dxfId="348" priority="390" operator="containsText" text="En gestión">
      <formula>NOT(ISERROR(SEARCH("En gestión",AY60)))</formula>
    </cfRule>
  </conditionalFormatting>
  <conditionalFormatting sqref="BP43:BQ62">
    <cfRule type="beginsWith" dxfId="347" priority="346" operator="beginsWith" text="T">
      <formula>LEFT(BP43,LEN("T"))="T"</formula>
    </cfRule>
    <cfRule type="containsText" dxfId="346" priority="347" operator="containsText" text="Sin iniciar">
      <formula>NOT(ISERROR(SEARCH("Sin iniciar",BP43)))</formula>
    </cfRule>
    <cfRule type="containsText" dxfId="345" priority="348" operator="containsText" text="En gestión">
      <formula>NOT(ISERROR(SEARCH("En gestión",BP43)))</formula>
    </cfRule>
  </conditionalFormatting>
  <conditionalFormatting sqref="BU43">
    <cfRule type="beginsWith" dxfId="344" priority="304" operator="beginsWith" text="T">
      <formula>LEFT(BU43,LEN("T"))="T"</formula>
    </cfRule>
    <cfRule type="containsText" dxfId="343" priority="305" operator="containsText" text="Sin iniciar">
      <formula>NOT(ISERROR(SEARCH("Sin iniciar",BU43)))</formula>
    </cfRule>
    <cfRule type="containsText" dxfId="342" priority="306" operator="containsText" text="En gestión">
      <formula>NOT(ISERROR(SEARCH("En gestión",BU43)))</formula>
    </cfRule>
  </conditionalFormatting>
  <conditionalFormatting sqref="BV43">
    <cfRule type="beginsWith" dxfId="341" priority="307" operator="beginsWith" text="T">
      <formula>LEFT(BV43,LEN("T"))="T"</formula>
    </cfRule>
    <cfRule type="containsText" dxfId="340" priority="308" operator="containsText" text="Sin iniciar">
      <formula>NOT(ISERROR(SEARCH("Sin iniciar",BV43)))</formula>
    </cfRule>
    <cfRule type="containsText" dxfId="339" priority="309" operator="containsText" text="En gestión">
      <formula>NOT(ISERROR(SEARCH("En gestión",BV43)))</formula>
    </cfRule>
  </conditionalFormatting>
  <conditionalFormatting sqref="BU45">
    <cfRule type="beginsWith" dxfId="338" priority="310" operator="beginsWith" text="T">
      <formula>LEFT(BU45,LEN("T"))="T"</formula>
    </cfRule>
    <cfRule type="containsText" dxfId="337" priority="311" operator="containsText" text="Sin iniciar">
      <formula>NOT(ISERROR(SEARCH("Sin iniciar",BU45)))</formula>
    </cfRule>
    <cfRule type="containsText" dxfId="336" priority="312" operator="containsText" text="En gestión">
      <formula>NOT(ISERROR(SEARCH("En gestión",BU45)))</formula>
    </cfRule>
  </conditionalFormatting>
  <conditionalFormatting sqref="BV45">
    <cfRule type="beginsWith" dxfId="335" priority="313" operator="beginsWith" text="T">
      <formula>LEFT(BV45,LEN("T"))="T"</formula>
    </cfRule>
    <cfRule type="containsText" dxfId="334" priority="314" operator="containsText" text="Sin iniciar">
      <formula>NOT(ISERROR(SEARCH("Sin iniciar",BV45)))</formula>
    </cfRule>
    <cfRule type="containsText" dxfId="333" priority="315" operator="containsText" text="En gestión">
      <formula>NOT(ISERROR(SEARCH("En gestión",BV45)))</formula>
    </cfRule>
  </conditionalFormatting>
  <conditionalFormatting sqref="BU47">
    <cfRule type="beginsWith" dxfId="332" priority="316" operator="beginsWith" text="T">
      <formula>LEFT(BU47,LEN("T"))="T"</formula>
    </cfRule>
    <cfRule type="containsText" dxfId="331" priority="317" operator="containsText" text="Sin iniciar">
      <formula>NOT(ISERROR(SEARCH("Sin iniciar",BU47)))</formula>
    </cfRule>
    <cfRule type="containsText" dxfId="330" priority="318" operator="containsText" text="En gestión">
      <formula>NOT(ISERROR(SEARCH("En gestión",BU47)))</formula>
    </cfRule>
  </conditionalFormatting>
  <conditionalFormatting sqref="BV47">
    <cfRule type="beginsWith" dxfId="329" priority="319" operator="beginsWith" text="T">
      <formula>LEFT(BV47,LEN("T"))="T"</formula>
    </cfRule>
    <cfRule type="containsText" dxfId="328" priority="320" operator="containsText" text="Sin iniciar">
      <formula>NOT(ISERROR(SEARCH("Sin iniciar",BV47)))</formula>
    </cfRule>
    <cfRule type="containsText" dxfId="327" priority="321" operator="containsText" text="En gestión">
      <formula>NOT(ISERROR(SEARCH("En gestión",BV47)))</formula>
    </cfRule>
  </conditionalFormatting>
  <conditionalFormatting sqref="BU49">
    <cfRule type="beginsWith" dxfId="326" priority="322" operator="beginsWith" text="T">
      <formula>LEFT(BU49,LEN("T"))="T"</formula>
    </cfRule>
    <cfRule type="containsText" dxfId="325" priority="323" operator="containsText" text="Sin iniciar">
      <formula>NOT(ISERROR(SEARCH("Sin iniciar",BU49)))</formula>
    </cfRule>
    <cfRule type="containsText" dxfId="324" priority="324" operator="containsText" text="En gestión">
      <formula>NOT(ISERROR(SEARCH("En gestión",BU49)))</formula>
    </cfRule>
  </conditionalFormatting>
  <conditionalFormatting sqref="BV49">
    <cfRule type="beginsWith" dxfId="323" priority="325" operator="beginsWith" text="T">
      <formula>LEFT(BV49,LEN("T"))="T"</formula>
    </cfRule>
    <cfRule type="containsText" dxfId="322" priority="326" operator="containsText" text="Sin iniciar">
      <formula>NOT(ISERROR(SEARCH("Sin iniciar",BV49)))</formula>
    </cfRule>
    <cfRule type="containsText" dxfId="321" priority="327" operator="containsText" text="En gestión">
      <formula>NOT(ISERROR(SEARCH("En gestión",BV49)))</formula>
    </cfRule>
  </conditionalFormatting>
  <conditionalFormatting sqref="BU56">
    <cfRule type="beginsWith" dxfId="320" priority="328" operator="beginsWith" text="T">
      <formula>LEFT(BU56,LEN("T"))="T"</formula>
    </cfRule>
    <cfRule type="containsText" dxfId="319" priority="329" operator="containsText" text="Sin iniciar">
      <formula>NOT(ISERROR(SEARCH("Sin iniciar",BU56)))</formula>
    </cfRule>
    <cfRule type="containsText" dxfId="318" priority="330" operator="containsText" text="En gestión">
      <formula>NOT(ISERROR(SEARCH("En gestión",BU56)))</formula>
    </cfRule>
  </conditionalFormatting>
  <conditionalFormatting sqref="BV56">
    <cfRule type="beginsWith" dxfId="317" priority="331" operator="beginsWith" text="T">
      <formula>LEFT(BV56,LEN("T"))="T"</formula>
    </cfRule>
    <cfRule type="containsText" dxfId="316" priority="332" operator="containsText" text="Sin iniciar">
      <formula>NOT(ISERROR(SEARCH("Sin iniciar",BV56)))</formula>
    </cfRule>
    <cfRule type="containsText" dxfId="315" priority="333" operator="containsText" text="En gestión">
      <formula>NOT(ISERROR(SEARCH("En gestión",BV56)))</formula>
    </cfRule>
  </conditionalFormatting>
  <conditionalFormatting sqref="BU58">
    <cfRule type="beginsWith" dxfId="314" priority="334" operator="beginsWith" text="T">
      <formula>LEFT(BU58,LEN("T"))="T"</formula>
    </cfRule>
    <cfRule type="containsText" dxfId="313" priority="335" operator="containsText" text="Sin iniciar">
      <formula>NOT(ISERROR(SEARCH("Sin iniciar",BU58)))</formula>
    </cfRule>
    <cfRule type="containsText" dxfId="312" priority="336" operator="containsText" text="En gestión">
      <formula>NOT(ISERROR(SEARCH("En gestión",BU58)))</formula>
    </cfRule>
  </conditionalFormatting>
  <conditionalFormatting sqref="BV58">
    <cfRule type="beginsWith" dxfId="311" priority="337" operator="beginsWith" text="T">
      <formula>LEFT(BV58,LEN("T"))="T"</formula>
    </cfRule>
    <cfRule type="containsText" dxfId="310" priority="338" operator="containsText" text="Sin iniciar">
      <formula>NOT(ISERROR(SEARCH("Sin iniciar",BV58)))</formula>
    </cfRule>
    <cfRule type="containsText" dxfId="309" priority="339" operator="containsText" text="En gestión">
      <formula>NOT(ISERROR(SEARCH("En gestión",BV58)))</formula>
    </cfRule>
  </conditionalFormatting>
  <conditionalFormatting sqref="BV60">
    <cfRule type="beginsWith" dxfId="308" priority="340" operator="beginsWith" text="T">
      <formula>LEFT(BV60,LEN("T"))="T"</formula>
    </cfRule>
    <cfRule type="containsText" dxfId="307" priority="341" operator="containsText" text="Sin iniciar">
      <formula>NOT(ISERROR(SEARCH("Sin iniciar",BV60)))</formula>
    </cfRule>
    <cfRule type="containsText" dxfId="306" priority="342" operator="containsText" text="En gestión">
      <formula>NOT(ISERROR(SEARCH("En gestión",BV60)))</formula>
    </cfRule>
  </conditionalFormatting>
  <conditionalFormatting sqref="BU60">
    <cfRule type="beginsWith" dxfId="305" priority="343" operator="beginsWith" text="T">
      <formula>LEFT(BU60,LEN("T"))="T"</formula>
    </cfRule>
    <cfRule type="containsText" dxfId="304" priority="344" operator="containsText" text="Sin iniciar">
      <formula>NOT(ISERROR(SEARCH("Sin iniciar",BU60)))</formula>
    </cfRule>
    <cfRule type="containsText" dxfId="303" priority="345" operator="containsText" text="En gestión">
      <formula>NOT(ISERROR(SEARCH("En gestión",BU60)))</formula>
    </cfRule>
  </conditionalFormatting>
  <conditionalFormatting sqref="X63:Y131">
    <cfRule type="beginsWith" dxfId="302" priority="301" operator="beginsWith" text="T">
      <formula>LEFT(X63,LEN("T"))="T"</formula>
    </cfRule>
    <cfRule type="containsText" dxfId="301" priority="302" operator="containsText" text="Sin iniciar">
      <formula>NOT(ISERROR(SEARCH("Sin iniciar",X63)))</formula>
    </cfRule>
    <cfRule type="containsText" dxfId="300" priority="303" operator="containsText" text="En gestión">
      <formula>NOT(ISERROR(SEARCH("En gestión",X63)))</formula>
    </cfRule>
  </conditionalFormatting>
  <conditionalFormatting sqref="AT63:AU131">
    <cfRule type="beginsWith" dxfId="299" priority="298" operator="beginsWith" text="T">
      <formula>LEFT(AT63,LEN("T"))="T"</formula>
    </cfRule>
    <cfRule type="containsText" dxfId="298" priority="299" operator="containsText" text="Sin iniciar">
      <formula>NOT(ISERROR(SEARCH("Sin iniciar",AT63)))</formula>
    </cfRule>
    <cfRule type="containsText" dxfId="297" priority="300" operator="containsText" text="En gestión">
      <formula>NOT(ISERROR(SEARCH("En gestión",AT63)))</formula>
    </cfRule>
  </conditionalFormatting>
  <conditionalFormatting sqref="AD63">
    <cfRule type="beginsWith" dxfId="296" priority="292" operator="beginsWith" text="T">
      <formula>LEFT(AD63,LEN("T"))="T"</formula>
    </cfRule>
    <cfRule type="containsText" dxfId="295" priority="293" operator="containsText" text="Sin iniciar">
      <formula>NOT(ISERROR(SEARCH("Sin iniciar",AD63)))</formula>
    </cfRule>
    <cfRule type="containsText" dxfId="294" priority="294" operator="containsText" text="En gestión">
      <formula>NOT(ISERROR(SEARCH("En gestión",AD63)))</formula>
    </cfRule>
  </conditionalFormatting>
  <conditionalFormatting sqref="AC63">
    <cfRule type="beginsWith" dxfId="293" priority="295" operator="beginsWith" text="T">
      <formula>LEFT(AC63,LEN("T"))="T"</formula>
    </cfRule>
    <cfRule type="containsText" dxfId="292" priority="296" operator="containsText" text="Sin iniciar">
      <formula>NOT(ISERROR(SEARCH("Sin iniciar",AC63)))</formula>
    </cfRule>
    <cfRule type="containsText" dxfId="291" priority="297" operator="containsText" text="En gestión">
      <formula>NOT(ISERROR(SEARCH("En gestión",AC63)))</formula>
    </cfRule>
  </conditionalFormatting>
  <conditionalFormatting sqref="AD66">
    <cfRule type="beginsWith" dxfId="290" priority="286" operator="beginsWith" text="T">
      <formula>LEFT(AD66,LEN("T"))="T"</formula>
    </cfRule>
    <cfRule type="containsText" dxfId="289" priority="287" operator="containsText" text="Sin iniciar">
      <formula>NOT(ISERROR(SEARCH("Sin iniciar",AD66)))</formula>
    </cfRule>
    <cfRule type="containsText" dxfId="288" priority="288" operator="containsText" text="En gestión">
      <formula>NOT(ISERROR(SEARCH("En gestión",AD66)))</formula>
    </cfRule>
  </conditionalFormatting>
  <conditionalFormatting sqref="AC66">
    <cfRule type="beginsWith" dxfId="287" priority="289" operator="beginsWith" text="T">
      <formula>LEFT(AC66,LEN("T"))="T"</formula>
    </cfRule>
    <cfRule type="containsText" dxfId="286" priority="290" operator="containsText" text="Sin iniciar">
      <formula>NOT(ISERROR(SEARCH("Sin iniciar",AC66)))</formula>
    </cfRule>
    <cfRule type="containsText" dxfId="285" priority="291" operator="containsText" text="En gestión">
      <formula>NOT(ISERROR(SEARCH("En gestión",AC66)))</formula>
    </cfRule>
  </conditionalFormatting>
  <conditionalFormatting sqref="AD69">
    <cfRule type="beginsWith" dxfId="284" priority="280" operator="beginsWith" text="T">
      <formula>LEFT(AD69,LEN("T"))="T"</formula>
    </cfRule>
    <cfRule type="containsText" dxfId="283" priority="281" operator="containsText" text="Sin iniciar">
      <formula>NOT(ISERROR(SEARCH("Sin iniciar",AD69)))</formula>
    </cfRule>
    <cfRule type="containsText" dxfId="282" priority="282" operator="containsText" text="En gestión">
      <formula>NOT(ISERROR(SEARCH("En gestión",AD69)))</formula>
    </cfRule>
  </conditionalFormatting>
  <conditionalFormatting sqref="AC69">
    <cfRule type="beginsWith" dxfId="281" priority="283" operator="beginsWith" text="T">
      <formula>LEFT(AC69,LEN("T"))="T"</formula>
    </cfRule>
    <cfRule type="containsText" dxfId="280" priority="284" operator="containsText" text="Sin iniciar">
      <formula>NOT(ISERROR(SEARCH("Sin iniciar",AC69)))</formula>
    </cfRule>
    <cfRule type="containsText" dxfId="279" priority="285" operator="containsText" text="En gestión">
      <formula>NOT(ISERROR(SEARCH("En gestión",AC69)))</formula>
    </cfRule>
  </conditionalFormatting>
  <conditionalFormatting sqref="AD72 AD75 AD78 AD81 AD84 AD87 AD90 AD93 AD96 AD102 AD105 AD108 AD111">
    <cfRule type="beginsWith" dxfId="278" priority="274" operator="beginsWith" text="T">
      <formula>LEFT(AD72,LEN("T"))="T"</formula>
    </cfRule>
    <cfRule type="containsText" dxfId="277" priority="275" operator="containsText" text="Sin iniciar">
      <formula>NOT(ISERROR(SEARCH("Sin iniciar",AD72)))</formula>
    </cfRule>
    <cfRule type="containsText" dxfId="276" priority="276" operator="containsText" text="En gestión">
      <formula>NOT(ISERROR(SEARCH("En gestión",AD72)))</formula>
    </cfRule>
  </conditionalFormatting>
  <conditionalFormatting sqref="AC72 AC75 AC78 AC81 AC84 AC87 AC90 AC93 AC96 AC102 AC105 AC108 AC111 AC114 AC117 AC120 AC123 AC126 AC129">
    <cfRule type="beginsWith" dxfId="275" priority="277" operator="beginsWith" text="T">
      <formula>LEFT(AC72,LEN("T"))="T"</formula>
    </cfRule>
    <cfRule type="containsText" dxfId="274" priority="278" operator="containsText" text="Sin iniciar">
      <formula>NOT(ISERROR(SEARCH("Sin iniciar",AC72)))</formula>
    </cfRule>
    <cfRule type="containsText" dxfId="273" priority="279" operator="containsText" text="En gestión">
      <formula>NOT(ISERROR(SEARCH("En gestión",AC72)))</formula>
    </cfRule>
  </conditionalFormatting>
  <conditionalFormatting sqref="AD129">
    <cfRule type="beginsWith" dxfId="272" priority="271" operator="beginsWith" text="T">
      <formula>LEFT(AD129,LEN("T"))="T"</formula>
    </cfRule>
    <cfRule type="containsText" dxfId="271" priority="272" operator="containsText" text="Sin iniciar">
      <formula>NOT(ISERROR(SEARCH("Sin iniciar",AD129)))</formula>
    </cfRule>
    <cfRule type="containsText" dxfId="270" priority="273" operator="containsText" text="En gestión">
      <formula>NOT(ISERROR(SEARCH("En gestión",AD129)))</formula>
    </cfRule>
  </conditionalFormatting>
  <conditionalFormatting sqref="AD126">
    <cfRule type="beginsWith" dxfId="269" priority="268" operator="beginsWith" text="T">
      <formula>LEFT(AD126,LEN("T"))="T"</formula>
    </cfRule>
    <cfRule type="containsText" dxfId="268" priority="269" operator="containsText" text="Sin iniciar">
      <formula>NOT(ISERROR(SEARCH("Sin iniciar",AD126)))</formula>
    </cfRule>
    <cfRule type="containsText" dxfId="267" priority="270" operator="containsText" text="En gestión">
      <formula>NOT(ISERROR(SEARCH("En gestión",AD126)))</formula>
    </cfRule>
  </conditionalFormatting>
  <conditionalFormatting sqref="AD123">
    <cfRule type="beginsWith" dxfId="266" priority="265" operator="beginsWith" text="T">
      <formula>LEFT(AD123,LEN("T"))="T"</formula>
    </cfRule>
    <cfRule type="containsText" dxfId="265" priority="266" operator="containsText" text="Sin iniciar">
      <formula>NOT(ISERROR(SEARCH("Sin iniciar",AD123)))</formula>
    </cfRule>
    <cfRule type="containsText" dxfId="264" priority="267" operator="containsText" text="En gestión">
      <formula>NOT(ISERROR(SEARCH("En gestión",AD123)))</formula>
    </cfRule>
  </conditionalFormatting>
  <conditionalFormatting sqref="AD120">
    <cfRule type="beginsWith" dxfId="263" priority="262" operator="beginsWith" text="T">
      <formula>LEFT(AD120,LEN("T"))="T"</formula>
    </cfRule>
    <cfRule type="containsText" dxfId="262" priority="263" operator="containsText" text="Sin iniciar">
      <formula>NOT(ISERROR(SEARCH("Sin iniciar",AD120)))</formula>
    </cfRule>
    <cfRule type="containsText" dxfId="261" priority="264" operator="containsText" text="En gestión">
      <formula>NOT(ISERROR(SEARCH("En gestión",AD120)))</formula>
    </cfRule>
  </conditionalFormatting>
  <conditionalFormatting sqref="AD117">
    <cfRule type="beginsWith" dxfId="260" priority="259" operator="beginsWith" text="T">
      <formula>LEFT(AD117,LEN("T"))="T"</formula>
    </cfRule>
    <cfRule type="containsText" dxfId="259" priority="260" operator="containsText" text="Sin iniciar">
      <formula>NOT(ISERROR(SEARCH("Sin iniciar",AD117)))</formula>
    </cfRule>
    <cfRule type="containsText" dxfId="258" priority="261" operator="containsText" text="En gestión">
      <formula>NOT(ISERROR(SEARCH("En gestión",AD117)))</formula>
    </cfRule>
  </conditionalFormatting>
  <conditionalFormatting sqref="AD114">
    <cfRule type="beginsWith" dxfId="257" priority="256" operator="beginsWith" text="T">
      <formula>LEFT(AD114,LEN("T"))="T"</formula>
    </cfRule>
    <cfRule type="containsText" dxfId="256" priority="257" operator="containsText" text="Sin iniciar">
      <formula>NOT(ISERROR(SEARCH("Sin iniciar",AD114)))</formula>
    </cfRule>
    <cfRule type="containsText" dxfId="255" priority="258" operator="containsText" text="En gestión">
      <formula>NOT(ISERROR(SEARCH("En gestión",AD114)))</formula>
    </cfRule>
  </conditionalFormatting>
  <conditionalFormatting sqref="AD100">
    <cfRule type="beginsWith" dxfId="254" priority="250" operator="beginsWith" text="T">
      <formula>LEFT(AD100,LEN("T"))="T"</formula>
    </cfRule>
    <cfRule type="containsText" dxfId="253" priority="251" operator="containsText" text="Sin iniciar">
      <formula>NOT(ISERROR(SEARCH("Sin iniciar",AD100)))</formula>
    </cfRule>
    <cfRule type="containsText" dxfId="252" priority="252" operator="containsText" text="En gestión">
      <formula>NOT(ISERROR(SEARCH("En gestión",AD100)))</formula>
    </cfRule>
  </conditionalFormatting>
  <conditionalFormatting sqref="AC100">
    <cfRule type="beginsWith" dxfId="251" priority="253" operator="beginsWith" text="T">
      <formula>LEFT(AC100,LEN("T"))="T"</formula>
    </cfRule>
    <cfRule type="containsText" dxfId="250" priority="254" operator="containsText" text="Sin iniciar">
      <formula>NOT(ISERROR(SEARCH("Sin iniciar",AC100)))</formula>
    </cfRule>
    <cfRule type="containsText" dxfId="249" priority="255" operator="containsText" text="En gestión">
      <formula>NOT(ISERROR(SEARCH("En gestión",AC100)))</formula>
    </cfRule>
  </conditionalFormatting>
  <conditionalFormatting sqref="AZ63">
    <cfRule type="beginsWith" dxfId="248" priority="244" operator="beginsWith" text="T">
      <formula>LEFT(AZ63,LEN("T"))="T"</formula>
    </cfRule>
    <cfRule type="containsText" dxfId="247" priority="245" operator="containsText" text="Sin iniciar">
      <formula>NOT(ISERROR(SEARCH("Sin iniciar",AZ63)))</formula>
    </cfRule>
    <cfRule type="containsText" dxfId="246" priority="246" operator="containsText" text="En gestión">
      <formula>NOT(ISERROR(SEARCH("En gestión",AZ63)))</formula>
    </cfRule>
  </conditionalFormatting>
  <conditionalFormatting sqref="AY63">
    <cfRule type="beginsWith" dxfId="245" priority="247" operator="beginsWith" text="T">
      <formula>LEFT(AY63,LEN("T"))="T"</formula>
    </cfRule>
    <cfRule type="containsText" dxfId="244" priority="248" operator="containsText" text="Sin iniciar">
      <formula>NOT(ISERROR(SEARCH("Sin iniciar",AY63)))</formula>
    </cfRule>
    <cfRule type="containsText" dxfId="243" priority="249" operator="containsText" text="En gestión">
      <formula>NOT(ISERROR(SEARCH("En gestión",AY63)))</formula>
    </cfRule>
  </conditionalFormatting>
  <conditionalFormatting sqref="AZ66">
    <cfRule type="beginsWith" dxfId="242" priority="238" operator="beginsWith" text="T">
      <formula>LEFT(AZ66,LEN("T"))="T"</formula>
    </cfRule>
    <cfRule type="containsText" dxfId="241" priority="239" operator="containsText" text="Sin iniciar">
      <formula>NOT(ISERROR(SEARCH("Sin iniciar",AZ66)))</formula>
    </cfRule>
    <cfRule type="containsText" dxfId="240" priority="240" operator="containsText" text="En gestión">
      <formula>NOT(ISERROR(SEARCH("En gestión",AZ66)))</formula>
    </cfRule>
  </conditionalFormatting>
  <conditionalFormatting sqref="AY66">
    <cfRule type="beginsWith" dxfId="239" priority="241" operator="beginsWith" text="T">
      <formula>LEFT(AY66,LEN("T"))="T"</formula>
    </cfRule>
    <cfRule type="containsText" dxfId="238" priority="242" operator="containsText" text="Sin iniciar">
      <formula>NOT(ISERROR(SEARCH("Sin iniciar",AY66)))</formula>
    </cfRule>
    <cfRule type="containsText" dxfId="237" priority="243" operator="containsText" text="En gestión">
      <formula>NOT(ISERROR(SEARCH("En gestión",AY66)))</formula>
    </cfRule>
  </conditionalFormatting>
  <conditionalFormatting sqref="AZ69">
    <cfRule type="beginsWith" dxfId="236" priority="232" operator="beginsWith" text="T">
      <formula>LEFT(AZ69,LEN("T"))="T"</formula>
    </cfRule>
    <cfRule type="containsText" dxfId="235" priority="233" operator="containsText" text="Sin iniciar">
      <formula>NOT(ISERROR(SEARCH("Sin iniciar",AZ69)))</formula>
    </cfRule>
    <cfRule type="containsText" dxfId="234" priority="234" operator="containsText" text="En gestión">
      <formula>NOT(ISERROR(SEARCH("En gestión",AZ69)))</formula>
    </cfRule>
  </conditionalFormatting>
  <conditionalFormatting sqref="AY69">
    <cfRule type="beginsWith" dxfId="233" priority="235" operator="beginsWith" text="T">
      <formula>LEFT(AY69,LEN("T"))="T"</formula>
    </cfRule>
    <cfRule type="containsText" dxfId="232" priority="236" operator="containsText" text="Sin iniciar">
      <formula>NOT(ISERROR(SEARCH("Sin iniciar",AY69)))</formula>
    </cfRule>
    <cfRule type="containsText" dxfId="231" priority="237" operator="containsText" text="En gestión">
      <formula>NOT(ISERROR(SEARCH("En gestión",AY69)))</formula>
    </cfRule>
  </conditionalFormatting>
  <conditionalFormatting sqref="AZ72 AZ75 AZ78 AZ81 AZ84 AZ87 AZ90 AZ93 AZ96 AZ102 AZ105 AZ108 AZ111">
    <cfRule type="beginsWith" dxfId="230" priority="226" operator="beginsWith" text="T">
      <formula>LEFT(AZ72,LEN("T"))="T"</formula>
    </cfRule>
    <cfRule type="containsText" dxfId="229" priority="227" operator="containsText" text="Sin iniciar">
      <formula>NOT(ISERROR(SEARCH("Sin iniciar",AZ72)))</formula>
    </cfRule>
    <cfRule type="containsText" dxfId="228" priority="228" operator="containsText" text="En gestión">
      <formula>NOT(ISERROR(SEARCH("En gestión",AZ72)))</formula>
    </cfRule>
  </conditionalFormatting>
  <conditionalFormatting sqref="AY72 AY75 AY78 AY81 AY84 AY87 AY90 AY93 AY96 AY102 AY105 AY108 AY111 AY114 AY117 AY120 AY123 AY126 AY129">
    <cfRule type="beginsWith" dxfId="227" priority="229" operator="beginsWith" text="T">
      <formula>LEFT(AY72,LEN("T"))="T"</formula>
    </cfRule>
    <cfRule type="containsText" dxfId="226" priority="230" operator="containsText" text="Sin iniciar">
      <formula>NOT(ISERROR(SEARCH("Sin iniciar",AY72)))</formula>
    </cfRule>
    <cfRule type="containsText" dxfId="225" priority="231" operator="containsText" text="En gestión">
      <formula>NOT(ISERROR(SEARCH("En gestión",AY72)))</formula>
    </cfRule>
  </conditionalFormatting>
  <conditionalFormatting sqref="AZ129">
    <cfRule type="beginsWith" dxfId="224" priority="223" operator="beginsWith" text="T">
      <formula>LEFT(AZ129,LEN("T"))="T"</formula>
    </cfRule>
    <cfRule type="containsText" dxfId="223" priority="224" operator="containsText" text="Sin iniciar">
      <formula>NOT(ISERROR(SEARCH("Sin iniciar",AZ129)))</formula>
    </cfRule>
    <cfRule type="containsText" dxfId="222" priority="225" operator="containsText" text="En gestión">
      <formula>NOT(ISERROR(SEARCH("En gestión",AZ129)))</formula>
    </cfRule>
  </conditionalFormatting>
  <conditionalFormatting sqref="AZ126">
    <cfRule type="beginsWith" dxfId="221" priority="220" operator="beginsWith" text="T">
      <formula>LEFT(AZ126,LEN("T"))="T"</formula>
    </cfRule>
    <cfRule type="containsText" dxfId="220" priority="221" operator="containsText" text="Sin iniciar">
      <formula>NOT(ISERROR(SEARCH("Sin iniciar",AZ126)))</formula>
    </cfRule>
    <cfRule type="containsText" dxfId="219" priority="222" operator="containsText" text="En gestión">
      <formula>NOT(ISERROR(SEARCH("En gestión",AZ126)))</formula>
    </cfRule>
  </conditionalFormatting>
  <conditionalFormatting sqref="AZ123">
    <cfRule type="beginsWith" dxfId="218" priority="217" operator="beginsWith" text="T">
      <formula>LEFT(AZ123,LEN("T"))="T"</formula>
    </cfRule>
    <cfRule type="containsText" dxfId="217" priority="218" operator="containsText" text="Sin iniciar">
      <formula>NOT(ISERROR(SEARCH("Sin iniciar",AZ123)))</formula>
    </cfRule>
    <cfRule type="containsText" dxfId="216" priority="219" operator="containsText" text="En gestión">
      <formula>NOT(ISERROR(SEARCH("En gestión",AZ123)))</formula>
    </cfRule>
  </conditionalFormatting>
  <conditionalFormatting sqref="AZ120">
    <cfRule type="beginsWith" dxfId="215" priority="214" operator="beginsWith" text="T">
      <formula>LEFT(AZ120,LEN("T"))="T"</formula>
    </cfRule>
    <cfRule type="containsText" dxfId="214" priority="215" operator="containsText" text="Sin iniciar">
      <formula>NOT(ISERROR(SEARCH("Sin iniciar",AZ120)))</formula>
    </cfRule>
    <cfRule type="containsText" dxfId="213" priority="216" operator="containsText" text="En gestión">
      <formula>NOT(ISERROR(SEARCH("En gestión",AZ120)))</formula>
    </cfRule>
  </conditionalFormatting>
  <conditionalFormatting sqref="AZ117">
    <cfRule type="beginsWith" dxfId="212" priority="211" operator="beginsWith" text="T">
      <formula>LEFT(AZ117,LEN("T"))="T"</formula>
    </cfRule>
    <cfRule type="containsText" dxfId="211" priority="212" operator="containsText" text="Sin iniciar">
      <formula>NOT(ISERROR(SEARCH("Sin iniciar",AZ117)))</formula>
    </cfRule>
    <cfRule type="containsText" dxfId="210" priority="213" operator="containsText" text="En gestión">
      <formula>NOT(ISERROR(SEARCH("En gestión",AZ117)))</formula>
    </cfRule>
  </conditionalFormatting>
  <conditionalFormatting sqref="AZ114">
    <cfRule type="beginsWith" dxfId="209" priority="208" operator="beginsWith" text="T">
      <formula>LEFT(AZ114,LEN("T"))="T"</formula>
    </cfRule>
    <cfRule type="containsText" dxfId="208" priority="209" operator="containsText" text="Sin iniciar">
      <formula>NOT(ISERROR(SEARCH("Sin iniciar",AZ114)))</formula>
    </cfRule>
    <cfRule type="containsText" dxfId="207" priority="210" operator="containsText" text="En gestión">
      <formula>NOT(ISERROR(SEARCH("En gestión",AZ114)))</formula>
    </cfRule>
  </conditionalFormatting>
  <conditionalFormatting sqref="AZ100">
    <cfRule type="beginsWith" dxfId="206" priority="202" operator="beginsWith" text="T">
      <formula>LEFT(AZ100,LEN("T"))="T"</formula>
    </cfRule>
    <cfRule type="containsText" dxfId="205" priority="203" operator="containsText" text="Sin iniciar">
      <formula>NOT(ISERROR(SEARCH("Sin iniciar",AZ100)))</formula>
    </cfRule>
    <cfRule type="containsText" dxfId="204" priority="204" operator="containsText" text="En gestión">
      <formula>NOT(ISERROR(SEARCH("En gestión",AZ100)))</formula>
    </cfRule>
  </conditionalFormatting>
  <conditionalFormatting sqref="AY100">
    <cfRule type="beginsWith" dxfId="203" priority="205" operator="beginsWith" text="T">
      <formula>LEFT(AY100,LEN("T"))="T"</formula>
    </cfRule>
    <cfRule type="containsText" dxfId="202" priority="206" operator="containsText" text="Sin iniciar">
      <formula>NOT(ISERROR(SEARCH("Sin iniciar",AY100)))</formula>
    </cfRule>
    <cfRule type="containsText" dxfId="201" priority="207" operator="containsText" text="En gestión">
      <formula>NOT(ISERROR(SEARCH("En gestión",AY100)))</formula>
    </cfRule>
  </conditionalFormatting>
  <conditionalFormatting sqref="BP63:BQ131">
    <cfRule type="beginsWith" dxfId="200" priority="199" operator="beginsWith" text="T">
      <formula>LEFT(BP63,LEN("T"))="T"</formula>
    </cfRule>
    <cfRule type="containsText" dxfId="199" priority="200" operator="containsText" text="Sin iniciar">
      <formula>NOT(ISERROR(SEARCH("Sin iniciar",BP63)))</formula>
    </cfRule>
    <cfRule type="containsText" dxfId="198" priority="201" operator="containsText" text="En gestión">
      <formula>NOT(ISERROR(SEARCH("En gestión",BP63)))</formula>
    </cfRule>
  </conditionalFormatting>
  <conditionalFormatting sqref="BV63">
    <cfRule type="beginsWith" dxfId="197" priority="193" operator="beginsWith" text="T">
      <formula>LEFT(BV63,LEN("T"))="T"</formula>
    </cfRule>
    <cfRule type="containsText" dxfId="196" priority="194" operator="containsText" text="Sin iniciar">
      <formula>NOT(ISERROR(SEARCH("Sin iniciar",BV63)))</formula>
    </cfRule>
    <cfRule type="containsText" dxfId="195" priority="195" operator="containsText" text="En gestión">
      <formula>NOT(ISERROR(SEARCH("En gestión",BV63)))</formula>
    </cfRule>
  </conditionalFormatting>
  <conditionalFormatting sqref="BU63">
    <cfRule type="beginsWith" dxfId="194" priority="196" operator="beginsWith" text="T">
      <formula>LEFT(BU63,LEN("T"))="T"</formula>
    </cfRule>
    <cfRule type="containsText" dxfId="193" priority="197" operator="containsText" text="Sin iniciar">
      <formula>NOT(ISERROR(SEARCH("Sin iniciar",BU63)))</formula>
    </cfRule>
    <cfRule type="containsText" dxfId="192" priority="198" operator="containsText" text="En gestión">
      <formula>NOT(ISERROR(SEARCH("En gestión",BU63)))</formula>
    </cfRule>
  </conditionalFormatting>
  <conditionalFormatting sqref="BV66">
    <cfRule type="beginsWith" dxfId="191" priority="187" operator="beginsWith" text="T">
      <formula>LEFT(BV66,LEN("T"))="T"</formula>
    </cfRule>
    <cfRule type="containsText" dxfId="190" priority="188" operator="containsText" text="Sin iniciar">
      <formula>NOT(ISERROR(SEARCH("Sin iniciar",BV66)))</formula>
    </cfRule>
    <cfRule type="containsText" dxfId="189" priority="189" operator="containsText" text="En gestión">
      <formula>NOT(ISERROR(SEARCH("En gestión",BV66)))</formula>
    </cfRule>
  </conditionalFormatting>
  <conditionalFormatting sqref="BU66">
    <cfRule type="beginsWith" dxfId="188" priority="190" operator="beginsWith" text="T">
      <formula>LEFT(BU66,LEN("T"))="T"</formula>
    </cfRule>
    <cfRule type="containsText" dxfId="187" priority="191" operator="containsText" text="Sin iniciar">
      <formula>NOT(ISERROR(SEARCH("Sin iniciar",BU66)))</formula>
    </cfRule>
    <cfRule type="containsText" dxfId="186" priority="192" operator="containsText" text="En gestión">
      <formula>NOT(ISERROR(SEARCH("En gestión",BU66)))</formula>
    </cfRule>
  </conditionalFormatting>
  <conditionalFormatting sqref="BV69">
    <cfRule type="beginsWith" dxfId="185" priority="181" operator="beginsWith" text="T">
      <formula>LEFT(BV69,LEN("T"))="T"</formula>
    </cfRule>
    <cfRule type="containsText" dxfId="184" priority="182" operator="containsText" text="Sin iniciar">
      <formula>NOT(ISERROR(SEARCH("Sin iniciar",BV69)))</formula>
    </cfRule>
    <cfRule type="containsText" dxfId="183" priority="183" operator="containsText" text="En gestión">
      <formula>NOT(ISERROR(SEARCH("En gestión",BV69)))</formula>
    </cfRule>
  </conditionalFormatting>
  <conditionalFormatting sqref="BU69">
    <cfRule type="beginsWith" dxfId="182" priority="184" operator="beginsWith" text="T">
      <formula>LEFT(BU69,LEN("T"))="T"</formula>
    </cfRule>
    <cfRule type="containsText" dxfId="181" priority="185" operator="containsText" text="Sin iniciar">
      <formula>NOT(ISERROR(SEARCH("Sin iniciar",BU69)))</formula>
    </cfRule>
    <cfRule type="containsText" dxfId="180" priority="186" operator="containsText" text="En gestión">
      <formula>NOT(ISERROR(SEARCH("En gestión",BU69)))</formula>
    </cfRule>
  </conditionalFormatting>
  <conditionalFormatting sqref="BV72 BV75 BV78 BV81 BV84 BV87 BV90 BV93 BV96 BV102 BV105 BV108 BV111">
    <cfRule type="beginsWith" dxfId="179" priority="175" operator="beginsWith" text="T">
      <formula>LEFT(BV72,LEN("T"))="T"</formula>
    </cfRule>
    <cfRule type="containsText" dxfId="178" priority="176" operator="containsText" text="Sin iniciar">
      <formula>NOT(ISERROR(SEARCH("Sin iniciar",BV72)))</formula>
    </cfRule>
    <cfRule type="containsText" dxfId="177" priority="177" operator="containsText" text="En gestión">
      <formula>NOT(ISERROR(SEARCH("En gestión",BV72)))</formula>
    </cfRule>
  </conditionalFormatting>
  <conditionalFormatting sqref="BU72 BU75 BU78 BU81 BU84 BU87 BU90 BU93 BU96 BU102 BU105 BU108 BU111 BU114 BU117 BU120 BU123 BU126 BU129">
    <cfRule type="beginsWith" dxfId="176" priority="178" operator="beginsWith" text="T">
      <formula>LEFT(BU72,LEN("T"))="T"</formula>
    </cfRule>
    <cfRule type="containsText" dxfId="175" priority="179" operator="containsText" text="Sin iniciar">
      <formula>NOT(ISERROR(SEARCH("Sin iniciar",BU72)))</formula>
    </cfRule>
    <cfRule type="containsText" dxfId="174" priority="180" operator="containsText" text="En gestión">
      <formula>NOT(ISERROR(SEARCH("En gestión",BU72)))</formula>
    </cfRule>
  </conditionalFormatting>
  <conditionalFormatting sqref="BV129">
    <cfRule type="beginsWith" dxfId="173" priority="172" operator="beginsWith" text="T">
      <formula>LEFT(BV129,LEN("T"))="T"</formula>
    </cfRule>
    <cfRule type="containsText" dxfId="172" priority="173" operator="containsText" text="Sin iniciar">
      <formula>NOT(ISERROR(SEARCH("Sin iniciar",BV129)))</formula>
    </cfRule>
    <cfRule type="containsText" dxfId="171" priority="174" operator="containsText" text="En gestión">
      <formula>NOT(ISERROR(SEARCH("En gestión",BV129)))</formula>
    </cfRule>
  </conditionalFormatting>
  <conditionalFormatting sqref="BV126">
    <cfRule type="beginsWith" dxfId="170" priority="169" operator="beginsWith" text="T">
      <formula>LEFT(BV126,LEN("T"))="T"</formula>
    </cfRule>
    <cfRule type="containsText" dxfId="169" priority="170" operator="containsText" text="Sin iniciar">
      <formula>NOT(ISERROR(SEARCH("Sin iniciar",BV126)))</formula>
    </cfRule>
    <cfRule type="containsText" dxfId="168" priority="171" operator="containsText" text="En gestión">
      <formula>NOT(ISERROR(SEARCH("En gestión",BV126)))</formula>
    </cfRule>
  </conditionalFormatting>
  <conditionalFormatting sqref="BV123">
    <cfRule type="beginsWith" dxfId="167" priority="166" operator="beginsWith" text="T">
      <formula>LEFT(BV123,LEN("T"))="T"</formula>
    </cfRule>
    <cfRule type="containsText" dxfId="166" priority="167" operator="containsText" text="Sin iniciar">
      <formula>NOT(ISERROR(SEARCH("Sin iniciar",BV123)))</formula>
    </cfRule>
    <cfRule type="containsText" dxfId="165" priority="168" operator="containsText" text="En gestión">
      <formula>NOT(ISERROR(SEARCH("En gestión",BV123)))</formula>
    </cfRule>
  </conditionalFormatting>
  <conditionalFormatting sqref="BV120">
    <cfRule type="beginsWith" dxfId="164" priority="163" operator="beginsWith" text="T">
      <formula>LEFT(BV120,LEN("T"))="T"</formula>
    </cfRule>
    <cfRule type="containsText" dxfId="163" priority="164" operator="containsText" text="Sin iniciar">
      <formula>NOT(ISERROR(SEARCH("Sin iniciar",BV120)))</formula>
    </cfRule>
    <cfRule type="containsText" dxfId="162" priority="165" operator="containsText" text="En gestión">
      <formula>NOT(ISERROR(SEARCH("En gestión",BV120)))</formula>
    </cfRule>
  </conditionalFormatting>
  <conditionalFormatting sqref="BV117">
    <cfRule type="beginsWith" dxfId="161" priority="160" operator="beginsWith" text="T">
      <formula>LEFT(BV117,LEN("T"))="T"</formula>
    </cfRule>
    <cfRule type="containsText" dxfId="160" priority="161" operator="containsText" text="Sin iniciar">
      <formula>NOT(ISERROR(SEARCH("Sin iniciar",BV117)))</formula>
    </cfRule>
    <cfRule type="containsText" dxfId="159" priority="162" operator="containsText" text="En gestión">
      <formula>NOT(ISERROR(SEARCH("En gestión",BV117)))</formula>
    </cfRule>
  </conditionalFormatting>
  <conditionalFormatting sqref="BV114">
    <cfRule type="beginsWith" dxfId="158" priority="157" operator="beginsWith" text="T">
      <formula>LEFT(BV114,LEN("T"))="T"</formula>
    </cfRule>
    <cfRule type="containsText" dxfId="157" priority="158" operator="containsText" text="Sin iniciar">
      <formula>NOT(ISERROR(SEARCH("Sin iniciar",BV114)))</formula>
    </cfRule>
    <cfRule type="containsText" dxfId="156" priority="159" operator="containsText" text="En gestión">
      <formula>NOT(ISERROR(SEARCH("En gestión",BV114)))</formula>
    </cfRule>
  </conditionalFormatting>
  <conditionalFormatting sqref="BV100">
    <cfRule type="beginsWith" dxfId="155" priority="151" operator="beginsWith" text="T">
      <formula>LEFT(BV100,LEN("T"))="T"</formula>
    </cfRule>
    <cfRule type="containsText" dxfId="154" priority="152" operator="containsText" text="Sin iniciar">
      <formula>NOT(ISERROR(SEARCH("Sin iniciar",BV100)))</formula>
    </cfRule>
    <cfRule type="containsText" dxfId="153" priority="153" operator="containsText" text="En gestión">
      <formula>NOT(ISERROR(SEARCH("En gestión",BV100)))</formula>
    </cfRule>
  </conditionalFormatting>
  <conditionalFormatting sqref="BU100">
    <cfRule type="beginsWith" dxfId="152" priority="154" operator="beginsWith" text="T">
      <formula>LEFT(BU100,LEN("T"))="T"</formula>
    </cfRule>
    <cfRule type="containsText" dxfId="151" priority="155" operator="containsText" text="Sin iniciar">
      <formula>NOT(ISERROR(SEARCH("Sin iniciar",BU100)))</formula>
    </cfRule>
    <cfRule type="containsText" dxfId="150" priority="156" operator="containsText" text="En gestión">
      <formula>NOT(ISERROR(SEARCH("En gestión",BU100)))</formula>
    </cfRule>
  </conditionalFormatting>
  <conditionalFormatting sqref="X132:Y222 AT132:AU222 BP132:BQ137 BP143:BQ205 BP211:BQ222">
    <cfRule type="beginsWith" dxfId="149" priority="148" operator="beginsWith" text="T">
      <formula>LEFT(X132,LEN("T"))="T"</formula>
    </cfRule>
    <cfRule type="containsText" dxfId="148" priority="149" operator="containsText" text="Sin iniciar">
      <formula>NOT(ISERROR(SEARCH("Sin iniciar",X132)))</formula>
    </cfRule>
    <cfRule type="containsText" dxfId="147" priority="150" operator="containsText" text="En gestión">
      <formula>NOT(ISERROR(SEARCH("En gestión",X132)))</formula>
    </cfRule>
  </conditionalFormatting>
  <conditionalFormatting sqref="AC143:AD143 AC149:AD149 AC182:AD182 AC188:AD188 AC200:AD200 AC194:AD194 AC206:AD206 AC211:AD211 AC217:AD217 AC132:AD141 AY132:AZ141 BU132:BV132 AC155:AD177 AY155:AZ177 BU155:BV155 BU173:BV173 BU167:BV167 BU161:BV161 BU159:BV159 BU138:BV138">
    <cfRule type="beginsWith" dxfId="146" priority="145" operator="beginsWith" text="E">
      <formula>LEFT(AC132,LEN("E"))="E"</formula>
    </cfRule>
    <cfRule type="beginsWith" dxfId="145" priority="146" operator="beginsWith" text="T">
      <formula>LEFT(AC132,LEN("T"))="T"</formula>
    </cfRule>
    <cfRule type="beginsWith" dxfId="144" priority="147" operator="beginsWith" text="S">
      <formula>LEFT(AC132,LEN("S"))="S"</formula>
    </cfRule>
  </conditionalFormatting>
  <conditionalFormatting sqref="AC143:AD143">
    <cfRule type="beginsWith" dxfId="143" priority="142" operator="beginsWith" text="E">
      <formula>LEFT(AC143,LEN("E"))="E"</formula>
    </cfRule>
    <cfRule type="beginsWith" dxfId="142" priority="143" operator="beginsWith" text="T">
      <formula>LEFT(AC143,LEN("T"))="T"</formula>
    </cfRule>
    <cfRule type="beginsWith" dxfId="141" priority="144" operator="beginsWith" text="S">
      <formula>LEFT(AC143,LEN("S"))="S"</formula>
    </cfRule>
  </conditionalFormatting>
  <conditionalFormatting sqref="AC178:AD178">
    <cfRule type="beginsWith" dxfId="140" priority="139" operator="beginsWith" text="E">
      <formula>LEFT(AC178,LEN("E"))="E"</formula>
    </cfRule>
    <cfRule type="beginsWith" dxfId="139" priority="140" operator="beginsWith" text="T">
      <formula>LEFT(AC178,LEN("T"))="T"</formula>
    </cfRule>
    <cfRule type="beginsWith" dxfId="138" priority="141" operator="beginsWith" text="S">
      <formula>LEFT(AC178,LEN("S"))="S"</formula>
    </cfRule>
  </conditionalFormatting>
  <conditionalFormatting sqref="AY143:AZ143 AY149:AZ149 AY182:AZ182 AY188:AZ188 AY200:AZ200 AY194:AZ194 AY206:AZ206 AY211:AZ211 AY217:AZ217">
    <cfRule type="beginsWith" dxfId="137" priority="136" operator="beginsWith" text="E">
      <formula>LEFT(AY143,LEN("E"))="E"</formula>
    </cfRule>
    <cfRule type="beginsWith" dxfId="136" priority="137" operator="beginsWith" text="T">
      <formula>LEFT(AY143,LEN("T"))="T"</formula>
    </cfRule>
    <cfRule type="beginsWith" dxfId="135" priority="138" operator="beginsWith" text="S">
      <formula>LEFT(AY143,LEN("S"))="S"</formula>
    </cfRule>
  </conditionalFormatting>
  <conditionalFormatting sqref="AY143:AZ143">
    <cfRule type="beginsWith" dxfId="134" priority="133" operator="beginsWith" text="E">
      <formula>LEFT(AY143,LEN("E"))="E"</formula>
    </cfRule>
    <cfRule type="beginsWith" dxfId="133" priority="134" operator="beginsWith" text="T">
      <formula>LEFT(AY143,LEN("T"))="T"</formula>
    </cfRule>
    <cfRule type="beginsWith" dxfId="132" priority="135" operator="beginsWith" text="S">
      <formula>LEFT(AY143,LEN("S"))="S"</formula>
    </cfRule>
  </conditionalFormatting>
  <conditionalFormatting sqref="AY178:AZ178">
    <cfRule type="beginsWith" dxfId="131" priority="130" operator="beginsWith" text="E">
      <formula>LEFT(AY178,LEN("E"))="E"</formula>
    </cfRule>
    <cfRule type="beginsWith" dxfId="130" priority="131" operator="beginsWith" text="T">
      <formula>LEFT(AY178,LEN("T"))="T"</formula>
    </cfRule>
    <cfRule type="beginsWith" dxfId="129" priority="132" operator="beginsWith" text="S">
      <formula>LEFT(AY178,LEN("S"))="S"</formula>
    </cfRule>
  </conditionalFormatting>
  <conditionalFormatting sqref="BU143:BV143 BU149:BV149 BU182:BV182 BU188:BV188 BU200:BV200 BU194:BV194 BU206:BV206 BU211:BV211 BU217:BV217">
    <cfRule type="beginsWith" dxfId="128" priority="127" operator="beginsWith" text="E">
      <formula>LEFT(BU143,LEN("E"))="E"</formula>
    </cfRule>
    <cfRule type="beginsWith" dxfId="127" priority="128" operator="beginsWith" text="T">
      <formula>LEFT(BU143,LEN("T"))="T"</formula>
    </cfRule>
    <cfRule type="beginsWith" dxfId="126" priority="129" operator="beginsWith" text="S">
      <formula>LEFT(BU143,LEN("S"))="S"</formula>
    </cfRule>
  </conditionalFormatting>
  <conditionalFormatting sqref="BU143:BV143">
    <cfRule type="beginsWith" dxfId="125" priority="124" operator="beginsWith" text="E">
      <formula>LEFT(BU143,LEN("E"))="E"</formula>
    </cfRule>
    <cfRule type="beginsWith" dxfId="124" priority="125" operator="beginsWith" text="T">
      <formula>LEFT(BU143,LEN("T"))="T"</formula>
    </cfRule>
    <cfRule type="beginsWith" dxfId="123" priority="126" operator="beginsWith" text="S">
      <formula>LEFT(BU143,LEN("S"))="S"</formula>
    </cfRule>
  </conditionalFormatting>
  <conditionalFormatting sqref="BU178:BV178">
    <cfRule type="beginsWith" dxfId="122" priority="121" operator="beginsWith" text="E">
      <formula>LEFT(BU178,LEN("E"))="E"</formula>
    </cfRule>
    <cfRule type="beginsWith" dxfId="121" priority="122" operator="beginsWith" text="T">
      <formula>LEFT(BU178,LEN("T"))="T"</formula>
    </cfRule>
    <cfRule type="beginsWith" dxfId="120" priority="123" operator="beginsWith" text="S">
      <formula>LEFT(BU178,LEN("S"))="S"</formula>
    </cfRule>
  </conditionalFormatting>
  <conditionalFormatting sqref="BP138:BQ142">
    <cfRule type="beginsWith" dxfId="119" priority="118" operator="beginsWith" text="T">
      <formula>LEFT(BP138,LEN("T"))="T"</formula>
    </cfRule>
    <cfRule type="containsText" dxfId="118" priority="119" operator="containsText" text="Sin iniciar">
      <formula>NOT(ISERROR(SEARCH("Sin iniciar",BP138)))</formula>
    </cfRule>
    <cfRule type="containsText" dxfId="117" priority="120" operator="containsText" text="En gestión">
      <formula>NOT(ISERROR(SEARCH("En gestión",BP138)))</formula>
    </cfRule>
  </conditionalFormatting>
  <conditionalFormatting sqref="BP206:BQ210">
    <cfRule type="beginsWith" dxfId="116" priority="115" operator="beginsWith" text="T">
      <formula>LEFT(BP206,LEN("T"))="T"</formula>
    </cfRule>
    <cfRule type="containsText" dxfId="115" priority="116" operator="containsText" text="Sin iniciar">
      <formula>NOT(ISERROR(SEARCH("Sin iniciar",BP206)))</formula>
    </cfRule>
    <cfRule type="containsText" dxfId="114" priority="117" operator="containsText" text="En gestión">
      <formula>NOT(ISERROR(SEARCH("En gestión",BP206)))</formula>
    </cfRule>
  </conditionalFormatting>
  <conditionalFormatting sqref="BP37:BQ37">
    <cfRule type="beginsWith" dxfId="113" priority="46" operator="beginsWith" text="T">
      <formula>LEFT(BP37,LEN("T"))="T"</formula>
    </cfRule>
    <cfRule type="containsText" dxfId="112" priority="47" operator="containsText" text="Sin iniciar">
      <formula>NOT(ISERROR(SEARCH("Sin iniciar",BP37)))</formula>
    </cfRule>
    <cfRule type="containsText" dxfId="111" priority="48" operator="containsText" text="En gestión">
      <formula>NOT(ISERROR(SEARCH("En gestión",BP37)))</formula>
    </cfRule>
  </conditionalFormatting>
  <conditionalFormatting sqref="X37:Y40">
    <cfRule type="beginsWith" dxfId="110" priority="112" operator="beginsWith" text="T">
      <formula>LEFT(X37,LEN("T"))="T"</formula>
    </cfRule>
    <cfRule type="containsText" dxfId="109" priority="113" operator="containsText" text="Sin iniciar">
      <formula>NOT(ISERROR(SEARCH("Sin iniciar",X37)))</formula>
    </cfRule>
    <cfRule type="containsText" dxfId="108" priority="114" operator="containsText" text="En gestión">
      <formula>NOT(ISERROR(SEARCH("En gestión",X37)))</formula>
    </cfRule>
  </conditionalFormatting>
  <conditionalFormatting sqref="AT37:AU40">
    <cfRule type="beginsWith" dxfId="107" priority="109" operator="beginsWith" text="T">
      <formula>LEFT(AT37,LEN("T"))="T"</formula>
    </cfRule>
    <cfRule type="containsText" dxfId="106" priority="110" operator="containsText" text="Sin iniciar">
      <formula>NOT(ISERROR(SEARCH("Sin iniciar",AT37)))</formula>
    </cfRule>
    <cfRule type="containsText" dxfId="105" priority="111" operator="containsText" text="En gestión">
      <formula>NOT(ISERROR(SEARCH("En gestión",AT37)))</formula>
    </cfRule>
  </conditionalFormatting>
  <conditionalFormatting sqref="AC37">
    <cfRule type="beginsWith" dxfId="104" priority="106" operator="beginsWith" text="T">
      <formula>LEFT(AC37,LEN("T"))="T"</formula>
    </cfRule>
    <cfRule type="containsText" dxfId="103" priority="107" operator="containsText" text="Sin iniciar">
      <formula>NOT(ISERROR(SEARCH("Sin iniciar",AC37)))</formula>
    </cfRule>
    <cfRule type="containsText" dxfId="102" priority="108" operator="containsText" text="En gestión">
      <formula>NOT(ISERROR(SEARCH("En gestión",AC37)))</formula>
    </cfRule>
  </conditionalFormatting>
  <conditionalFormatting sqref="AD37">
    <cfRule type="beginsWith" dxfId="101" priority="103" operator="beginsWith" text="T">
      <formula>LEFT(AD37,LEN("T"))="T"</formula>
    </cfRule>
    <cfRule type="containsText" dxfId="100" priority="104" operator="containsText" text="Sin iniciar">
      <formula>NOT(ISERROR(SEARCH("Sin iniciar",AD37)))</formula>
    </cfRule>
    <cfRule type="containsText" dxfId="99" priority="105" operator="containsText" text="En gestión">
      <formula>NOT(ISERROR(SEARCH("En gestión",AD37)))</formula>
    </cfRule>
  </conditionalFormatting>
  <conditionalFormatting sqref="AC38">
    <cfRule type="beginsWith" dxfId="98" priority="100" operator="beginsWith" text="T">
      <formula>LEFT(AC38,LEN("T"))="T"</formula>
    </cfRule>
    <cfRule type="containsText" dxfId="97" priority="101" operator="containsText" text="Sin iniciar">
      <formula>NOT(ISERROR(SEARCH("Sin iniciar",AC38)))</formula>
    </cfRule>
    <cfRule type="containsText" dxfId="96" priority="102" operator="containsText" text="En gestión">
      <formula>NOT(ISERROR(SEARCH("En gestión",AC38)))</formula>
    </cfRule>
  </conditionalFormatting>
  <conditionalFormatting sqref="AD38">
    <cfRule type="beginsWith" dxfId="95" priority="97" operator="beginsWith" text="T">
      <formula>LEFT(AD38,LEN("T"))="T"</formula>
    </cfRule>
    <cfRule type="containsText" dxfId="94" priority="98" operator="containsText" text="Sin iniciar">
      <formula>NOT(ISERROR(SEARCH("Sin iniciar",AD38)))</formula>
    </cfRule>
    <cfRule type="containsText" dxfId="93" priority="99" operator="containsText" text="En gestión">
      <formula>NOT(ISERROR(SEARCH("En gestión",AD38)))</formula>
    </cfRule>
  </conditionalFormatting>
  <conditionalFormatting sqref="AC39">
    <cfRule type="beginsWith" dxfId="92" priority="94" operator="beginsWith" text="T">
      <formula>LEFT(AC39,LEN("T"))="T"</formula>
    </cfRule>
    <cfRule type="containsText" dxfId="91" priority="95" operator="containsText" text="Sin iniciar">
      <formula>NOT(ISERROR(SEARCH("Sin iniciar",AC39)))</formula>
    </cfRule>
    <cfRule type="containsText" dxfId="90" priority="96" operator="containsText" text="En gestión">
      <formula>NOT(ISERROR(SEARCH("En gestión",AC39)))</formula>
    </cfRule>
  </conditionalFormatting>
  <conditionalFormatting sqref="AD39">
    <cfRule type="beginsWith" dxfId="89" priority="91" operator="beginsWith" text="T">
      <formula>LEFT(AD39,LEN("T"))="T"</formula>
    </cfRule>
    <cfRule type="containsText" dxfId="88" priority="92" operator="containsText" text="Sin iniciar">
      <formula>NOT(ISERROR(SEARCH("Sin iniciar",AD39)))</formula>
    </cfRule>
    <cfRule type="containsText" dxfId="87" priority="93" operator="containsText" text="En gestión">
      <formula>NOT(ISERROR(SEARCH("En gestión",AD39)))</formula>
    </cfRule>
  </conditionalFormatting>
  <conditionalFormatting sqref="AZ37">
    <cfRule type="beginsWith" dxfId="86" priority="85" operator="beginsWith" text="T">
      <formula>LEFT(AZ37,LEN("T"))="T"</formula>
    </cfRule>
    <cfRule type="containsText" dxfId="85" priority="86" operator="containsText" text="Sin iniciar">
      <formula>NOT(ISERROR(SEARCH("Sin iniciar",AZ37)))</formula>
    </cfRule>
    <cfRule type="containsText" dxfId="84" priority="87" operator="containsText" text="En gestión">
      <formula>NOT(ISERROR(SEARCH("En gestión",AZ37)))</formula>
    </cfRule>
  </conditionalFormatting>
  <conditionalFormatting sqref="AY37">
    <cfRule type="beginsWith" dxfId="83" priority="88" operator="beginsWith" text="T">
      <formula>LEFT(AY37,LEN("T"))="T"</formula>
    </cfRule>
    <cfRule type="containsText" dxfId="82" priority="89" operator="containsText" text="Sin iniciar">
      <formula>NOT(ISERROR(SEARCH("Sin iniciar",AY37)))</formula>
    </cfRule>
    <cfRule type="containsText" dxfId="81" priority="90" operator="containsText" text="En gestión">
      <formula>NOT(ISERROR(SEARCH("En gestión",AY37)))</formula>
    </cfRule>
  </conditionalFormatting>
  <conditionalFormatting sqref="AZ38">
    <cfRule type="beginsWith" dxfId="80" priority="79" operator="beginsWith" text="T">
      <formula>LEFT(AZ38,LEN("T"))="T"</formula>
    </cfRule>
    <cfRule type="containsText" dxfId="79" priority="80" operator="containsText" text="Sin iniciar">
      <formula>NOT(ISERROR(SEARCH("Sin iniciar",AZ38)))</formula>
    </cfRule>
    <cfRule type="containsText" dxfId="78" priority="81" operator="containsText" text="En gestión">
      <formula>NOT(ISERROR(SEARCH("En gestión",AZ38)))</formula>
    </cfRule>
  </conditionalFormatting>
  <conditionalFormatting sqref="AY38">
    <cfRule type="beginsWith" dxfId="77" priority="82" operator="beginsWith" text="T">
      <formula>LEFT(AY38,LEN("T"))="T"</formula>
    </cfRule>
    <cfRule type="containsText" dxfId="76" priority="83" operator="containsText" text="Sin iniciar">
      <formula>NOT(ISERROR(SEARCH("Sin iniciar",AY38)))</formula>
    </cfRule>
    <cfRule type="containsText" dxfId="75" priority="84" operator="containsText" text="En gestión">
      <formula>NOT(ISERROR(SEARCH("En gestión",AY38)))</formula>
    </cfRule>
  </conditionalFormatting>
  <conditionalFormatting sqref="AY39">
    <cfRule type="beginsWith" dxfId="74" priority="76" operator="beginsWith" text="T">
      <formula>LEFT(AY39,LEN("T"))="T"</formula>
    </cfRule>
    <cfRule type="containsText" dxfId="73" priority="77" operator="containsText" text="Sin iniciar">
      <formula>NOT(ISERROR(SEARCH("Sin iniciar",AY39)))</formula>
    </cfRule>
    <cfRule type="containsText" dxfId="72" priority="78" operator="containsText" text="En gestión">
      <formula>NOT(ISERROR(SEARCH("En gestión",AY39)))</formula>
    </cfRule>
  </conditionalFormatting>
  <conditionalFormatting sqref="AZ39">
    <cfRule type="beginsWith" dxfId="71" priority="73" operator="beginsWith" text="T">
      <formula>LEFT(AZ39,LEN("T"))="T"</formula>
    </cfRule>
    <cfRule type="containsText" dxfId="70" priority="74" operator="containsText" text="Sin iniciar">
      <formula>NOT(ISERROR(SEARCH("Sin iniciar",AZ39)))</formula>
    </cfRule>
    <cfRule type="containsText" dxfId="69" priority="75" operator="containsText" text="En gestión">
      <formula>NOT(ISERROR(SEARCH("En gestión",AZ39)))</formula>
    </cfRule>
  </conditionalFormatting>
  <conditionalFormatting sqref="BA39">
    <cfRule type="beginsWith" dxfId="68" priority="70" operator="beginsWith" text="T">
      <formula>LEFT(BA39,LEN("T"))="T"</formula>
    </cfRule>
    <cfRule type="containsText" dxfId="67" priority="71" operator="containsText" text="Sin iniciar">
      <formula>NOT(ISERROR(SEARCH("Sin iniciar",BA39)))</formula>
    </cfRule>
    <cfRule type="containsText" dxfId="66" priority="72" operator="containsText" text="En gestión">
      <formula>NOT(ISERROR(SEARCH("En gestión",BA39)))</formula>
    </cfRule>
  </conditionalFormatting>
  <conditionalFormatting sqref="BP38:BQ40">
    <cfRule type="beginsWith" dxfId="65" priority="67" operator="beginsWith" text="T">
      <formula>LEFT(BP38,LEN("T"))="T"</formula>
    </cfRule>
    <cfRule type="containsText" dxfId="64" priority="68" operator="containsText" text="Sin iniciar">
      <formula>NOT(ISERROR(SEARCH("Sin iniciar",BP38)))</formula>
    </cfRule>
    <cfRule type="containsText" dxfId="63" priority="69" operator="containsText" text="En gestión">
      <formula>NOT(ISERROR(SEARCH("En gestión",BP38)))</formula>
    </cfRule>
  </conditionalFormatting>
  <conditionalFormatting sqref="BV37">
    <cfRule type="beginsWith" dxfId="62" priority="61" operator="beginsWith" text="T">
      <formula>LEFT(BV37,LEN("T"))="T"</formula>
    </cfRule>
    <cfRule type="containsText" dxfId="61" priority="62" operator="containsText" text="Sin iniciar">
      <formula>NOT(ISERROR(SEARCH("Sin iniciar",BV37)))</formula>
    </cfRule>
    <cfRule type="containsText" dxfId="60" priority="63" operator="containsText" text="En gestión">
      <formula>NOT(ISERROR(SEARCH("En gestión",BV37)))</formula>
    </cfRule>
  </conditionalFormatting>
  <conditionalFormatting sqref="BU37">
    <cfRule type="beginsWith" dxfId="59" priority="64" operator="beginsWith" text="T">
      <formula>LEFT(BU37,LEN("T"))="T"</formula>
    </cfRule>
    <cfRule type="containsText" dxfId="58" priority="65" operator="containsText" text="Sin iniciar">
      <formula>NOT(ISERROR(SEARCH("Sin iniciar",BU37)))</formula>
    </cfRule>
    <cfRule type="containsText" dxfId="57" priority="66" operator="containsText" text="En gestión">
      <formula>NOT(ISERROR(SEARCH("En gestión",BU37)))</formula>
    </cfRule>
  </conditionalFormatting>
  <conditionalFormatting sqref="BV38">
    <cfRule type="beginsWith" dxfId="56" priority="55" operator="beginsWith" text="T">
      <formula>LEFT(BV38,LEN("T"))="T"</formula>
    </cfRule>
    <cfRule type="containsText" dxfId="55" priority="56" operator="containsText" text="Sin iniciar">
      <formula>NOT(ISERROR(SEARCH("Sin iniciar",BV38)))</formula>
    </cfRule>
    <cfRule type="containsText" dxfId="54" priority="57" operator="containsText" text="En gestión">
      <formula>NOT(ISERROR(SEARCH("En gestión",BV38)))</formula>
    </cfRule>
  </conditionalFormatting>
  <conditionalFormatting sqref="BU38">
    <cfRule type="beginsWith" dxfId="53" priority="58" operator="beginsWith" text="T">
      <formula>LEFT(BU38,LEN("T"))="T"</formula>
    </cfRule>
    <cfRule type="containsText" dxfId="52" priority="59" operator="containsText" text="Sin iniciar">
      <formula>NOT(ISERROR(SEARCH("Sin iniciar",BU38)))</formula>
    </cfRule>
    <cfRule type="containsText" dxfId="51" priority="60" operator="containsText" text="En gestión">
      <formula>NOT(ISERROR(SEARCH("En gestión",BU38)))</formula>
    </cfRule>
  </conditionalFormatting>
  <conditionalFormatting sqref="BU39">
    <cfRule type="beginsWith" dxfId="50" priority="52" operator="beginsWith" text="T">
      <formula>LEFT(BU39,LEN("T"))="T"</formula>
    </cfRule>
    <cfRule type="containsText" dxfId="49" priority="53" operator="containsText" text="Sin iniciar">
      <formula>NOT(ISERROR(SEARCH("Sin iniciar",BU39)))</formula>
    </cfRule>
    <cfRule type="containsText" dxfId="48" priority="54" operator="containsText" text="En gestión">
      <formula>NOT(ISERROR(SEARCH("En gestión",BU39)))</formula>
    </cfRule>
  </conditionalFormatting>
  <conditionalFormatting sqref="BV39">
    <cfRule type="beginsWith" dxfId="47" priority="49" operator="beginsWith" text="T">
      <formula>LEFT(BV39,LEN("T"))="T"</formula>
    </cfRule>
    <cfRule type="containsText" dxfId="46" priority="50" operator="containsText" text="Sin iniciar">
      <formula>NOT(ISERROR(SEARCH("Sin iniciar",BV39)))</formula>
    </cfRule>
    <cfRule type="containsText" dxfId="45" priority="51" operator="containsText" text="En gestión">
      <formula>NOT(ISERROR(SEARCH("En gestión",BV39)))</formula>
    </cfRule>
  </conditionalFormatting>
  <conditionalFormatting sqref="X41:Y42">
    <cfRule type="beginsWith" dxfId="44" priority="43" operator="beginsWith" text="T">
      <formula>LEFT(X41,LEN("T"))="T"</formula>
    </cfRule>
    <cfRule type="containsText" dxfId="43" priority="44" operator="containsText" text="Sin iniciar">
      <formula>NOT(ISERROR(SEARCH("Sin iniciar",X41)))</formula>
    </cfRule>
    <cfRule type="containsText" dxfId="42" priority="45" operator="containsText" text="En gestión">
      <formula>NOT(ISERROR(SEARCH("En gestión",X41)))</formula>
    </cfRule>
  </conditionalFormatting>
  <conditionalFormatting sqref="AT41:AU42">
    <cfRule type="beginsWith" dxfId="41" priority="40" operator="beginsWith" text="T">
      <formula>LEFT(AT41,LEN("T"))="T"</formula>
    </cfRule>
    <cfRule type="containsText" dxfId="40" priority="41" operator="containsText" text="Sin iniciar">
      <formula>NOT(ISERROR(SEARCH("Sin iniciar",AT41)))</formula>
    </cfRule>
    <cfRule type="containsText" dxfId="39" priority="42" operator="containsText" text="En gestión">
      <formula>NOT(ISERROR(SEARCH("En gestión",AT41)))</formula>
    </cfRule>
  </conditionalFormatting>
  <conditionalFormatting sqref="AC41">
    <cfRule type="beginsWith" dxfId="38" priority="37" operator="beginsWith" text="T">
      <formula>LEFT(AC41,LEN("T"))="T"</formula>
    </cfRule>
    <cfRule type="containsText" dxfId="37" priority="38" operator="containsText" text="Sin iniciar">
      <formula>NOT(ISERROR(SEARCH("Sin iniciar",AC41)))</formula>
    </cfRule>
    <cfRule type="containsText" dxfId="36" priority="39" operator="containsText" text="En gestión">
      <formula>NOT(ISERROR(SEARCH("En gestión",AC41)))</formula>
    </cfRule>
  </conditionalFormatting>
  <conditionalFormatting sqref="AD41">
    <cfRule type="beginsWith" dxfId="35" priority="34" operator="beginsWith" text="T">
      <formula>LEFT(AD41,LEN("T"))="T"</formula>
    </cfRule>
    <cfRule type="containsText" dxfId="34" priority="35" operator="containsText" text="Sin iniciar">
      <formula>NOT(ISERROR(SEARCH("Sin iniciar",AD41)))</formula>
    </cfRule>
    <cfRule type="containsText" dxfId="33" priority="36" operator="containsText" text="En gestión">
      <formula>NOT(ISERROR(SEARCH("En gestión",AD41)))</formula>
    </cfRule>
  </conditionalFormatting>
  <conditionalFormatting sqref="AC42">
    <cfRule type="beginsWith" dxfId="32" priority="31" operator="beginsWith" text="T">
      <formula>LEFT(AC42,LEN("T"))="T"</formula>
    </cfRule>
    <cfRule type="containsText" dxfId="31" priority="32" operator="containsText" text="Sin iniciar">
      <formula>NOT(ISERROR(SEARCH("Sin iniciar",AC42)))</formula>
    </cfRule>
    <cfRule type="containsText" dxfId="30" priority="33" operator="containsText" text="En gestión">
      <formula>NOT(ISERROR(SEARCH("En gestión",AC42)))</formula>
    </cfRule>
  </conditionalFormatting>
  <conditionalFormatting sqref="AD42">
    <cfRule type="beginsWith" dxfId="29" priority="28" operator="beginsWith" text="T">
      <formula>LEFT(AD42,LEN("T"))="T"</formula>
    </cfRule>
    <cfRule type="containsText" dxfId="28" priority="29" operator="containsText" text="Sin iniciar">
      <formula>NOT(ISERROR(SEARCH("Sin iniciar",AD42)))</formula>
    </cfRule>
    <cfRule type="containsText" dxfId="27" priority="30" operator="containsText" text="En gestión">
      <formula>NOT(ISERROR(SEARCH("En gestión",AD42)))</formula>
    </cfRule>
  </conditionalFormatting>
  <conditionalFormatting sqref="AZ42">
    <cfRule type="beginsWith" dxfId="26" priority="16" operator="beginsWith" text="T">
      <formula>LEFT(AZ42,LEN("T"))="T"</formula>
    </cfRule>
    <cfRule type="containsText" dxfId="25" priority="17" operator="containsText" text="Sin iniciar">
      <formula>NOT(ISERROR(SEARCH("Sin iniciar",AZ42)))</formula>
    </cfRule>
    <cfRule type="containsText" dxfId="24" priority="18" operator="containsText" text="En gestión">
      <formula>NOT(ISERROR(SEARCH("En gestión",AZ42)))</formula>
    </cfRule>
  </conditionalFormatting>
  <conditionalFormatting sqref="AY41">
    <cfRule type="beginsWith" dxfId="23" priority="25" operator="beginsWith" text="T">
      <formula>LEFT(AY41,LEN("T"))="T"</formula>
    </cfRule>
    <cfRule type="containsText" dxfId="22" priority="26" operator="containsText" text="Sin iniciar">
      <formula>NOT(ISERROR(SEARCH("Sin iniciar",AY41)))</formula>
    </cfRule>
    <cfRule type="containsText" dxfId="21" priority="27" operator="containsText" text="En gestión">
      <formula>NOT(ISERROR(SEARCH("En gestión",AY41)))</formula>
    </cfRule>
  </conditionalFormatting>
  <conditionalFormatting sqref="AZ41">
    <cfRule type="beginsWith" dxfId="20" priority="22" operator="beginsWith" text="T">
      <formula>LEFT(AZ41,LEN("T"))="T"</formula>
    </cfRule>
    <cfRule type="containsText" dxfId="19" priority="23" operator="containsText" text="Sin iniciar">
      <formula>NOT(ISERROR(SEARCH("Sin iniciar",AZ41)))</formula>
    </cfRule>
    <cfRule type="containsText" dxfId="18" priority="24" operator="containsText" text="En gestión">
      <formula>NOT(ISERROR(SEARCH("En gestión",AZ41)))</formula>
    </cfRule>
  </conditionalFormatting>
  <conditionalFormatting sqref="AY42">
    <cfRule type="beginsWith" dxfId="17" priority="19" operator="beginsWith" text="T">
      <formula>LEFT(AY42,LEN("T"))="T"</formula>
    </cfRule>
    <cfRule type="containsText" dxfId="16" priority="20" operator="containsText" text="Sin iniciar">
      <formula>NOT(ISERROR(SEARCH("Sin iniciar",AY42)))</formula>
    </cfRule>
    <cfRule type="containsText" dxfId="15" priority="21" operator="containsText" text="En gestión">
      <formula>NOT(ISERROR(SEARCH("En gestión",AY42)))</formula>
    </cfRule>
  </conditionalFormatting>
  <conditionalFormatting sqref="BP41:BQ42">
    <cfRule type="beginsWith" dxfId="14" priority="13" operator="beginsWith" text="T">
      <formula>LEFT(BP41,LEN("T"))="T"</formula>
    </cfRule>
    <cfRule type="containsText" dxfId="13" priority="14" operator="containsText" text="Sin iniciar">
      <formula>NOT(ISERROR(SEARCH("Sin iniciar",BP41)))</formula>
    </cfRule>
    <cfRule type="containsText" dxfId="12" priority="15" operator="containsText" text="En gestión">
      <formula>NOT(ISERROR(SEARCH("En gestión",BP41)))</formula>
    </cfRule>
  </conditionalFormatting>
  <conditionalFormatting sqref="BV42">
    <cfRule type="beginsWith" dxfId="11" priority="1" operator="beginsWith" text="T">
      <formula>LEFT(BV42,LEN("T"))="T"</formula>
    </cfRule>
    <cfRule type="containsText" dxfId="10" priority="2" operator="containsText" text="Sin iniciar">
      <formula>NOT(ISERROR(SEARCH("Sin iniciar",BV42)))</formula>
    </cfRule>
    <cfRule type="containsText" dxfId="9" priority="3" operator="containsText" text="En gestión">
      <formula>NOT(ISERROR(SEARCH("En gestión",BV42)))</formula>
    </cfRule>
  </conditionalFormatting>
  <conditionalFormatting sqref="BU41">
    <cfRule type="beginsWith" dxfId="8" priority="10" operator="beginsWith" text="T">
      <formula>LEFT(BU41,LEN("T"))="T"</formula>
    </cfRule>
    <cfRule type="containsText" dxfId="7" priority="11" operator="containsText" text="Sin iniciar">
      <formula>NOT(ISERROR(SEARCH("Sin iniciar",BU41)))</formula>
    </cfRule>
    <cfRule type="containsText" dxfId="6" priority="12" operator="containsText" text="En gestión">
      <formula>NOT(ISERROR(SEARCH("En gestión",BU41)))</formula>
    </cfRule>
  </conditionalFormatting>
  <conditionalFormatting sqref="BV41">
    <cfRule type="beginsWith" dxfId="5" priority="7" operator="beginsWith" text="T">
      <formula>LEFT(BV41,LEN("T"))="T"</formula>
    </cfRule>
    <cfRule type="containsText" dxfId="4" priority="8" operator="containsText" text="Sin iniciar">
      <formula>NOT(ISERROR(SEARCH("Sin iniciar",BV41)))</formula>
    </cfRule>
    <cfRule type="containsText" dxfId="3" priority="9" operator="containsText" text="En gestión">
      <formula>NOT(ISERROR(SEARCH("En gestión",BV41)))</formula>
    </cfRule>
  </conditionalFormatting>
  <conditionalFormatting sqref="BU42">
    <cfRule type="beginsWith" dxfId="2" priority="4" operator="beginsWith" text="T">
      <formula>LEFT(BU42,LEN("T"))="T"</formula>
    </cfRule>
    <cfRule type="containsText" dxfId="1" priority="5" operator="containsText" text="Sin iniciar">
      <formula>NOT(ISERROR(SEARCH("Sin iniciar",BU42)))</formula>
    </cfRule>
    <cfRule type="containsText" dxfId="0" priority="6" operator="containsText" text="En gestión">
      <formula>NOT(ISERROR(SEARCH("En gestión",BU42)))</formula>
    </cfRule>
  </conditionalFormatting>
  <dataValidations count="2">
    <dataValidation type="list" allowBlank="1" showInputMessage="1" showErrorMessage="1" sqref="AN17 AN22 AN37:AN39 BJ37:BJ39 CF37:CF39" xr:uid="{00000000-0002-0000-0100-000000000000}">
      <formula1>INDIRECT($G17)</formula1>
    </dataValidation>
    <dataValidation type="list" allowBlank="1" showInputMessage="1" showErrorMessage="1" sqref="K138" xr:uid="{00000000-0002-0000-0100-000001000000}">
      <formula1>"Estratégica, Operativa"</formula1>
    </dataValidation>
  </dataValidations>
  <hyperlinks>
    <hyperlink ref="W32" r:id="rId1" xr:uid="{00000000-0004-0000-0100-000000000000}"/>
    <hyperlink ref="W33" r:id="rId2" xr:uid="{00000000-0004-0000-0100-000001000000}"/>
    <hyperlink ref="W34" r:id="rId3" xr:uid="{00000000-0004-0000-0100-000002000000}"/>
    <hyperlink ref="W35" r:id="rId4" xr:uid="{00000000-0004-0000-0100-000003000000}"/>
    <hyperlink ref="W36" r:id="rId5" xr:uid="{00000000-0004-0000-0100-000004000000}"/>
    <hyperlink ref="AS33" r:id="rId6" xr:uid="{00000000-0004-0000-0100-000005000000}"/>
    <hyperlink ref="AS35" r:id="rId7" xr:uid="{00000000-0004-0000-0100-000006000000}"/>
    <hyperlink ref="AS36" r:id="rId8" xr:uid="{00000000-0004-0000-0100-000007000000}"/>
    <hyperlink ref="W54" r:id="rId9" xr:uid="{00000000-0004-0000-0100-000008000000}"/>
    <hyperlink ref="AS60" r:id="rId10" xr:uid="{00000000-0004-0000-0100-000009000000}"/>
    <hyperlink ref="W146" r:id="rId11" xr:uid="{00000000-0004-0000-0100-00000A000000}"/>
    <hyperlink ref="AS200" r:id="rId12" display="https://danegovco-my.sharepoint.com/:f:/r/personal/vlrobayom_dane_gov_co/Documents/Plan%20de%20acci%C3%B3n%20GIT%20Tem%C3%A1tica%20Ambiental/PO_DIMPE_14.1?csf=1&amp;web=1&amp;e=Zkk4oN" xr:uid="{00000000-0004-0000-0100-00000B000000}"/>
    <hyperlink ref="AS201" r:id="rId13" display="https://danegovco-my.sharepoint.com/:f:/r/personal/vlrobayom_dane_gov_co/Documents/Plan%20de%20acci%C3%B3n%20GIT%20Tem%C3%A1tica%20Ambiental/PO_DIMPE_14.2?csf=1&amp;web=1&amp;e=bRN2BE" xr:uid="{00000000-0004-0000-0100-00000C000000}"/>
    <hyperlink ref="AS202" r:id="rId14" display="https://danegovco-my.sharepoint.com/:f:/r/personal/vlrobayom_dane_gov_co/Documents/Plan%20de%20acci%C3%B3n%20GIT%20Tem%C3%A1tica%20Ambiental/PO_DIMPE_14.3?csf=1&amp;web=1&amp;e=HkwgeM" xr:uid="{00000000-0004-0000-0100-00000D000000}"/>
    <hyperlink ref="AS203" r:id="rId15" display="https://danegovco-my.sharepoint.com/:f:/r/personal/vlrobayom_dane_gov_co/Documents/Plan%20de%20acci%C3%B3n%20GIT%20Tem%C3%A1tica%20Ambiental/PO_DIMPE_14.4?csf=1&amp;web=1&amp;e=tjW7gy" xr:uid="{00000000-0004-0000-0100-00000E000000}"/>
    <hyperlink ref="AS204" r:id="rId16" display="https://danegovco-my.sharepoint.com/:f:/r/personal/vlrobayom_dane_gov_co/Documents/Plan%20de%20acci%C3%B3n%20GIT%20Tem%C3%A1tica%20Ambiental/PO_DIMPE_14.5?csf=1&amp;web=1&amp;e=3g3Nyh" xr:uid="{00000000-0004-0000-0100-00000F000000}"/>
    <hyperlink ref="AS205" r:id="rId17" display="https://danegovco-my.sharepoint.com/:f:/r/personal/vlrobayom_dane_gov_co/Documents/Plan%20de%20acci%C3%B3n%20GIT%20Tem%C3%A1tica%20Ambiental/PO_DIMPE_14.6?csf=1&amp;web=1&amp;e=v8EHsD" xr:uid="{00000000-0004-0000-0100-000010000000}"/>
    <hyperlink ref="BO39" r:id="rId18" location="/plantaskboard?groupId=e4f49491-c7e2-4bca-9d5a-0b0b3754cadf&amp;planId=bkODM8oIhE6xc3GSScceVWUAA9th_x000a__x000a_PO_DIRPEN_3.1.doc" xr:uid="{00000000-0004-0000-0100-000011000000}"/>
  </hyperlinks>
  <pageMargins left="0.7" right="0.7" top="0.75" bottom="0.75" header="0.3" footer="0.3"/>
  <pageSetup orientation="portrait" r:id="rId19"/>
  <drawing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Institucional</vt:lpstr>
      <vt:lpstr>Plan Operativo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Las Molina</cp:lastModifiedBy>
  <dcterms:created xsi:type="dcterms:W3CDTF">2021-07-28T23:10:24Z</dcterms:created>
  <dcterms:modified xsi:type="dcterms:W3CDTF">2021-12-21T18:37:11Z</dcterms:modified>
</cp:coreProperties>
</file>