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930" windowHeight="5805" tabRatio="883" activeTab="2"/>
  </bookViews>
  <sheets>
    <sheet name="Ingresos Fond. " sheetId="1" r:id="rId1"/>
    <sheet name="Gastos Fond " sheetId="2" r:id="rId2"/>
    <sheet name="CXFONDANE" sheetId="3" r:id="rId3"/>
    <sheet name="RESER FOND" sheetId="4" r:id="rId4"/>
    <sheet name="CUENTAS POR PAGAR" sheetId="5" r:id="rId5"/>
    <sheet name="Gastos Dane " sheetId="6" r:id="rId6"/>
    <sheet name="RESERVAS Dane" sheetId="7" r:id="rId7"/>
  </sheets>
  <definedNames>
    <definedName name="_xlnm.Print_Area" localSheetId="5">'Gastos Dane '!$A$1:$AP$82</definedName>
    <definedName name="_xlnm.Print_Area" localSheetId="1">'Gastos Fond '!$A$1:$AP$58</definedName>
    <definedName name="_xlnm.Print_Area" localSheetId="3">'RESER FOND'!$A$1:$AC$41</definedName>
    <definedName name="_xlnm.Print_Area" localSheetId="6">'RESERVAS Dane'!$A$1:$AC$39</definedName>
  </definedNames>
  <calcPr fullCalcOnLoad="1"/>
</workbook>
</file>

<file path=xl/sharedStrings.xml><?xml version="1.0" encoding="utf-8"?>
<sst xmlns="http://schemas.openxmlformats.org/spreadsheetml/2006/main" count="877" uniqueCount="277">
  <si>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</si>
  <si>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</si>
  <si>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</si>
  <si>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</si>
  <si>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</si>
  <si>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</si>
  <si>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</si>
  <si>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</si>
  <si>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</si>
  <si>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</si>
  <si>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</si>
  <si>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</si>
  <si>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</si>
  <si>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</si>
  <si>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</si>
  <si>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</si>
  <si>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</si>
  <si>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</si>
  <si>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</si>
  <si>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</si>
  <si>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</si>
  <si>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</si>
  <si>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</si>
  <si>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</si>
  <si>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</si>
  <si>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</si>
  <si>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</si>
  <si>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</si>
  <si>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</si>
  <si>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</si>
  <si>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</si>
  <si>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</si>
  <si>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</si>
  <si>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</si>
  <si>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</si>
  <si>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</si>
  <si>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</si>
  <si>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</si>
  <si>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</si>
  <si>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</si>
  <si>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</si>
  <si>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</si>
  <si>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</si>
  <si>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</si>
  <si>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</si>
  <si>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</si>
  <si>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</si>
  <si>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</si>
  <si>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</si>
  <si>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</si>
  <si>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</si>
  <si>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</si>
  <si>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</si>
  <si>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</si>
  <si>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</si>
  <si>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</si>
  <si>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</si>
  <si>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</si>
  <si>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</si>
  <si>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</si>
  <si>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</si>
  <si>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</si>
  <si>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</si>
  <si>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</si>
  <si>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</si>
  <si>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</si>
  <si>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</si>
  <si>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</si>
  <si>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</si>
  <si>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</si>
  <si>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</si>
  <si>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</si>
  <si>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</si>
  <si>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</si>
  <si>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</si>
  <si>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</si>
  <si>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</si>
  <si>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</si>
  <si>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</si>
  <si>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</si>
  <si>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</si>
  <si>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</si>
  <si>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</si>
  <si>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</si>
  <si>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</si>
  <si>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</si>
  <si>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</si>
  <si>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</si>
  <si>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</si>
  <si>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</si>
  <si>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</si>
  <si>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</si>
  <si>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</si>
  <si>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</si>
  <si>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</si>
  <si>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</si>
  <si>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</si>
  <si>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</si>
  <si>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</si>
  <si>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</si>
  <si>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</si>
  <si>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</si>
  <si>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</si>
  <si>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</si>
  <si>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</si>
  <si>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</si>
  <si>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</si>
  <si>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</si>
  <si>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</si>
  <si>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</si>
  <si>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</si>
  <si>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</si>
  <si>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</si>
  <si>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</si>
  <si>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</si>
  <si>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</si>
  <si>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</si>
  <si>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</si>
  <si>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</si>
  <si>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</si>
  <si>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</si>
  <si>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</si>
  <si>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</si>
  <si>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saldo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</si>
  <si>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</si>
  <si>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</si>
  <si>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</si>
  <si>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</si>
  <si>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</si>
  <si>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</si>
  <si>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</si>
  <si>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</si>
  <si>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</si>
  <si>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</si>
  <si>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</si>
  <si>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</si>
  <si>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</si>
  <si>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</si>
  <si>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</si>
  <si>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</si>
  <si>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</si>
  <si>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</si>
  <si>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</si>
  <si>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</si>
  <si>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</si>
  <si>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</si>
  <si>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</si>
  <si>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</si>
  <si>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</si>
  <si>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</si>
  <si>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</si>
  <si>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</si>
  <si>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</si>
  <si>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COORDINADOR PRESUPUESTO FUNCIONAMIENTO</t>
  </si>
  <si>
    <t xml:space="preserve">COORDINADOR PRESUPUESTO INVERSION </t>
  </si>
  <si>
    <t>CUENTAS POR PAGAR</t>
  </si>
  <si>
    <t>A|1|0|5|1|10</t>
  </si>
  <si>
    <t>CONT. INHERENTES A LA NOMINA SECTOR PRIVADO</t>
  </si>
  <si>
    <t>IMPLANTACION PLAN MAESTRO DE INFORMACION BASICA. PREVIO</t>
  </si>
  <si>
    <t>C|430|1000|2|11</t>
  </si>
  <si>
    <t>LEVANTAMIENTO DE INFORMACION PARA ESTADISTICAS DEMOGRAFICAS</t>
  </si>
  <si>
    <t>Preparó : M.S.R.</t>
  </si>
  <si>
    <t xml:space="preserve">OTROS GASTOS POR ADQUISICION DE SERVICIOS </t>
  </si>
  <si>
    <t>A|2|0|4|41|10</t>
  </si>
  <si>
    <t>A DICIEMBRE</t>
  </si>
  <si>
    <t>A  DICIEMBRE</t>
  </si>
  <si>
    <t>A|2|0|4|2|10</t>
  </si>
  <si>
    <t>A|2|0|4|21|10</t>
  </si>
  <si>
    <t xml:space="preserve">CAPACITACION, BIENESTAR SOCIAL Y ESTIMULOS </t>
  </si>
  <si>
    <t xml:space="preserve">ENSERES Y EQUIPO DE OFICINA </t>
  </si>
  <si>
    <r>
      <t xml:space="preserve">NOTA: </t>
    </r>
    <r>
      <rPr>
        <sz val="10"/>
        <rFont val="Arial"/>
        <family val="2"/>
      </rPr>
      <t>MEDIANTE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RESOLUCION No. 1181 DEL 30 DE NOVIEMBRE DE 2007, SE EFECUO UN TRASLADO  EN EL PRESUPUESTO DE FUNCIONAMIENTO, APROBADA POR EL MINISTERIO DE HACIENDA EL 11 DE DICIEMBRE/07, ASI: DE TRANSFERENCIAS CORRIENTES - SENTENCIAS Y CONCILIACIONES  $208.466.476 A: COMPRA DE EQUIPO  $105.000.000, ENSERES Y EQUIPO DE OFICINA $21.000.000, MATERIALES Y SUMINISTROS $22.451.752, MANTENIMIENTO $13.397.000, SERVICIOS PUBLICOS $29.617.724, CAPACITACION, BIENESTAR SOCIAL Y ESTIMULOS $17.000.000; MEDIANTE RESOLUCION No. 1221 DEL 05 DE DICIEMBRE DE 2007, SE MODIFICO LA DESAGREGACION DEL PRESUPUESTO DE GASTOS DE PERSONAL DEL DANE, ASI:  DE PRIMA DE SERVICIOS $9.900.000, PRIMA DE NAVIDAD $12.100.000, RECARGOS NOCTURNOS Y FESTIVOS $2.400.000 A: AUXILIOS DE TRANSPORTE $2.000.000, BONIFICACION DE DIRECCION $20.000.000, HORAS EXTRAS $2.400.000 Y MEDIANTE RESOLUCION No. 1379 DEL 21 DE DICIEMBRE DE 2007 SE MODIFICO LA DESAGREGACION DEL PRESUPUESTO DE GASTOS GENERALES DEL DANE, ASI: COMPRA DE EQUIPO $105.000.000 A:CAPACITACION, BIENESTAR SOCIAL Y ESTIMULOS $105.000.000  </t>
    </r>
  </si>
  <si>
    <t>NOTA: SE CANCELO RESERVA  EN FUNCIONAMIENTO POR VALOR DE $80,oo,  MEDIANTE ACTA  No. 2  DE FECHA 28 DE DICIEMBRE  DE 2007</t>
  </si>
  <si>
    <t>INFORME MENSUAL DE EJECUCION DEL PRESUPUESTO DE INGRESOS</t>
  </si>
  <si>
    <t>FONDO ROTATORIO DEL DANE - FONDANE</t>
  </si>
  <si>
    <t>0402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</si>
  <si>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</si>
  <si>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</si>
  <si>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</si>
  <si>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</si>
  <si>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</si>
  <si>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</si>
  <si>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</si>
  <si>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</si>
  <si>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</si>
  <si>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</si>
  <si>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</si>
  <si>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</si>
  <si>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</si>
  <si>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</si>
  <si>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</si>
  <si>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</si>
  <si>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</si>
  <si>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MES  1</t>
  </si>
  <si>
    <t>MES  2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</si>
  <si>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</si>
  <si>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</si>
  <si>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</si>
  <si>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</si>
  <si>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</si>
  <si>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</si>
  <si>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</si>
  <si>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</si>
  <si>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ACUMULADO</t>
  </si>
  <si>
    <t>COBRO</t>
  </si>
  <si>
    <t>BIENES Y SERVICIOS                 1|3|1|2|1</t>
  </si>
  <si>
    <t>OTROS INGRESOS                     1|3|1|2|8</t>
  </si>
  <si>
    <t>RENDIMIENTOS  FINANCIEROS  1|3|2|3|0</t>
  </si>
  <si>
    <t>TOTAL</t>
  </si>
  <si>
    <t>Elaboró :R.H.E.M</t>
  </si>
  <si>
    <t>NOTA:  De vigencia anterior han sido cancelados $24.600.00 por concepto de Fra. N° 953 a nombre de SENA, territorial Medellin.</t>
  </si>
  <si>
    <t>En derechos caudados mes doce se han incluido $957.761 por concepto de cuentas por cobrar vigencias anteriores de las territoriales de Medellin y Barranquilla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</si>
  <si>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</si>
  <si>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COORDINADORA PRESUPUESTO </t>
  </si>
  <si>
    <t>04|02</t>
  </si>
  <si>
    <t xml:space="preserve">MES 4 </t>
  </si>
  <si>
    <t>saldo apropiac</t>
  </si>
  <si>
    <t>RESERVAS</t>
  </si>
  <si>
    <t>CXP</t>
  </si>
  <si>
    <t>GASTOS DE FUNCIONAMIENTO R. P.</t>
  </si>
  <si>
    <t>A|1|0|2|14|21</t>
  </si>
  <si>
    <t>A|2|0|4|0|20</t>
  </si>
  <si>
    <t>ADQUISICIONES DE BIENES Y SERVICIOS</t>
  </si>
  <si>
    <t>A|2|0|4|1|20</t>
  </si>
  <si>
    <t>A|2|0|4|4|20</t>
  </si>
  <si>
    <t>A|2|0|4|5|20</t>
  </si>
  <si>
    <t>A|2|0|4|6|20</t>
  </si>
  <si>
    <t>COMUNICACIONES Y TRANSPORTE</t>
  </si>
  <si>
    <t>A|2|0|4|7|20</t>
  </si>
  <si>
    <t>IMPRESOS Y  PUBLICACIONES</t>
  </si>
  <si>
    <t>A|2|0|4|8|20</t>
  </si>
  <si>
    <t>A|2|0|4|9|20</t>
  </si>
  <si>
    <t>A|2|0|4|22|20</t>
  </si>
  <si>
    <t>GASTOS FINANCIEROS</t>
  </si>
  <si>
    <t>A|2|0|4|0|21</t>
  </si>
  <si>
    <t>A|2|0|4|2|21</t>
  </si>
  <si>
    <t>ENSERES Y EQUIPOS DE OFICINA</t>
  </si>
  <si>
    <t>A|2|0|4|4|21</t>
  </si>
  <si>
    <t>A|2|0|4|5|21</t>
  </si>
  <si>
    <t>A|2|0|4|6|21</t>
  </si>
  <si>
    <t>A|2|0|4|7|21</t>
  </si>
  <si>
    <t>A|2|0|4|8|21</t>
  </si>
  <si>
    <t>A|2|0|4|10|21</t>
  </si>
  <si>
    <t>A|2|0|4|17|21</t>
  </si>
  <si>
    <t>GASTOS IMPREVISTOS</t>
  </si>
  <si>
    <t>A|2|0|3|0|21</t>
  </si>
  <si>
    <t>IMPUESTOS Y MULTAS</t>
  </si>
  <si>
    <t>A|2|0|3|50|21</t>
  </si>
  <si>
    <t>IMPUESTOS Y CONTRIBUCIONES</t>
  </si>
  <si>
    <t>TRANSFERENCIAS CORRIENTES</t>
  </si>
  <si>
    <t>A|3|2|1|1|20</t>
  </si>
  <si>
    <t>CUOTA DE AUDITAJE - CONTRALORIA - RP</t>
  </si>
  <si>
    <t>A|3|6|1|2|21</t>
  </si>
  <si>
    <t>CONCILIACIONES</t>
  </si>
  <si>
    <t>A|3|6|1|1|21</t>
  </si>
  <si>
    <t xml:space="preserve">SENTENCIAS Y CONCILIACIONES </t>
  </si>
  <si>
    <t>GASTOS DE INVERSION R. P.</t>
  </si>
  <si>
    <t>C|310|1000|1|20</t>
  </si>
  <si>
    <t>ACT. ESTUD. Y ENCUEST. PROPOSITOS MULTIPLES</t>
  </si>
  <si>
    <t>C|410|1000|12|20</t>
  </si>
  <si>
    <t xml:space="preserve">LEVANTAMIENTO DEL CENSO GENERAL NACIONAL </t>
  </si>
  <si>
    <t>Elaboró : R.H.E.M</t>
  </si>
  <si>
    <t xml:space="preserve">                       </t>
  </si>
  <si>
    <t xml:space="preserve">                          </t>
  </si>
  <si>
    <t>COORDINADORA DE PRESUPUESTO</t>
  </si>
  <si>
    <t>CONSTITUIDAS</t>
  </si>
  <si>
    <t>DEFINITIVAS</t>
  </si>
  <si>
    <t>A|2|0|4|2|20</t>
  </si>
  <si>
    <t>A|2|0|4|17|20</t>
  </si>
  <si>
    <t xml:space="preserve">COORDINADORA DE PRESUPUESTO </t>
  </si>
  <si>
    <t>MES 09</t>
  </si>
  <si>
    <t>saldo RESERVAS</t>
  </si>
  <si>
    <t>A|1|0|2|14|20</t>
  </si>
  <si>
    <t>Servicios personales indirectos</t>
  </si>
  <si>
    <t>ENSERES Y EQUIPO DE OFICINA</t>
  </si>
  <si>
    <t>COMUNICACIÓN Y TRANSPORTE</t>
  </si>
  <si>
    <t>C|310|1000|1|21</t>
  </si>
  <si>
    <t>COORDINADORA PRESUPUESTO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</si>
</sst>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ashed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3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lef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Fill="1" applyBorder="1" applyAlignment="1" applyProtection="1">
      <alignment horizontal="right"/>
      <protection/>
    </xf>
    <xf numFmtId="40" fontId="0" fillId="0" borderId="25" xfId="0" applyNumberFormat="1" applyFont="1" applyBorder="1" applyAlignment="1" applyProtection="1">
      <alignment horizontal="right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1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6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7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7" xfId="0" applyNumberFormat="1" applyFont="1" applyBorder="1" applyAlignment="1">
      <alignment horizontal="right"/>
    </xf>
    <xf numFmtId="4" fontId="0" fillId="0" borderId="19" xfId="0" applyNumberFormat="1" applyFont="1" applyBorder="1" applyAlignment="1" applyProtection="1">
      <alignment horizontal="right"/>
      <protection locked="0"/>
    </xf>
    <xf numFmtId="40" fontId="1" fillId="0" borderId="21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38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20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0" fontId="4" fillId="0" borderId="18" xfId="0" applyFont="1" applyBorder="1" applyAlignment="1" applyProtection="1">
      <alignment/>
      <protection locked="0"/>
    </xf>
    <xf numFmtId="40" fontId="0" fillId="0" borderId="18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1" xfId="0" applyNumberFormat="1" applyFont="1" applyBorder="1" applyAlignment="1">
      <alignment horizontal="right"/>
    </xf>
    <xf numFmtId="4" fontId="1" fillId="0" borderId="18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right"/>
    </xf>
    <xf numFmtId="0" fontId="2" fillId="2" borderId="32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1" fillId="0" borderId="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4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0" fontId="0" fillId="0" borderId="18" xfId="0" applyNumberFormat="1" applyFont="1" applyBorder="1" applyAlignment="1" applyProtection="1">
      <alignment/>
      <protection locked="0"/>
    </xf>
    <xf numFmtId="0" fontId="1" fillId="0" borderId="8" xfId="0" applyNumberFormat="1" applyFont="1" applyBorder="1" applyAlignment="1" applyProtection="1">
      <alignment horizontal="left"/>
      <protection locked="0"/>
    </xf>
    <xf numFmtId="4" fontId="0" fillId="0" borderId="43" xfId="0" applyNumberFormat="1" applyFont="1" applyFill="1" applyBorder="1" applyAlignment="1">
      <alignment/>
    </xf>
    <xf numFmtId="0" fontId="0" fillId="0" borderId="8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/>
      <protection locked="0"/>
    </xf>
    <xf numFmtId="4" fontId="1" fillId="0" borderId="45" xfId="0" applyNumberFormat="1" applyFont="1" applyBorder="1" applyAlignment="1" applyProtection="1">
      <alignment/>
      <protection locked="0"/>
    </xf>
    <xf numFmtId="0" fontId="15" fillId="0" borderId="35" xfId="0" applyFont="1" applyBorder="1" applyAlignment="1">
      <alignment horizontal="left"/>
    </xf>
    <xf numFmtId="4" fontId="0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4" fontId="16" fillId="2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 quotePrefix="1">
      <alignment horizontal="left"/>
    </xf>
    <xf numFmtId="0" fontId="1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1" fillId="2" borderId="2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/>
    </xf>
    <xf numFmtId="0" fontId="11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4" fontId="16" fillId="0" borderId="0" xfId="0" applyNumberFormat="1" applyFont="1" applyFill="1" applyBorder="1" applyAlignment="1" applyProtection="1">
      <alignment horizontal="right"/>
      <protection/>
    </xf>
    <xf numFmtId="0" fontId="15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10" fontId="1" fillId="0" borderId="0" xfId="21" applyNumberFormat="1" applyFont="1" applyAlignment="1">
      <alignment/>
    </xf>
    <xf numFmtId="0" fontId="2" fillId="0" borderId="4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40" xfId="0" applyNumberFormat="1" applyFont="1" applyBorder="1" applyAlignment="1">
      <alignment horizontal="right"/>
    </xf>
    <xf numFmtId="4" fontId="0" fillId="0" borderId="11" xfId="0" applyNumberFormat="1" applyFont="1" applyBorder="1" applyAlignment="1" applyProtection="1">
      <alignment horizontal="center"/>
      <protection locked="0"/>
    </xf>
    <xf numFmtId="4" fontId="4" fillId="0" borderId="24" xfId="0" applyNumberFormat="1" applyFont="1" applyBorder="1" applyAlignment="1" applyProtection="1">
      <alignment horizontal="left"/>
      <protection locked="0"/>
    </xf>
    <xf numFmtId="4" fontId="16" fillId="0" borderId="20" xfId="0" applyNumberFormat="1" applyFont="1" applyBorder="1" applyAlignment="1" applyProtection="1">
      <alignment horizontal="right"/>
      <protection locked="0"/>
    </xf>
    <xf numFmtId="4" fontId="16" fillId="0" borderId="7" xfId="0" applyNumberFormat="1" applyFont="1" applyFill="1" applyBorder="1" applyAlignment="1" applyProtection="1">
      <alignment horizontal="right"/>
      <protection/>
    </xf>
    <xf numFmtId="4" fontId="16" fillId="0" borderId="20" xfId="0" applyNumberFormat="1" applyFont="1" applyFill="1" applyBorder="1" applyAlignment="1" applyProtection="1">
      <alignment horizontal="right"/>
      <protection/>
    </xf>
    <xf numFmtId="4" fontId="16" fillId="0" borderId="43" xfId="0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Alignment="1">
      <alignment/>
    </xf>
    <xf numFmtId="4" fontId="16" fillId="3" borderId="0" xfId="0" applyNumberFormat="1" applyFont="1" applyFill="1" applyAlignment="1">
      <alignment/>
    </xf>
    <xf numFmtId="4" fontId="11" fillId="0" borderId="21" xfId="0" applyNumberFormat="1" applyFont="1" applyBorder="1" applyAlignment="1" applyProtection="1">
      <alignment horizontal="right"/>
      <protection locked="0"/>
    </xf>
    <xf numFmtId="4" fontId="11" fillId="0" borderId="14" xfId="0" applyNumberFormat="1" applyFont="1" applyBorder="1" applyAlignment="1" applyProtection="1">
      <alignment horizontal="right"/>
      <protection locked="0"/>
    </xf>
    <xf numFmtId="4" fontId="15" fillId="0" borderId="7" xfId="0" applyNumberFormat="1" applyFont="1" applyBorder="1" applyAlignment="1" applyProtection="1">
      <alignment horizontal="left"/>
      <protection locked="0"/>
    </xf>
    <xf numFmtId="4" fontId="11" fillId="0" borderId="7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Alignment="1">
      <alignment/>
    </xf>
    <xf numFmtId="4" fontId="4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Fill="1" applyBorder="1" applyAlignment="1" applyProtection="1">
      <alignment horizontal="right"/>
      <protection locked="0"/>
    </xf>
    <xf numFmtId="4" fontId="16" fillId="0" borderId="7" xfId="0" applyNumberFormat="1" applyFont="1" applyBorder="1" applyAlignment="1" applyProtection="1">
      <alignment horizontal="right"/>
      <protection locked="0"/>
    </xf>
    <xf numFmtId="40" fontId="16" fillId="0" borderId="7" xfId="0" applyNumberFormat="1" applyFont="1" applyBorder="1" applyAlignment="1" applyProtection="1">
      <alignment horizontal="right"/>
      <protection locked="0"/>
    </xf>
    <xf numFmtId="4" fontId="16" fillId="0" borderId="19" xfId="0" applyNumberFormat="1" applyFont="1" applyFill="1" applyBorder="1" applyAlignment="1" applyProtection="1">
      <alignment horizontal="right"/>
      <protection/>
    </xf>
    <xf numFmtId="197" fontId="16" fillId="0" borderId="7" xfId="0" applyNumberFormat="1" applyFont="1" applyBorder="1" applyAlignment="1" applyProtection="1">
      <alignment horizontal="right"/>
      <protection locked="0"/>
    </xf>
    <xf numFmtId="4" fontId="4" fillId="0" borderId="18" xfId="0" applyNumberFormat="1" applyFont="1" applyBorder="1" applyAlignment="1" applyProtection="1">
      <alignment horizontal="left"/>
      <protection locked="0"/>
    </xf>
    <xf numFmtId="4" fontId="11" fillId="0" borderId="7" xfId="0" applyNumberFormat="1" applyFont="1" applyFill="1" applyBorder="1" applyAlignment="1" applyProtection="1">
      <alignment horizontal="right"/>
      <protection locked="0"/>
    </xf>
    <xf numFmtId="4" fontId="11" fillId="0" borderId="47" xfId="0" applyNumberFormat="1" applyFont="1" applyBorder="1" applyAlignment="1" applyProtection="1">
      <alignment horizontal="right"/>
      <protection locked="0"/>
    </xf>
    <xf numFmtId="4" fontId="16" fillId="4" borderId="0" xfId="0" applyNumberFormat="1" applyFont="1" applyFill="1" applyAlignment="1">
      <alignment/>
    </xf>
    <xf numFmtId="4" fontId="16" fillId="0" borderId="18" xfId="0" applyNumberFormat="1" applyFont="1" applyFill="1" applyBorder="1" applyAlignment="1" applyProtection="1">
      <alignment horizontal="right"/>
      <protection locked="0"/>
    </xf>
    <xf numFmtId="4" fontId="16" fillId="0" borderId="18" xfId="0" applyNumberFormat="1" applyFont="1" applyBorder="1" applyAlignment="1" applyProtection="1">
      <alignment horizontal="right"/>
      <protection locked="0"/>
    </xf>
    <xf numFmtId="40" fontId="16" fillId="0" borderId="18" xfId="0" applyNumberFormat="1" applyFont="1" applyBorder="1" applyAlignment="1" applyProtection="1">
      <alignment horizontal="right"/>
      <protection locked="0"/>
    </xf>
    <xf numFmtId="4" fontId="16" fillId="0" borderId="23" xfId="0" applyNumberFormat="1" applyFont="1" applyFill="1" applyBorder="1" applyAlignment="1" applyProtection="1">
      <alignment horizontal="right"/>
      <protection/>
    </xf>
    <xf numFmtId="4" fontId="15" fillId="0" borderId="18" xfId="0" applyNumberFormat="1" applyFont="1" applyBorder="1" applyAlignment="1" applyProtection="1">
      <alignment horizontal="left"/>
      <protection locked="0"/>
    </xf>
    <xf numFmtId="4" fontId="11" fillId="0" borderId="18" xfId="0" applyNumberFormat="1" applyFont="1" applyBorder="1" applyAlignment="1" applyProtection="1">
      <alignment horizontal="right"/>
      <protection locked="0"/>
    </xf>
    <xf numFmtId="197" fontId="11" fillId="0" borderId="18" xfId="0" applyNumberFormat="1" applyFont="1" applyBorder="1" applyAlignment="1" applyProtection="1">
      <alignment horizontal="right"/>
      <protection locked="0"/>
    </xf>
    <xf numFmtId="4" fontId="11" fillId="0" borderId="19" xfId="0" applyNumberFormat="1" applyFont="1" applyBorder="1" applyAlignment="1" applyProtection="1">
      <alignment horizontal="right"/>
      <protection locked="0"/>
    </xf>
    <xf numFmtId="4" fontId="4" fillId="0" borderId="20" xfId="0" applyNumberFormat="1" applyFont="1" applyBorder="1" applyAlignment="1" applyProtection="1">
      <alignment horizontal="left"/>
      <protection locked="0"/>
    </xf>
    <xf numFmtId="40" fontId="16" fillId="0" borderId="20" xfId="0" applyNumberFormat="1" applyFont="1" applyBorder="1" applyAlignment="1" applyProtection="1">
      <alignment horizontal="right"/>
      <protection locked="0"/>
    </xf>
    <xf numFmtId="4" fontId="16" fillId="0" borderId="20" xfId="0" applyNumberFormat="1" applyFont="1" applyFill="1" applyBorder="1" applyAlignment="1" applyProtection="1">
      <alignment horizontal="right"/>
      <protection locked="0"/>
    </xf>
    <xf numFmtId="197" fontId="16" fillId="0" borderId="20" xfId="0" applyNumberFormat="1" applyFont="1" applyBorder="1" applyAlignment="1" applyProtection="1">
      <alignment horizontal="right"/>
      <protection locked="0"/>
    </xf>
    <xf numFmtId="4" fontId="16" fillId="0" borderId="18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4" fontId="0" fillId="0" borderId="48" xfId="0" applyNumberFormat="1" applyFont="1" applyBorder="1" applyAlignment="1" applyProtection="1">
      <alignment horizontal="center"/>
      <protection locked="0"/>
    </xf>
    <xf numFmtId="197" fontId="11" fillId="0" borderId="21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4" fillId="0" borderId="7" xfId="0" applyNumberFormat="1" applyFont="1" applyBorder="1" applyAlignment="1" applyProtection="1">
      <alignment horizontal="left" wrapText="1"/>
      <protection locked="0"/>
    </xf>
    <xf numFmtId="4" fontId="10" fillId="0" borderId="11" xfId="0" applyNumberFormat="1" applyFont="1" applyBorder="1" applyAlignment="1" applyProtection="1">
      <alignment horizontal="center"/>
      <protection/>
    </xf>
    <xf numFmtId="4" fontId="10" fillId="0" borderId="21" xfId="0" applyNumberFormat="1" applyFont="1" applyBorder="1" applyAlignment="1" applyProtection="1">
      <alignment horizontal="center"/>
      <protection/>
    </xf>
    <xf numFmtId="4" fontId="11" fillId="0" borderId="21" xfId="0" applyNumberFormat="1" applyFont="1" applyBorder="1" applyAlignment="1" applyProtection="1">
      <alignment horizontal="right"/>
      <protection/>
    </xf>
    <xf numFmtId="40" fontId="11" fillId="0" borderId="21" xfId="0" applyNumberFormat="1" applyFont="1" applyBorder="1" applyAlignment="1">
      <alignment horizontal="right"/>
    </xf>
    <xf numFmtId="4" fontId="11" fillId="0" borderId="14" xfId="0" applyNumberFormat="1" applyFont="1" applyBorder="1" applyAlignment="1" applyProtection="1">
      <alignment horizontal="right"/>
      <protection/>
    </xf>
    <xf numFmtId="4" fontId="11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" fontId="11" fillId="0" borderId="39" xfId="0" applyNumberFormat="1" applyFont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13" xfId="0" applyFont="1" applyBorder="1" applyAlignment="1">
      <alignment horizontal="left"/>
    </xf>
    <xf numFmtId="4" fontId="16" fillId="0" borderId="13" xfId="0" applyNumberFormat="1" applyFont="1" applyBorder="1" applyAlignment="1">
      <alignment horizontal="right"/>
    </xf>
    <xf numFmtId="4" fontId="16" fillId="0" borderId="21" xfId="0" applyNumberFormat="1" applyFont="1" applyFill="1" applyBorder="1" applyAlignment="1" applyProtection="1">
      <alignment horizontal="right"/>
      <protection/>
    </xf>
    <xf numFmtId="4" fontId="16" fillId="0" borderId="21" xfId="0" applyNumberFormat="1" applyFont="1" applyBorder="1" applyAlignment="1">
      <alignment horizontal="right"/>
    </xf>
    <xf numFmtId="4" fontId="16" fillId="0" borderId="14" xfId="0" applyNumberFormat="1" applyFont="1" applyFill="1" applyBorder="1" applyAlignment="1" applyProtection="1">
      <alignment horizontal="right"/>
      <protection/>
    </xf>
    <xf numFmtId="4" fontId="16" fillId="0" borderId="20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A1">
      <selection activeCell="A1" sqref="A1:BD1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5.28125" style="1" hidden="1" customWidth="1"/>
    <col min="9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customWidth="1"/>
    <col min="42" max="42" width="15.8515625" style="1" customWidth="1"/>
    <col min="43" max="43" width="11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4"/>
    </row>
    <row r="2" spans="1:56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7"/>
    </row>
    <row r="3" spans="1:56" ht="18">
      <c r="A3" s="168" t="s">
        <v>172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70"/>
    </row>
    <row r="4" spans="1:56" ht="20.25">
      <c r="A4" s="171" t="s">
        <v>173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3"/>
    </row>
    <row r="5" spans="1:56" ht="12.75">
      <c r="A5" s="17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5"/>
    </row>
    <row r="6" spans="1:56" ht="12.75">
      <c r="A6" s="176" t="s">
        <v>2</v>
      </c>
      <c r="B6" s="177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8" t="s">
        <v>174</v>
      </c>
      <c r="R6" s="17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2" t="s">
        <v>4</v>
      </c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05" t="s">
        <v>164</v>
      </c>
      <c r="BD6" s="175"/>
    </row>
    <row r="7" spans="1:56" ht="12.75">
      <c r="A7" s="176" t="s">
        <v>3</v>
      </c>
      <c r="B7" s="177"/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8" t="s">
        <v>175</v>
      </c>
      <c r="R7" s="17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2" t="s">
        <v>5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21">
        <v>2007</v>
      </c>
      <c r="BD7" s="175"/>
    </row>
    <row r="8" spans="1:56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20"/>
    </row>
    <row r="9" spans="1:56" ht="12.75">
      <c r="A9" s="179" t="s">
        <v>176</v>
      </c>
      <c r="B9" s="180"/>
      <c r="C9" s="181" t="s">
        <v>177</v>
      </c>
      <c r="D9" s="180" t="s">
        <v>178</v>
      </c>
      <c r="E9" s="180" t="s">
        <v>178</v>
      </c>
      <c r="F9" s="180" t="s">
        <v>178</v>
      </c>
      <c r="G9" s="180" t="s">
        <v>178</v>
      </c>
      <c r="H9" s="180" t="s">
        <v>178</v>
      </c>
      <c r="I9" s="180" t="s">
        <v>178</v>
      </c>
      <c r="J9" s="180" t="s">
        <v>178</v>
      </c>
      <c r="K9" s="180" t="s">
        <v>178</v>
      </c>
      <c r="L9" s="180" t="s">
        <v>178</v>
      </c>
      <c r="M9" s="180" t="s">
        <v>178</v>
      </c>
      <c r="N9" s="180" t="s">
        <v>178</v>
      </c>
      <c r="O9" s="180" t="s">
        <v>177</v>
      </c>
      <c r="P9" s="180" t="s">
        <v>178</v>
      </c>
      <c r="Q9" s="180" t="s">
        <v>178</v>
      </c>
      <c r="R9" s="181" t="s">
        <v>179</v>
      </c>
      <c r="S9" s="180" t="s">
        <v>180</v>
      </c>
      <c r="T9" s="180" t="s">
        <v>179</v>
      </c>
      <c r="U9" s="180" t="s">
        <v>180</v>
      </c>
      <c r="V9" s="180" t="s">
        <v>179</v>
      </c>
      <c r="W9" s="180" t="s">
        <v>180</v>
      </c>
      <c r="X9" s="180" t="s">
        <v>179</v>
      </c>
      <c r="Y9" s="180" t="s">
        <v>180</v>
      </c>
      <c r="Z9" s="180" t="s">
        <v>179</v>
      </c>
      <c r="AA9" s="180" t="s">
        <v>180</v>
      </c>
      <c r="AB9" s="180" t="s">
        <v>179</v>
      </c>
      <c r="AC9" s="180" t="s">
        <v>180</v>
      </c>
      <c r="AD9" s="180" t="s">
        <v>179</v>
      </c>
      <c r="AE9" s="180" t="s">
        <v>180</v>
      </c>
      <c r="AF9" s="180" t="s">
        <v>179</v>
      </c>
      <c r="AG9" s="180" t="s">
        <v>180</v>
      </c>
      <c r="AH9" s="181" t="s">
        <v>179</v>
      </c>
      <c r="AI9" s="180" t="s">
        <v>180</v>
      </c>
      <c r="AJ9" s="180" t="s">
        <v>179</v>
      </c>
      <c r="AK9" s="180" t="s">
        <v>180</v>
      </c>
      <c r="AL9" s="180" t="s">
        <v>179</v>
      </c>
      <c r="AM9" s="180" t="s">
        <v>180</v>
      </c>
      <c r="AN9" s="180" t="s">
        <v>179</v>
      </c>
      <c r="AO9" s="180" t="s">
        <v>180</v>
      </c>
      <c r="AP9" s="180" t="s">
        <v>181</v>
      </c>
      <c r="AQ9" s="180" t="s">
        <v>182</v>
      </c>
      <c r="AR9" s="180" t="s">
        <v>182</v>
      </c>
      <c r="AS9" s="180" t="s">
        <v>182</v>
      </c>
      <c r="AT9" s="180" t="s">
        <v>182</v>
      </c>
      <c r="AU9" s="180" t="s">
        <v>182</v>
      </c>
      <c r="AV9" s="180" t="s">
        <v>182</v>
      </c>
      <c r="AW9" s="180" t="s">
        <v>182</v>
      </c>
      <c r="AX9" s="180" t="s">
        <v>182</v>
      </c>
      <c r="AY9" s="180" t="s">
        <v>182</v>
      </c>
      <c r="AZ9" s="180" t="s">
        <v>182</v>
      </c>
      <c r="BA9" s="180" t="s">
        <v>182</v>
      </c>
      <c r="BB9" s="180" t="s">
        <v>182</v>
      </c>
      <c r="BC9" s="180" t="s">
        <v>182</v>
      </c>
      <c r="BD9" s="180" t="s">
        <v>183</v>
      </c>
    </row>
    <row r="10" spans="1:56" ht="12.75">
      <c r="A10" s="73" t="s">
        <v>184</v>
      </c>
      <c r="B10" s="182" t="s">
        <v>185</v>
      </c>
      <c r="C10" s="183" t="s">
        <v>186</v>
      </c>
      <c r="D10" s="182" t="s">
        <v>187</v>
      </c>
      <c r="E10" s="182" t="s">
        <v>187</v>
      </c>
      <c r="F10" s="182" t="s">
        <v>187</v>
      </c>
      <c r="G10" s="182" t="s">
        <v>187</v>
      </c>
      <c r="H10" s="182" t="s">
        <v>187</v>
      </c>
      <c r="I10" s="182" t="s">
        <v>187</v>
      </c>
      <c r="J10" s="182" t="s">
        <v>187</v>
      </c>
      <c r="K10" s="182" t="s">
        <v>187</v>
      </c>
      <c r="L10" s="182" t="s">
        <v>187</v>
      </c>
      <c r="M10" s="182" t="s">
        <v>187</v>
      </c>
      <c r="N10" s="182" t="s">
        <v>187</v>
      </c>
      <c r="O10" s="182" t="s">
        <v>186</v>
      </c>
      <c r="P10" s="182" t="s">
        <v>187</v>
      </c>
      <c r="Q10" s="182" t="s">
        <v>187</v>
      </c>
      <c r="R10" s="183" t="s">
        <v>186</v>
      </c>
      <c r="S10" s="182" t="s">
        <v>188</v>
      </c>
      <c r="T10" s="182" t="s">
        <v>186</v>
      </c>
      <c r="U10" s="182" t="s">
        <v>188</v>
      </c>
      <c r="V10" s="182" t="s">
        <v>186</v>
      </c>
      <c r="W10" s="182" t="s">
        <v>188</v>
      </c>
      <c r="X10" s="182" t="s">
        <v>186</v>
      </c>
      <c r="Y10" s="182" t="s">
        <v>188</v>
      </c>
      <c r="Z10" s="182" t="s">
        <v>186</v>
      </c>
      <c r="AA10" s="182" t="s">
        <v>188</v>
      </c>
      <c r="AB10" s="182" t="s">
        <v>186</v>
      </c>
      <c r="AC10" s="182" t="s">
        <v>188</v>
      </c>
      <c r="AD10" s="184" t="s">
        <v>186</v>
      </c>
      <c r="AE10" s="184" t="s">
        <v>188</v>
      </c>
      <c r="AF10" s="182" t="s">
        <v>186</v>
      </c>
      <c r="AG10" s="182" t="s">
        <v>188</v>
      </c>
      <c r="AH10" s="183" t="s">
        <v>186</v>
      </c>
      <c r="AI10" s="182" t="s">
        <v>188</v>
      </c>
      <c r="AJ10" s="182" t="s">
        <v>186</v>
      </c>
      <c r="AK10" s="182" t="s">
        <v>188</v>
      </c>
      <c r="AL10" s="182" t="s">
        <v>186</v>
      </c>
      <c r="AM10" s="182" t="s">
        <v>188</v>
      </c>
      <c r="AN10" s="182" t="s">
        <v>186</v>
      </c>
      <c r="AO10" s="182" t="s">
        <v>188</v>
      </c>
      <c r="AP10" s="182" t="s">
        <v>188</v>
      </c>
      <c r="AQ10" s="182" t="s">
        <v>189</v>
      </c>
      <c r="AR10" s="182" t="s">
        <v>189</v>
      </c>
      <c r="AS10" s="182" t="s">
        <v>189</v>
      </c>
      <c r="AT10" s="182" t="s">
        <v>189</v>
      </c>
      <c r="AU10" s="182" t="s">
        <v>189</v>
      </c>
      <c r="AV10" s="182" t="s">
        <v>189</v>
      </c>
      <c r="AW10" s="182" t="s">
        <v>189</v>
      </c>
      <c r="AX10" s="182" t="s">
        <v>189</v>
      </c>
      <c r="AY10" s="182" t="s">
        <v>189</v>
      </c>
      <c r="AZ10" s="182" t="s">
        <v>189</v>
      </c>
      <c r="BA10" s="182" t="s">
        <v>189</v>
      </c>
      <c r="BB10" s="182" t="s">
        <v>189</v>
      </c>
      <c r="BC10" s="182" t="s">
        <v>190</v>
      </c>
      <c r="BD10" s="182" t="s">
        <v>191</v>
      </c>
    </row>
    <row r="11" spans="1:56" ht="13.5" thickBot="1">
      <c r="A11" s="185"/>
      <c r="B11" s="186" t="s">
        <v>6</v>
      </c>
      <c r="C11" s="186" t="s">
        <v>18</v>
      </c>
      <c r="D11" s="186" t="s">
        <v>7</v>
      </c>
      <c r="E11" s="186" t="s">
        <v>8</v>
      </c>
      <c r="F11" s="186" t="s">
        <v>9</v>
      </c>
      <c r="G11" s="186" t="s">
        <v>10</v>
      </c>
      <c r="H11" s="186" t="s">
        <v>11</v>
      </c>
      <c r="I11" s="186" t="s">
        <v>12</v>
      </c>
      <c r="J11" s="186" t="s">
        <v>13</v>
      </c>
      <c r="K11" s="186" t="s">
        <v>14</v>
      </c>
      <c r="L11" s="186" t="s">
        <v>15</v>
      </c>
      <c r="M11" s="186" t="s">
        <v>16</v>
      </c>
      <c r="N11" s="186" t="s">
        <v>17</v>
      </c>
      <c r="O11" s="186" t="s">
        <v>18</v>
      </c>
      <c r="P11" s="186" t="s">
        <v>18</v>
      </c>
      <c r="Q11" s="186" t="s">
        <v>19</v>
      </c>
      <c r="R11" s="186" t="s">
        <v>192</v>
      </c>
      <c r="S11" s="186" t="s">
        <v>7</v>
      </c>
      <c r="T11" s="186" t="s">
        <v>193</v>
      </c>
      <c r="U11" s="186" t="s">
        <v>8</v>
      </c>
      <c r="V11" s="186" t="s">
        <v>194</v>
      </c>
      <c r="W11" s="186" t="s">
        <v>9</v>
      </c>
      <c r="X11" s="186" t="s">
        <v>195</v>
      </c>
      <c r="Y11" s="186" t="s">
        <v>10</v>
      </c>
      <c r="Z11" s="186" t="s">
        <v>196</v>
      </c>
      <c r="AA11" s="186" t="s">
        <v>20</v>
      </c>
      <c r="AB11" s="186" t="s">
        <v>197</v>
      </c>
      <c r="AC11" s="186" t="s">
        <v>21</v>
      </c>
      <c r="AD11" s="186" t="s">
        <v>13</v>
      </c>
      <c r="AE11" s="186" t="s">
        <v>22</v>
      </c>
      <c r="AF11" s="186" t="s">
        <v>198</v>
      </c>
      <c r="AG11" s="186" t="s">
        <v>14</v>
      </c>
      <c r="AH11" s="186" t="s">
        <v>199</v>
      </c>
      <c r="AI11" s="186" t="s">
        <v>15</v>
      </c>
      <c r="AJ11" s="186" t="s">
        <v>16</v>
      </c>
      <c r="AK11" s="186" t="s">
        <v>23</v>
      </c>
      <c r="AL11" s="186" t="s">
        <v>200</v>
      </c>
      <c r="AM11" s="186" t="s">
        <v>17</v>
      </c>
      <c r="AN11" s="186" t="s">
        <v>201</v>
      </c>
      <c r="AO11" s="186" t="s">
        <v>18</v>
      </c>
      <c r="AP11" s="186" t="s">
        <v>202</v>
      </c>
      <c r="AQ11" s="186" t="s">
        <v>20</v>
      </c>
      <c r="AR11" s="186" t="s">
        <v>8</v>
      </c>
      <c r="AS11" s="186" t="s">
        <v>9</v>
      </c>
      <c r="AT11" s="186" t="s">
        <v>10</v>
      </c>
      <c r="AU11" s="186" t="s">
        <v>20</v>
      </c>
      <c r="AV11" s="186" t="s">
        <v>18</v>
      </c>
      <c r="AW11" s="186" t="s">
        <v>22</v>
      </c>
      <c r="AX11" s="186" t="s">
        <v>17</v>
      </c>
      <c r="AY11" s="186" t="s">
        <v>15</v>
      </c>
      <c r="AZ11" s="186" t="s">
        <v>18</v>
      </c>
      <c r="BA11" s="186" t="s">
        <v>22</v>
      </c>
      <c r="BB11" s="186" t="s">
        <v>18</v>
      </c>
      <c r="BC11" s="186" t="s">
        <v>202</v>
      </c>
      <c r="BD11" s="186" t="s">
        <v>203</v>
      </c>
    </row>
    <row r="12" spans="1:56" ht="13.5" thickBot="1">
      <c r="A12" s="72">
        <v>1</v>
      </c>
      <c r="B12" s="72">
        <v>2</v>
      </c>
      <c r="C12" s="72">
        <v>3</v>
      </c>
      <c r="D12" s="72">
        <v>3</v>
      </c>
      <c r="E12" s="187">
        <v>3</v>
      </c>
      <c r="F12" s="187">
        <v>3</v>
      </c>
      <c r="G12" s="187">
        <v>3</v>
      </c>
      <c r="H12" s="187">
        <v>3</v>
      </c>
      <c r="I12" s="187">
        <v>3</v>
      </c>
      <c r="J12" s="187">
        <v>3</v>
      </c>
      <c r="K12" s="187">
        <v>3</v>
      </c>
      <c r="L12" s="187">
        <v>3</v>
      </c>
      <c r="M12" s="187">
        <v>3</v>
      </c>
      <c r="N12" s="187">
        <v>3</v>
      </c>
      <c r="O12" s="72">
        <v>3</v>
      </c>
      <c r="P12" s="187">
        <v>3</v>
      </c>
      <c r="Q12" s="72">
        <v>4</v>
      </c>
      <c r="R12" s="72">
        <v>5</v>
      </c>
      <c r="S12" s="72">
        <v>5</v>
      </c>
      <c r="T12" s="72">
        <v>5</v>
      </c>
      <c r="U12" s="72">
        <v>5</v>
      </c>
      <c r="V12" s="72">
        <v>5</v>
      </c>
      <c r="W12" s="72">
        <v>5</v>
      </c>
      <c r="X12" s="72">
        <v>5</v>
      </c>
      <c r="Y12" s="72">
        <v>5</v>
      </c>
      <c r="Z12" s="72">
        <v>5</v>
      </c>
      <c r="AA12" s="72">
        <v>5</v>
      </c>
      <c r="AB12" s="72">
        <v>5</v>
      </c>
      <c r="AC12" s="72">
        <v>5</v>
      </c>
      <c r="AD12" s="72">
        <v>5</v>
      </c>
      <c r="AE12" s="72">
        <v>5</v>
      </c>
      <c r="AF12" s="72">
        <v>5</v>
      </c>
      <c r="AG12" s="72">
        <v>5</v>
      </c>
      <c r="AH12" s="72">
        <v>5</v>
      </c>
      <c r="AI12" s="72">
        <v>5</v>
      </c>
      <c r="AJ12" s="72">
        <v>5</v>
      </c>
      <c r="AK12" s="72">
        <v>5</v>
      </c>
      <c r="AL12" s="72">
        <v>5</v>
      </c>
      <c r="AM12" s="72">
        <v>5</v>
      </c>
      <c r="AN12" s="72">
        <v>5</v>
      </c>
      <c r="AO12" s="72">
        <v>5</v>
      </c>
      <c r="AP12" s="72">
        <v>6</v>
      </c>
      <c r="AQ12" s="72">
        <v>7</v>
      </c>
      <c r="AR12" s="72">
        <v>7</v>
      </c>
      <c r="AS12" s="72">
        <v>7</v>
      </c>
      <c r="AT12" s="72">
        <v>7</v>
      </c>
      <c r="AU12" s="72">
        <v>7</v>
      </c>
      <c r="AV12" s="72">
        <v>7</v>
      </c>
      <c r="AW12" s="72">
        <v>7</v>
      </c>
      <c r="AX12" s="72">
        <v>7</v>
      </c>
      <c r="AY12" s="72">
        <v>7</v>
      </c>
      <c r="AZ12" s="72">
        <v>7</v>
      </c>
      <c r="BA12" s="72">
        <v>7</v>
      </c>
      <c r="BB12" s="72">
        <v>7</v>
      </c>
      <c r="BC12" s="72">
        <v>8</v>
      </c>
      <c r="BD12" s="72">
        <v>9</v>
      </c>
    </row>
    <row r="13" spans="1:56" ht="24.75" customHeight="1">
      <c r="A13" s="188" t="s">
        <v>204</v>
      </c>
      <c r="B13" s="189">
        <v>8141000000</v>
      </c>
      <c r="C13" s="189">
        <f>1889986251-460000-425000-655172-61944936-24600</f>
        <v>1826476543</v>
      </c>
      <c r="D13" s="189">
        <v>574532593.35</v>
      </c>
      <c r="E13" s="189">
        <v>80019103.68</v>
      </c>
      <c r="F13" s="189">
        <v>701641826.09</v>
      </c>
      <c r="G13" s="189">
        <v>29364455.77</v>
      </c>
      <c r="H13" s="189">
        <v>2908432511.04</v>
      </c>
      <c r="I13" s="189">
        <v>431333623.29</v>
      </c>
      <c r="J13" s="189">
        <v>265798463.24</v>
      </c>
      <c r="K13" s="189">
        <v>42349408.02</v>
      </c>
      <c r="L13" s="189">
        <v>838950294.62</v>
      </c>
      <c r="M13" s="189">
        <v>23148410.13</v>
      </c>
      <c r="N13" s="189">
        <v>390728220.76</v>
      </c>
      <c r="O13" s="189"/>
      <c r="P13" s="189">
        <v>694036468.17</v>
      </c>
      <c r="Q13" s="190">
        <f>SUM(C13:P13)</f>
        <v>8806811921.16</v>
      </c>
      <c r="R13" s="191">
        <v>1821986743</v>
      </c>
      <c r="S13" s="189">
        <v>9653965.35</v>
      </c>
      <c r="T13" s="189"/>
      <c r="U13" s="189">
        <v>84626001.68</v>
      </c>
      <c r="V13" s="189">
        <v>490000</v>
      </c>
      <c r="W13" s="189">
        <v>822321809.09</v>
      </c>
      <c r="X13" s="189">
        <v>360000</v>
      </c>
      <c r="Y13" s="189">
        <v>88662490.77</v>
      </c>
      <c r="Z13" s="189">
        <v>0</v>
      </c>
      <c r="AA13" s="189">
        <v>298562654.04</v>
      </c>
      <c r="AB13" s="189"/>
      <c r="AC13" s="189">
        <v>2854162859.29</v>
      </c>
      <c r="AD13" s="189">
        <v>3639800</v>
      </c>
      <c r="AE13" s="189">
        <v>381611647.24</v>
      </c>
      <c r="AF13" s="189"/>
      <c r="AG13" s="189">
        <v>94070695.02</v>
      </c>
      <c r="AH13" s="189"/>
      <c r="AI13" s="189">
        <v>283488630.62</v>
      </c>
      <c r="AJ13" s="189">
        <v>0</v>
      </c>
      <c r="AK13" s="189">
        <v>826255444.13</v>
      </c>
      <c r="AL13" s="189"/>
      <c r="AM13" s="189">
        <v>15553087.76</v>
      </c>
      <c r="AN13" s="189"/>
      <c r="AO13" s="189">
        <v>786042002.17</v>
      </c>
      <c r="AP13" s="192">
        <f>SUM(R13:AO13)</f>
        <v>8371487830.16</v>
      </c>
      <c r="AQ13" s="189">
        <v>0</v>
      </c>
      <c r="AR13" s="189"/>
      <c r="AS13" s="189"/>
      <c r="AT13" s="189"/>
      <c r="AU13" s="189"/>
      <c r="AV13" s="189">
        <v>0</v>
      </c>
      <c r="AW13" s="189"/>
      <c r="AX13" s="189"/>
      <c r="AY13" s="189"/>
      <c r="AZ13" s="189"/>
      <c r="BA13" s="189">
        <v>0</v>
      </c>
      <c r="BB13" s="189">
        <v>0</v>
      </c>
      <c r="BC13" s="193">
        <f>SUM(AQ13:BB13)</f>
        <v>0</v>
      </c>
      <c r="BD13" s="194">
        <f>SUM(Q13-AP13-BC13)</f>
        <v>435324091</v>
      </c>
    </row>
    <row r="14" spans="1:56" ht="24.75" customHeight="1">
      <c r="A14" s="195" t="s">
        <v>205</v>
      </c>
      <c r="B14" s="196">
        <v>10000000</v>
      </c>
      <c r="C14" s="196"/>
      <c r="D14" s="196">
        <v>17052903.3</v>
      </c>
      <c r="E14" s="196">
        <v>17046259.95</v>
      </c>
      <c r="F14" s="196">
        <v>12880203.38</v>
      </c>
      <c r="G14" s="196">
        <v>-13333921.88</v>
      </c>
      <c r="H14" s="196">
        <v>6485510</v>
      </c>
      <c r="I14" s="196">
        <v>2519683</v>
      </c>
      <c r="J14" s="196">
        <v>2389351</v>
      </c>
      <c r="K14" s="196">
        <v>237509</v>
      </c>
      <c r="L14" s="196">
        <v>4563012</v>
      </c>
      <c r="M14" s="196">
        <v>756837</v>
      </c>
      <c r="N14" s="196">
        <v>1764467.91</v>
      </c>
      <c r="O14" s="196"/>
      <c r="P14" s="196">
        <v>5002774</v>
      </c>
      <c r="Q14" s="190">
        <f>SUM(C14:P14)</f>
        <v>57364588.66</v>
      </c>
      <c r="R14" s="190"/>
      <c r="S14" s="196">
        <v>17052903.3</v>
      </c>
      <c r="T14" s="196"/>
      <c r="U14" s="196">
        <v>17046259.95</v>
      </c>
      <c r="V14" s="196"/>
      <c r="W14" s="196">
        <v>12880203.38</v>
      </c>
      <c r="X14" s="196"/>
      <c r="Y14" s="196">
        <v>-13819352.88</v>
      </c>
      <c r="Z14" s="196">
        <v>0</v>
      </c>
      <c r="AA14" s="196">
        <v>6970941</v>
      </c>
      <c r="AB14" s="196"/>
      <c r="AC14" s="196">
        <v>2519683</v>
      </c>
      <c r="AD14" s="196"/>
      <c r="AE14" s="196">
        <v>2389351</v>
      </c>
      <c r="AF14" s="196"/>
      <c r="AG14" s="196">
        <v>237509</v>
      </c>
      <c r="AH14" s="196"/>
      <c r="AI14" s="196">
        <v>4563012</v>
      </c>
      <c r="AJ14" s="196">
        <v>0</v>
      </c>
      <c r="AK14" s="196">
        <v>756837</v>
      </c>
      <c r="AL14" s="196"/>
      <c r="AM14" s="196">
        <v>1047967.91</v>
      </c>
      <c r="AN14" s="196"/>
      <c r="AO14" s="196">
        <v>5002774</v>
      </c>
      <c r="AP14" s="197">
        <f>SUM(R14:AO14)</f>
        <v>56648088.66</v>
      </c>
      <c r="AQ14" s="196">
        <v>0</v>
      </c>
      <c r="AR14" s="196"/>
      <c r="AS14" s="196"/>
      <c r="AT14" s="196"/>
      <c r="AU14" s="196"/>
      <c r="AV14" s="196">
        <v>0</v>
      </c>
      <c r="AW14" s="196"/>
      <c r="AX14" s="196"/>
      <c r="AY14" s="196"/>
      <c r="AZ14" s="196"/>
      <c r="BA14" s="196">
        <v>0</v>
      </c>
      <c r="BB14" s="196">
        <v>0</v>
      </c>
      <c r="BC14" s="192">
        <f>SUM(AQ14:BB14)</f>
        <v>0</v>
      </c>
      <c r="BD14" s="198">
        <f>SUM(Q14-AP14-BC14)</f>
        <v>716500</v>
      </c>
    </row>
    <row r="15" spans="1:56" ht="25.5" customHeight="1">
      <c r="A15" s="195" t="s">
        <v>206</v>
      </c>
      <c r="B15" s="196">
        <v>612096862</v>
      </c>
      <c r="C15" s="196"/>
      <c r="D15" s="196">
        <v>14764141.51</v>
      </c>
      <c r="E15" s="196">
        <v>0</v>
      </c>
      <c r="F15" s="196">
        <v>9896776.52</v>
      </c>
      <c r="G15" s="199">
        <v>118190000</v>
      </c>
      <c r="H15" s="196">
        <v>9457627.24</v>
      </c>
      <c r="I15" s="196">
        <v>6820019</v>
      </c>
      <c r="J15" s="196">
        <v>905130</v>
      </c>
      <c r="K15" s="196">
        <v>17302115</v>
      </c>
      <c r="L15" s="196">
        <v>0</v>
      </c>
      <c r="M15" s="196">
        <v>0</v>
      </c>
      <c r="N15" s="196"/>
      <c r="O15" s="196"/>
      <c r="P15" s="196">
        <v>0</v>
      </c>
      <c r="Q15" s="190">
        <f>SUM(C15:P15)</f>
        <v>177335809.27</v>
      </c>
      <c r="R15" s="190">
        <v>0</v>
      </c>
      <c r="S15" s="196">
        <v>14764141.51</v>
      </c>
      <c r="T15" s="196"/>
      <c r="U15" s="196">
        <v>0</v>
      </c>
      <c r="V15" s="196"/>
      <c r="W15" s="196">
        <v>9896776.52</v>
      </c>
      <c r="X15" s="196"/>
      <c r="Y15" s="196">
        <v>118190000</v>
      </c>
      <c r="Z15" s="196">
        <v>0</v>
      </c>
      <c r="AA15" s="196">
        <v>9457627.24</v>
      </c>
      <c r="AB15" s="196"/>
      <c r="AC15" s="196">
        <v>6820019</v>
      </c>
      <c r="AD15" s="196"/>
      <c r="AE15" s="199">
        <v>905130</v>
      </c>
      <c r="AF15" s="196"/>
      <c r="AG15" s="196">
        <v>17302115</v>
      </c>
      <c r="AH15" s="196"/>
      <c r="AI15" s="196">
        <v>0</v>
      </c>
      <c r="AJ15" s="196">
        <v>0</v>
      </c>
      <c r="AK15" s="196">
        <v>0</v>
      </c>
      <c r="AL15" s="196"/>
      <c r="AM15" s="196"/>
      <c r="AN15" s="196"/>
      <c r="AO15" s="196"/>
      <c r="AP15" s="197">
        <f>SUM(R15:AO15)</f>
        <v>177335809.27</v>
      </c>
      <c r="AQ15" s="196">
        <v>0</v>
      </c>
      <c r="AR15" s="196"/>
      <c r="AS15" s="196"/>
      <c r="AT15" s="196"/>
      <c r="AU15" s="196"/>
      <c r="AV15" s="196">
        <v>0</v>
      </c>
      <c r="AW15" s="196"/>
      <c r="AX15" s="196"/>
      <c r="AY15" s="196"/>
      <c r="AZ15" s="196"/>
      <c r="BA15" s="196">
        <v>0</v>
      </c>
      <c r="BB15" s="196">
        <v>0</v>
      </c>
      <c r="BC15" s="192">
        <f>SUM(AQ15:BB15)</f>
        <v>0</v>
      </c>
      <c r="BD15" s="198">
        <f>SUM(Q15-AP15-BC15)</f>
        <v>0</v>
      </c>
    </row>
    <row r="16" spans="1:56" ht="18" customHeight="1">
      <c r="A16" s="200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0"/>
      <c r="R16" s="190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7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2"/>
      <c r="BD16" s="201"/>
    </row>
    <row r="17" spans="1:56" ht="18" customHeight="1">
      <c r="A17" s="202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0"/>
      <c r="R17" s="190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2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2"/>
      <c r="BD17" s="198"/>
    </row>
    <row r="18" spans="1:56" ht="18" customHeight="1">
      <c r="A18" s="202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0"/>
      <c r="R18" s="190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2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2"/>
      <c r="BD18" s="198"/>
    </row>
    <row r="19" spans="1:56" ht="18" customHeight="1">
      <c r="A19" s="202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0"/>
      <c r="R19" s="190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2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2"/>
      <c r="BD19" s="198"/>
    </row>
    <row r="20" spans="1:56" ht="18" customHeight="1">
      <c r="A20" s="202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0"/>
      <c r="R20" s="190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2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2"/>
      <c r="BD20" s="198"/>
    </row>
    <row r="21" spans="1:56" ht="18" customHeight="1">
      <c r="A21" s="202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0"/>
      <c r="R21" s="190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2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2"/>
      <c r="BD21" s="198"/>
    </row>
    <row r="22" spans="1:56" ht="18" customHeight="1" thickBot="1">
      <c r="A22" s="203" t="s">
        <v>207</v>
      </c>
      <c r="B22" s="204">
        <f aca="true" t="shared" si="0" ref="B22:AG22">SUM(B13:B21)</f>
        <v>8763096862</v>
      </c>
      <c r="C22" s="204">
        <f t="shared" si="0"/>
        <v>1826476543</v>
      </c>
      <c r="D22" s="204">
        <f t="shared" si="0"/>
        <v>606349638.16</v>
      </c>
      <c r="E22" s="204">
        <f t="shared" si="0"/>
        <v>97065363.63000001</v>
      </c>
      <c r="F22" s="204">
        <f t="shared" si="0"/>
        <v>724418805.99</v>
      </c>
      <c r="G22" s="204">
        <f t="shared" si="0"/>
        <v>134220533.89</v>
      </c>
      <c r="H22" s="204">
        <f t="shared" si="0"/>
        <v>2924375648.2799997</v>
      </c>
      <c r="I22" s="204">
        <f t="shared" si="0"/>
        <v>440673325.29</v>
      </c>
      <c r="J22" s="204">
        <f t="shared" si="0"/>
        <v>269092944.24</v>
      </c>
      <c r="K22" s="204">
        <f t="shared" si="0"/>
        <v>59889032.02</v>
      </c>
      <c r="L22" s="204">
        <f t="shared" si="0"/>
        <v>843513306.62</v>
      </c>
      <c r="M22" s="204">
        <f t="shared" si="0"/>
        <v>23905247.13</v>
      </c>
      <c r="N22" s="204">
        <f t="shared" si="0"/>
        <v>392492688.67</v>
      </c>
      <c r="O22" s="204">
        <f t="shared" si="0"/>
        <v>0</v>
      </c>
      <c r="P22" s="204">
        <f t="shared" si="0"/>
        <v>699039242.17</v>
      </c>
      <c r="Q22" s="204">
        <f t="shared" si="0"/>
        <v>9041512319.09</v>
      </c>
      <c r="R22" s="204">
        <f t="shared" si="0"/>
        <v>1821986743</v>
      </c>
      <c r="S22" s="204">
        <f t="shared" si="0"/>
        <v>41471010.16</v>
      </c>
      <c r="T22" s="204">
        <f t="shared" si="0"/>
        <v>0</v>
      </c>
      <c r="U22" s="204">
        <f t="shared" si="0"/>
        <v>101672261.63000001</v>
      </c>
      <c r="V22" s="204">
        <f t="shared" si="0"/>
        <v>490000</v>
      </c>
      <c r="W22" s="204">
        <f t="shared" si="0"/>
        <v>845098788.99</v>
      </c>
      <c r="X22" s="204">
        <f t="shared" si="0"/>
        <v>360000</v>
      </c>
      <c r="Y22" s="204">
        <f t="shared" si="0"/>
        <v>193033137.89</v>
      </c>
      <c r="Z22" s="204">
        <f t="shared" si="0"/>
        <v>0</v>
      </c>
      <c r="AA22" s="204">
        <f t="shared" si="0"/>
        <v>314991222.28000003</v>
      </c>
      <c r="AB22" s="204">
        <f t="shared" si="0"/>
        <v>0</v>
      </c>
      <c r="AC22" s="204">
        <f t="shared" si="0"/>
        <v>2863502561.29</v>
      </c>
      <c r="AD22" s="204">
        <f t="shared" si="0"/>
        <v>3639800</v>
      </c>
      <c r="AE22" s="204">
        <f t="shared" si="0"/>
        <v>384906128.24</v>
      </c>
      <c r="AF22" s="204">
        <f t="shared" si="0"/>
        <v>0</v>
      </c>
      <c r="AG22" s="204">
        <f t="shared" si="0"/>
        <v>111610319.02</v>
      </c>
      <c r="AH22" s="204">
        <f aca="true" t="shared" si="1" ref="AH22:BD22">SUM(AH13:AH21)</f>
        <v>0</v>
      </c>
      <c r="AI22" s="204">
        <f t="shared" si="1"/>
        <v>288051642.62</v>
      </c>
      <c r="AJ22" s="204">
        <f t="shared" si="1"/>
        <v>0</v>
      </c>
      <c r="AK22" s="204">
        <f t="shared" si="1"/>
        <v>827012281.13</v>
      </c>
      <c r="AL22" s="204">
        <f t="shared" si="1"/>
        <v>0</v>
      </c>
      <c r="AM22" s="204">
        <f t="shared" si="1"/>
        <v>16601055.67</v>
      </c>
      <c r="AN22" s="204">
        <f t="shared" si="1"/>
        <v>0</v>
      </c>
      <c r="AO22" s="204">
        <f t="shared" si="1"/>
        <v>791044776.17</v>
      </c>
      <c r="AP22" s="205">
        <f t="shared" si="1"/>
        <v>8605471728.09</v>
      </c>
      <c r="AQ22" s="204">
        <f t="shared" si="1"/>
        <v>0</v>
      </c>
      <c r="AR22" s="204">
        <f t="shared" si="1"/>
        <v>0</v>
      </c>
      <c r="AS22" s="204">
        <f t="shared" si="1"/>
        <v>0</v>
      </c>
      <c r="AT22" s="204">
        <f t="shared" si="1"/>
        <v>0</v>
      </c>
      <c r="AU22" s="204">
        <f t="shared" si="1"/>
        <v>0</v>
      </c>
      <c r="AV22" s="204">
        <f t="shared" si="1"/>
        <v>0</v>
      </c>
      <c r="AW22" s="204">
        <f t="shared" si="1"/>
        <v>0</v>
      </c>
      <c r="AX22" s="204">
        <f t="shared" si="1"/>
        <v>0</v>
      </c>
      <c r="AY22" s="204">
        <f t="shared" si="1"/>
        <v>0</v>
      </c>
      <c r="AZ22" s="204">
        <f t="shared" si="1"/>
        <v>0</v>
      </c>
      <c r="BA22" s="204">
        <f t="shared" si="1"/>
        <v>0</v>
      </c>
      <c r="BB22" s="204">
        <f t="shared" si="1"/>
        <v>0</v>
      </c>
      <c r="BC22" s="204">
        <f t="shared" si="1"/>
        <v>0</v>
      </c>
      <c r="BD22" s="206">
        <f t="shared" si="1"/>
        <v>436040591</v>
      </c>
    </row>
    <row r="23" spans="1:56" ht="12.75">
      <c r="A23" s="207" t="s">
        <v>208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9"/>
    </row>
    <row r="24" spans="1:56" ht="12.75">
      <c r="A24" s="7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08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5"/>
    </row>
    <row r="25" spans="1:56" ht="12.75">
      <c r="A25" s="209" t="s">
        <v>209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1"/>
    </row>
    <row r="26" spans="1:56" ht="12.75">
      <c r="A26" s="212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1"/>
    </row>
    <row r="27" spans="1:56" ht="12.75">
      <c r="A27" s="213" t="s">
        <v>210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5"/>
    </row>
    <row r="28" spans="1:56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14"/>
      <c r="P28" s="4"/>
      <c r="Q28" s="4"/>
      <c r="R28" s="4"/>
      <c r="S28" s="4"/>
      <c r="T28" s="4"/>
      <c r="U28" s="4"/>
      <c r="V28" s="4"/>
      <c r="W28" s="215" t="s">
        <v>211</v>
      </c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6"/>
    </row>
    <row r="29" spans="1:5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5"/>
    </row>
    <row r="30" spans="1:56" ht="13.5" thickBot="1">
      <c r="A30" s="115"/>
      <c r="B30" s="217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6"/>
      <c r="N30" s="6"/>
      <c r="O30" s="6"/>
      <c r="P30" s="4"/>
      <c r="Q30" s="4"/>
      <c r="R30" s="4"/>
      <c r="S30" s="6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219"/>
      <c r="BD30" s="5"/>
    </row>
    <row r="31" spans="1:56" ht="12.75">
      <c r="A31" s="115"/>
      <c r="B31" s="220" t="s">
        <v>212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4"/>
      <c r="BC31" s="219"/>
      <c r="BD31" s="5"/>
    </row>
    <row r="32" spans="1:56" ht="12.75">
      <c r="A32" s="3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1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4"/>
      <c r="BC32" s="4"/>
      <c r="BD32" s="5"/>
    </row>
    <row r="33" spans="1:56" ht="12.75">
      <c r="A33" s="22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5"/>
    </row>
    <row r="34" spans="1:56" ht="13.5" thickBot="1">
      <c r="A34" s="22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7"/>
    </row>
    <row r="36" ht="12.75">
      <c r="B36" s="219"/>
    </row>
  </sheetData>
  <mergeCells count="10">
    <mergeCell ref="B32:N32"/>
    <mergeCell ref="A6:B6"/>
    <mergeCell ref="A7:B7"/>
    <mergeCell ref="A1:BD1"/>
    <mergeCell ref="A2:BD2"/>
    <mergeCell ref="A3:BD3"/>
    <mergeCell ref="A4:BD4"/>
    <mergeCell ref="B31:O31"/>
    <mergeCell ref="W28:BD28"/>
    <mergeCell ref="A25:BD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2007</oddHeader>
    <oddFooter>&amp;CPágina &amp;P&amp;RHACIENDA2007.xls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8"/>
  <sheetViews>
    <sheetView zoomScale="75" zoomScaleNormal="75" workbookViewId="0" topLeftCell="A11">
      <pane ySplit="645" topLeftCell="BM1" activePane="bottomLeft" state="split"/>
      <selection pane="topLeft" activeCell="A1" sqref="A1:BD1"/>
      <selection pane="bottomLeft" activeCell="A1" sqref="A1:BD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19.57421875" style="1" customWidth="1"/>
    <col min="43" max="43" width="19.7109375" style="224" customWidth="1"/>
    <col min="44" max="44" width="19.57421875" style="224" customWidth="1"/>
    <col min="45" max="45" width="17.7109375" style="224" customWidth="1"/>
    <col min="46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34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35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173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17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25"/>
      <c r="AI6" s="17"/>
      <c r="AJ6" s="17"/>
      <c r="AK6" s="17"/>
      <c r="AL6" s="17"/>
      <c r="AM6" s="17"/>
      <c r="AN6" s="17"/>
      <c r="AO6" s="17"/>
      <c r="AP6" s="175"/>
      <c r="AQ6" s="226"/>
    </row>
    <row r="7" spans="1:43" ht="15.75">
      <c r="A7" s="227" t="s">
        <v>2</v>
      </c>
      <c r="B7" s="228"/>
      <c r="C7" s="229" t="s">
        <v>213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30" t="s">
        <v>4</v>
      </c>
      <c r="AD7" s="231"/>
      <c r="AE7" s="231"/>
      <c r="AF7" s="231"/>
      <c r="AG7" s="231"/>
      <c r="AH7" s="225"/>
      <c r="AI7" s="231"/>
      <c r="AJ7" s="231"/>
      <c r="AK7" s="231"/>
      <c r="AL7" s="231"/>
      <c r="AM7" s="231"/>
      <c r="AN7" s="231"/>
      <c r="AO7" s="231"/>
      <c r="AP7" s="232" t="s">
        <v>164</v>
      </c>
      <c r="AQ7" s="233"/>
    </row>
    <row r="8" spans="1:43" ht="20.25">
      <c r="A8" s="227" t="s">
        <v>3</v>
      </c>
      <c r="B8" s="228"/>
      <c r="C8" s="234" t="s">
        <v>37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35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30" t="s">
        <v>5</v>
      </c>
      <c r="AD8" s="231"/>
      <c r="AE8" s="231"/>
      <c r="AF8" s="231"/>
      <c r="AG8" s="231"/>
      <c r="AH8" s="225"/>
      <c r="AI8" s="231"/>
      <c r="AJ8" s="231"/>
      <c r="AK8" s="231"/>
      <c r="AL8" s="231"/>
      <c r="AM8" s="231"/>
      <c r="AN8" s="231"/>
      <c r="AO8" s="231"/>
      <c r="AP8" s="236">
        <v>2007</v>
      </c>
      <c r="AQ8" s="237"/>
    </row>
    <row r="9" spans="1:42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20"/>
    </row>
    <row r="10" spans="1:42" ht="15">
      <c r="A10" s="23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</row>
    <row r="11" spans="1:42" ht="15">
      <c r="A11" s="239" t="s">
        <v>24</v>
      </c>
      <c r="B11" s="239" t="s">
        <v>26</v>
      </c>
      <c r="C11" s="239" t="s">
        <v>27</v>
      </c>
      <c r="D11" s="239" t="s">
        <v>28</v>
      </c>
      <c r="E11" s="239" t="s">
        <v>28</v>
      </c>
      <c r="F11" s="239" t="s">
        <v>28</v>
      </c>
      <c r="G11" s="239" t="s">
        <v>28</v>
      </c>
      <c r="H11" s="239" t="s">
        <v>28</v>
      </c>
      <c r="I11" s="239" t="s">
        <v>28</v>
      </c>
      <c r="J11" s="239" t="s">
        <v>28</v>
      </c>
      <c r="K11" s="239" t="s">
        <v>28</v>
      </c>
      <c r="L11" s="239" t="s">
        <v>28</v>
      </c>
      <c r="M11" s="239" t="s">
        <v>28</v>
      </c>
      <c r="N11" s="239" t="s">
        <v>28</v>
      </c>
      <c r="O11" s="239" t="s">
        <v>28</v>
      </c>
      <c r="P11" s="239" t="s">
        <v>28</v>
      </c>
      <c r="Q11" s="239" t="s">
        <v>29</v>
      </c>
      <c r="R11" s="239" t="s">
        <v>29</v>
      </c>
      <c r="S11" s="239" t="s">
        <v>29</v>
      </c>
      <c r="T11" s="239" t="s">
        <v>29</v>
      </c>
      <c r="U11" s="239" t="s">
        <v>29</v>
      </c>
      <c r="V11" s="239" t="s">
        <v>29</v>
      </c>
      <c r="W11" s="239" t="s">
        <v>29</v>
      </c>
      <c r="X11" s="239" t="s">
        <v>29</v>
      </c>
      <c r="Y11" s="239" t="s">
        <v>29</v>
      </c>
      <c r="Z11" s="239" t="s">
        <v>29</v>
      </c>
      <c r="AA11" s="239" t="s">
        <v>29</v>
      </c>
      <c r="AB11" s="239" t="s">
        <v>29</v>
      </c>
      <c r="AC11" s="239" t="s">
        <v>29</v>
      </c>
      <c r="AD11" s="239" t="s">
        <v>30</v>
      </c>
      <c r="AE11" s="239" t="s">
        <v>30</v>
      </c>
      <c r="AF11" s="239" t="s">
        <v>30</v>
      </c>
      <c r="AG11" s="239" t="s">
        <v>30</v>
      </c>
      <c r="AH11" s="239" t="s">
        <v>30</v>
      </c>
      <c r="AI11" s="239" t="s">
        <v>30</v>
      </c>
      <c r="AJ11" s="239" t="s">
        <v>30</v>
      </c>
      <c r="AK11" s="239" t="s">
        <v>30</v>
      </c>
      <c r="AL11" s="239" t="s">
        <v>30</v>
      </c>
      <c r="AM11" s="239" t="s">
        <v>30</v>
      </c>
      <c r="AN11" s="239" t="s">
        <v>30</v>
      </c>
      <c r="AO11" s="239" t="s">
        <v>30</v>
      </c>
      <c r="AP11" s="239" t="s">
        <v>30</v>
      </c>
    </row>
    <row r="12" spans="1:45" ht="15.75" thickBot="1">
      <c r="A12" s="240" t="s">
        <v>25</v>
      </c>
      <c r="B12" s="240"/>
      <c r="C12" s="240" t="s">
        <v>6</v>
      </c>
      <c r="D12" s="240" t="s">
        <v>7</v>
      </c>
      <c r="E12" s="240" t="s">
        <v>8</v>
      </c>
      <c r="F12" s="240" t="s">
        <v>9</v>
      </c>
      <c r="G12" s="240" t="s">
        <v>214</v>
      </c>
      <c r="H12" s="240" t="s">
        <v>11</v>
      </c>
      <c r="I12" s="240" t="s">
        <v>12</v>
      </c>
      <c r="J12" s="240" t="s">
        <v>13</v>
      </c>
      <c r="K12" s="240" t="s">
        <v>14</v>
      </c>
      <c r="L12" s="240" t="s">
        <v>15</v>
      </c>
      <c r="M12" s="240" t="s">
        <v>16</v>
      </c>
      <c r="N12" s="240" t="s">
        <v>17</v>
      </c>
      <c r="O12" s="240" t="s">
        <v>18</v>
      </c>
      <c r="P12" s="240" t="s">
        <v>19</v>
      </c>
      <c r="Q12" s="240" t="s">
        <v>7</v>
      </c>
      <c r="R12" s="240" t="s">
        <v>8</v>
      </c>
      <c r="S12" s="240" t="s">
        <v>9</v>
      </c>
      <c r="T12" s="240" t="s">
        <v>10</v>
      </c>
      <c r="U12" s="240" t="s">
        <v>20</v>
      </c>
      <c r="V12" s="240" t="s">
        <v>21</v>
      </c>
      <c r="W12" s="240" t="s">
        <v>22</v>
      </c>
      <c r="X12" s="240" t="s">
        <v>14</v>
      </c>
      <c r="Y12" s="240" t="s">
        <v>15</v>
      </c>
      <c r="Z12" s="240" t="s">
        <v>23</v>
      </c>
      <c r="AA12" s="240" t="s">
        <v>17</v>
      </c>
      <c r="AB12" s="240" t="s">
        <v>18</v>
      </c>
      <c r="AC12" s="240" t="s">
        <v>31</v>
      </c>
      <c r="AD12" s="240" t="s">
        <v>7</v>
      </c>
      <c r="AE12" s="240" t="s">
        <v>8</v>
      </c>
      <c r="AF12" s="240" t="s">
        <v>9</v>
      </c>
      <c r="AG12" s="240" t="s">
        <v>10</v>
      </c>
      <c r="AH12" s="240" t="s">
        <v>20</v>
      </c>
      <c r="AI12" s="240" t="s">
        <v>21</v>
      </c>
      <c r="AJ12" s="240" t="s">
        <v>22</v>
      </c>
      <c r="AK12" s="240" t="s">
        <v>14</v>
      </c>
      <c r="AL12" s="240" t="s">
        <v>15</v>
      </c>
      <c r="AM12" s="240" t="s">
        <v>23</v>
      </c>
      <c r="AN12" s="240" t="s">
        <v>17</v>
      </c>
      <c r="AO12" s="240" t="s">
        <v>18</v>
      </c>
      <c r="AP12" s="240" t="s">
        <v>19</v>
      </c>
      <c r="AQ12" s="241" t="s">
        <v>215</v>
      </c>
      <c r="AR12" s="241" t="s">
        <v>216</v>
      </c>
      <c r="AS12" s="241" t="s">
        <v>217</v>
      </c>
    </row>
    <row r="13" spans="1:42" ht="15.75" thickBot="1">
      <c r="A13" s="242">
        <v>1</v>
      </c>
      <c r="B13" s="243">
        <v>2</v>
      </c>
      <c r="C13" s="243"/>
      <c r="D13" s="243"/>
      <c r="E13" s="243"/>
      <c r="F13" s="243">
        <v>3</v>
      </c>
      <c r="G13" s="243">
        <v>3</v>
      </c>
      <c r="H13" s="243">
        <v>3</v>
      </c>
      <c r="I13" s="243">
        <v>3</v>
      </c>
      <c r="J13" s="243">
        <v>3</v>
      </c>
      <c r="K13" s="243">
        <v>3</v>
      </c>
      <c r="L13" s="243">
        <v>3</v>
      </c>
      <c r="M13" s="243">
        <v>3</v>
      </c>
      <c r="N13" s="243">
        <v>3</v>
      </c>
      <c r="O13" s="243">
        <v>3</v>
      </c>
      <c r="P13" s="243">
        <v>4</v>
      </c>
      <c r="Q13" s="243"/>
      <c r="R13" s="243"/>
      <c r="S13" s="243">
        <v>5</v>
      </c>
      <c r="T13" s="243">
        <v>5</v>
      </c>
      <c r="U13" s="243">
        <v>5</v>
      </c>
      <c r="V13" s="243">
        <v>5</v>
      </c>
      <c r="W13" s="243">
        <v>5</v>
      </c>
      <c r="X13" s="243">
        <v>5</v>
      </c>
      <c r="Y13" s="243">
        <v>5</v>
      </c>
      <c r="Z13" s="243">
        <v>5</v>
      </c>
      <c r="AA13" s="243">
        <v>5</v>
      </c>
      <c r="AB13" s="243">
        <v>5</v>
      </c>
      <c r="AC13" s="243">
        <v>6</v>
      </c>
      <c r="AD13" s="243"/>
      <c r="AE13" s="243"/>
      <c r="AF13" s="243">
        <v>7</v>
      </c>
      <c r="AG13" s="243">
        <v>7</v>
      </c>
      <c r="AH13" s="243">
        <v>7</v>
      </c>
      <c r="AI13" s="243">
        <v>7</v>
      </c>
      <c r="AJ13" s="243">
        <v>7</v>
      </c>
      <c r="AK13" s="243">
        <v>7</v>
      </c>
      <c r="AL13" s="243">
        <v>7</v>
      </c>
      <c r="AM13" s="243">
        <v>7</v>
      </c>
      <c r="AN13" s="243">
        <v>7</v>
      </c>
      <c r="AO13" s="243">
        <v>7</v>
      </c>
      <c r="AP13" s="244">
        <v>8</v>
      </c>
    </row>
    <row r="14" spans="1:46" s="14" customFormat="1" ht="16.5" thickBot="1">
      <c r="A14" s="245"/>
      <c r="B14" s="246" t="s">
        <v>218</v>
      </c>
      <c r="C14" s="247">
        <f aca="true" t="shared" si="0" ref="C14:AS14">SUM(C15,C17,C38)</f>
        <v>922096862</v>
      </c>
      <c r="D14" s="247">
        <f t="shared" si="0"/>
        <v>106303686.12</v>
      </c>
      <c r="E14" s="247">
        <f t="shared" si="0"/>
        <v>89576733.24000001</v>
      </c>
      <c r="F14" s="247">
        <f t="shared" si="0"/>
        <v>70033601.42</v>
      </c>
      <c r="G14" s="247">
        <f t="shared" si="0"/>
        <v>38779131.82</v>
      </c>
      <c r="H14" s="247">
        <f t="shared" si="0"/>
        <v>68487500.49000001</v>
      </c>
      <c r="I14" s="247">
        <f t="shared" si="0"/>
        <v>78620748.08</v>
      </c>
      <c r="J14" s="247">
        <f t="shared" si="0"/>
        <v>40639880.41</v>
      </c>
      <c r="K14" s="247">
        <f t="shared" si="0"/>
        <v>44931324.95</v>
      </c>
      <c r="L14" s="247">
        <f t="shared" si="0"/>
        <v>58179225.04</v>
      </c>
      <c r="M14" s="247">
        <f t="shared" si="0"/>
        <v>45968267.54</v>
      </c>
      <c r="N14" s="247">
        <f t="shared" si="0"/>
        <v>49138817</v>
      </c>
      <c r="O14" s="247">
        <f t="shared" si="0"/>
        <v>62524912.230000004</v>
      </c>
      <c r="P14" s="247">
        <f>SUM(P15,P17,P38)</f>
        <v>753183828.3400002</v>
      </c>
      <c r="Q14" s="247">
        <f t="shared" si="0"/>
        <v>52428295.84</v>
      </c>
      <c r="R14" s="247">
        <f t="shared" si="0"/>
        <v>63828153.96</v>
      </c>
      <c r="S14" s="247">
        <f t="shared" si="0"/>
        <v>68020693.92999999</v>
      </c>
      <c r="T14" s="247">
        <f t="shared" si="0"/>
        <v>46763581.21</v>
      </c>
      <c r="U14" s="247">
        <f t="shared" si="0"/>
        <v>57659682.04999999</v>
      </c>
      <c r="V14" s="247">
        <f t="shared" si="0"/>
        <v>95955787.58</v>
      </c>
      <c r="W14" s="247">
        <f t="shared" si="0"/>
        <v>47692059.12</v>
      </c>
      <c r="X14" s="247">
        <f t="shared" si="0"/>
        <v>49591333.95</v>
      </c>
      <c r="Y14" s="247">
        <f t="shared" si="0"/>
        <v>51198990.269999996</v>
      </c>
      <c r="Z14" s="247">
        <f>SUM(Z15,Z17,Z38)</f>
        <v>58899064.79</v>
      </c>
      <c r="AA14" s="247">
        <f t="shared" si="0"/>
        <v>59184573.61</v>
      </c>
      <c r="AB14" s="247">
        <f t="shared" si="0"/>
        <v>93814832.12</v>
      </c>
      <c r="AC14" s="247">
        <f>SUM(AC15,AC17,AC38)</f>
        <v>745037048.4300001</v>
      </c>
      <c r="AD14" s="247">
        <f t="shared" si="0"/>
        <v>52428295.84</v>
      </c>
      <c r="AE14" s="247">
        <f t="shared" si="0"/>
        <v>63181096.04</v>
      </c>
      <c r="AF14" s="247">
        <f t="shared" si="0"/>
        <v>68179807.85</v>
      </c>
      <c r="AG14" s="247">
        <f t="shared" si="0"/>
        <v>45590306.81</v>
      </c>
      <c r="AH14" s="247">
        <f t="shared" si="0"/>
        <v>59320900.449999996</v>
      </c>
      <c r="AI14" s="247">
        <f t="shared" si="0"/>
        <v>94577148.99999999</v>
      </c>
      <c r="AJ14" s="247">
        <f t="shared" si="0"/>
        <v>47864893.7</v>
      </c>
      <c r="AK14" s="247">
        <f t="shared" si="0"/>
        <v>48135692.58</v>
      </c>
      <c r="AL14" s="247">
        <f t="shared" si="0"/>
        <v>52534976.93</v>
      </c>
      <c r="AM14" s="247">
        <f>SUM(AM15,AM17,AM38)</f>
        <v>58190419.5</v>
      </c>
      <c r="AN14" s="247">
        <f t="shared" si="0"/>
        <v>58096799.85</v>
      </c>
      <c r="AO14" s="247">
        <f t="shared" si="0"/>
        <v>78365780.89000002</v>
      </c>
      <c r="AP14" s="247">
        <f>SUM(AP15,AP17,AP38)</f>
        <v>726466119.44</v>
      </c>
      <c r="AQ14" s="248">
        <f t="shared" si="0"/>
        <v>168913033.66</v>
      </c>
      <c r="AR14" s="247">
        <f t="shared" si="0"/>
        <v>7282066.840000018</v>
      </c>
      <c r="AS14" s="247">
        <f t="shared" si="0"/>
        <v>12569944.459999986</v>
      </c>
      <c r="AT14" s="249">
        <f aca="true" t="shared" si="1" ref="AT14:AT25">P14/C14</f>
        <v>0.8168163881464333</v>
      </c>
    </row>
    <row r="15" spans="1:46" s="14" customFormat="1" ht="16.5" thickBot="1">
      <c r="A15" s="250"/>
      <c r="B15" s="251" t="s">
        <v>42</v>
      </c>
      <c r="C15" s="252">
        <f aca="true" t="shared" si="2" ref="C15:AS15">SUM(C16)</f>
        <v>10671854</v>
      </c>
      <c r="D15" s="252">
        <f t="shared" si="2"/>
        <v>0</v>
      </c>
      <c r="E15" s="252">
        <f t="shared" si="2"/>
        <v>0</v>
      </c>
      <c r="F15" s="252">
        <f t="shared" si="2"/>
        <v>0</v>
      </c>
      <c r="G15" s="252">
        <f t="shared" si="2"/>
        <v>0</v>
      </c>
      <c r="H15" s="252">
        <f t="shared" si="2"/>
        <v>0</v>
      </c>
      <c r="I15" s="252">
        <f t="shared" si="2"/>
        <v>0</v>
      </c>
      <c r="J15" s="252">
        <f t="shared" si="2"/>
        <v>0</v>
      </c>
      <c r="K15" s="252">
        <f t="shared" si="2"/>
        <v>0</v>
      </c>
      <c r="L15" s="252">
        <f t="shared" si="2"/>
        <v>0</v>
      </c>
      <c r="M15" s="252">
        <f t="shared" si="2"/>
        <v>3201563.23</v>
      </c>
      <c r="N15" s="252">
        <f t="shared" si="2"/>
        <v>2819232</v>
      </c>
      <c r="O15" s="252">
        <f t="shared" si="2"/>
        <v>2819232</v>
      </c>
      <c r="P15" s="252">
        <f t="shared" si="2"/>
        <v>8840027.23</v>
      </c>
      <c r="Q15" s="252">
        <f t="shared" si="2"/>
        <v>0</v>
      </c>
      <c r="R15" s="252">
        <f t="shared" si="2"/>
        <v>0</v>
      </c>
      <c r="S15" s="252">
        <f t="shared" si="2"/>
        <v>0</v>
      </c>
      <c r="T15" s="252">
        <f t="shared" si="2"/>
        <v>0</v>
      </c>
      <c r="U15" s="252">
        <f t="shared" si="2"/>
        <v>0</v>
      </c>
      <c r="V15" s="252">
        <f t="shared" si="2"/>
        <v>0</v>
      </c>
      <c r="W15" s="252">
        <f t="shared" si="2"/>
        <v>0</v>
      </c>
      <c r="X15" s="252">
        <f t="shared" si="2"/>
        <v>0</v>
      </c>
      <c r="Y15" s="252">
        <f t="shared" si="2"/>
        <v>0</v>
      </c>
      <c r="Z15" s="252">
        <f t="shared" si="2"/>
        <v>0</v>
      </c>
      <c r="AA15" s="252">
        <f t="shared" si="2"/>
        <v>3494329.63</v>
      </c>
      <c r="AB15" s="252">
        <f t="shared" si="2"/>
        <v>5345697.6</v>
      </c>
      <c r="AC15" s="252">
        <f t="shared" si="2"/>
        <v>8840027.23</v>
      </c>
      <c r="AD15" s="252">
        <f t="shared" si="2"/>
        <v>0</v>
      </c>
      <c r="AE15" s="252">
        <f t="shared" si="2"/>
        <v>0</v>
      </c>
      <c r="AF15" s="252">
        <f t="shared" si="2"/>
        <v>0</v>
      </c>
      <c r="AG15" s="252">
        <f t="shared" si="2"/>
        <v>0</v>
      </c>
      <c r="AH15" s="252">
        <f t="shared" si="2"/>
        <v>0</v>
      </c>
      <c r="AI15" s="252">
        <f t="shared" si="2"/>
        <v>0</v>
      </c>
      <c r="AJ15" s="252">
        <f t="shared" si="2"/>
        <v>0</v>
      </c>
      <c r="AK15" s="252">
        <f t="shared" si="2"/>
        <v>0</v>
      </c>
      <c r="AL15" s="252">
        <f t="shared" si="2"/>
        <v>0</v>
      </c>
      <c r="AM15" s="252">
        <f t="shared" si="2"/>
        <v>0</v>
      </c>
      <c r="AN15" s="252">
        <f t="shared" si="2"/>
        <v>3494329.63</v>
      </c>
      <c r="AO15" s="252">
        <f t="shared" si="2"/>
        <v>2710800</v>
      </c>
      <c r="AP15" s="253">
        <f t="shared" si="2"/>
        <v>6205129.63</v>
      </c>
      <c r="AQ15" s="254">
        <f t="shared" si="2"/>
        <v>1831826.7699999996</v>
      </c>
      <c r="AR15" s="254">
        <f t="shared" si="2"/>
        <v>0</v>
      </c>
      <c r="AS15" s="254">
        <f t="shared" si="2"/>
        <v>2634897.6000000006</v>
      </c>
      <c r="AT15" s="249">
        <f t="shared" si="1"/>
        <v>0.8283497159912421</v>
      </c>
    </row>
    <row r="16" spans="1:46" s="10" customFormat="1" ht="15.75" thickBot="1">
      <c r="A16" s="255" t="s">
        <v>219</v>
      </c>
      <c r="B16" s="256" t="s">
        <v>32</v>
      </c>
      <c r="C16" s="257">
        <v>10671854</v>
      </c>
      <c r="D16" s="257">
        <v>0</v>
      </c>
      <c r="E16" s="257"/>
      <c r="F16" s="257">
        <v>0</v>
      </c>
      <c r="G16" s="257">
        <v>0</v>
      </c>
      <c r="H16" s="257">
        <v>0</v>
      </c>
      <c r="I16" s="257"/>
      <c r="J16" s="257">
        <v>0</v>
      </c>
      <c r="K16" s="257">
        <v>0</v>
      </c>
      <c r="L16" s="257">
        <v>0</v>
      </c>
      <c r="M16" s="257">
        <v>3201563.23</v>
      </c>
      <c r="N16" s="257">
        <v>2819232</v>
      </c>
      <c r="O16" s="257">
        <v>2819232</v>
      </c>
      <c r="P16" s="258">
        <f>SUM(D16:O16)</f>
        <v>8840027.23</v>
      </c>
      <c r="Q16" s="257"/>
      <c r="R16" s="257"/>
      <c r="S16" s="257">
        <v>0</v>
      </c>
      <c r="T16" s="257">
        <v>0</v>
      </c>
      <c r="U16" s="257">
        <v>0</v>
      </c>
      <c r="V16" s="257"/>
      <c r="W16" s="257"/>
      <c r="X16" s="257">
        <v>0</v>
      </c>
      <c r="Y16" s="257"/>
      <c r="Z16" s="257"/>
      <c r="AA16" s="257">
        <v>3494329.63</v>
      </c>
      <c r="AB16" s="257">
        <v>5345697.6</v>
      </c>
      <c r="AC16" s="259">
        <f>SUM(Q16:AB16)</f>
        <v>8840027.23</v>
      </c>
      <c r="AD16" s="257">
        <v>0</v>
      </c>
      <c r="AE16" s="257">
        <v>0</v>
      </c>
      <c r="AF16" s="257">
        <v>0</v>
      </c>
      <c r="AG16" s="257"/>
      <c r="AH16" s="257">
        <v>0</v>
      </c>
      <c r="AI16" s="257">
        <v>0</v>
      </c>
      <c r="AJ16" s="257">
        <v>0</v>
      </c>
      <c r="AK16" s="257">
        <v>0</v>
      </c>
      <c r="AL16" s="257">
        <v>0</v>
      </c>
      <c r="AM16" s="257">
        <v>0</v>
      </c>
      <c r="AN16" s="257">
        <v>3494329.63</v>
      </c>
      <c r="AO16" s="257">
        <v>2710800</v>
      </c>
      <c r="AP16" s="260">
        <f>SUM(AD16:AO16)</f>
        <v>6205129.63</v>
      </c>
      <c r="AQ16" s="261">
        <f>SUM(C16-P16)</f>
        <v>1831826.7699999996</v>
      </c>
      <c r="AR16" s="261">
        <f>P16-AC16</f>
        <v>0</v>
      </c>
      <c r="AS16" s="262">
        <f>AC16-AP16</f>
        <v>2634897.6000000006</v>
      </c>
      <c r="AT16" s="249">
        <f t="shared" si="1"/>
        <v>0.8283497159912421</v>
      </c>
    </row>
    <row r="17" spans="1:46" s="10" customFormat="1" ht="16.5" thickBot="1">
      <c r="A17" s="250"/>
      <c r="B17" s="251" t="s">
        <v>43</v>
      </c>
      <c r="C17" s="263">
        <f aca="true" t="shared" si="3" ref="C17:AS17">SUM(C18,C27,C36)</f>
        <v>858925008</v>
      </c>
      <c r="D17" s="263">
        <f t="shared" si="3"/>
        <v>106303686.12</v>
      </c>
      <c r="E17" s="263">
        <f t="shared" si="3"/>
        <v>89576733.24000001</v>
      </c>
      <c r="F17" s="263">
        <f t="shared" si="3"/>
        <v>70033601.42</v>
      </c>
      <c r="G17" s="263">
        <f t="shared" si="3"/>
        <v>38779131.82</v>
      </c>
      <c r="H17" s="263">
        <f t="shared" si="3"/>
        <v>68487500.49000001</v>
      </c>
      <c r="I17" s="263">
        <f t="shared" si="3"/>
        <v>78620748.08</v>
      </c>
      <c r="J17" s="263">
        <f t="shared" si="3"/>
        <v>40639880.41</v>
      </c>
      <c r="K17" s="263">
        <f t="shared" si="3"/>
        <v>44931324.95</v>
      </c>
      <c r="L17" s="263">
        <f t="shared" si="3"/>
        <v>58179225.04</v>
      </c>
      <c r="M17" s="263">
        <f t="shared" si="3"/>
        <v>36776016.31</v>
      </c>
      <c r="N17" s="263">
        <f t="shared" si="3"/>
        <v>30777687.000000004</v>
      </c>
      <c r="O17" s="263">
        <f t="shared" si="3"/>
        <v>58840967.160000004</v>
      </c>
      <c r="P17" s="263">
        <f t="shared" si="3"/>
        <v>721946502.0400001</v>
      </c>
      <c r="Q17" s="263">
        <f t="shared" si="3"/>
        <v>52428295.84</v>
      </c>
      <c r="R17" s="263">
        <f t="shared" si="3"/>
        <v>63828153.96</v>
      </c>
      <c r="S17" s="263">
        <f t="shared" si="3"/>
        <v>68020693.92999999</v>
      </c>
      <c r="T17" s="263">
        <f t="shared" si="3"/>
        <v>46763581.21</v>
      </c>
      <c r="U17" s="263">
        <f t="shared" si="3"/>
        <v>57659682.04999999</v>
      </c>
      <c r="V17" s="263">
        <f t="shared" si="3"/>
        <v>95955787.58</v>
      </c>
      <c r="W17" s="263">
        <f t="shared" si="3"/>
        <v>47692059.12</v>
      </c>
      <c r="X17" s="263">
        <f t="shared" si="3"/>
        <v>49591333.95</v>
      </c>
      <c r="Y17" s="263">
        <f t="shared" si="3"/>
        <v>51198990.269999996</v>
      </c>
      <c r="Z17" s="263">
        <f t="shared" si="3"/>
        <v>52908376.79</v>
      </c>
      <c r="AA17" s="263">
        <f t="shared" si="3"/>
        <v>40148345.98</v>
      </c>
      <c r="AB17" s="263">
        <f t="shared" si="3"/>
        <v>88469134.52000001</v>
      </c>
      <c r="AC17" s="263">
        <f t="shared" si="3"/>
        <v>714664435.2</v>
      </c>
      <c r="AD17" s="263">
        <f t="shared" si="3"/>
        <v>52428295.84</v>
      </c>
      <c r="AE17" s="263">
        <f t="shared" si="3"/>
        <v>63181096.04</v>
      </c>
      <c r="AF17" s="263">
        <f t="shared" si="3"/>
        <v>68179807.85</v>
      </c>
      <c r="AG17" s="263">
        <f t="shared" si="3"/>
        <v>45590306.81</v>
      </c>
      <c r="AH17" s="263">
        <f t="shared" si="3"/>
        <v>59320900.449999996</v>
      </c>
      <c r="AI17" s="263">
        <f t="shared" si="3"/>
        <v>94577148.99999999</v>
      </c>
      <c r="AJ17" s="263">
        <f t="shared" si="3"/>
        <v>47864893.7</v>
      </c>
      <c r="AK17" s="263">
        <f t="shared" si="3"/>
        <v>48135692.58</v>
      </c>
      <c r="AL17" s="263">
        <f t="shared" si="3"/>
        <v>52534976.93</v>
      </c>
      <c r="AM17" s="263">
        <f t="shared" si="3"/>
        <v>52199731.5</v>
      </c>
      <c r="AN17" s="263">
        <f t="shared" si="3"/>
        <v>39060572.22</v>
      </c>
      <c r="AO17" s="263">
        <f t="shared" si="3"/>
        <v>75654980.89000002</v>
      </c>
      <c r="AP17" s="263">
        <f t="shared" si="3"/>
        <v>698728403.8100001</v>
      </c>
      <c r="AQ17" s="264">
        <f t="shared" si="3"/>
        <v>136978505.95999998</v>
      </c>
      <c r="AR17" s="264">
        <f t="shared" si="3"/>
        <v>7282066.840000018</v>
      </c>
      <c r="AS17" s="263">
        <f t="shared" si="3"/>
        <v>9935046.859999985</v>
      </c>
      <c r="AT17" s="249">
        <f t="shared" si="1"/>
        <v>0.8405233231257834</v>
      </c>
    </row>
    <row r="18" spans="1:46" s="10" customFormat="1" ht="15.75">
      <c r="A18" s="15" t="s">
        <v>220</v>
      </c>
      <c r="B18" s="265" t="s">
        <v>221</v>
      </c>
      <c r="C18" s="266">
        <f>SUM(C19:C26)</f>
        <v>265000000</v>
      </c>
      <c r="D18" s="266">
        <f>SUM(D20:D25)</f>
        <v>37717890.81</v>
      </c>
      <c r="E18" s="266">
        <f>SUM(E20:E25)</f>
        <v>32174649.63</v>
      </c>
      <c r="F18" s="266">
        <f>SUM(F20:F25)</f>
        <v>10847205.229999999</v>
      </c>
      <c r="G18" s="266">
        <f>SUM(G20:G25)</f>
        <v>248342.55</v>
      </c>
      <c r="H18" s="266">
        <f>SUM(H19:H26)</f>
        <v>3410229.63</v>
      </c>
      <c r="I18" s="266">
        <f aca="true" t="shared" si="4" ref="I18:P18">SUM(I19:I26)</f>
        <v>19984918.19</v>
      </c>
      <c r="J18" s="266">
        <f t="shared" si="4"/>
        <v>23558548.78</v>
      </c>
      <c r="K18" s="266">
        <f t="shared" si="4"/>
        <v>29442011.33</v>
      </c>
      <c r="L18" s="266">
        <f t="shared" si="4"/>
        <v>30298365.82</v>
      </c>
      <c r="M18" s="266">
        <f t="shared" si="4"/>
        <v>5194845.6</v>
      </c>
      <c r="N18" s="266">
        <f t="shared" si="4"/>
        <v>4544521.08</v>
      </c>
      <c r="O18" s="266">
        <f t="shared" si="4"/>
        <v>2145935.75</v>
      </c>
      <c r="P18" s="266">
        <f t="shared" si="4"/>
        <v>199567464.4</v>
      </c>
      <c r="Q18" s="266">
        <f>SUM(Q20:Q25)</f>
        <v>37717890.81</v>
      </c>
      <c r="R18" s="266">
        <f>SUM(R20:R25)</f>
        <v>26904055.759999998</v>
      </c>
      <c r="S18" s="266">
        <f>SUM(S20:S25)</f>
        <v>394975.03</v>
      </c>
      <c r="T18" s="266">
        <f>SUM(T20:T25)</f>
        <v>4440110.82</v>
      </c>
      <c r="U18" s="266">
        <f>SUM(U19:U26)</f>
        <v>1209603.1900000002</v>
      </c>
      <c r="V18" s="266">
        <f aca="true" t="shared" si="5" ref="V18:AC18">SUM(V19:V26)</f>
        <v>25848828.380000003</v>
      </c>
      <c r="W18" s="266">
        <f t="shared" si="5"/>
        <v>23558548.78</v>
      </c>
      <c r="X18" s="266">
        <f t="shared" si="5"/>
        <v>24228399.49</v>
      </c>
      <c r="Y18" s="266">
        <f t="shared" si="5"/>
        <v>27787447.96</v>
      </c>
      <c r="Z18" s="266">
        <f t="shared" si="5"/>
        <v>5877797.51</v>
      </c>
      <c r="AA18" s="266">
        <f t="shared" si="5"/>
        <v>4052058.94</v>
      </c>
      <c r="AB18" s="266">
        <f t="shared" si="5"/>
        <v>12306867.73</v>
      </c>
      <c r="AC18" s="266">
        <f t="shared" si="5"/>
        <v>194326584.4</v>
      </c>
      <c r="AD18" s="266">
        <f>SUM(AD20:AD25)</f>
        <v>37717890.81</v>
      </c>
      <c r="AE18" s="266">
        <f>SUM(AE20:AE25)</f>
        <v>26904055.759999998</v>
      </c>
      <c r="AF18" s="266">
        <f>SUM(AF20:AF25)</f>
        <v>394975.03</v>
      </c>
      <c r="AG18" s="266">
        <f>SUM(AG20:AG25)</f>
        <v>4440110.82</v>
      </c>
      <c r="AH18" s="266">
        <f>SUM(AH19:AH26)</f>
        <v>1209603.1900000002</v>
      </c>
      <c r="AI18" s="266">
        <f aca="true" t="shared" si="6" ref="AI18:AP18">SUM(AI19:AI26)</f>
        <v>25848828.380000003</v>
      </c>
      <c r="AJ18" s="266">
        <f t="shared" si="6"/>
        <v>23558548.78</v>
      </c>
      <c r="AK18" s="266">
        <f t="shared" si="6"/>
        <v>24228399.49</v>
      </c>
      <c r="AL18" s="266">
        <f t="shared" si="6"/>
        <v>27787447.96</v>
      </c>
      <c r="AM18" s="266">
        <f t="shared" si="6"/>
        <v>5877797.51</v>
      </c>
      <c r="AN18" s="266">
        <f t="shared" si="6"/>
        <v>4052058.94</v>
      </c>
      <c r="AO18" s="266">
        <f t="shared" si="6"/>
        <v>2371820.87</v>
      </c>
      <c r="AP18" s="266">
        <f t="shared" si="6"/>
        <v>184391537.54000002</v>
      </c>
      <c r="AQ18" s="267">
        <f>SUM(AQ19:AQ26)</f>
        <v>65432535.59999998</v>
      </c>
      <c r="AR18" s="267">
        <f>SUM(AR20:AR25)</f>
        <v>5240879.999999999</v>
      </c>
      <c r="AS18" s="268">
        <f aca="true" t="shared" si="7" ref="AS18:AS25">AC18-AP18</f>
        <v>9935046.859999985</v>
      </c>
      <c r="AT18" s="249">
        <f t="shared" si="1"/>
        <v>0.7530847713207547</v>
      </c>
    </row>
    <row r="19" spans="1:46" s="10" customFormat="1" ht="15">
      <c r="A19" s="15" t="s">
        <v>222</v>
      </c>
      <c r="B19" s="269" t="s">
        <v>125</v>
      </c>
      <c r="C19" s="270">
        <v>3000000</v>
      </c>
      <c r="D19" s="271"/>
      <c r="E19" s="271"/>
      <c r="F19" s="271"/>
      <c r="G19" s="270">
        <v>0</v>
      </c>
      <c r="H19" s="271">
        <v>1455800</v>
      </c>
      <c r="I19" s="271">
        <v>0</v>
      </c>
      <c r="J19" s="271">
        <v>0</v>
      </c>
      <c r="K19" s="272">
        <v>0</v>
      </c>
      <c r="L19" s="271">
        <v>0</v>
      </c>
      <c r="M19" s="271">
        <v>0</v>
      </c>
      <c r="N19" s="271">
        <v>0</v>
      </c>
      <c r="O19" s="271"/>
      <c r="P19" s="258">
        <f aca="true" t="shared" si="8" ref="P19:P26">SUM(D19:O19)</f>
        <v>1455800</v>
      </c>
      <c r="Q19" s="271"/>
      <c r="R19" s="271"/>
      <c r="S19" s="271"/>
      <c r="T19" s="271">
        <v>0</v>
      </c>
      <c r="U19" s="271">
        <v>0</v>
      </c>
      <c r="V19" s="271">
        <v>0</v>
      </c>
      <c r="W19" s="271">
        <v>0</v>
      </c>
      <c r="X19" s="271">
        <v>1455800</v>
      </c>
      <c r="Y19" s="271">
        <v>0</v>
      </c>
      <c r="Z19" s="271">
        <v>0</v>
      </c>
      <c r="AA19" s="271">
        <v>0</v>
      </c>
      <c r="AB19" s="271"/>
      <c r="AC19" s="258">
        <f aca="true" t="shared" si="9" ref="AC19:AC26">SUM(Q19:AB19)</f>
        <v>1455800</v>
      </c>
      <c r="AD19" s="271"/>
      <c r="AE19" s="271"/>
      <c r="AF19" s="271"/>
      <c r="AG19" s="271">
        <v>0</v>
      </c>
      <c r="AH19" s="271">
        <v>0</v>
      </c>
      <c r="AI19" s="271">
        <v>0</v>
      </c>
      <c r="AJ19" s="271">
        <v>0</v>
      </c>
      <c r="AK19" s="271">
        <v>1455800</v>
      </c>
      <c r="AL19" s="271">
        <v>0</v>
      </c>
      <c r="AM19" s="271">
        <v>0</v>
      </c>
      <c r="AN19" s="271">
        <v>0</v>
      </c>
      <c r="AO19" s="271"/>
      <c r="AP19" s="273">
        <f aca="true" t="shared" si="10" ref="AP19:AP26">SUM(AD19:AO19)</f>
        <v>1455800</v>
      </c>
      <c r="AQ19" s="261">
        <f>SUM(C19-P19)</f>
        <v>1544200</v>
      </c>
      <c r="AR19" s="261">
        <f>P19-AC19</f>
        <v>0</v>
      </c>
      <c r="AS19" s="261">
        <f>AC19-AP19</f>
        <v>0</v>
      </c>
      <c r="AT19" s="249">
        <f t="shared" si="1"/>
        <v>0.4852666666666667</v>
      </c>
    </row>
    <row r="20" spans="1:46" s="10" customFormat="1" ht="15">
      <c r="A20" s="15" t="s">
        <v>223</v>
      </c>
      <c r="B20" s="269" t="s">
        <v>109</v>
      </c>
      <c r="C20" s="270">
        <f>44600000-3000000</f>
        <v>41600000</v>
      </c>
      <c r="D20" s="271">
        <v>3000000</v>
      </c>
      <c r="E20" s="271">
        <v>1179768.27</v>
      </c>
      <c r="F20" s="271">
        <v>6531020</v>
      </c>
      <c r="G20" s="270">
        <v>0</v>
      </c>
      <c r="H20" s="271">
        <v>815248</v>
      </c>
      <c r="I20" s="271">
        <v>0</v>
      </c>
      <c r="J20" s="271">
        <v>0</v>
      </c>
      <c r="K20" s="272">
        <v>1899527.84</v>
      </c>
      <c r="L20" s="271">
        <v>1456000</v>
      </c>
      <c r="M20" s="271">
        <v>2999999.19</v>
      </c>
      <c r="N20" s="271">
        <v>2410000</v>
      </c>
      <c r="O20" s="271">
        <v>-1100288.39</v>
      </c>
      <c r="P20" s="258">
        <f t="shared" si="8"/>
        <v>19191274.91</v>
      </c>
      <c r="Q20" s="271">
        <v>3000000</v>
      </c>
      <c r="R20" s="271">
        <v>0</v>
      </c>
      <c r="S20" s="271">
        <v>0</v>
      </c>
      <c r="T20" s="271">
        <v>4191768.27</v>
      </c>
      <c r="U20" s="271">
        <v>0</v>
      </c>
      <c r="V20" s="271">
        <v>3330268</v>
      </c>
      <c r="W20" s="271">
        <v>0</v>
      </c>
      <c r="X20" s="271">
        <v>0</v>
      </c>
      <c r="Y20" s="271">
        <v>1899527.84</v>
      </c>
      <c r="Z20" s="271">
        <v>1004000</v>
      </c>
      <c r="AA20" s="271">
        <v>1506000</v>
      </c>
      <c r="AB20" s="271">
        <v>4259710.8</v>
      </c>
      <c r="AC20" s="258">
        <f t="shared" si="9"/>
        <v>19191274.91</v>
      </c>
      <c r="AD20" s="271">
        <v>3000000</v>
      </c>
      <c r="AE20" s="271">
        <v>0</v>
      </c>
      <c r="AF20" s="271">
        <v>0</v>
      </c>
      <c r="AG20" s="271">
        <v>4191768.27</v>
      </c>
      <c r="AH20" s="271">
        <v>0</v>
      </c>
      <c r="AI20" s="271">
        <v>3330268</v>
      </c>
      <c r="AJ20" s="271">
        <v>0</v>
      </c>
      <c r="AK20" s="271">
        <v>0</v>
      </c>
      <c r="AL20" s="271">
        <v>1899527.84</v>
      </c>
      <c r="AM20" s="271">
        <v>1004000</v>
      </c>
      <c r="AN20" s="271">
        <v>1506000</v>
      </c>
      <c r="AO20" s="271">
        <v>416700</v>
      </c>
      <c r="AP20" s="273">
        <f t="shared" si="10"/>
        <v>15348264.11</v>
      </c>
      <c r="AQ20" s="261">
        <f aca="true" t="shared" si="11" ref="AQ20:AQ26">SUM(C20-P20)</f>
        <v>22408725.09</v>
      </c>
      <c r="AR20" s="261">
        <f aca="true" t="shared" si="12" ref="AR20:AR26">P20-AC20</f>
        <v>0</v>
      </c>
      <c r="AS20" s="262">
        <f t="shared" si="7"/>
        <v>3843010.8000000007</v>
      </c>
      <c r="AT20" s="249">
        <f t="shared" si="1"/>
        <v>0.46132872379807693</v>
      </c>
    </row>
    <row r="21" spans="1:46" s="10" customFormat="1" ht="15">
      <c r="A21" s="15" t="s">
        <v>224</v>
      </c>
      <c r="B21" s="269" t="s">
        <v>110</v>
      </c>
      <c r="C21" s="270">
        <f>8000000+3500000</f>
        <v>11500000</v>
      </c>
      <c r="D21" s="271">
        <v>2000000</v>
      </c>
      <c r="E21" s="271">
        <v>0</v>
      </c>
      <c r="F21" s="271">
        <v>1421210.19</v>
      </c>
      <c r="G21" s="271">
        <v>0</v>
      </c>
      <c r="H21" s="271">
        <v>0</v>
      </c>
      <c r="I21" s="271">
        <v>0</v>
      </c>
      <c r="J21" s="271">
        <v>0</v>
      </c>
      <c r="K21" s="272">
        <v>2014908</v>
      </c>
      <c r="L21" s="274">
        <v>0</v>
      </c>
      <c r="M21" s="271">
        <v>0</v>
      </c>
      <c r="N21" s="271">
        <v>0</v>
      </c>
      <c r="O21" s="271">
        <v>4004132.52</v>
      </c>
      <c r="P21" s="258">
        <f t="shared" si="8"/>
        <v>9440250.709999999</v>
      </c>
      <c r="Q21" s="271">
        <v>2000000</v>
      </c>
      <c r="R21" s="271">
        <v>0</v>
      </c>
      <c r="S21" s="271">
        <v>0</v>
      </c>
      <c r="T21" s="271">
        <v>0</v>
      </c>
      <c r="U21" s="271">
        <v>0</v>
      </c>
      <c r="V21" s="271">
        <v>1421210.19</v>
      </c>
      <c r="W21" s="271">
        <v>0</v>
      </c>
      <c r="X21" s="271">
        <v>0</v>
      </c>
      <c r="Y21" s="271">
        <v>663884.96</v>
      </c>
      <c r="Z21" s="271">
        <v>302806.4</v>
      </c>
      <c r="AA21" s="271">
        <v>0</v>
      </c>
      <c r="AB21" s="271">
        <v>2248177.16</v>
      </c>
      <c r="AC21" s="258">
        <f t="shared" si="9"/>
        <v>6636078.71</v>
      </c>
      <c r="AD21" s="271">
        <v>2000000</v>
      </c>
      <c r="AE21" s="271">
        <v>0</v>
      </c>
      <c r="AF21" s="271">
        <v>0</v>
      </c>
      <c r="AG21" s="271">
        <v>0</v>
      </c>
      <c r="AH21" s="271">
        <v>0</v>
      </c>
      <c r="AI21" s="271">
        <v>1421210.19</v>
      </c>
      <c r="AJ21" s="271">
        <v>0</v>
      </c>
      <c r="AK21" s="271">
        <v>0</v>
      </c>
      <c r="AL21" s="271">
        <v>663884.96</v>
      </c>
      <c r="AM21" s="271">
        <v>302806.4</v>
      </c>
      <c r="AN21" s="271">
        <v>0</v>
      </c>
      <c r="AO21" s="271">
        <v>1199961</v>
      </c>
      <c r="AP21" s="273">
        <f t="shared" si="10"/>
        <v>5587862.55</v>
      </c>
      <c r="AQ21" s="261">
        <f t="shared" si="11"/>
        <v>2059749.290000001</v>
      </c>
      <c r="AR21" s="262">
        <f t="shared" si="12"/>
        <v>2804171.999999999</v>
      </c>
      <c r="AS21" s="262">
        <f t="shared" si="7"/>
        <v>1048216.1600000001</v>
      </c>
      <c r="AT21" s="249">
        <f t="shared" si="1"/>
        <v>0.8208913660869565</v>
      </c>
    </row>
    <row r="22" spans="1:46" s="10" customFormat="1" ht="15">
      <c r="A22" s="15" t="s">
        <v>225</v>
      </c>
      <c r="B22" s="269" t="s">
        <v>226</v>
      </c>
      <c r="C22" s="270">
        <v>4173267</v>
      </c>
      <c r="D22" s="271">
        <v>3452605.24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2">
        <v>0</v>
      </c>
      <c r="L22" s="271">
        <v>0</v>
      </c>
      <c r="M22" s="271">
        <v>0</v>
      </c>
      <c r="N22" s="271">
        <v>0</v>
      </c>
      <c r="O22" s="271">
        <v>-35500</v>
      </c>
      <c r="P22" s="258">
        <f t="shared" si="8"/>
        <v>3417105.24</v>
      </c>
      <c r="Q22" s="271">
        <v>3452605.24</v>
      </c>
      <c r="R22" s="27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271">
        <v>0</v>
      </c>
      <c r="Y22" s="271">
        <v>0</v>
      </c>
      <c r="Z22" s="271">
        <v>0</v>
      </c>
      <c r="AA22" s="271">
        <v>0</v>
      </c>
      <c r="AB22" s="271">
        <v>-35500</v>
      </c>
      <c r="AC22" s="258">
        <f t="shared" si="9"/>
        <v>3417105.24</v>
      </c>
      <c r="AD22" s="271">
        <v>3452605.24</v>
      </c>
      <c r="AE22" s="271">
        <v>0</v>
      </c>
      <c r="AF22" s="271"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v>0</v>
      </c>
      <c r="AM22" s="271">
        <v>0</v>
      </c>
      <c r="AN22" s="271">
        <v>0</v>
      </c>
      <c r="AO22" s="271">
        <v>-35500</v>
      </c>
      <c r="AP22" s="273">
        <f t="shared" si="10"/>
        <v>3417105.24</v>
      </c>
      <c r="AQ22" s="261">
        <f t="shared" si="11"/>
        <v>756161.7599999998</v>
      </c>
      <c r="AR22" s="261">
        <f t="shared" si="12"/>
        <v>0</v>
      </c>
      <c r="AS22" s="261">
        <f t="shared" si="7"/>
        <v>0</v>
      </c>
      <c r="AT22" s="249">
        <f t="shared" si="1"/>
        <v>0.8188081999066918</v>
      </c>
    </row>
    <row r="23" spans="1:46" s="10" customFormat="1" ht="15">
      <c r="A23" s="15" t="s">
        <v>227</v>
      </c>
      <c r="B23" s="269" t="s">
        <v>228</v>
      </c>
      <c r="C23" s="270">
        <f>20000000-3500000</f>
        <v>16500000</v>
      </c>
      <c r="D23" s="271">
        <v>2000000</v>
      </c>
      <c r="E23" s="271">
        <v>0</v>
      </c>
      <c r="F23" s="271">
        <v>2500000</v>
      </c>
      <c r="G23" s="271">
        <v>0</v>
      </c>
      <c r="H23" s="271">
        <v>258446.4</v>
      </c>
      <c r="I23" s="271">
        <v>0</v>
      </c>
      <c r="J23" s="271">
        <v>0</v>
      </c>
      <c r="K23" s="272">
        <v>4016000</v>
      </c>
      <c r="L23" s="271">
        <v>4016000</v>
      </c>
      <c r="M23" s="271">
        <v>0</v>
      </c>
      <c r="N23" s="271">
        <v>0</v>
      </c>
      <c r="O23" s="271">
        <v>-397426</v>
      </c>
      <c r="P23" s="258">
        <f t="shared" si="8"/>
        <v>12393020.4</v>
      </c>
      <c r="Q23" s="271">
        <v>2000000</v>
      </c>
      <c r="R23" s="271">
        <v>0</v>
      </c>
      <c r="S23" s="271">
        <v>0</v>
      </c>
      <c r="T23" s="271">
        <v>0</v>
      </c>
      <c r="U23" s="271">
        <v>258446.4</v>
      </c>
      <c r="V23" s="271">
        <v>1112432</v>
      </c>
      <c r="W23" s="271">
        <v>0</v>
      </c>
      <c r="X23" s="271">
        <v>1261024</v>
      </c>
      <c r="Y23" s="271">
        <v>0</v>
      </c>
      <c r="Z23" s="271">
        <v>2522048</v>
      </c>
      <c r="AA23" s="271">
        <v>0</v>
      </c>
      <c r="AB23" s="271">
        <v>2802362</v>
      </c>
      <c r="AC23" s="258">
        <f t="shared" si="9"/>
        <v>9956312.4</v>
      </c>
      <c r="AD23" s="271">
        <v>2000000</v>
      </c>
      <c r="AE23" s="271">
        <v>0</v>
      </c>
      <c r="AF23" s="271">
        <v>0</v>
      </c>
      <c r="AG23" s="271">
        <v>0</v>
      </c>
      <c r="AH23" s="271">
        <v>258446.4</v>
      </c>
      <c r="AI23" s="271">
        <v>1112432</v>
      </c>
      <c r="AJ23" s="271">
        <v>0</v>
      </c>
      <c r="AK23" s="271">
        <v>1261024</v>
      </c>
      <c r="AL23" s="271">
        <v>0</v>
      </c>
      <c r="AM23" s="271">
        <v>2522048</v>
      </c>
      <c r="AN23" s="271">
        <v>0</v>
      </c>
      <c r="AO23" s="271">
        <v>1115642</v>
      </c>
      <c r="AP23" s="273">
        <f t="shared" si="10"/>
        <v>8269592.4</v>
      </c>
      <c r="AQ23" s="261">
        <f t="shared" si="11"/>
        <v>4106979.5999999996</v>
      </c>
      <c r="AR23" s="262">
        <f t="shared" si="12"/>
        <v>2436708</v>
      </c>
      <c r="AS23" s="262">
        <f t="shared" si="7"/>
        <v>1686720</v>
      </c>
      <c r="AT23" s="249">
        <f t="shared" si="1"/>
        <v>0.7510921454545455</v>
      </c>
    </row>
    <row r="24" spans="1:46" s="10" customFormat="1" ht="15">
      <c r="A24" s="15" t="s">
        <v>229</v>
      </c>
      <c r="B24" s="269" t="s">
        <v>113</v>
      </c>
      <c r="C24" s="270">
        <f>180226733-1500000</f>
        <v>178726733</v>
      </c>
      <c r="D24" s="271">
        <v>27265285.57</v>
      </c>
      <c r="E24" s="271">
        <v>22994881.36</v>
      </c>
      <c r="F24" s="271">
        <v>394975.04</v>
      </c>
      <c r="G24" s="271">
        <v>248342.55</v>
      </c>
      <c r="H24" s="271">
        <v>719509.42</v>
      </c>
      <c r="I24" s="271">
        <v>19984918.19</v>
      </c>
      <c r="J24" s="271">
        <v>23558548.78</v>
      </c>
      <c r="K24" s="272">
        <v>21511575.49</v>
      </c>
      <c r="L24" s="271">
        <v>24826365.82</v>
      </c>
      <c r="M24" s="271">
        <v>2194846.41</v>
      </c>
      <c r="N24" s="271">
        <v>2134521.08</v>
      </c>
      <c r="O24" s="271">
        <v>-324982.17</v>
      </c>
      <c r="P24" s="258">
        <f t="shared" si="8"/>
        <v>145508787.54000002</v>
      </c>
      <c r="Q24" s="271">
        <v>27265285.57</v>
      </c>
      <c r="R24" s="271">
        <v>22994881.36</v>
      </c>
      <c r="S24" s="271">
        <v>394975.03</v>
      </c>
      <c r="T24" s="271">
        <v>248342.55</v>
      </c>
      <c r="U24" s="271">
        <v>719509.42</v>
      </c>
      <c r="V24" s="271">
        <v>19984918.19</v>
      </c>
      <c r="W24" s="271">
        <v>23558548.78</v>
      </c>
      <c r="X24" s="271">
        <v>21511575.49</v>
      </c>
      <c r="Y24" s="271">
        <v>24826365.82</v>
      </c>
      <c r="Z24" s="271">
        <v>2048943.11</v>
      </c>
      <c r="AA24" s="271">
        <v>2280424.35</v>
      </c>
      <c r="AB24" s="271">
        <v>-324982.13</v>
      </c>
      <c r="AC24" s="258">
        <f t="shared" si="9"/>
        <v>145508787.54000002</v>
      </c>
      <c r="AD24" s="271">
        <v>27265285.57</v>
      </c>
      <c r="AE24" s="271">
        <v>22994881.36</v>
      </c>
      <c r="AF24" s="271">
        <v>394975.03</v>
      </c>
      <c r="AG24" s="271">
        <v>248342.55</v>
      </c>
      <c r="AH24" s="271">
        <v>719509.42</v>
      </c>
      <c r="AI24" s="271">
        <v>19984918.19</v>
      </c>
      <c r="AJ24" s="271">
        <v>23558548.78</v>
      </c>
      <c r="AK24" s="271">
        <v>21511575.49</v>
      </c>
      <c r="AL24" s="271">
        <v>24826365.82</v>
      </c>
      <c r="AM24" s="271">
        <v>2048943.11</v>
      </c>
      <c r="AN24" s="271">
        <v>2280424.35</v>
      </c>
      <c r="AO24" s="271">
        <v>-324982.13</v>
      </c>
      <c r="AP24" s="273">
        <f t="shared" si="10"/>
        <v>145508787.54000002</v>
      </c>
      <c r="AQ24" s="261">
        <f t="shared" si="11"/>
        <v>33217945.45999998</v>
      </c>
      <c r="AR24" s="261">
        <f t="shared" si="12"/>
        <v>0</v>
      </c>
      <c r="AS24" s="261">
        <f t="shared" si="7"/>
        <v>0</v>
      </c>
      <c r="AT24" s="249">
        <f t="shared" si="1"/>
        <v>0.8141411477599159</v>
      </c>
    </row>
    <row r="25" spans="1:46" s="10" customFormat="1" ht="15">
      <c r="A25" s="15" t="s">
        <v>230</v>
      </c>
      <c r="B25" s="269" t="s">
        <v>114</v>
      </c>
      <c r="C25" s="270">
        <v>8000000</v>
      </c>
      <c r="D25" s="271">
        <v>0</v>
      </c>
      <c r="E25" s="271">
        <v>8000000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2">
        <v>0</v>
      </c>
      <c r="L25" s="271">
        <v>0</v>
      </c>
      <c r="M25" s="271">
        <v>0</v>
      </c>
      <c r="N25" s="271">
        <v>0</v>
      </c>
      <c r="O25" s="271">
        <v>-0.21</v>
      </c>
      <c r="P25" s="258">
        <f t="shared" si="8"/>
        <v>7999999.79</v>
      </c>
      <c r="Q25" s="271">
        <v>0</v>
      </c>
      <c r="R25" s="271">
        <v>3909174.4</v>
      </c>
      <c r="S25" s="271">
        <v>0</v>
      </c>
      <c r="T25" s="271">
        <v>0</v>
      </c>
      <c r="U25" s="271">
        <v>70421.56</v>
      </c>
      <c r="V25" s="271">
        <v>0</v>
      </c>
      <c r="W25" s="271">
        <v>0</v>
      </c>
      <c r="X25" s="271">
        <v>0</v>
      </c>
      <c r="Y25" s="271">
        <v>397669.34</v>
      </c>
      <c r="Z25" s="271">
        <v>0</v>
      </c>
      <c r="AA25" s="271">
        <v>265634.59</v>
      </c>
      <c r="AB25" s="271">
        <v>3357099.9</v>
      </c>
      <c r="AC25" s="258">
        <f t="shared" si="9"/>
        <v>7999999.789999999</v>
      </c>
      <c r="AD25" s="271">
        <v>0</v>
      </c>
      <c r="AE25" s="271">
        <v>3909174.4</v>
      </c>
      <c r="AF25" s="271">
        <v>0</v>
      </c>
      <c r="AG25" s="271">
        <v>0</v>
      </c>
      <c r="AH25" s="271">
        <v>70421.56</v>
      </c>
      <c r="AI25" s="271">
        <v>0</v>
      </c>
      <c r="AJ25" s="271">
        <v>0</v>
      </c>
      <c r="AK25" s="271">
        <v>0</v>
      </c>
      <c r="AL25" s="271">
        <v>397669.34</v>
      </c>
      <c r="AM25" s="271">
        <v>0</v>
      </c>
      <c r="AN25" s="271">
        <v>265634.59</v>
      </c>
      <c r="AO25" s="271"/>
      <c r="AP25" s="273">
        <f t="shared" si="10"/>
        <v>4642899.89</v>
      </c>
      <c r="AQ25" s="261">
        <f t="shared" si="11"/>
        <v>0.2099999999627471</v>
      </c>
      <c r="AR25" s="261">
        <f t="shared" si="12"/>
        <v>0</v>
      </c>
      <c r="AS25" s="262">
        <f t="shared" si="7"/>
        <v>3357099.8999999994</v>
      </c>
      <c r="AT25" s="249">
        <f t="shared" si="1"/>
        <v>0.99999997375</v>
      </c>
    </row>
    <row r="26" spans="1:46" s="10" customFormat="1" ht="15">
      <c r="A26" s="15" t="s">
        <v>231</v>
      </c>
      <c r="B26" s="275" t="s">
        <v>232</v>
      </c>
      <c r="C26" s="257">
        <v>1500000</v>
      </c>
      <c r="D26" s="271"/>
      <c r="E26" s="271"/>
      <c r="F26" s="271">
        <v>0</v>
      </c>
      <c r="G26" s="271">
        <v>0</v>
      </c>
      <c r="H26" s="271">
        <v>161225.81</v>
      </c>
      <c r="I26" s="271">
        <v>0</v>
      </c>
      <c r="J26" s="271">
        <v>0</v>
      </c>
      <c r="K26" s="272">
        <v>0</v>
      </c>
      <c r="L26" s="271">
        <v>0</v>
      </c>
      <c r="M26" s="271">
        <v>0</v>
      </c>
      <c r="N26" s="271">
        <v>0</v>
      </c>
      <c r="O26" s="271"/>
      <c r="P26" s="258">
        <f t="shared" si="8"/>
        <v>161225.81</v>
      </c>
      <c r="Q26" s="271"/>
      <c r="R26" s="271"/>
      <c r="S26" s="271">
        <v>0</v>
      </c>
      <c r="T26" s="271">
        <v>0</v>
      </c>
      <c r="U26" s="271">
        <v>161225.81</v>
      </c>
      <c r="V26" s="271">
        <v>0</v>
      </c>
      <c r="W26" s="271">
        <v>0</v>
      </c>
      <c r="X26" s="271">
        <v>0</v>
      </c>
      <c r="Y26" s="271">
        <v>0</v>
      </c>
      <c r="Z26" s="271">
        <v>0</v>
      </c>
      <c r="AA26" s="271">
        <v>0</v>
      </c>
      <c r="AB26" s="271"/>
      <c r="AC26" s="258">
        <f t="shared" si="9"/>
        <v>161225.81</v>
      </c>
      <c r="AD26" s="271"/>
      <c r="AE26" s="271"/>
      <c r="AF26" s="271">
        <v>0</v>
      </c>
      <c r="AG26" s="271">
        <v>0</v>
      </c>
      <c r="AH26" s="271">
        <v>161225.81</v>
      </c>
      <c r="AI26" s="271">
        <v>0</v>
      </c>
      <c r="AJ26" s="271">
        <v>0</v>
      </c>
      <c r="AK26" s="271">
        <v>0</v>
      </c>
      <c r="AL26" s="271">
        <v>0</v>
      </c>
      <c r="AM26" s="271">
        <v>0</v>
      </c>
      <c r="AN26" s="271">
        <v>0</v>
      </c>
      <c r="AO26" s="271"/>
      <c r="AP26" s="273">
        <f t="shared" si="10"/>
        <v>161225.81</v>
      </c>
      <c r="AQ26" s="261">
        <f t="shared" si="11"/>
        <v>1338774.19</v>
      </c>
      <c r="AR26" s="261">
        <f t="shared" si="12"/>
        <v>0</v>
      </c>
      <c r="AS26" s="261"/>
      <c r="AT26" s="249"/>
    </row>
    <row r="27" spans="1:46" s="10" customFormat="1" ht="15.75">
      <c r="A27" s="15" t="s">
        <v>233</v>
      </c>
      <c r="B27" s="265" t="s">
        <v>221</v>
      </c>
      <c r="C27" s="276">
        <f aca="true" t="shared" si="13" ref="C27:AR27">SUM(C28:C35)</f>
        <v>501513267</v>
      </c>
      <c r="D27" s="266">
        <f t="shared" si="13"/>
        <v>63457887.120000005</v>
      </c>
      <c r="E27" s="266">
        <f t="shared" si="13"/>
        <v>49679098.93000001</v>
      </c>
      <c r="F27" s="266">
        <f t="shared" si="13"/>
        <v>51907600.86</v>
      </c>
      <c r="G27" s="266">
        <f t="shared" si="13"/>
        <v>35329396.720000006</v>
      </c>
      <c r="H27" s="266">
        <f t="shared" si="13"/>
        <v>61145717.38</v>
      </c>
      <c r="I27" s="266">
        <f t="shared" si="13"/>
        <v>34260620.15</v>
      </c>
      <c r="J27" s="266">
        <f t="shared" si="13"/>
        <v>16959166.83</v>
      </c>
      <c r="K27" s="266">
        <f t="shared" si="13"/>
        <v>15489313.620000001</v>
      </c>
      <c r="L27" s="266">
        <f t="shared" si="13"/>
        <v>26394662.990000002</v>
      </c>
      <c r="M27" s="266">
        <f t="shared" si="13"/>
        <v>31521717.53</v>
      </c>
      <c r="N27" s="266">
        <f t="shared" si="13"/>
        <v>24594332.51</v>
      </c>
      <c r="O27" s="266">
        <f t="shared" si="13"/>
        <v>51160133.92</v>
      </c>
      <c r="P27" s="266">
        <f t="shared" si="13"/>
        <v>461899648.56</v>
      </c>
      <c r="Q27" s="266">
        <f t="shared" si="13"/>
        <v>9582496.84</v>
      </c>
      <c r="R27" s="266">
        <f t="shared" si="13"/>
        <v>29201113.52</v>
      </c>
      <c r="S27" s="266">
        <f t="shared" si="13"/>
        <v>60358980.87</v>
      </c>
      <c r="T27" s="266">
        <f t="shared" si="13"/>
        <v>39122077.84</v>
      </c>
      <c r="U27" s="266">
        <f t="shared" si="13"/>
        <v>52518525.379999995</v>
      </c>
      <c r="V27" s="266">
        <f t="shared" si="13"/>
        <v>45731749.45999999</v>
      </c>
      <c r="W27" s="266">
        <f t="shared" si="13"/>
        <v>24011345.54</v>
      </c>
      <c r="X27" s="266">
        <f t="shared" si="13"/>
        <v>25362934.46</v>
      </c>
      <c r="Y27" s="266">
        <f t="shared" si="13"/>
        <v>21925346.08</v>
      </c>
      <c r="Z27" s="266">
        <f t="shared" si="13"/>
        <v>46972597</v>
      </c>
      <c r="AA27" s="266">
        <f t="shared" si="13"/>
        <v>34455982.73</v>
      </c>
      <c r="AB27" s="266">
        <f t="shared" si="13"/>
        <v>70615312</v>
      </c>
      <c r="AC27" s="266">
        <f t="shared" si="13"/>
        <v>459858461.71999997</v>
      </c>
      <c r="AD27" s="266">
        <f t="shared" si="13"/>
        <v>9582496.84</v>
      </c>
      <c r="AE27" s="266">
        <f t="shared" si="13"/>
        <v>28554055.6</v>
      </c>
      <c r="AF27" s="266">
        <f t="shared" si="13"/>
        <v>60518094.79</v>
      </c>
      <c r="AG27" s="266">
        <f t="shared" si="13"/>
        <v>37948803.440000005</v>
      </c>
      <c r="AH27" s="266">
        <f t="shared" si="13"/>
        <v>54179743.78</v>
      </c>
      <c r="AI27" s="266">
        <f t="shared" si="13"/>
        <v>44353110.879999995</v>
      </c>
      <c r="AJ27" s="266">
        <f t="shared" si="13"/>
        <v>24184180.12</v>
      </c>
      <c r="AK27" s="266">
        <f t="shared" si="13"/>
        <v>23907293.09</v>
      </c>
      <c r="AL27" s="266">
        <f t="shared" si="13"/>
        <v>23261332.740000002</v>
      </c>
      <c r="AM27" s="266">
        <f t="shared" si="13"/>
        <v>46263951.71</v>
      </c>
      <c r="AN27" s="266">
        <f t="shared" si="13"/>
        <v>33368208.97</v>
      </c>
      <c r="AO27" s="266">
        <f t="shared" si="13"/>
        <v>67736205.23</v>
      </c>
      <c r="AP27" s="267">
        <f t="shared" si="13"/>
        <v>453857477.19</v>
      </c>
      <c r="AQ27" s="277">
        <f t="shared" si="13"/>
        <v>39613618.43999999</v>
      </c>
      <c r="AR27" s="266">
        <f t="shared" si="13"/>
        <v>2041186.8400000185</v>
      </c>
      <c r="AS27" s="261"/>
      <c r="AT27" s="249"/>
    </row>
    <row r="28" spans="1:46" s="10" customFormat="1" ht="15.75">
      <c r="A28" s="15" t="s">
        <v>234</v>
      </c>
      <c r="B28" s="269" t="s">
        <v>235</v>
      </c>
      <c r="C28" s="270">
        <v>2300000</v>
      </c>
      <c r="D28" s="271">
        <v>0</v>
      </c>
      <c r="E28" s="271">
        <v>0</v>
      </c>
      <c r="F28" s="271">
        <v>2128480</v>
      </c>
      <c r="G28" s="258">
        <v>170680</v>
      </c>
      <c r="H28" s="271">
        <v>0</v>
      </c>
      <c r="I28" s="271">
        <v>0</v>
      </c>
      <c r="J28" s="266">
        <v>0</v>
      </c>
      <c r="K28" s="271">
        <v>0</v>
      </c>
      <c r="L28" s="258">
        <v>0</v>
      </c>
      <c r="M28" s="266">
        <v>0</v>
      </c>
      <c r="N28" s="271">
        <v>0</v>
      </c>
      <c r="O28" s="271"/>
      <c r="P28" s="258">
        <f aca="true" t="shared" si="14" ref="P28:P35">SUM(D28:O28)</f>
        <v>2299160</v>
      </c>
      <c r="Q28" s="266">
        <v>0</v>
      </c>
      <c r="R28" s="271">
        <v>0</v>
      </c>
      <c r="S28" s="258">
        <v>2128480</v>
      </c>
      <c r="T28" s="266">
        <v>0</v>
      </c>
      <c r="U28" s="258">
        <v>170680</v>
      </c>
      <c r="V28" s="266">
        <v>0</v>
      </c>
      <c r="W28" s="266">
        <v>0</v>
      </c>
      <c r="X28" s="266">
        <v>0</v>
      </c>
      <c r="Y28" s="271">
        <v>0</v>
      </c>
      <c r="Z28" s="271">
        <v>0</v>
      </c>
      <c r="AA28" s="271">
        <v>0</v>
      </c>
      <c r="AB28" s="271"/>
      <c r="AC28" s="258">
        <f aca="true" t="shared" si="15" ref="AC28:AC35">SUM(Q28:AB28)</f>
        <v>2299160</v>
      </c>
      <c r="AD28" s="266"/>
      <c r="AE28" s="271">
        <v>0</v>
      </c>
      <c r="AF28" s="258">
        <v>2128480</v>
      </c>
      <c r="AG28" s="266">
        <v>0</v>
      </c>
      <c r="AH28" s="258">
        <v>170680</v>
      </c>
      <c r="AI28" s="266">
        <v>0</v>
      </c>
      <c r="AJ28" s="266">
        <v>0</v>
      </c>
      <c r="AK28" s="271">
        <v>0</v>
      </c>
      <c r="AL28" s="271">
        <v>0</v>
      </c>
      <c r="AM28" s="271">
        <v>0</v>
      </c>
      <c r="AN28" s="271">
        <v>0</v>
      </c>
      <c r="AO28" s="271"/>
      <c r="AP28" s="273">
        <f aca="true" t="shared" si="16" ref="AP28:AP35">SUM(AD28:AO28)</f>
        <v>2299160</v>
      </c>
      <c r="AQ28" s="261">
        <f aca="true" t="shared" si="17" ref="AQ28:AQ37">SUM(C28-P28)</f>
        <v>840</v>
      </c>
      <c r="AR28" s="261">
        <f aca="true" t="shared" si="18" ref="AR28:AR37">P28-AC28</f>
        <v>0</v>
      </c>
      <c r="AS28" s="261">
        <f aca="true" t="shared" si="19" ref="AS28:AS37">AC28-AP28</f>
        <v>0</v>
      </c>
      <c r="AT28" s="249">
        <f aca="true" t="shared" si="20" ref="AT28:AT39">P28/C28</f>
        <v>0.9996347826086956</v>
      </c>
    </row>
    <row r="29" spans="1:48" s="10" customFormat="1" ht="15">
      <c r="A29" s="15" t="s">
        <v>236</v>
      </c>
      <c r="B29" s="269" t="s">
        <v>109</v>
      </c>
      <c r="C29" s="270">
        <v>55190000</v>
      </c>
      <c r="D29" s="271">
        <v>9849999.02</v>
      </c>
      <c r="E29" s="271">
        <v>2403599.09</v>
      </c>
      <c r="F29" s="271">
        <v>259950.66</v>
      </c>
      <c r="G29" s="258">
        <v>8989179.47</v>
      </c>
      <c r="H29" s="271">
        <v>6223436.57</v>
      </c>
      <c r="I29" s="271">
        <v>3865039.99</v>
      </c>
      <c r="J29" s="271">
        <v>2394540</v>
      </c>
      <c r="K29" s="272">
        <v>1090300.83</v>
      </c>
      <c r="L29" s="258">
        <v>10594868.13</v>
      </c>
      <c r="M29" s="271">
        <v>259950.66</v>
      </c>
      <c r="N29" s="271">
        <v>-854209.34</v>
      </c>
      <c r="O29" s="271">
        <v>9371748.53</v>
      </c>
      <c r="P29" s="258">
        <f t="shared" si="14"/>
        <v>54448403.61</v>
      </c>
      <c r="Q29" s="271">
        <v>1000000</v>
      </c>
      <c r="R29" s="271">
        <v>4190199.09</v>
      </c>
      <c r="S29" s="258">
        <v>1692120</v>
      </c>
      <c r="T29" s="271">
        <v>7268936.27</v>
      </c>
      <c r="U29" s="258">
        <v>2611923.2</v>
      </c>
      <c r="V29" s="271">
        <v>7213219.22</v>
      </c>
      <c r="W29" s="271">
        <v>120000</v>
      </c>
      <c r="X29" s="271">
        <v>4384826.43</v>
      </c>
      <c r="Y29" s="271">
        <v>1945465.86</v>
      </c>
      <c r="Z29" s="271">
        <v>8310689.32</v>
      </c>
      <c r="AA29" s="271">
        <v>1173590.66</v>
      </c>
      <c r="AB29" s="271">
        <v>14362324.92</v>
      </c>
      <c r="AC29" s="258">
        <f t="shared" si="15"/>
        <v>54273294.97</v>
      </c>
      <c r="AD29" s="271">
        <v>1000000</v>
      </c>
      <c r="AE29" s="271">
        <v>4190199.09</v>
      </c>
      <c r="AF29" s="258">
        <v>1692120</v>
      </c>
      <c r="AG29" s="271">
        <v>7268936.27</v>
      </c>
      <c r="AH29" s="258">
        <v>2611923.2</v>
      </c>
      <c r="AI29" s="271">
        <v>7213219.22</v>
      </c>
      <c r="AJ29" s="271">
        <v>120000</v>
      </c>
      <c r="AK29" s="271">
        <v>3895836.26</v>
      </c>
      <c r="AL29" s="271">
        <v>2434456.03</v>
      </c>
      <c r="AM29" s="271">
        <v>8310689.32</v>
      </c>
      <c r="AN29" s="271">
        <v>1173590.66</v>
      </c>
      <c r="AO29" s="271">
        <v>11108760.51</v>
      </c>
      <c r="AP29" s="273">
        <f t="shared" si="16"/>
        <v>51019730.559999995</v>
      </c>
      <c r="AQ29" s="261">
        <f t="shared" si="17"/>
        <v>741596.3900000006</v>
      </c>
      <c r="AR29" s="262">
        <f t="shared" si="18"/>
        <v>175108.6400000006</v>
      </c>
      <c r="AS29" s="278">
        <f t="shared" si="19"/>
        <v>3253564.410000004</v>
      </c>
      <c r="AT29" s="249">
        <f t="shared" si="20"/>
        <v>0.9865628485232832</v>
      </c>
      <c r="AV29" s="10">
        <v>50200</v>
      </c>
    </row>
    <row r="30" spans="1:46" s="10" customFormat="1" ht="15">
      <c r="A30" s="15" t="s">
        <v>237</v>
      </c>
      <c r="B30" s="269" t="s">
        <v>110</v>
      </c>
      <c r="C30" s="270">
        <v>93500000</v>
      </c>
      <c r="D30" s="271">
        <v>39392676.38</v>
      </c>
      <c r="E30" s="271">
        <v>32672443.28</v>
      </c>
      <c r="F30" s="271">
        <v>504000</v>
      </c>
      <c r="G30" s="258">
        <v>4519208.82</v>
      </c>
      <c r="H30" s="271">
        <v>8704911.84</v>
      </c>
      <c r="I30" s="271">
        <v>1295762.4</v>
      </c>
      <c r="J30" s="271">
        <v>501726.88</v>
      </c>
      <c r="K30" s="272">
        <v>1022651.2</v>
      </c>
      <c r="L30" s="258">
        <v>772400</v>
      </c>
      <c r="M30" s="271">
        <v>112000</v>
      </c>
      <c r="N30" s="271">
        <v>1362387.84</v>
      </c>
      <c r="O30" s="271">
        <v>1138080.1</v>
      </c>
      <c r="P30" s="258">
        <f t="shared" si="14"/>
        <v>91998248.74</v>
      </c>
      <c r="Q30" s="271">
        <v>298512</v>
      </c>
      <c r="R30" s="271">
        <v>9962570.22</v>
      </c>
      <c r="S30" s="258">
        <v>7434350.64</v>
      </c>
      <c r="T30" s="271">
        <v>11042251.48</v>
      </c>
      <c r="U30" s="258">
        <v>4263752.56</v>
      </c>
      <c r="V30" s="271">
        <v>8350321.52</v>
      </c>
      <c r="W30" s="271">
        <v>9244562.48</v>
      </c>
      <c r="X30" s="271">
        <v>8306480.16</v>
      </c>
      <c r="Y30" s="271">
        <v>7802381.74</v>
      </c>
      <c r="Z30" s="271">
        <v>6883759.64</v>
      </c>
      <c r="AA30" s="271">
        <v>6503762.28</v>
      </c>
      <c r="AB30" s="271">
        <v>11417210.8</v>
      </c>
      <c r="AC30" s="258">
        <f t="shared" si="15"/>
        <v>91509915.52</v>
      </c>
      <c r="AD30" s="271">
        <v>298512</v>
      </c>
      <c r="AE30" s="271">
        <v>9474626.22</v>
      </c>
      <c r="AF30" s="258">
        <v>7434350.64</v>
      </c>
      <c r="AG30" s="271">
        <v>9868977.08</v>
      </c>
      <c r="AH30" s="258">
        <v>5924970.96</v>
      </c>
      <c r="AI30" s="271">
        <v>7144517.52</v>
      </c>
      <c r="AJ30" s="271">
        <v>9244562.48</v>
      </c>
      <c r="AK30" s="271">
        <v>7339828.96</v>
      </c>
      <c r="AL30" s="271">
        <v>8769032.94</v>
      </c>
      <c r="AM30" s="271">
        <v>6883759.64</v>
      </c>
      <c r="AN30" s="271">
        <v>5415988.52</v>
      </c>
      <c r="AO30" s="271">
        <v>11687162.08</v>
      </c>
      <c r="AP30" s="273">
        <f t="shared" si="16"/>
        <v>89486289.03999999</v>
      </c>
      <c r="AQ30" s="261">
        <f t="shared" si="17"/>
        <v>1501751.2600000054</v>
      </c>
      <c r="AR30" s="261">
        <f t="shared" si="18"/>
        <v>488333.2199999988</v>
      </c>
      <c r="AS30" s="278">
        <f t="shared" si="19"/>
        <v>2023626.4800000042</v>
      </c>
      <c r="AT30" s="249">
        <f t="shared" si="20"/>
        <v>0.9839384891978609</v>
      </c>
    </row>
    <row r="31" spans="1:46" s="10" customFormat="1" ht="15">
      <c r="A31" s="15" t="s">
        <v>238</v>
      </c>
      <c r="B31" s="269" t="s">
        <v>226</v>
      </c>
      <c r="C31" s="270">
        <f>15750000+795000-300000</f>
        <v>16245000</v>
      </c>
      <c r="D31" s="271">
        <v>5830826.88</v>
      </c>
      <c r="E31" s="271">
        <v>3390109.54</v>
      </c>
      <c r="F31" s="271">
        <v>304653.76</v>
      </c>
      <c r="G31" s="258">
        <v>407695.6</v>
      </c>
      <c r="H31" s="271">
        <v>88633.12</v>
      </c>
      <c r="I31" s="271">
        <v>253411.6</v>
      </c>
      <c r="J31" s="271">
        <v>-98400.79</v>
      </c>
      <c r="K31" s="272">
        <v>678824.1</v>
      </c>
      <c r="L31" s="258">
        <v>1250431.73</v>
      </c>
      <c r="M31" s="271">
        <v>1116248.32</v>
      </c>
      <c r="N31" s="271">
        <v>88633.12</v>
      </c>
      <c r="O31" s="271">
        <v>890466.27</v>
      </c>
      <c r="P31" s="258">
        <f t="shared" si="14"/>
        <v>14201533.249999998</v>
      </c>
      <c r="Q31" s="271">
        <v>0</v>
      </c>
      <c r="R31" s="271">
        <v>4143829.19</v>
      </c>
      <c r="S31" s="258">
        <v>184681.79</v>
      </c>
      <c r="T31" s="271">
        <v>319257.26</v>
      </c>
      <c r="U31" s="258">
        <v>406226.43</v>
      </c>
      <c r="V31" s="271">
        <v>302922.86</v>
      </c>
      <c r="W31" s="271">
        <v>129171.86</v>
      </c>
      <c r="X31" s="271">
        <v>318227.98</v>
      </c>
      <c r="Y31" s="271">
        <v>1456023.35</v>
      </c>
      <c r="Z31" s="271">
        <v>1378655.38</v>
      </c>
      <c r="AA31" s="271">
        <v>1143311.39</v>
      </c>
      <c r="AB31" s="271">
        <v>4419225.76</v>
      </c>
      <c r="AC31" s="258">
        <f t="shared" si="15"/>
        <v>14201533.249999998</v>
      </c>
      <c r="AD31" s="271">
        <v>0</v>
      </c>
      <c r="AE31" s="271">
        <v>4054995.27</v>
      </c>
      <c r="AF31" s="258">
        <v>273515.71</v>
      </c>
      <c r="AG31" s="271">
        <v>319257.26</v>
      </c>
      <c r="AH31" s="258">
        <v>406226.43</v>
      </c>
      <c r="AI31" s="271">
        <v>130088.28</v>
      </c>
      <c r="AJ31" s="271">
        <v>302006.44</v>
      </c>
      <c r="AK31" s="271">
        <v>318227.98</v>
      </c>
      <c r="AL31" s="271">
        <v>1336368.64</v>
      </c>
      <c r="AM31" s="271">
        <v>670010.09</v>
      </c>
      <c r="AN31" s="271">
        <v>1143311.39</v>
      </c>
      <c r="AO31" s="271">
        <v>5247525.76</v>
      </c>
      <c r="AP31" s="273">
        <f t="shared" si="16"/>
        <v>14201533.25</v>
      </c>
      <c r="AQ31" s="261">
        <f t="shared" si="17"/>
        <v>2043466.7500000019</v>
      </c>
      <c r="AR31" s="261">
        <f t="shared" si="18"/>
        <v>0</v>
      </c>
      <c r="AS31" s="261">
        <f t="shared" si="19"/>
        <v>0</v>
      </c>
      <c r="AT31" s="249">
        <f t="shared" si="20"/>
        <v>0.8742094952293012</v>
      </c>
    </row>
    <row r="32" spans="1:46" s="10" customFormat="1" ht="15">
      <c r="A32" s="15" t="s">
        <v>239</v>
      </c>
      <c r="B32" s="269" t="s">
        <v>228</v>
      </c>
      <c r="C32" s="270">
        <f>15500000-795000+300000</f>
        <v>15005000</v>
      </c>
      <c r="D32" s="271">
        <v>100400</v>
      </c>
      <c r="E32" s="271">
        <v>1580312</v>
      </c>
      <c r="F32" s="271">
        <v>549000</v>
      </c>
      <c r="G32" s="258">
        <v>465000</v>
      </c>
      <c r="H32" s="271">
        <v>1825651.5</v>
      </c>
      <c r="I32" s="271">
        <v>581695.46</v>
      </c>
      <c r="J32" s="271">
        <v>0</v>
      </c>
      <c r="K32" s="272">
        <v>395977.6</v>
      </c>
      <c r="L32" s="258">
        <v>42460</v>
      </c>
      <c r="M32" s="271">
        <v>1082312</v>
      </c>
      <c r="N32" s="271">
        <v>244976</v>
      </c>
      <c r="O32" s="271">
        <v>4072688.21</v>
      </c>
      <c r="P32" s="258">
        <f t="shared" si="14"/>
        <v>10940472.77</v>
      </c>
      <c r="Q32" s="271">
        <v>0</v>
      </c>
      <c r="R32" s="271">
        <v>1271880</v>
      </c>
      <c r="S32" s="258">
        <v>757832</v>
      </c>
      <c r="T32" s="271">
        <v>-286000</v>
      </c>
      <c r="U32" s="258">
        <v>935336</v>
      </c>
      <c r="V32" s="271">
        <v>1428098</v>
      </c>
      <c r="W32" s="271">
        <v>356310.46</v>
      </c>
      <c r="X32" s="271">
        <v>51840</v>
      </c>
      <c r="Y32" s="271">
        <v>-257540</v>
      </c>
      <c r="Z32" s="271">
        <v>759414.6</v>
      </c>
      <c r="AA32" s="271">
        <v>1193902</v>
      </c>
      <c r="AB32" s="271">
        <v>4729399.71</v>
      </c>
      <c r="AC32" s="258">
        <f t="shared" si="15"/>
        <v>10940472.77</v>
      </c>
      <c r="AD32" s="271">
        <v>0</v>
      </c>
      <c r="AE32" s="271">
        <v>1201600</v>
      </c>
      <c r="AF32" s="258">
        <v>828112</v>
      </c>
      <c r="AG32" s="271">
        <v>-286000</v>
      </c>
      <c r="AH32" s="258">
        <v>935336</v>
      </c>
      <c r="AI32" s="271">
        <v>1428098</v>
      </c>
      <c r="AJ32" s="271">
        <v>356310.46</v>
      </c>
      <c r="AK32" s="271">
        <v>51840</v>
      </c>
      <c r="AL32" s="271">
        <v>-257540</v>
      </c>
      <c r="AM32" s="271">
        <v>759414.6</v>
      </c>
      <c r="AN32" s="271">
        <v>1193902</v>
      </c>
      <c r="AO32" s="271">
        <v>4342658.91</v>
      </c>
      <c r="AP32" s="273">
        <f t="shared" si="16"/>
        <v>10553731.969999999</v>
      </c>
      <c r="AQ32" s="261">
        <f t="shared" si="17"/>
        <v>4064527.2300000004</v>
      </c>
      <c r="AR32" s="261">
        <f t="shared" si="18"/>
        <v>0</v>
      </c>
      <c r="AS32" s="262">
        <f t="shared" si="19"/>
        <v>386740.80000000075</v>
      </c>
      <c r="AT32" s="249">
        <f t="shared" si="20"/>
        <v>0.7291218107297567</v>
      </c>
    </row>
    <row r="33" spans="1:46" s="10" customFormat="1" ht="15">
      <c r="A33" s="15" t="s">
        <v>240</v>
      </c>
      <c r="B33" s="269" t="s">
        <v>113</v>
      </c>
      <c r="C33" s="270">
        <v>316673267</v>
      </c>
      <c r="D33" s="271">
        <v>8283984.84</v>
      </c>
      <c r="E33" s="271">
        <v>9130635.02</v>
      </c>
      <c r="F33" s="271">
        <v>48161516.44</v>
      </c>
      <c r="G33" s="258">
        <v>21042231.12</v>
      </c>
      <c r="H33" s="271">
        <v>44303084.35</v>
      </c>
      <c r="I33" s="271">
        <v>28264710.7</v>
      </c>
      <c r="J33" s="271">
        <v>14161300.74</v>
      </c>
      <c r="K33" s="272">
        <v>12301559.89</v>
      </c>
      <c r="L33" s="258">
        <v>13734503.13</v>
      </c>
      <c r="M33" s="271">
        <v>28951206.55</v>
      </c>
      <c r="N33" s="271">
        <v>23752544.89</v>
      </c>
      <c r="O33" s="271">
        <v>35087762.81</v>
      </c>
      <c r="P33" s="258">
        <f t="shared" si="14"/>
        <v>287175040.48</v>
      </c>
      <c r="Q33" s="271">
        <v>8283984.84</v>
      </c>
      <c r="R33" s="271">
        <v>9130635.02</v>
      </c>
      <c r="S33" s="258">
        <v>48161516.44</v>
      </c>
      <c r="T33" s="271">
        <v>21042231.12</v>
      </c>
      <c r="U33" s="258">
        <v>44130607.19</v>
      </c>
      <c r="V33" s="271">
        <v>28437187.86</v>
      </c>
      <c r="W33" s="271">
        <v>14161300.74</v>
      </c>
      <c r="X33" s="271">
        <v>12301559.89</v>
      </c>
      <c r="Y33" s="271">
        <v>10979015.13</v>
      </c>
      <c r="Z33" s="271">
        <v>29640078.06</v>
      </c>
      <c r="AA33" s="271">
        <v>24441416.4</v>
      </c>
      <c r="AB33" s="271">
        <v>35087762.81</v>
      </c>
      <c r="AC33" s="258">
        <f t="shared" si="15"/>
        <v>285797295.5</v>
      </c>
      <c r="AD33" s="271">
        <v>8283984.84</v>
      </c>
      <c r="AE33" s="271">
        <v>9130635.02</v>
      </c>
      <c r="AF33" s="258">
        <v>48161516.44</v>
      </c>
      <c r="AG33" s="271">
        <v>21042231.12</v>
      </c>
      <c r="AH33" s="258">
        <v>44130607.19</v>
      </c>
      <c r="AI33" s="271">
        <v>28437187.86</v>
      </c>
      <c r="AJ33" s="271">
        <v>14161300.74</v>
      </c>
      <c r="AK33" s="271">
        <v>12301559.89</v>
      </c>
      <c r="AL33" s="271">
        <v>10979015.13</v>
      </c>
      <c r="AM33" s="271">
        <v>29640078.06</v>
      </c>
      <c r="AN33" s="271">
        <v>24441416.4</v>
      </c>
      <c r="AO33" s="271">
        <v>34750709.97</v>
      </c>
      <c r="AP33" s="273">
        <f t="shared" si="16"/>
        <v>285460242.66</v>
      </c>
      <c r="AQ33" s="261">
        <f t="shared" si="17"/>
        <v>29498226.51999998</v>
      </c>
      <c r="AR33" s="261">
        <f t="shared" si="18"/>
        <v>1377744.980000019</v>
      </c>
      <c r="AS33" s="262">
        <f t="shared" si="19"/>
        <v>337052.8399999738</v>
      </c>
      <c r="AT33" s="249">
        <f t="shared" si="20"/>
        <v>0.9068496472738257</v>
      </c>
    </row>
    <row r="34" spans="1:46" s="10" customFormat="1" ht="15">
      <c r="A34" s="15" t="s">
        <v>241</v>
      </c>
      <c r="B34" s="269" t="s">
        <v>107</v>
      </c>
      <c r="C34" s="270">
        <v>600000</v>
      </c>
      <c r="D34" s="271">
        <v>0</v>
      </c>
      <c r="E34" s="271">
        <v>0</v>
      </c>
      <c r="F34" s="271">
        <v>0</v>
      </c>
      <c r="G34" s="258">
        <v>0</v>
      </c>
      <c r="H34" s="271">
        <v>0</v>
      </c>
      <c r="I34" s="271">
        <v>0</v>
      </c>
      <c r="J34" s="271">
        <v>0</v>
      </c>
      <c r="K34" s="272">
        <v>0</v>
      </c>
      <c r="L34" s="258">
        <v>0</v>
      </c>
      <c r="M34" s="271">
        <v>0</v>
      </c>
      <c r="N34" s="271">
        <v>0</v>
      </c>
      <c r="O34" s="271">
        <v>599388</v>
      </c>
      <c r="P34" s="258">
        <f t="shared" si="14"/>
        <v>599388</v>
      </c>
      <c r="Q34" s="271"/>
      <c r="R34" s="271">
        <v>0</v>
      </c>
      <c r="S34" s="258">
        <v>0</v>
      </c>
      <c r="T34" s="271">
        <v>0</v>
      </c>
      <c r="U34" s="258">
        <v>0</v>
      </c>
      <c r="V34" s="271">
        <v>0</v>
      </c>
      <c r="W34" s="271">
        <v>0</v>
      </c>
      <c r="X34" s="271">
        <v>0</v>
      </c>
      <c r="Y34" s="271">
        <v>0</v>
      </c>
      <c r="Z34" s="271">
        <v>0</v>
      </c>
      <c r="AA34" s="271">
        <v>0</v>
      </c>
      <c r="AB34" s="271">
        <v>599388</v>
      </c>
      <c r="AC34" s="258">
        <f t="shared" si="15"/>
        <v>599388</v>
      </c>
      <c r="AD34" s="271">
        <v>0</v>
      </c>
      <c r="AE34" s="271">
        <v>0</v>
      </c>
      <c r="AF34" s="258"/>
      <c r="AG34" s="271">
        <v>0</v>
      </c>
      <c r="AH34" s="258">
        <v>0</v>
      </c>
      <c r="AI34" s="271">
        <v>0</v>
      </c>
      <c r="AJ34" s="271">
        <v>0</v>
      </c>
      <c r="AK34" s="271">
        <v>0</v>
      </c>
      <c r="AL34" s="271">
        <v>0</v>
      </c>
      <c r="AM34" s="271">
        <v>0</v>
      </c>
      <c r="AN34" s="271">
        <v>0</v>
      </c>
      <c r="AO34" s="271">
        <v>599388</v>
      </c>
      <c r="AP34" s="273">
        <f t="shared" si="16"/>
        <v>599388</v>
      </c>
      <c r="AQ34" s="261">
        <f t="shared" si="17"/>
        <v>612</v>
      </c>
      <c r="AR34" s="261">
        <f t="shared" si="18"/>
        <v>0</v>
      </c>
      <c r="AS34" s="261">
        <f t="shared" si="19"/>
        <v>0</v>
      </c>
      <c r="AT34" s="249">
        <f t="shared" si="20"/>
        <v>0.99898</v>
      </c>
    </row>
    <row r="35" spans="1:46" s="10" customFormat="1" ht="15">
      <c r="A35" s="15" t="s">
        <v>242</v>
      </c>
      <c r="B35" s="275" t="s">
        <v>243</v>
      </c>
      <c r="C35" s="279">
        <v>2000000</v>
      </c>
      <c r="D35" s="271">
        <v>0</v>
      </c>
      <c r="E35" s="271">
        <v>502000</v>
      </c>
      <c r="F35" s="280">
        <v>0</v>
      </c>
      <c r="G35" s="258">
        <v>-264598.29</v>
      </c>
      <c r="H35" s="271">
        <v>0</v>
      </c>
      <c r="I35" s="271">
        <v>0</v>
      </c>
      <c r="J35" s="280">
        <v>0</v>
      </c>
      <c r="K35" s="280">
        <v>0</v>
      </c>
      <c r="L35" s="258">
        <v>0</v>
      </c>
      <c r="M35" s="280">
        <v>0</v>
      </c>
      <c r="N35" s="271">
        <v>0</v>
      </c>
      <c r="O35" s="280"/>
      <c r="P35" s="258">
        <f t="shared" si="14"/>
        <v>237401.71000000002</v>
      </c>
      <c r="Q35" s="280"/>
      <c r="R35" s="271">
        <v>502000</v>
      </c>
      <c r="S35" s="258">
        <v>0</v>
      </c>
      <c r="T35" s="281">
        <v>-264598.29</v>
      </c>
      <c r="U35" s="258">
        <v>0</v>
      </c>
      <c r="V35" s="280">
        <v>0</v>
      </c>
      <c r="W35" s="280">
        <v>0</v>
      </c>
      <c r="X35" s="280">
        <v>0</v>
      </c>
      <c r="Y35" s="280">
        <v>0</v>
      </c>
      <c r="Z35" s="271">
        <v>0</v>
      </c>
      <c r="AA35" s="271">
        <v>0</v>
      </c>
      <c r="AB35" s="280"/>
      <c r="AC35" s="258">
        <f t="shared" si="15"/>
        <v>237401.71000000002</v>
      </c>
      <c r="AD35" s="280">
        <v>0</v>
      </c>
      <c r="AE35" s="280">
        <v>502000</v>
      </c>
      <c r="AF35" s="258"/>
      <c r="AG35" s="281">
        <v>-264598.29</v>
      </c>
      <c r="AH35" s="258">
        <v>0</v>
      </c>
      <c r="AI35" s="280">
        <v>0</v>
      </c>
      <c r="AJ35" s="280">
        <v>0</v>
      </c>
      <c r="AK35" s="271">
        <v>0</v>
      </c>
      <c r="AL35" s="280">
        <v>0</v>
      </c>
      <c r="AM35" s="271">
        <v>0</v>
      </c>
      <c r="AN35" s="271">
        <v>0</v>
      </c>
      <c r="AO35" s="280"/>
      <c r="AP35" s="282">
        <f t="shared" si="16"/>
        <v>237401.71000000002</v>
      </c>
      <c r="AQ35" s="261">
        <f t="shared" si="17"/>
        <v>1762598.29</v>
      </c>
      <c r="AR35" s="261">
        <f t="shared" si="18"/>
        <v>0</v>
      </c>
      <c r="AS35" s="261">
        <f t="shared" si="19"/>
        <v>0</v>
      </c>
      <c r="AT35" s="249">
        <f t="shared" si="20"/>
        <v>0.11870085500000001</v>
      </c>
    </row>
    <row r="36" spans="1:46" s="10" customFormat="1" ht="15.75">
      <c r="A36" s="15" t="s">
        <v>244</v>
      </c>
      <c r="B36" s="283" t="s">
        <v>245</v>
      </c>
      <c r="C36" s="284">
        <f>C37</f>
        <v>92411741</v>
      </c>
      <c r="D36" s="284">
        <f aca="true" t="shared" si="21" ref="D36:AP36">D37</f>
        <v>5127908.19</v>
      </c>
      <c r="E36" s="284">
        <f t="shared" si="21"/>
        <v>7722984.68</v>
      </c>
      <c r="F36" s="284">
        <f t="shared" si="21"/>
        <v>7278795.33</v>
      </c>
      <c r="G36" s="284">
        <f t="shared" si="21"/>
        <v>3201392.55</v>
      </c>
      <c r="H36" s="284">
        <f t="shared" si="21"/>
        <v>3931553.48</v>
      </c>
      <c r="I36" s="284">
        <f t="shared" si="21"/>
        <v>24375209.74</v>
      </c>
      <c r="J36" s="284">
        <f t="shared" si="21"/>
        <v>122164.8</v>
      </c>
      <c r="K36" s="284">
        <f t="shared" si="21"/>
        <v>0</v>
      </c>
      <c r="L36" s="284">
        <f t="shared" si="21"/>
        <v>1486196.23</v>
      </c>
      <c r="M36" s="284">
        <f t="shared" si="21"/>
        <v>59453.18</v>
      </c>
      <c r="N36" s="284">
        <f t="shared" si="21"/>
        <v>1638833.41</v>
      </c>
      <c r="O36" s="285">
        <f t="shared" si="21"/>
        <v>5534897.49</v>
      </c>
      <c r="P36" s="284">
        <f t="shared" si="21"/>
        <v>60479389.07999999</v>
      </c>
      <c r="Q36" s="284">
        <f t="shared" si="21"/>
        <v>5127908.19</v>
      </c>
      <c r="R36" s="284">
        <f t="shared" si="21"/>
        <v>7722984.68</v>
      </c>
      <c r="S36" s="284">
        <f t="shared" si="21"/>
        <v>7266738.03</v>
      </c>
      <c r="T36" s="284">
        <f t="shared" si="21"/>
        <v>3201392.55</v>
      </c>
      <c r="U36" s="284">
        <f t="shared" si="21"/>
        <v>3931553.48</v>
      </c>
      <c r="V36" s="284">
        <f t="shared" si="21"/>
        <v>24375209.74</v>
      </c>
      <c r="W36" s="284">
        <f t="shared" si="21"/>
        <v>122164.8</v>
      </c>
      <c r="X36" s="284">
        <f t="shared" si="21"/>
        <v>0</v>
      </c>
      <c r="Y36" s="284">
        <f t="shared" si="21"/>
        <v>1486196.23</v>
      </c>
      <c r="Z36" s="284">
        <f t="shared" si="21"/>
        <v>57982.28</v>
      </c>
      <c r="AA36" s="284">
        <f t="shared" si="21"/>
        <v>1640304.31</v>
      </c>
      <c r="AB36" s="284">
        <f t="shared" si="21"/>
        <v>5546954.79</v>
      </c>
      <c r="AC36" s="284">
        <f t="shared" si="21"/>
        <v>60479389.08</v>
      </c>
      <c r="AD36" s="284">
        <f t="shared" si="21"/>
        <v>5127908.19</v>
      </c>
      <c r="AE36" s="284">
        <f t="shared" si="21"/>
        <v>7722984.68</v>
      </c>
      <c r="AF36" s="284">
        <f t="shared" si="21"/>
        <v>7266738.03</v>
      </c>
      <c r="AG36" s="284">
        <f t="shared" si="21"/>
        <v>3201392.55</v>
      </c>
      <c r="AH36" s="284">
        <f t="shared" si="21"/>
        <v>3931553.48</v>
      </c>
      <c r="AI36" s="284">
        <f t="shared" si="21"/>
        <v>24375209.74</v>
      </c>
      <c r="AJ36" s="284">
        <f t="shared" si="21"/>
        <v>122164.8</v>
      </c>
      <c r="AK36" s="284">
        <f t="shared" si="21"/>
        <v>0</v>
      </c>
      <c r="AL36" s="284">
        <f t="shared" si="21"/>
        <v>1486196.23</v>
      </c>
      <c r="AM36" s="284">
        <f t="shared" si="21"/>
        <v>57982.28</v>
      </c>
      <c r="AN36" s="284">
        <f t="shared" si="21"/>
        <v>1640304.31</v>
      </c>
      <c r="AO36" s="284">
        <f t="shared" si="21"/>
        <v>5546954.79</v>
      </c>
      <c r="AP36" s="286">
        <f t="shared" si="21"/>
        <v>60479389.08</v>
      </c>
      <c r="AQ36" s="268">
        <f t="shared" si="17"/>
        <v>31932351.92000001</v>
      </c>
      <c r="AR36" s="261">
        <f t="shared" si="18"/>
        <v>0</v>
      </c>
      <c r="AS36" s="261">
        <f t="shared" si="19"/>
        <v>0</v>
      </c>
      <c r="AT36" s="249">
        <f t="shared" si="20"/>
        <v>0.6544556830716997</v>
      </c>
    </row>
    <row r="37" spans="1:46" s="10" customFormat="1" ht="15.75" thickBot="1">
      <c r="A37" s="15" t="s">
        <v>246</v>
      </c>
      <c r="B37" s="287" t="s">
        <v>247</v>
      </c>
      <c r="C37" s="280">
        <f>99911741-6000000-1500000</f>
        <v>92411741</v>
      </c>
      <c r="D37" s="280">
        <v>5127908.19</v>
      </c>
      <c r="E37" s="257">
        <v>7722984.68</v>
      </c>
      <c r="F37" s="257">
        <v>7278795.33</v>
      </c>
      <c r="G37" s="288">
        <v>3201392.55</v>
      </c>
      <c r="H37" s="257">
        <v>3931553.48</v>
      </c>
      <c r="I37" s="289">
        <v>24375209.74</v>
      </c>
      <c r="J37" s="257">
        <v>122164.8</v>
      </c>
      <c r="K37" s="257">
        <v>0</v>
      </c>
      <c r="L37" s="257">
        <v>1486196.23</v>
      </c>
      <c r="M37" s="257">
        <v>59453.18</v>
      </c>
      <c r="N37" s="257">
        <v>1638833.41</v>
      </c>
      <c r="O37" s="290">
        <v>5534897.49</v>
      </c>
      <c r="P37" s="258">
        <f>SUM(D37:O37)</f>
        <v>60479389.07999999</v>
      </c>
      <c r="Q37" s="280">
        <v>5127908.19</v>
      </c>
      <c r="R37" s="257">
        <v>7722984.68</v>
      </c>
      <c r="S37" s="257">
        <v>7266738.03</v>
      </c>
      <c r="T37" s="281">
        <v>3201392.55</v>
      </c>
      <c r="U37" s="257">
        <v>3931553.48</v>
      </c>
      <c r="V37" s="257">
        <v>24375209.74</v>
      </c>
      <c r="W37" s="257">
        <v>122164.8</v>
      </c>
      <c r="X37" s="257">
        <v>0</v>
      </c>
      <c r="Y37" s="257">
        <v>1486196.23</v>
      </c>
      <c r="Z37" s="257">
        <v>57982.28</v>
      </c>
      <c r="AA37" s="257">
        <v>1640304.31</v>
      </c>
      <c r="AB37" s="257">
        <v>5546954.79</v>
      </c>
      <c r="AC37" s="291">
        <f>SUM(Q37:AB37)</f>
        <v>60479389.08</v>
      </c>
      <c r="AD37" s="280">
        <v>5127908.19</v>
      </c>
      <c r="AE37" s="257">
        <v>7722984.68</v>
      </c>
      <c r="AF37" s="257">
        <v>7266738.03</v>
      </c>
      <c r="AG37" s="288">
        <v>3201392.55</v>
      </c>
      <c r="AH37" s="289">
        <v>3931553.48</v>
      </c>
      <c r="AI37" s="257">
        <v>24375209.74</v>
      </c>
      <c r="AJ37" s="257">
        <v>122164.8</v>
      </c>
      <c r="AK37" s="257">
        <v>0</v>
      </c>
      <c r="AL37" s="257">
        <v>1486196.23</v>
      </c>
      <c r="AM37" s="257">
        <v>57982.28</v>
      </c>
      <c r="AN37" s="257">
        <v>1640304.31</v>
      </c>
      <c r="AO37" s="257">
        <v>5546954.79</v>
      </c>
      <c r="AP37" s="273">
        <f>SUM(AD37:AO37)</f>
        <v>60479389.08</v>
      </c>
      <c r="AQ37" s="261">
        <f t="shared" si="17"/>
        <v>31932351.92000001</v>
      </c>
      <c r="AR37" s="261">
        <f t="shared" si="18"/>
        <v>0</v>
      </c>
      <c r="AS37" s="261">
        <f t="shared" si="19"/>
        <v>0</v>
      </c>
      <c r="AT37" s="249">
        <f t="shared" si="20"/>
        <v>0.6544556830716997</v>
      </c>
    </row>
    <row r="38" spans="1:46" s="218" customFormat="1" ht="16.5" thickBot="1">
      <c r="A38" s="292"/>
      <c r="B38" s="251" t="s">
        <v>248</v>
      </c>
      <c r="C38" s="252">
        <f>SUM(C39:C41)</f>
        <v>52500000</v>
      </c>
      <c r="D38" s="252">
        <f aca="true" t="shared" si="22" ref="D38:M38">SUM(D39:D41)</f>
        <v>0</v>
      </c>
      <c r="E38" s="252">
        <f t="shared" si="22"/>
        <v>0</v>
      </c>
      <c r="F38" s="252">
        <f t="shared" si="22"/>
        <v>0</v>
      </c>
      <c r="G38" s="252">
        <f t="shared" si="22"/>
        <v>0</v>
      </c>
      <c r="H38" s="252">
        <f t="shared" si="22"/>
        <v>0</v>
      </c>
      <c r="I38" s="252">
        <f t="shared" si="22"/>
        <v>0</v>
      </c>
      <c r="J38" s="252">
        <f t="shared" si="22"/>
        <v>0</v>
      </c>
      <c r="K38" s="252">
        <f t="shared" si="22"/>
        <v>0</v>
      </c>
      <c r="L38" s="252">
        <f t="shared" si="22"/>
        <v>0</v>
      </c>
      <c r="M38" s="252">
        <f t="shared" si="22"/>
        <v>5990688</v>
      </c>
      <c r="N38" s="252">
        <f aca="true" t="shared" si="23" ref="N38:AP38">SUM(N39:N41)</f>
        <v>15541898</v>
      </c>
      <c r="O38" s="252">
        <f t="shared" si="23"/>
        <v>864713.07</v>
      </c>
      <c r="P38" s="252">
        <f t="shared" si="23"/>
        <v>22397299.07</v>
      </c>
      <c r="Q38" s="252">
        <f t="shared" si="23"/>
        <v>0</v>
      </c>
      <c r="R38" s="252">
        <f t="shared" si="23"/>
        <v>0</v>
      </c>
      <c r="S38" s="252">
        <f t="shared" si="23"/>
        <v>0</v>
      </c>
      <c r="T38" s="252">
        <f t="shared" si="23"/>
        <v>0</v>
      </c>
      <c r="U38" s="252">
        <f t="shared" si="23"/>
        <v>0</v>
      </c>
      <c r="V38" s="252">
        <f t="shared" si="23"/>
        <v>0</v>
      </c>
      <c r="W38" s="252">
        <f t="shared" si="23"/>
        <v>0</v>
      </c>
      <c r="X38" s="252">
        <f t="shared" si="23"/>
        <v>0</v>
      </c>
      <c r="Y38" s="252">
        <f t="shared" si="23"/>
        <v>0</v>
      </c>
      <c r="Z38" s="252">
        <f t="shared" si="23"/>
        <v>5990688</v>
      </c>
      <c r="AA38" s="252">
        <f t="shared" si="23"/>
        <v>15541898</v>
      </c>
      <c r="AB38" s="252">
        <f t="shared" si="23"/>
        <v>0</v>
      </c>
      <c r="AC38" s="252">
        <f t="shared" si="23"/>
        <v>21532586</v>
      </c>
      <c r="AD38" s="252">
        <f t="shared" si="23"/>
        <v>0</v>
      </c>
      <c r="AE38" s="252">
        <f t="shared" si="23"/>
        <v>0</v>
      </c>
      <c r="AF38" s="252">
        <f t="shared" si="23"/>
        <v>0</v>
      </c>
      <c r="AG38" s="252">
        <f t="shared" si="23"/>
        <v>0</v>
      </c>
      <c r="AH38" s="252">
        <f t="shared" si="23"/>
        <v>0</v>
      </c>
      <c r="AI38" s="252">
        <f t="shared" si="23"/>
        <v>0</v>
      </c>
      <c r="AJ38" s="252">
        <f t="shared" si="23"/>
        <v>0</v>
      </c>
      <c r="AK38" s="252">
        <f t="shared" si="23"/>
        <v>0</v>
      </c>
      <c r="AL38" s="252">
        <f t="shared" si="23"/>
        <v>0</v>
      </c>
      <c r="AM38" s="252">
        <f t="shared" si="23"/>
        <v>5990688</v>
      </c>
      <c r="AN38" s="252">
        <f t="shared" si="23"/>
        <v>15541898</v>
      </c>
      <c r="AO38" s="252">
        <f t="shared" si="23"/>
        <v>0</v>
      </c>
      <c r="AP38" s="252">
        <f t="shared" si="23"/>
        <v>21532586</v>
      </c>
      <c r="AQ38" s="254">
        <f>SUM(AQ39:AQ41)</f>
        <v>30102700.93</v>
      </c>
      <c r="AR38" s="254">
        <f>SUM(AR39:AR39)</f>
        <v>0</v>
      </c>
      <c r="AS38" s="254">
        <f>SUM(AS39:AS39)</f>
        <v>0</v>
      </c>
      <c r="AT38" s="249">
        <f t="shared" si="20"/>
        <v>0.4266152203809524</v>
      </c>
    </row>
    <row r="39" spans="1:46" s="10" customFormat="1" ht="15">
      <c r="A39" s="293" t="s">
        <v>249</v>
      </c>
      <c r="B39" s="275" t="s">
        <v>250</v>
      </c>
      <c r="C39" s="280">
        <v>45000000</v>
      </c>
      <c r="D39" s="280"/>
      <c r="E39" s="280">
        <v>0</v>
      </c>
      <c r="F39" s="280"/>
      <c r="G39" s="280"/>
      <c r="H39" s="280">
        <v>0</v>
      </c>
      <c r="I39" s="280">
        <v>0</v>
      </c>
      <c r="J39" s="280"/>
      <c r="K39" s="280">
        <v>0</v>
      </c>
      <c r="L39" s="280">
        <v>0</v>
      </c>
      <c r="M39" s="280">
        <v>0</v>
      </c>
      <c r="N39" s="280">
        <v>15541898</v>
      </c>
      <c r="O39" s="280"/>
      <c r="P39" s="291">
        <f>SUM(D39:O39)</f>
        <v>15541898</v>
      </c>
      <c r="Q39" s="280">
        <v>0</v>
      </c>
      <c r="R39" s="280">
        <v>0</v>
      </c>
      <c r="S39" s="280">
        <v>0</v>
      </c>
      <c r="T39" s="280"/>
      <c r="U39" s="280">
        <v>0</v>
      </c>
      <c r="V39" s="280">
        <v>0</v>
      </c>
      <c r="W39" s="280"/>
      <c r="X39" s="257">
        <v>0</v>
      </c>
      <c r="Y39" s="280"/>
      <c r="Z39" s="280"/>
      <c r="AA39" s="280">
        <v>15541898</v>
      </c>
      <c r="AB39" s="280"/>
      <c r="AC39" s="291">
        <f>SUM(Q39:AB39)</f>
        <v>15541898</v>
      </c>
      <c r="AD39" s="280">
        <v>0</v>
      </c>
      <c r="AE39" s="280">
        <v>0</v>
      </c>
      <c r="AF39" s="280">
        <v>0</v>
      </c>
      <c r="AG39" s="280"/>
      <c r="AH39" s="280">
        <v>0</v>
      </c>
      <c r="AI39" s="280">
        <v>0</v>
      </c>
      <c r="AJ39" s="280"/>
      <c r="AK39" s="280">
        <v>0</v>
      </c>
      <c r="AL39" s="280">
        <v>0</v>
      </c>
      <c r="AM39" s="280">
        <v>0</v>
      </c>
      <c r="AN39" s="280">
        <v>15541898</v>
      </c>
      <c r="AO39" s="280">
        <v>0</v>
      </c>
      <c r="AP39" s="273">
        <f>SUM(AD39:AO39)</f>
        <v>15541898</v>
      </c>
      <c r="AQ39" s="261">
        <f>SUM(C39-P39)</f>
        <v>29458102</v>
      </c>
      <c r="AR39" s="261">
        <f>P39-AC39</f>
        <v>0</v>
      </c>
      <c r="AS39" s="261">
        <f>AC39-AP39</f>
        <v>0</v>
      </c>
      <c r="AT39" s="249">
        <f t="shared" si="20"/>
        <v>0.3453755111111111</v>
      </c>
    </row>
    <row r="40" spans="1:46" s="10" customFormat="1" ht="15.75" hidden="1" thickBot="1">
      <c r="A40" s="293" t="s">
        <v>251</v>
      </c>
      <c r="B40" s="275" t="s">
        <v>252</v>
      </c>
      <c r="C40" s="257"/>
      <c r="D40" s="257"/>
      <c r="E40" s="257"/>
      <c r="F40" s="257"/>
      <c r="G40" s="257"/>
      <c r="H40" s="257"/>
      <c r="I40" s="257"/>
      <c r="J40" s="257"/>
      <c r="K40" s="257">
        <v>0</v>
      </c>
      <c r="L40" s="257"/>
      <c r="M40" s="257"/>
      <c r="N40" s="257"/>
      <c r="O40" s="257"/>
      <c r="P40" s="291">
        <f>SUM(D40:O40)</f>
        <v>0</v>
      </c>
      <c r="Q40" s="257"/>
      <c r="R40" s="257"/>
      <c r="S40" s="257"/>
      <c r="T40" s="257"/>
      <c r="U40" s="257"/>
      <c r="V40" s="257"/>
      <c r="W40" s="257"/>
      <c r="X40" s="257">
        <v>0</v>
      </c>
      <c r="Y40" s="257"/>
      <c r="Z40" s="257"/>
      <c r="AA40" s="257"/>
      <c r="AB40" s="257"/>
      <c r="AC40" s="291">
        <f>SUM(Q40:AB40)</f>
        <v>0</v>
      </c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73">
        <f>SUM(AD40:AO40)</f>
        <v>0</v>
      </c>
      <c r="AQ40" s="261">
        <f>SUM(C40-P40)</f>
        <v>0</v>
      </c>
      <c r="AR40" s="261">
        <f>P40-AC40</f>
        <v>0</v>
      </c>
      <c r="AS40" s="261"/>
      <c r="AT40" s="249"/>
    </row>
    <row r="41" spans="1:46" s="10" customFormat="1" ht="16.5" thickBot="1">
      <c r="A41" s="293" t="s">
        <v>253</v>
      </c>
      <c r="B41" s="287" t="s">
        <v>254</v>
      </c>
      <c r="C41" s="257">
        <f>6000000+1500000</f>
        <v>7500000</v>
      </c>
      <c r="D41" s="257"/>
      <c r="E41" s="257"/>
      <c r="F41" s="257"/>
      <c r="G41" s="257"/>
      <c r="H41" s="257"/>
      <c r="I41" s="257"/>
      <c r="J41" s="257"/>
      <c r="K41" s="257">
        <v>0</v>
      </c>
      <c r="L41" s="257">
        <v>0</v>
      </c>
      <c r="M41" s="257">
        <v>5990688</v>
      </c>
      <c r="N41" s="257">
        <v>0</v>
      </c>
      <c r="O41" s="257">
        <v>864713.07</v>
      </c>
      <c r="P41" s="258">
        <f>SUM(D41:O41)</f>
        <v>6855401.07</v>
      </c>
      <c r="Q41" s="257"/>
      <c r="R41" s="257"/>
      <c r="S41" s="257"/>
      <c r="T41" s="257"/>
      <c r="U41" s="257"/>
      <c r="V41" s="257"/>
      <c r="W41" s="257"/>
      <c r="X41" s="284">
        <v>0</v>
      </c>
      <c r="Y41" s="257"/>
      <c r="Z41" s="257">
        <v>5990688</v>
      </c>
      <c r="AA41" s="257">
        <v>0</v>
      </c>
      <c r="AB41" s="257"/>
      <c r="AC41" s="291">
        <f>SUM(Q41:AB41)</f>
        <v>5990688</v>
      </c>
      <c r="AD41" s="257"/>
      <c r="AE41" s="257"/>
      <c r="AF41" s="257"/>
      <c r="AG41" s="257"/>
      <c r="AH41" s="257"/>
      <c r="AI41" s="257"/>
      <c r="AJ41" s="257"/>
      <c r="AK41" s="257">
        <v>0</v>
      </c>
      <c r="AL41" s="257"/>
      <c r="AM41" s="257">
        <v>5990688</v>
      </c>
      <c r="AN41" s="257"/>
      <c r="AO41" s="257"/>
      <c r="AP41" s="291">
        <f>SUM(AD41:AO41)</f>
        <v>5990688</v>
      </c>
      <c r="AQ41" s="261">
        <f>SUM(C41-P41)</f>
        <v>644598.9299999997</v>
      </c>
      <c r="AR41" s="261">
        <f>P41-AC41</f>
        <v>864713.0700000003</v>
      </c>
      <c r="AS41" s="261"/>
      <c r="AT41" s="249"/>
    </row>
    <row r="42" spans="1:46" s="14" customFormat="1" ht="16.5" thickBot="1">
      <c r="A42" s="25"/>
      <c r="B42" s="251" t="s">
        <v>255</v>
      </c>
      <c r="C42" s="252">
        <f aca="true" t="shared" si="24" ref="C42:AS42">SUM(C43:C44)</f>
        <v>7841000000</v>
      </c>
      <c r="D42" s="252">
        <f t="shared" si="24"/>
        <v>38649562.62</v>
      </c>
      <c r="E42" s="252">
        <f t="shared" si="24"/>
        <v>74706212.78</v>
      </c>
      <c r="F42" s="252">
        <f t="shared" si="24"/>
        <v>167295128.46</v>
      </c>
      <c r="G42" s="252">
        <f t="shared" si="24"/>
        <v>4104560014.58</v>
      </c>
      <c r="H42" s="252">
        <f t="shared" si="24"/>
        <v>429518058.43</v>
      </c>
      <c r="I42" s="252">
        <f t="shared" si="24"/>
        <v>437985407.29</v>
      </c>
      <c r="J42" s="252">
        <f t="shared" si="24"/>
        <v>170992694.09</v>
      </c>
      <c r="K42" s="294">
        <f t="shared" si="24"/>
        <v>358589855.8</v>
      </c>
      <c r="L42" s="252">
        <f t="shared" si="24"/>
        <v>794394261.32</v>
      </c>
      <c r="M42" s="252">
        <f t="shared" si="24"/>
        <v>625486160.63</v>
      </c>
      <c r="N42" s="252">
        <f t="shared" si="24"/>
        <v>245347101.1</v>
      </c>
      <c r="O42" s="252">
        <f t="shared" si="24"/>
        <v>-53389757.73</v>
      </c>
      <c r="P42" s="252">
        <f t="shared" si="24"/>
        <v>7394134699.370001</v>
      </c>
      <c r="Q42" s="252">
        <f t="shared" si="24"/>
        <v>37568696.38</v>
      </c>
      <c r="R42" s="252">
        <f t="shared" si="24"/>
        <v>528878.08</v>
      </c>
      <c r="S42" s="252">
        <f t="shared" si="24"/>
        <v>15242727</v>
      </c>
      <c r="T42" s="252">
        <f t="shared" si="24"/>
        <v>63986607.4</v>
      </c>
      <c r="U42" s="252">
        <f t="shared" si="24"/>
        <v>1315667304.68</v>
      </c>
      <c r="V42" s="252">
        <f t="shared" si="24"/>
        <v>1780022767.71</v>
      </c>
      <c r="W42" s="252">
        <f t="shared" si="24"/>
        <v>1071230161.89</v>
      </c>
      <c r="X42" s="252">
        <f t="shared" si="24"/>
        <v>790671923.94</v>
      </c>
      <c r="Y42" s="252">
        <f t="shared" si="24"/>
        <v>525071665.55</v>
      </c>
      <c r="Z42" s="252">
        <f t="shared" si="24"/>
        <v>197419275.37</v>
      </c>
      <c r="AA42" s="252">
        <f t="shared" si="24"/>
        <v>462161038.21</v>
      </c>
      <c r="AB42" s="252">
        <f t="shared" si="24"/>
        <v>1019197498.93</v>
      </c>
      <c r="AC42" s="252">
        <f t="shared" si="24"/>
        <v>7278768545.14</v>
      </c>
      <c r="AD42" s="252">
        <f t="shared" si="24"/>
        <v>37568696.38</v>
      </c>
      <c r="AE42" s="252">
        <f t="shared" si="24"/>
        <v>528878.08</v>
      </c>
      <c r="AF42" s="252">
        <f t="shared" si="24"/>
        <v>15242727</v>
      </c>
      <c r="AG42" s="252">
        <f t="shared" si="24"/>
        <v>63986607.4</v>
      </c>
      <c r="AH42" s="252">
        <f t="shared" si="24"/>
        <v>1315667304.68</v>
      </c>
      <c r="AI42" s="252">
        <f t="shared" si="24"/>
        <v>1780022767.71</v>
      </c>
      <c r="AJ42" s="252">
        <f t="shared" si="24"/>
        <v>1071230161.89</v>
      </c>
      <c r="AK42" s="252">
        <f t="shared" si="24"/>
        <v>790671923.94</v>
      </c>
      <c r="AL42" s="252">
        <f t="shared" si="24"/>
        <v>525071665.55</v>
      </c>
      <c r="AM42" s="252">
        <f t="shared" si="24"/>
        <v>197419275.37</v>
      </c>
      <c r="AN42" s="252">
        <f t="shared" si="24"/>
        <v>462161038.21</v>
      </c>
      <c r="AO42" s="252">
        <f t="shared" si="24"/>
        <v>494303409.95</v>
      </c>
      <c r="AP42" s="253">
        <f t="shared" si="24"/>
        <v>6753874456.16</v>
      </c>
      <c r="AQ42" s="295">
        <f t="shared" si="24"/>
        <v>446865300.62999916</v>
      </c>
      <c r="AR42" s="295">
        <f t="shared" si="24"/>
        <v>115366154.2300005</v>
      </c>
      <c r="AS42" s="295">
        <f t="shared" si="24"/>
        <v>524894088.9800005</v>
      </c>
      <c r="AT42" s="249">
        <f>P42/C42</f>
        <v>0.9430091441614591</v>
      </c>
    </row>
    <row r="43" spans="1:46" s="10" customFormat="1" ht="23.25" customHeight="1" thickBot="1">
      <c r="A43" s="16" t="s">
        <v>256</v>
      </c>
      <c r="B43" s="269" t="s">
        <v>257</v>
      </c>
      <c r="C43" s="271">
        <v>7841000000</v>
      </c>
      <c r="D43" s="258">
        <v>38649562.62</v>
      </c>
      <c r="E43" s="271">
        <v>74706212.78</v>
      </c>
      <c r="F43" s="271">
        <v>167295128.46</v>
      </c>
      <c r="G43" s="271">
        <v>4104560014.58</v>
      </c>
      <c r="H43" s="258">
        <v>429518058.43</v>
      </c>
      <c r="I43" s="271">
        <v>437985407.29</v>
      </c>
      <c r="J43" s="271">
        <v>170992694.09</v>
      </c>
      <c r="K43" s="274">
        <v>358589855.8</v>
      </c>
      <c r="L43" s="271">
        <v>794394261.32</v>
      </c>
      <c r="M43" s="271">
        <v>625486160.63</v>
      </c>
      <c r="N43" s="271">
        <v>245347101.1</v>
      </c>
      <c r="O43" s="258">
        <v>-53389757.73</v>
      </c>
      <c r="P43" s="291">
        <f>SUM(D43:O43)</f>
        <v>7394134699.370001</v>
      </c>
      <c r="Q43" s="258">
        <v>37568696.38</v>
      </c>
      <c r="R43" s="271">
        <v>528878.08</v>
      </c>
      <c r="S43" s="271">
        <v>15242727</v>
      </c>
      <c r="T43" s="271">
        <v>63986607.4</v>
      </c>
      <c r="U43" s="271">
        <v>1315667304.68</v>
      </c>
      <c r="V43" s="271">
        <v>1780022767.71</v>
      </c>
      <c r="W43" s="271">
        <v>1071230161.89</v>
      </c>
      <c r="X43" s="271">
        <v>790671923.94</v>
      </c>
      <c r="Y43" s="271">
        <v>525071665.55</v>
      </c>
      <c r="Z43" s="271">
        <v>197419275.37</v>
      </c>
      <c r="AA43" s="271">
        <v>462161038.21</v>
      </c>
      <c r="AB43" s="271">
        <v>1019197498.93</v>
      </c>
      <c r="AC43" s="291">
        <f>SUM(Q43:AB43)</f>
        <v>7278768545.14</v>
      </c>
      <c r="AD43" s="258">
        <v>37568696.38</v>
      </c>
      <c r="AE43" s="271">
        <v>528878.08</v>
      </c>
      <c r="AF43" s="271">
        <v>15242727</v>
      </c>
      <c r="AG43" s="271">
        <v>63986607.4</v>
      </c>
      <c r="AH43" s="271">
        <v>1315667304.68</v>
      </c>
      <c r="AI43" s="271">
        <v>1780022767.71</v>
      </c>
      <c r="AJ43" s="271">
        <v>1071230161.89</v>
      </c>
      <c r="AK43" s="271">
        <v>790671923.94</v>
      </c>
      <c r="AL43" s="271">
        <v>525071665.55</v>
      </c>
      <c r="AM43" s="271">
        <v>197419275.37</v>
      </c>
      <c r="AN43" s="271">
        <v>462161038.21</v>
      </c>
      <c r="AO43" s="271">
        <v>494303409.95</v>
      </c>
      <c r="AP43" s="291">
        <f>SUM(AD43:AO43)</f>
        <v>6753874456.16</v>
      </c>
      <c r="AQ43" s="261">
        <f>SUM(C43-P43)</f>
        <v>446865300.62999916</v>
      </c>
      <c r="AR43" s="261">
        <f>SUM(P43-AC43)</f>
        <v>115366154.2300005</v>
      </c>
      <c r="AS43" s="261">
        <f>AC43-AP43</f>
        <v>524894088.9800005</v>
      </c>
      <c r="AT43" s="249">
        <f>P43/C43</f>
        <v>0.9430091441614591</v>
      </c>
    </row>
    <row r="44" spans="1:46" s="10" customFormat="1" ht="31.5" customHeight="1" hidden="1" thickBot="1">
      <c r="A44" s="16" t="s">
        <v>258</v>
      </c>
      <c r="B44" s="296" t="s">
        <v>259</v>
      </c>
      <c r="C44" s="257"/>
      <c r="D44" s="258"/>
      <c r="E44" s="257"/>
      <c r="F44" s="257"/>
      <c r="G44" s="257"/>
      <c r="H44" s="259"/>
      <c r="I44" s="257"/>
      <c r="J44" s="257"/>
      <c r="K44" s="257"/>
      <c r="L44" s="257"/>
      <c r="M44" s="257"/>
      <c r="N44" s="257"/>
      <c r="O44" s="258"/>
      <c r="P44" s="258">
        <f>SUM(D44:O44)</f>
        <v>0</v>
      </c>
      <c r="Q44" s="258"/>
      <c r="R44" s="257"/>
      <c r="S44" s="257"/>
      <c r="T44" s="257"/>
      <c r="U44" s="259"/>
      <c r="V44" s="257"/>
      <c r="W44" s="257"/>
      <c r="X44" s="257"/>
      <c r="Y44" s="257"/>
      <c r="Z44" s="257"/>
      <c r="AA44" s="257"/>
      <c r="AB44" s="257"/>
      <c r="AC44" s="271">
        <f>SUM(Q44:AB44)</f>
        <v>0</v>
      </c>
      <c r="AD44" s="258"/>
      <c r="AE44" s="257"/>
      <c r="AF44" s="257"/>
      <c r="AG44" s="257"/>
      <c r="AH44" s="259"/>
      <c r="AI44" s="257"/>
      <c r="AJ44" s="257"/>
      <c r="AK44" s="257"/>
      <c r="AL44" s="257"/>
      <c r="AM44" s="257"/>
      <c r="AN44" s="257"/>
      <c r="AO44" s="257"/>
      <c r="AP44" s="282">
        <f>SUM(AD44:AO44)</f>
        <v>0</v>
      </c>
      <c r="AQ44" s="261">
        <f>SUM(C44-P44)</f>
        <v>0</v>
      </c>
      <c r="AR44" s="261">
        <f>SUM(P44-AC44)</f>
        <v>0</v>
      </c>
      <c r="AS44" s="261"/>
      <c r="AT44" s="249"/>
    </row>
    <row r="45" spans="1:46" s="303" customFormat="1" ht="18.75" thickBot="1">
      <c r="A45" s="297" t="s">
        <v>33</v>
      </c>
      <c r="B45" s="298"/>
      <c r="C45" s="299">
        <f aca="true" t="shared" si="25" ref="C45:AP45">SUM(C14+C42)</f>
        <v>8763096862</v>
      </c>
      <c r="D45" s="299">
        <f t="shared" si="25"/>
        <v>144953248.74</v>
      </c>
      <c r="E45" s="299">
        <f t="shared" si="25"/>
        <v>164282946.02</v>
      </c>
      <c r="F45" s="299">
        <f t="shared" si="25"/>
        <v>237328729.88</v>
      </c>
      <c r="G45" s="299">
        <f t="shared" si="25"/>
        <v>4143339146.4</v>
      </c>
      <c r="H45" s="299">
        <f t="shared" si="25"/>
        <v>498005558.92</v>
      </c>
      <c r="I45" s="299">
        <f t="shared" si="25"/>
        <v>516606155.37</v>
      </c>
      <c r="J45" s="299">
        <f t="shared" si="25"/>
        <v>211632574.5</v>
      </c>
      <c r="K45" s="299">
        <f t="shared" si="25"/>
        <v>403521180.75</v>
      </c>
      <c r="L45" s="299">
        <f t="shared" si="25"/>
        <v>852573486.36</v>
      </c>
      <c r="M45" s="299">
        <f t="shared" si="25"/>
        <v>671454428.17</v>
      </c>
      <c r="N45" s="299">
        <f t="shared" si="25"/>
        <v>294485918.1</v>
      </c>
      <c r="O45" s="300">
        <f t="shared" si="25"/>
        <v>9135154.500000007</v>
      </c>
      <c r="P45" s="299">
        <f t="shared" si="25"/>
        <v>8147318527.710001</v>
      </c>
      <c r="Q45" s="299">
        <f t="shared" si="25"/>
        <v>89996992.22</v>
      </c>
      <c r="R45" s="299">
        <f t="shared" si="25"/>
        <v>64357032.04</v>
      </c>
      <c r="S45" s="299">
        <f t="shared" si="25"/>
        <v>83263420.92999999</v>
      </c>
      <c r="T45" s="299">
        <f t="shared" si="25"/>
        <v>110750188.61</v>
      </c>
      <c r="U45" s="299">
        <f t="shared" si="25"/>
        <v>1373326986.73</v>
      </c>
      <c r="V45" s="299">
        <f t="shared" si="25"/>
        <v>1875978555.29</v>
      </c>
      <c r="W45" s="299">
        <f t="shared" si="25"/>
        <v>1118922221.01</v>
      </c>
      <c r="X45" s="299">
        <f t="shared" si="25"/>
        <v>840263257.8900001</v>
      </c>
      <c r="Y45" s="299">
        <f t="shared" si="25"/>
        <v>576270655.82</v>
      </c>
      <c r="Z45" s="299">
        <f t="shared" si="25"/>
        <v>256318340.16</v>
      </c>
      <c r="AA45" s="299">
        <f t="shared" si="25"/>
        <v>521345611.82</v>
      </c>
      <c r="AB45" s="299">
        <f t="shared" si="25"/>
        <v>1113012331.05</v>
      </c>
      <c r="AC45" s="299">
        <f t="shared" si="25"/>
        <v>8023805593.570001</v>
      </c>
      <c r="AD45" s="299">
        <f t="shared" si="25"/>
        <v>89996992.22</v>
      </c>
      <c r="AE45" s="299">
        <f t="shared" si="25"/>
        <v>63709974.12</v>
      </c>
      <c r="AF45" s="299">
        <f t="shared" si="25"/>
        <v>83422534.85</v>
      </c>
      <c r="AG45" s="299">
        <f t="shared" si="25"/>
        <v>109576914.21000001</v>
      </c>
      <c r="AH45" s="299">
        <f t="shared" si="25"/>
        <v>1374988205.13</v>
      </c>
      <c r="AI45" s="299">
        <f t="shared" si="25"/>
        <v>1874599916.71</v>
      </c>
      <c r="AJ45" s="299">
        <f t="shared" si="25"/>
        <v>1119095055.59</v>
      </c>
      <c r="AK45" s="299">
        <f t="shared" si="25"/>
        <v>838807616.5200001</v>
      </c>
      <c r="AL45" s="299">
        <f t="shared" si="25"/>
        <v>577606642.48</v>
      </c>
      <c r="AM45" s="299">
        <f t="shared" si="25"/>
        <v>255609694.87</v>
      </c>
      <c r="AN45" s="299">
        <f t="shared" si="25"/>
        <v>520257838.06</v>
      </c>
      <c r="AO45" s="299">
        <f t="shared" si="25"/>
        <v>572669190.84</v>
      </c>
      <c r="AP45" s="301">
        <f t="shared" si="25"/>
        <v>7480340575.6</v>
      </c>
      <c r="AQ45" s="302">
        <f>AQ14+AQ42</f>
        <v>615778334.2899991</v>
      </c>
      <c r="AR45" s="302">
        <f>AR14+AR42</f>
        <v>122648221.07000051</v>
      </c>
      <c r="AS45" s="302">
        <f>AS14+AS42</f>
        <v>537464033.4400005</v>
      </c>
      <c r="AT45" s="249">
        <f>P45/C45</f>
        <v>0.9297305114861574</v>
      </c>
    </row>
    <row r="46" spans="1:42" ht="15">
      <c r="A46" s="304" t="s">
        <v>260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9"/>
    </row>
    <row r="47" spans="1:42" ht="15">
      <c r="A47" s="8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5"/>
    </row>
    <row r="48" spans="1:42" ht="15">
      <c r="A48" s="305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1"/>
    </row>
    <row r="49" spans="1:42" ht="15">
      <c r="A49" s="212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1"/>
    </row>
    <row r="50" spans="1:42" ht="15" hidden="1">
      <c r="A50" s="306">
        <f ca="1">TODAY()</f>
        <v>39582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5"/>
    </row>
    <row r="51" spans="1:42" ht="15" hidden="1">
      <c r="A51" s="30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5"/>
    </row>
    <row r="52" spans="1:42" ht="15" hidden="1">
      <c r="A52" s="30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5"/>
    </row>
    <row r="53" spans="1:42" ht="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5"/>
    </row>
    <row r="54" spans="1:42" ht="15.75" thickBot="1">
      <c r="A54" s="3"/>
      <c r="B54" s="307" t="s">
        <v>261</v>
      </c>
      <c r="C54" s="21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 t="s">
        <v>262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19"/>
      <c r="AD54" s="4"/>
      <c r="AE54" s="4"/>
      <c r="AF54" s="4"/>
      <c r="AG54" s="6"/>
      <c r="AH54" s="4"/>
      <c r="AI54" s="4"/>
      <c r="AJ54" s="4"/>
      <c r="AK54" s="4"/>
      <c r="AL54" s="4"/>
      <c r="AM54" s="6"/>
      <c r="AN54" s="4"/>
      <c r="AO54" s="4"/>
      <c r="AP54" s="5"/>
    </row>
    <row r="55" spans="1:42" ht="15.75">
      <c r="A55" s="3"/>
      <c r="B55" s="214"/>
      <c r="C55" s="308" t="s">
        <v>263</v>
      </c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21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5"/>
    </row>
    <row r="56" spans="1:42" ht="1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5"/>
    </row>
    <row r="57" spans="1:42" ht="15">
      <c r="A57" s="11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5"/>
    </row>
    <row r="58" spans="1:42" ht="15.75" thickBot="1">
      <c r="A58" s="22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</row>
  </sheetData>
  <mergeCells count="10">
    <mergeCell ref="A1:AP1"/>
    <mergeCell ref="A2:AP2"/>
    <mergeCell ref="A3:AP3"/>
    <mergeCell ref="A4:AP4"/>
    <mergeCell ref="C55:P55"/>
    <mergeCell ref="A5:AP5"/>
    <mergeCell ref="A7:B7"/>
    <mergeCell ref="A8:B8"/>
    <mergeCell ref="A45:B45"/>
    <mergeCell ref="A48:AP49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Footer>&amp;CHACIENDA2007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workbookViewId="0" topLeftCell="A1">
      <selection activeCell="A1" sqref="A1:BD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9" width="11.42187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customWidth="1"/>
    <col min="15" max="15" width="11.421875" style="1" hidden="1" customWidth="1"/>
    <col min="16" max="16" width="18.7109375" style="1" customWidth="1"/>
    <col min="17" max="16384" width="11.421875" style="1" customWidth="1"/>
  </cols>
  <sheetData>
    <row r="1" spans="1:16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16" ht="18">
      <c r="A3" s="168" t="s">
        <v>34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15.75">
      <c r="A4" s="165" t="s">
        <v>155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1:16" ht="20.25">
      <c r="A5" s="171" t="s">
        <v>173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5">
      <c r="A6" s="174"/>
      <c r="B6" s="17"/>
      <c r="C6" s="17"/>
      <c r="D6" s="17"/>
      <c r="E6" s="17"/>
      <c r="F6" s="17"/>
      <c r="G6" s="17"/>
      <c r="H6" s="225"/>
      <c r="I6" s="17"/>
      <c r="J6" s="17"/>
      <c r="K6" s="17"/>
      <c r="L6" s="17"/>
      <c r="M6" s="17"/>
      <c r="N6" s="17"/>
      <c r="O6" s="17"/>
      <c r="P6" s="175"/>
    </row>
    <row r="7" spans="1:16" ht="15.75">
      <c r="A7" s="227" t="s">
        <v>2</v>
      </c>
      <c r="B7" s="228"/>
      <c r="C7" s="229" t="s">
        <v>213</v>
      </c>
      <c r="D7" s="231"/>
      <c r="E7" s="231"/>
      <c r="F7" s="231"/>
      <c r="G7" s="231"/>
      <c r="H7" s="225"/>
      <c r="I7" s="231"/>
      <c r="J7" s="231"/>
      <c r="K7" s="231"/>
      <c r="L7" s="231"/>
      <c r="M7" s="231"/>
      <c r="N7" s="231"/>
      <c r="O7" s="231"/>
      <c r="P7" s="232" t="s">
        <v>164</v>
      </c>
    </row>
    <row r="8" spans="1:16" ht="15.75">
      <c r="A8" s="227" t="s">
        <v>3</v>
      </c>
      <c r="B8" s="228"/>
      <c r="C8" s="234" t="s">
        <v>37</v>
      </c>
      <c r="D8" s="231"/>
      <c r="E8" s="231"/>
      <c r="F8" s="231"/>
      <c r="G8" s="231"/>
      <c r="H8" s="225"/>
      <c r="I8" s="231"/>
      <c r="J8" s="231"/>
      <c r="K8" s="231"/>
      <c r="L8" s="231"/>
      <c r="M8" s="231"/>
      <c r="N8" s="231"/>
      <c r="O8" s="231"/>
      <c r="P8" s="236">
        <v>2007</v>
      </c>
    </row>
    <row r="9" spans="1:16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2.75">
      <c r="A10" s="238"/>
      <c r="B10" s="78"/>
      <c r="C10" s="78" t="s">
        <v>217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12.75">
      <c r="A11" s="239" t="s">
        <v>24</v>
      </c>
      <c r="B11" s="239" t="s">
        <v>26</v>
      </c>
      <c r="C11" s="239" t="s">
        <v>264</v>
      </c>
      <c r="D11" s="239" t="s">
        <v>30</v>
      </c>
      <c r="E11" s="239" t="s">
        <v>30</v>
      </c>
      <c r="F11" s="239" t="s">
        <v>30</v>
      </c>
      <c r="G11" s="239" t="s">
        <v>30</v>
      </c>
      <c r="H11" s="239" t="s">
        <v>30</v>
      </c>
      <c r="I11" s="239" t="s">
        <v>30</v>
      </c>
      <c r="J11" s="239" t="s">
        <v>30</v>
      </c>
      <c r="K11" s="239" t="s">
        <v>30</v>
      </c>
      <c r="L11" s="239" t="s">
        <v>30</v>
      </c>
      <c r="M11" s="239" t="s">
        <v>30</v>
      </c>
      <c r="N11" s="239" t="s">
        <v>30</v>
      </c>
      <c r="O11" s="239" t="s">
        <v>30</v>
      </c>
      <c r="P11" s="239" t="s">
        <v>30</v>
      </c>
    </row>
    <row r="12" spans="1:16" ht="13.5" thickBot="1">
      <c r="A12" s="240" t="s">
        <v>25</v>
      </c>
      <c r="B12" s="240"/>
      <c r="C12" s="240" t="s">
        <v>265</v>
      </c>
      <c r="D12" s="240" t="s">
        <v>7</v>
      </c>
      <c r="E12" s="240" t="s">
        <v>8</v>
      </c>
      <c r="F12" s="240" t="s">
        <v>9</v>
      </c>
      <c r="G12" s="240" t="s">
        <v>10</v>
      </c>
      <c r="H12" s="240" t="s">
        <v>20</v>
      </c>
      <c r="I12" s="240" t="s">
        <v>21</v>
      </c>
      <c r="J12" s="240" t="s">
        <v>22</v>
      </c>
      <c r="K12" s="240" t="s">
        <v>14</v>
      </c>
      <c r="L12" s="240" t="s">
        <v>15</v>
      </c>
      <c r="M12" s="240" t="s">
        <v>23</v>
      </c>
      <c r="N12" s="240" t="s">
        <v>17</v>
      </c>
      <c r="O12" s="240" t="s">
        <v>18</v>
      </c>
      <c r="P12" s="240" t="s">
        <v>19</v>
      </c>
    </row>
    <row r="13" spans="1:16" ht="13.5" thickBot="1">
      <c r="A13" s="242">
        <v>1</v>
      </c>
      <c r="B13" s="243">
        <v>2</v>
      </c>
      <c r="C13" s="243"/>
      <c r="D13" s="243"/>
      <c r="E13" s="243"/>
      <c r="F13" s="243">
        <v>7</v>
      </c>
      <c r="G13" s="243">
        <v>7</v>
      </c>
      <c r="H13" s="243">
        <v>7</v>
      </c>
      <c r="I13" s="243">
        <v>7</v>
      </c>
      <c r="J13" s="243">
        <v>7</v>
      </c>
      <c r="K13" s="243">
        <v>7</v>
      </c>
      <c r="L13" s="243">
        <v>7</v>
      </c>
      <c r="M13" s="243">
        <v>7</v>
      </c>
      <c r="N13" s="243">
        <v>7</v>
      </c>
      <c r="O13" s="243">
        <v>7</v>
      </c>
      <c r="P13" s="244">
        <v>8</v>
      </c>
    </row>
    <row r="14" spans="1:16" ht="16.5" thickBot="1">
      <c r="A14" s="245"/>
      <c r="B14" s="246" t="s">
        <v>218</v>
      </c>
      <c r="C14" s="247">
        <f aca="true" t="shared" si="0" ref="C14:P14">C15</f>
        <v>1591325.56</v>
      </c>
      <c r="D14" s="247">
        <f t="shared" si="0"/>
        <v>0</v>
      </c>
      <c r="E14" s="247">
        <f t="shared" si="0"/>
        <v>0</v>
      </c>
      <c r="F14" s="247">
        <f t="shared" si="0"/>
        <v>1591325.56</v>
      </c>
      <c r="G14" s="247">
        <f t="shared" si="0"/>
        <v>0</v>
      </c>
      <c r="H14" s="247">
        <f t="shared" si="0"/>
        <v>0</v>
      </c>
      <c r="I14" s="247">
        <f t="shared" si="0"/>
        <v>0</v>
      </c>
      <c r="J14" s="247">
        <f t="shared" si="0"/>
        <v>0</v>
      </c>
      <c r="K14" s="247">
        <f t="shared" si="0"/>
        <v>0</v>
      </c>
      <c r="L14" s="247">
        <f t="shared" si="0"/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1591325.56</v>
      </c>
    </row>
    <row r="15" spans="1:16" ht="16.5" thickBot="1">
      <c r="A15" s="250"/>
      <c r="B15" s="251" t="s">
        <v>43</v>
      </c>
      <c r="C15" s="263">
        <f aca="true" t="shared" si="1" ref="C15:P15">SUM(C16)</f>
        <v>1591325.56</v>
      </c>
      <c r="D15" s="263">
        <f t="shared" si="1"/>
        <v>0</v>
      </c>
      <c r="E15" s="263">
        <f t="shared" si="1"/>
        <v>0</v>
      </c>
      <c r="F15" s="263">
        <f t="shared" si="1"/>
        <v>1591325.56</v>
      </c>
      <c r="G15" s="263">
        <f t="shared" si="1"/>
        <v>0</v>
      </c>
      <c r="H15" s="263">
        <f t="shared" si="1"/>
        <v>0</v>
      </c>
      <c r="I15" s="263">
        <f t="shared" si="1"/>
        <v>0</v>
      </c>
      <c r="J15" s="263">
        <f t="shared" si="1"/>
        <v>0</v>
      </c>
      <c r="K15" s="263">
        <f t="shared" si="1"/>
        <v>0</v>
      </c>
      <c r="L15" s="263">
        <f t="shared" si="1"/>
        <v>0</v>
      </c>
      <c r="M15" s="263">
        <f t="shared" si="1"/>
        <v>0</v>
      </c>
      <c r="N15" s="263">
        <f t="shared" si="1"/>
        <v>0</v>
      </c>
      <c r="O15" s="263">
        <f t="shared" si="1"/>
        <v>0</v>
      </c>
      <c r="P15" s="263">
        <f t="shared" si="1"/>
        <v>1591325.56</v>
      </c>
    </row>
    <row r="16" spans="1:16" ht="15.75">
      <c r="A16" s="15" t="s">
        <v>220</v>
      </c>
      <c r="B16" s="265" t="s">
        <v>221</v>
      </c>
      <c r="C16" s="266">
        <f aca="true" t="shared" si="2" ref="C16:L16">SUM(C17:C21)</f>
        <v>1591325.56</v>
      </c>
      <c r="D16" s="266">
        <f t="shared" si="2"/>
        <v>0</v>
      </c>
      <c r="E16" s="266">
        <f t="shared" si="2"/>
        <v>0</v>
      </c>
      <c r="F16" s="266">
        <f t="shared" si="2"/>
        <v>1591325.56</v>
      </c>
      <c r="G16" s="266">
        <f t="shared" si="2"/>
        <v>0</v>
      </c>
      <c r="H16" s="266">
        <f t="shared" si="2"/>
        <v>0</v>
      </c>
      <c r="I16" s="266">
        <f t="shared" si="2"/>
        <v>0</v>
      </c>
      <c r="J16" s="266">
        <f t="shared" si="2"/>
        <v>0</v>
      </c>
      <c r="K16" s="266">
        <f t="shared" si="2"/>
        <v>0</v>
      </c>
      <c r="L16" s="266">
        <f t="shared" si="2"/>
        <v>0</v>
      </c>
      <c r="M16" s="266">
        <f>SUM(M19:M21)</f>
        <v>0</v>
      </c>
      <c r="N16" s="266">
        <f>SUM(N19:N21)</f>
        <v>0</v>
      </c>
      <c r="O16" s="266">
        <f>SUM(O19:O21)</f>
        <v>0</v>
      </c>
      <c r="P16" s="309">
        <f>SUM(P17:P21)</f>
        <v>1591325.56</v>
      </c>
    </row>
    <row r="17" spans="1:16" ht="15.75">
      <c r="A17" s="15" t="s">
        <v>266</v>
      </c>
      <c r="B17" s="269" t="s">
        <v>235</v>
      </c>
      <c r="C17" s="271">
        <v>401237.56</v>
      </c>
      <c r="D17" s="271">
        <v>0</v>
      </c>
      <c r="E17" s="271">
        <v>0</v>
      </c>
      <c r="F17" s="271">
        <v>401237.56</v>
      </c>
      <c r="G17" s="266">
        <v>0</v>
      </c>
      <c r="H17" s="266"/>
      <c r="I17" s="266"/>
      <c r="J17" s="266"/>
      <c r="K17" s="271">
        <v>0</v>
      </c>
      <c r="L17" s="271"/>
      <c r="M17" s="266"/>
      <c r="N17" s="266"/>
      <c r="O17" s="271"/>
      <c r="P17" s="273">
        <f>SUM(D17:O17)</f>
        <v>401237.56</v>
      </c>
    </row>
    <row r="18" spans="1:16" ht="15.75">
      <c r="A18" s="15" t="s">
        <v>223</v>
      </c>
      <c r="B18" s="269" t="s">
        <v>109</v>
      </c>
      <c r="C18" s="271">
        <v>139700</v>
      </c>
      <c r="D18" s="271">
        <v>0</v>
      </c>
      <c r="E18" s="266">
        <v>0</v>
      </c>
      <c r="F18" s="271">
        <v>139700</v>
      </c>
      <c r="G18" s="266">
        <v>0</v>
      </c>
      <c r="H18" s="266"/>
      <c r="I18" s="266"/>
      <c r="J18" s="266"/>
      <c r="K18" s="271">
        <v>0</v>
      </c>
      <c r="L18" s="271"/>
      <c r="M18" s="266"/>
      <c r="N18" s="266"/>
      <c r="O18" s="271"/>
      <c r="P18" s="273">
        <f>SUM(D18:O18)</f>
        <v>139700</v>
      </c>
    </row>
    <row r="19" spans="1:16" ht="15">
      <c r="A19" s="15" t="s">
        <v>224</v>
      </c>
      <c r="B19" s="269" t="s">
        <v>110</v>
      </c>
      <c r="C19" s="271">
        <v>61239</v>
      </c>
      <c r="D19" s="271">
        <v>0</v>
      </c>
      <c r="E19" s="271">
        <v>0</v>
      </c>
      <c r="F19" s="271">
        <v>61239</v>
      </c>
      <c r="G19" s="271">
        <v>0</v>
      </c>
      <c r="H19" s="271"/>
      <c r="I19" s="271"/>
      <c r="J19" s="271"/>
      <c r="K19" s="271">
        <v>0</v>
      </c>
      <c r="L19" s="271"/>
      <c r="M19" s="271"/>
      <c r="N19" s="271"/>
      <c r="O19" s="271"/>
      <c r="P19" s="273">
        <f>SUM(D19:O19)</f>
        <v>61239</v>
      </c>
    </row>
    <row r="20" spans="1:16" ht="15">
      <c r="A20" s="15" t="s">
        <v>225</v>
      </c>
      <c r="B20" s="269" t="s">
        <v>226</v>
      </c>
      <c r="C20" s="271">
        <v>788701</v>
      </c>
      <c r="D20" s="271">
        <v>0</v>
      </c>
      <c r="E20" s="271">
        <v>0</v>
      </c>
      <c r="F20" s="271">
        <v>788701</v>
      </c>
      <c r="G20" s="271">
        <v>0</v>
      </c>
      <c r="H20" s="271"/>
      <c r="I20" s="271"/>
      <c r="J20" s="271"/>
      <c r="K20" s="271">
        <v>0</v>
      </c>
      <c r="L20" s="271"/>
      <c r="M20" s="271"/>
      <c r="N20" s="271"/>
      <c r="O20" s="271"/>
      <c r="P20" s="282">
        <f>SUM(D20:O20)</f>
        <v>788701</v>
      </c>
    </row>
    <row r="21" spans="1:16" ht="15.75" thickBot="1">
      <c r="A21" s="15" t="s">
        <v>267</v>
      </c>
      <c r="B21" s="310" t="s">
        <v>243</v>
      </c>
      <c r="C21" s="289">
        <v>200448</v>
      </c>
      <c r="D21" s="271">
        <v>0</v>
      </c>
      <c r="E21" s="271">
        <v>0</v>
      </c>
      <c r="F21" s="271">
        <v>200448</v>
      </c>
      <c r="G21" s="271">
        <v>0</v>
      </c>
      <c r="H21" s="271"/>
      <c r="I21" s="271"/>
      <c r="J21" s="271"/>
      <c r="K21" s="271">
        <v>0</v>
      </c>
      <c r="L21" s="271"/>
      <c r="M21" s="271"/>
      <c r="N21" s="271"/>
      <c r="O21" s="271"/>
      <c r="P21" s="282">
        <f>SUM(D21:O21)</f>
        <v>200448</v>
      </c>
    </row>
    <row r="22" spans="1:16" ht="16.5" thickBot="1">
      <c r="A22" s="25"/>
      <c r="B22" s="251" t="s">
        <v>255</v>
      </c>
      <c r="C22" s="252">
        <f aca="true" t="shared" si="3" ref="C22:P22">SUM(C23:C23)</f>
        <v>184890000</v>
      </c>
      <c r="D22" s="252">
        <f t="shared" si="3"/>
        <v>0</v>
      </c>
      <c r="E22" s="252">
        <f t="shared" si="3"/>
        <v>184890000</v>
      </c>
      <c r="F22" s="252">
        <f t="shared" si="3"/>
        <v>0</v>
      </c>
      <c r="G22" s="252">
        <f t="shared" si="3"/>
        <v>0</v>
      </c>
      <c r="H22" s="252">
        <f t="shared" si="3"/>
        <v>0</v>
      </c>
      <c r="I22" s="252">
        <f t="shared" si="3"/>
        <v>0</v>
      </c>
      <c r="J22" s="252">
        <f t="shared" si="3"/>
        <v>0</v>
      </c>
      <c r="K22" s="252">
        <f t="shared" si="3"/>
        <v>0</v>
      </c>
      <c r="L22" s="252">
        <f t="shared" si="3"/>
        <v>0</v>
      </c>
      <c r="M22" s="252">
        <f t="shared" si="3"/>
        <v>0</v>
      </c>
      <c r="N22" s="252">
        <f t="shared" si="3"/>
        <v>0</v>
      </c>
      <c r="O22" s="252">
        <f t="shared" si="3"/>
        <v>0</v>
      </c>
      <c r="P22" s="253">
        <f t="shared" si="3"/>
        <v>184890000</v>
      </c>
    </row>
    <row r="23" spans="1:16" ht="15.75" thickBot="1">
      <c r="A23" s="16" t="s">
        <v>256</v>
      </c>
      <c r="B23" s="269" t="s">
        <v>257</v>
      </c>
      <c r="C23" s="271">
        <v>184890000</v>
      </c>
      <c r="D23" s="258">
        <v>0</v>
      </c>
      <c r="E23" s="271">
        <v>184890000</v>
      </c>
      <c r="F23" s="271">
        <v>0</v>
      </c>
      <c r="G23" s="271">
        <v>0</v>
      </c>
      <c r="H23" s="271"/>
      <c r="I23" s="271"/>
      <c r="J23" s="271"/>
      <c r="K23" s="271">
        <v>0</v>
      </c>
      <c r="L23" s="271"/>
      <c r="M23" s="271"/>
      <c r="N23" s="271"/>
      <c r="O23" s="271"/>
      <c r="P23" s="282">
        <f>SUM(D23:O23)</f>
        <v>184890000</v>
      </c>
    </row>
    <row r="24" spans="1:16" ht="18.75" thickBot="1">
      <c r="A24" s="297" t="s">
        <v>33</v>
      </c>
      <c r="B24" s="298"/>
      <c r="C24" s="299">
        <f aca="true" t="shared" si="4" ref="C24:P24">SUM(C14+C22)</f>
        <v>186481325.56</v>
      </c>
      <c r="D24" s="299">
        <f t="shared" si="4"/>
        <v>0</v>
      </c>
      <c r="E24" s="299">
        <f t="shared" si="4"/>
        <v>184890000</v>
      </c>
      <c r="F24" s="299">
        <f t="shared" si="4"/>
        <v>1591325.56</v>
      </c>
      <c r="G24" s="299">
        <f t="shared" si="4"/>
        <v>0</v>
      </c>
      <c r="H24" s="299">
        <f t="shared" si="4"/>
        <v>0</v>
      </c>
      <c r="I24" s="299">
        <f t="shared" si="4"/>
        <v>0</v>
      </c>
      <c r="J24" s="299">
        <f t="shared" si="4"/>
        <v>0</v>
      </c>
      <c r="K24" s="299">
        <f t="shared" si="4"/>
        <v>0</v>
      </c>
      <c r="L24" s="299">
        <f t="shared" si="4"/>
        <v>0</v>
      </c>
      <c r="M24" s="299">
        <f t="shared" si="4"/>
        <v>0</v>
      </c>
      <c r="N24" s="299">
        <f t="shared" si="4"/>
        <v>0</v>
      </c>
      <c r="O24" s="299">
        <f t="shared" si="4"/>
        <v>0</v>
      </c>
      <c r="P24" s="301">
        <f t="shared" si="4"/>
        <v>186481325.56</v>
      </c>
    </row>
    <row r="25" spans="1:16" ht="12.75">
      <c r="A25" s="304" t="s">
        <v>260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2.75">
      <c r="A26" s="8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2.75">
      <c r="A27" s="8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8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8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06">
        <f ca="1">TODAY()</f>
        <v>39582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0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2.75">
      <c r="A32" s="30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1:16" ht="13.5" thickBot="1">
      <c r="A34" s="3"/>
      <c r="B34" s="307" t="s">
        <v>261</v>
      </c>
      <c r="C34" s="219"/>
      <c r="D34" s="4"/>
      <c r="E34" s="6"/>
      <c r="F34" s="4"/>
      <c r="G34" s="4"/>
      <c r="H34" s="6"/>
      <c r="I34" s="6"/>
      <c r="J34" s="4"/>
      <c r="K34" s="4"/>
      <c r="L34" s="4"/>
      <c r="M34" s="6"/>
      <c r="N34" s="4"/>
      <c r="O34" s="6"/>
      <c r="P34" s="5"/>
    </row>
    <row r="35" spans="1:16" ht="12.75">
      <c r="A35" s="3"/>
      <c r="B35" s="311" t="s">
        <v>268</v>
      </c>
      <c r="C35" s="2"/>
      <c r="D35" s="21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11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3.5" thickBot="1">
      <c r="A38" s="22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</sheetData>
  <mergeCells count="8">
    <mergeCell ref="A5:P5"/>
    <mergeCell ref="A24:B24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Footer>&amp;CHACIENDA2007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="75" zoomScaleNormal="75" workbookViewId="0" topLeftCell="A1">
      <selection activeCell="A1" sqref="A1:BD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customWidth="1"/>
    <col min="29" max="29" width="28.7109375" style="1" customWidth="1"/>
    <col min="30" max="30" width="20.8515625" style="1" bestFit="1" customWidth="1"/>
    <col min="31" max="16384" width="11.421875" style="1" customWidth="1"/>
  </cols>
  <sheetData>
    <row r="1" spans="1:29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29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29" ht="18">
      <c r="A3" s="168" t="s">
        <v>34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15.75">
      <c r="A4" s="165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7"/>
    </row>
    <row r="5" spans="1:29" ht="20.25">
      <c r="A5" s="171" t="s">
        <v>173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</row>
    <row r="6" spans="1:30" ht="15">
      <c r="A6" s="17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25"/>
      <c r="V6" s="17"/>
      <c r="W6" s="17"/>
      <c r="X6" s="17"/>
      <c r="Y6" s="17"/>
      <c r="Z6" s="17"/>
      <c r="AA6" s="17"/>
      <c r="AB6" s="17"/>
      <c r="AC6" s="175"/>
      <c r="AD6" s="312"/>
    </row>
    <row r="7" spans="1:30" ht="15.75">
      <c r="A7" s="227" t="s">
        <v>2</v>
      </c>
      <c r="B7" s="228"/>
      <c r="C7" s="229" t="s">
        <v>213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31" t="s">
        <v>4</v>
      </c>
      <c r="Q7" s="231"/>
      <c r="R7" s="231"/>
      <c r="S7" s="231"/>
      <c r="T7" s="231"/>
      <c r="U7" s="225"/>
      <c r="V7" s="231"/>
      <c r="W7" s="231"/>
      <c r="X7" s="231"/>
      <c r="Y7" s="231"/>
      <c r="Z7" s="231"/>
      <c r="AA7" s="231"/>
      <c r="AB7" s="231"/>
      <c r="AC7" s="232" t="s">
        <v>164</v>
      </c>
      <c r="AD7" s="4"/>
    </row>
    <row r="8" spans="1:30" ht="15.75">
      <c r="A8" s="227" t="s">
        <v>3</v>
      </c>
      <c r="B8" s="228"/>
      <c r="C8" s="234" t="s">
        <v>37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30" t="s">
        <v>5</v>
      </c>
      <c r="Q8" s="231"/>
      <c r="R8" s="231"/>
      <c r="S8" s="231"/>
      <c r="T8" s="231"/>
      <c r="U8" s="225"/>
      <c r="V8" s="231"/>
      <c r="W8" s="231"/>
      <c r="X8" s="231"/>
      <c r="Y8" s="231"/>
      <c r="Z8" s="231"/>
      <c r="AA8" s="231"/>
      <c r="AB8" s="231"/>
      <c r="AC8" s="236">
        <v>2007</v>
      </c>
      <c r="AD8" s="237"/>
    </row>
    <row r="9" spans="1:29" ht="13.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</row>
    <row r="10" spans="1:29" ht="12.75">
      <c r="A10" s="238"/>
      <c r="B10" s="78"/>
      <c r="C10" s="78" t="s">
        <v>216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12.75">
      <c r="A11" s="239" t="s">
        <v>24</v>
      </c>
      <c r="B11" s="239" t="s">
        <v>26</v>
      </c>
      <c r="C11" s="239" t="s">
        <v>264</v>
      </c>
      <c r="D11" s="239" t="s">
        <v>29</v>
      </c>
      <c r="E11" s="239" t="s">
        <v>29</v>
      </c>
      <c r="F11" s="239" t="s">
        <v>29</v>
      </c>
      <c r="G11" s="239" t="s">
        <v>29</v>
      </c>
      <c r="H11" s="239" t="s">
        <v>29</v>
      </c>
      <c r="I11" s="239" t="s">
        <v>29</v>
      </c>
      <c r="J11" s="239" t="s">
        <v>29</v>
      </c>
      <c r="K11" s="239" t="s">
        <v>29</v>
      </c>
      <c r="L11" s="239" t="s">
        <v>29</v>
      </c>
      <c r="M11" s="239" t="s">
        <v>29</v>
      </c>
      <c r="N11" s="239" t="s">
        <v>29</v>
      </c>
      <c r="O11" s="239" t="s">
        <v>29</v>
      </c>
      <c r="P11" s="239" t="s">
        <v>29</v>
      </c>
      <c r="Q11" s="239" t="s">
        <v>30</v>
      </c>
      <c r="R11" s="239" t="s">
        <v>30</v>
      </c>
      <c r="S11" s="239" t="s">
        <v>30</v>
      </c>
      <c r="T11" s="239" t="s">
        <v>30</v>
      </c>
      <c r="U11" s="239" t="s">
        <v>30</v>
      </c>
      <c r="V11" s="239" t="s">
        <v>30</v>
      </c>
      <c r="W11" s="239" t="s">
        <v>30</v>
      </c>
      <c r="X11" s="239" t="s">
        <v>30</v>
      </c>
      <c r="Y11" s="239" t="s">
        <v>30</v>
      </c>
      <c r="Z11" s="239" t="s">
        <v>30</v>
      </c>
      <c r="AA11" s="239" t="s">
        <v>30</v>
      </c>
      <c r="AB11" s="239" t="s">
        <v>30</v>
      </c>
      <c r="AC11" s="239" t="s">
        <v>30</v>
      </c>
    </row>
    <row r="12" spans="1:30" ht="13.5" thickBot="1">
      <c r="A12" s="240" t="s">
        <v>25</v>
      </c>
      <c r="B12" s="240"/>
      <c r="C12" s="240" t="s">
        <v>265</v>
      </c>
      <c r="D12" s="240" t="s">
        <v>7</v>
      </c>
      <c r="E12" s="240" t="s">
        <v>8</v>
      </c>
      <c r="F12" s="240" t="s">
        <v>9</v>
      </c>
      <c r="G12" s="240" t="s">
        <v>10</v>
      </c>
      <c r="H12" s="240" t="s">
        <v>20</v>
      </c>
      <c r="I12" s="240" t="s">
        <v>21</v>
      </c>
      <c r="J12" s="240" t="s">
        <v>22</v>
      </c>
      <c r="K12" s="240" t="s">
        <v>14</v>
      </c>
      <c r="L12" s="240" t="s">
        <v>269</v>
      </c>
      <c r="M12" s="240" t="s">
        <v>23</v>
      </c>
      <c r="N12" s="240" t="s">
        <v>17</v>
      </c>
      <c r="O12" s="240" t="s">
        <v>18</v>
      </c>
      <c r="P12" s="240" t="s">
        <v>31</v>
      </c>
      <c r="Q12" s="240" t="s">
        <v>7</v>
      </c>
      <c r="R12" s="240" t="s">
        <v>8</v>
      </c>
      <c r="S12" s="240" t="s">
        <v>9</v>
      </c>
      <c r="T12" s="240" t="s">
        <v>10</v>
      </c>
      <c r="U12" s="240" t="s">
        <v>20</v>
      </c>
      <c r="V12" s="240" t="s">
        <v>21</v>
      </c>
      <c r="W12" s="240" t="s">
        <v>22</v>
      </c>
      <c r="X12" s="240" t="s">
        <v>14</v>
      </c>
      <c r="Y12" s="240" t="s">
        <v>269</v>
      </c>
      <c r="Z12" s="240" t="s">
        <v>23</v>
      </c>
      <c r="AA12" s="240" t="s">
        <v>17</v>
      </c>
      <c r="AB12" s="240" t="s">
        <v>18</v>
      </c>
      <c r="AC12" s="240" t="s">
        <v>19</v>
      </c>
      <c r="AD12" s="313" t="s">
        <v>270</v>
      </c>
    </row>
    <row r="13" spans="1:29" ht="13.5" thickBot="1">
      <c r="A13" s="242">
        <v>1</v>
      </c>
      <c r="B13" s="243">
        <v>2</v>
      </c>
      <c r="C13" s="243"/>
      <c r="D13" s="243"/>
      <c r="E13" s="243"/>
      <c r="F13" s="243">
        <v>5</v>
      </c>
      <c r="G13" s="243">
        <v>5</v>
      </c>
      <c r="H13" s="243">
        <v>5</v>
      </c>
      <c r="I13" s="243">
        <v>5</v>
      </c>
      <c r="J13" s="243">
        <v>5</v>
      </c>
      <c r="K13" s="243">
        <v>5</v>
      </c>
      <c r="L13" s="243">
        <v>5</v>
      </c>
      <c r="M13" s="243">
        <v>5</v>
      </c>
      <c r="N13" s="243">
        <v>5</v>
      </c>
      <c r="O13" s="243">
        <v>5</v>
      </c>
      <c r="P13" s="243">
        <v>6</v>
      </c>
      <c r="Q13" s="243"/>
      <c r="R13" s="243"/>
      <c r="S13" s="243">
        <v>7</v>
      </c>
      <c r="T13" s="243">
        <v>7</v>
      </c>
      <c r="U13" s="243">
        <v>7</v>
      </c>
      <c r="V13" s="243">
        <v>7</v>
      </c>
      <c r="W13" s="243">
        <v>7</v>
      </c>
      <c r="X13" s="243">
        <v>7</v>
      </c>
      <c r="Y13" s="243">
        <v>7</v>
      </c>
      <c r="Z13" s="243">
        <v>7</v>
      </c>
      <c r="AA13" s="243">
        <v>7</v>
      </c>
      <c r="AB13" s="243">
        <v>7</v>
      </c>
      <c r="AC13" s="244">
        <v>8</v>
      </c>
    </row>
    <row r="14" spans="1:30" s="14" customFormat="1" ht="16.5" thickBot="1">
      <c r="A14" s="245"/>
      <c r="B14" s="246" t="s">
        <v>218</v>
      </c>
      <c r="C14" s="247">
        <f aca="true" t="shared" si="0" ref="C14:AD14">C17+C15</f>
        <v>65477940.53999999</v>
      </c>
      <c r="D14" s="247">
        <f t="shared" si="0"/>
        <v>0</v>
      </c>
      <c r="E14" s="247">
        <f t="shared" si="0"/>
        <v>3700880.54</v>
      </c>
      <c r="F14" s="247">
        <f t="shared" si="0"/>
        <v>1883209.79</v>
      </c>
      <c r="G14" s="247">
        <f t="shared" si="0"/>
        <v>10866000</v>
      </c>
      <c r="H14" s="247">
        <f t="shared" si="0"/>
        <v>41126993</v>
      </c>
      <c r="I14" s="247">
        <f t="shared" si="0"/>
        <v>3208607.3</v>
      </c>
      <c r="J14" s="247">
        <f t="shared" si="0"/>
        <v>1734912</v>
      </c>
      <c r="K14" s="247">
        <f t="shared" si="0"/>
        <v>2253377.5999999996</v>
      </c>
      <c r="L14" s="247">
        <f t="shared" si="0"/>
        <v>0</v>
      </c>
      <c r="M14" s="247">
        <f t="shared" si="0"/>
        <v>701165.48</v>
      </c>
      <c r="N14" s="247">
        <f t="shared" si="0"/>
        <v>-19920.64</v>
      </c>
      <c r="O14" s="247">
        <f t="shared" si="0"/>
        <v>0</v>
      </c>
      <c r="P14" s="247">
        <f t="shared" si="0"/>
        <v>65455225.06999999</v>
      </c>
      <c r="Q14" s="247">
        <f t="shared" si="0"/>
        <v>0</v>
      </c>
      <c r="R14" s="247">
        <f t="shared" si="0"/>
        <v>3700880.54</v>
      </c>
      <c r="S14" s="247">
        <f t="shared" si="0"/>
        <v>1883209.79</v>
      </c>
      <c r="T14" s="247">
        <f t="shared" si="0"/>
        <v>10866000</v>
      </c>
      <c r="U14" s="247">
        <f t="shared" si="0"/>
        <v>41126993</v>
      </c>
      <c r="V14" s="247">
        <f t="shared" si="0"/>
        <v>3208607.3</v>
      </c>
      <c r="W14" s="247">
        <f t="shared" si="0"/>
        <v>1734912</v>
      </c>
      <c r="X14" s="247">
        <f t="shared" si="0"/>
        <v>2253377.5999999996</v>
      </c>
      <c r="Y14" s="247">
        <f t="shared" si="0"/>
        <v>0</v>
      </c>
      <c r="Z14" s="247">
        <f t="shared" si="0"/>
        <v>701165.48</v>
      </c>
      <c r="AA14" s="247">
        <f t="shared" si="0"/>
        <v>-19920.64</v>
      </c>
      <c r="AB14" s="247">
        <f t="shared" si="0"/>
        <v>0</v>
      </c>
      <c r="AC14" s="247">
        <f t="shared" si="0"/>
        <v>65455225.06999999</v>
      </c>
      <c r="AD14" s="248">
        <f t="shared" si="0"/>
        <v>22715.47000000067</v>
      </c>
    </row>
    <row r="15" spans="1:30" s="14" customFormat="1" ht="16.5" thickBot="1">
      <c r="A15" s="245"/>
      <c r="B15" s="246" t="s">
        <v>42</v>
      </c>
      <c r="C15" s="247">
        <f>SUM(C16)</f>
        <v>9542016</v>
      </c>
      <c r="D15" s="247">
        <f aca="true" t="shared" si="1" ref="D15:AD15">SUM(D16)</f>
        <v>0</v>
      </c>
      <c r="E15" s="247">
        <f t="shared" si="1"/>
        <v>1734912</v>
      </c>
      <c r="F15" s="247">
        <f t="shared" si="1"/>
        <v>1734912</v>
      </c>
      <c r="G15" s="247">
        <f t="shared" si="1"/>
        <v>3469824</v>
      </c>
      <c r="H15" s="247">
        <f t="shared" si="1"/>
        <v>-1272268.8</v>
      </c>
      <c r="I15" s="247">
        <f t="shared" si="1"/>
        <v>0</v>
      </c>
      <c r="J15" s="247">
        <f t="shared" si="1"/>
        <v>1734912</v>
      </c>
      <c r="K15" s="247">
        <f t="shared" si="1"/>
        <v>2139724.8</v>
      </c>
      <c r="L15" s="247">
        <f t="shared" si="1"/>
        <v>0</v>
      </c>
      <c r="M15" s="247">
        <f t="shared" si="1"/>
        <v>0</v>
      </c>
      <c r="N15" s="247">
        <f t="shared" si="1"/>
        <v>0</v>
      </c>
      <c r="O15" s="247">
        <f t="shared" si="1"/>
        <v>0</v>
      </c>
      <c r="P15" s="247">
        <f t="shared" si="1"/>
        <v>9542016</v>
      </c>
      <c r="Q15" s="247">
        <f t="shared" si="1"/>
        <v>0</v>
      </c>
      <c r="R15" s="247">
        <f t="shared" si="1"/>
        <v>1734912</v>
      </c>
      <c r="S15" s="247">
        <f t="shared" si="1"/>
        <v>1734912</v>
      </c>
      <c r="T15" s="247">
        <f t="shared" si="1"/>
        <v>3469824</v>
      </c>
      <c r="U15" s="247">
        <f t="shared" si="1"/>
        <v>-1272268.8</v>
      </c>
      <c r="V15" s="247">
        <f t="shared" si="1"/>
        <v>0</v>
      </c>
      <c r="W15" s="247">
        <f t="shared" si="1"/>
        <v>1734912</v>
      </c>
      <c r="X15" s="247">
        <f t="shared" si="1"/>
        <v>2139724.8</v>
      </c>
      <c r="Y15" s="247">
        <f t="shared" si="1"/>
        <v>0</v>
      </c>
      <c r="Z15" s="247">
        <f t="shared" si="1"/>
        <v>0</v>
      </c>
      <c r="AA15" s="247">
        <f t="shared" si="1"/>
        <v>0</v>
      </c>
      <c r="AB15" s="247">
        <f t="shared" si="1"/>
        <v>0</v>
      </c>
      <c r="AC15" s="247">
        <f t="shared" si="1"/>
        <v>9542016</v>
      </c>
      <c r="AD15" s="247">
        <f t="shared" si="1"/>
        <v>0</v>
      </c>
    </row>
    <row r="16" spans="1:30" s="14" customFormat="1" ht="16.5" thickBot="1">
      <c r="A16" s="15" t="s">
        <v>271</v>
      </c>
      <c r="B16" s="314" t="s">
        <v>272</v>
      </c>
      <c r="C16" s="315">
        <v>9542016</v>
      </c>
      <c r="D16" s="247"/>
      <c r="E16" s="315">
        <v>1734912</v>
      </c>
      <c r="F16" s="315">
        <v>1734912</v>
      </c>
      <c r="G16" s="315">
        <v>3469824</v>
      </c>
      <c r="H16" s="315">
        <v>-1272268.8</v>
      </c>
      <c r="I16" s="247">
        <v>0</v>
      </c>
      <c r="J16" s="315">
        <v>1734912</v>
      </c>
      <c r="K16" s="315">
        <v>2139724.8</v>
      </c>
      <c r="L16" s="315">
        <v>0</v>
      </c>
      <c r="M16" s="247"/>
      <c r="N16" s="247">
        <v>0</v>
      </c>
      <c r="O16" s="247"/>
      <c r="P16" s="316">
        <f>SUM(D16:O16)</f>
        <v>9542016</v>
      </c>
      <c r="Q16" s="252"/>
      <c r="R16" s="316">
        <v>1734912</v>
      </c>
      <c r="S16" s="316">
        <v>1734912</v>
      </c>
      <c r="T16" s="315">
        <v>3469824</v>
      </c>
      <c r="U16" s="315">
        <v>-1272268.8</v>
      </c>
      <c r="V16" s="252">
        <v>0</v>
      </c>
      <c r="W16" s="315">
        <v>1734912</v>
      </c>
      <c r="X16" s="317">
        <v>2139724.8</v>
      </c>
      <c r="Y16" s="317">
        <v>0</v>
      </c>
      <c r="Z16" s="252"/>
      <c r="AA16" s="252">
        <v>0</v>
      </c>
      <c r="AB16" s="252"/>
      <c r="AC16" s="318">
        <f>SUM(Q16:AB16)</f>
        <v>9542016</v>
      </c>
      <c r="AD16" s="261">
        <f>SUM(C16-AC16)</f>
        <v>0</v>
      </c>
    </row>
    <row r="17" spans="1:30" s="10" customFormat="1" ht="16.5" thickBot="1">
      <c r="A17" s="250"/>
      <c r="B17" s="251" t="s">
        <v>147</v>
      </c>
      <c r="C17" s="263">
        <f>SUM(C18:C24)</f>
        <v>55935924.53999999</v>
      </c>
      <c r="D17" s="263">
        <f aca="true" t="shared" si="2" ref="D17:AD17">SUM(D18:D24)</f>
        <v>0</v>
      </c>
      <c r="E17" s="263">
        <f t="shared" si="2"/>
        <v>1965968.54</v>
      </c>
      <c r="F17" s="263">
        <f t="shared" si="2"/>
        <v>148297.79</v>
      </c>
      <c r="G17" s="263">
        <f t="shared" si="2"/>
        <v>7396176</v>
      </c>
      <c r="H17" s="263">
        <f t="shared" si="2"/>
        <v>42399261.8</v>
      </c>
      <c r="I17" s="263">
        <f t="shared" si="2"/>
        <v>3208607.3</v>
      </c>
      <c r="J17" s="263">
        <f t="shared" si="2"/>
        <v>0</v>
      </c>
      <c r="K17" s="263">
        <f t="shared" si="2"/>
        <v>113652.8</v>
      </c>
      <c r="L17" s="263">
        <f t="shared" si="2"/>
        <v>0</v>
      </c>
      <c r="M17" s="263">
        <f t="shared" si="2"/>
        <v>701165.48</v>
      </c>
      <c r="N17" s="263">
        <f t="shared" si="2"/>
        <v>-19920.64</v>
      </c>
      <c r="O17" s="263">
        <f t="shared" si="2"/>
        <v>0</v>
      </c>
      <c r="P17" s="263">
        <f t="shared" si="2"/>
        <v>55913209.06999999</v>
      </c>
      <c r="Q17" s="263">
        <f t="shared" si="2"/>
        <v>0</v>
      </c>
      <c r="R17" s="263">
        <f t="shared" si="2"/>
        <v>1965968.54</v>
      </c>
      <c r="S17" s="263">
        <f t="shared" si="2"/>
        <v>148297.79</v>
      </c>
      <c r="T17" s="263">
        <f t="shared" si="2"/>
        <v>7396176</v>
      </c>
      <c r="U17" s="263">
        <f t="shared" si="2"/>
        <v>42399261.8</v>
      </c>
      <c r="V17" s="263">
        <f t="shared" si="2"/>
        <v>3208607.3</v>
      </c>
      <c r="W17" s="263">
        <f t="shared" si="2"/>
        <v>0</v>
      </c>
      <c r="X17" s="263">
        <f t="shared" si="2"/>
        <v>113652.8</v>
      </c>
      <c r="Y17" s="263">
        <f t="shared" si="2"/>
        <v>0</v>
      </c>
      <c r="Z17" s="263">
        <f t="shared" si="2"/>
        <v>701165.48</v>
      </c>
      <c r="AA17" s="263">
        <f t="shared" si="2"/>
        <v>-19920.64</v>
      </c>
      <c r="AB17" s="263">
        <f t="shared" si="2"/>
        <v>0</v>
      </c>
      <c r="AC17" s="263">
        <f t="shared" si="2"/>
        <v>55913209.06999999</v>
      </c>
      <c r="AD17" s="263">
        <f t="shared" si="2"/>
        <v>22715.47000000067</v>
      </c>
    </row>
    <row r="18" spans="1:30" s="10" customFormat="1" ht="15">
      <c r="A18" s="15" t="s">
        <v>222</v>
      </c>
      <c r="B18" s="269" t="s">
        <v>125</v>
      </c>
      <c r="C18" s="271">
        <v>42399261.8</v>
      </c>
      <c r="D18" s="271">
        <v>0</v>
      </c>
      <c r="E18" s="271"/>
      <c r="F18" s="271"/>
      <c r="G18" s="271">
        <v>0</v>
      </c>
      <c r="H18" s="271">
        <v>42399261.8</v>
      </c>
      <c r="I18" s="271"/>
      <c r="J18" s="271">
        <v>0</v>
      </c>
      <c r="K18" s="271"/>
      <c r="L18" s="271">
        <v>0</v>
      </c>
      <c r="M18" s="271"/>
      <c r="N18" s="271"/>
      <c r="O18" s="271"/>
      <c r="P18" s="258">
        <f aca="true" t="shared" si="3" ref="P18:P24">SUM(D18:O18)</f>
        <v>42399261.8</v>
      </c>
      <c r="Q18" s="271">
        <v>0</v>
      </c>
      <c r="R18" s="271">
        <v>0</v>
      </c>
      <c r="S18" s="271"/>
      <c r="T18" s="271">
        <v>0</v>
      </c>
      <c r="U18" s="271">
        <v>42399261.8</v>
      </c>
      <c r="V18" s="271"/>
      <c r="W18" s="271">
        <v>0</v>
      </c>
      <c r="X18" s="271"/>
      <c r="Y18" s="271">
        <v>0</v>
      </c>
      <c r="Z18" s="271"/>
      <c r="AA18" s="271"/>
      <c r="AB18" s="271"/>
      <c r="AC18" s="282">
        <f aca="true" t="shared" si="4" ref="AC18:AC24">SUM(Q18:AB18)</f>
        <v>42399261.8</v>
      </c>
      <c r="AD18" s="261">
        <f aca="true" t="shared" si="5" ref="AD18:AD24">SUM(C18-AC18)</f>
        <v>0</v>
      </c>
    </row>
    <row r="19" spans="1:30" s="10" customFormat="1" ht="15">
      <c r="A19" s="15" t="s">
        <v>266</v>
      </c>
      <c r="B19" s="269" t="s">
        <v>273</v>
      </c>
      <c r="C19" s="271">
        <v>1505995.98</v>
      </c>
      <c r="D19" s="271">
        <v>0</v>
      </c>
      <c r="E19" s="271"/>
      <c r="F19" s="271"/>
      <c r="G19" s="271">
        <v>1505995.98</v>
      </c>
      <c r="H19" s="271">
        <v>0</v>
      </c>
      <c r="I19" s="271"/>
      <c r="J19" s="271">
        <v>0</v>
      </c>
      <c r="K19" s="271"/>
      <c r="L19" s="271">
        <v>0</v>
      </c>
      <c r="M19" s="271"/>
      <c r="N19" s="271"/>
      <c r="O19" s="271"/>
      <c r="P19" s="258">
        <f t="shared" si="3"/>
        <v>1505995.98</v>
      </c>
      <c r="Q19" s="271">
        <v>0</v>
      </c>
      <c r="R19" s="271">
        <v>0</v>
      </c>
      <c r="S19" s="271"/>
      <c r="T19" s="271">
        <v>1505995.98</v>
      </c>
      <c r="U19" s="271">
        <v>0</v>
      </c>
      <c r="V19" s="271"/>
      <c r="W19" s="271">
        <v>0</v>
      </c>
      <c r="X19" s="271"/>
      <c r="Y19" s="271">
        <v>0</v>
      </c>
      <c r="Z19" s="271"/>
      <c r="AA19" s="271"/>
      <c r="AB19" s="271"/>
      <c r="AC19" s="282">
        <f t="shared" si="4"/>
        <v>1505995.98</v>
      </c>
      <c r="AD19" s="261">
        <f t="shared" si="5"/>
        <v>0</v>
      </c>
    </row>
    <row r="20" spans="1:30" s="10" customFormat="1" ht="15">
      <c r="A20" s="15" t="s">
        <v>223</v>
      </c>
      <c r="B20" s="275" t="s">
        <v>109</v>
      </c>
      <c r="C20" s="280">
        <v>2522884.33</v>
      </c>
      <c r="D20" s="280">
        <v>0</v>
      </c>
      <c r="E20" s="271"/>
      <c r="F20" s="280"/>
      <c r="G20" s="280">
        <v>2522884.33</v>
      </c>
      <c r="H20" s="280">
        <v>0</v>
      </c>
      <c r="I20" s="280"/>
      <c r="J20" s="271">
        <v>0</v>
      </c>
      <c r="K20" s="280"/>
      <c r="L20" s="280">
        <v>0</v>
      </c>
      <c r="M20" s="280"/>
      <c r="N20" s="280"/>
      <c r="O20" s="280"/>
      <c r="P20" s="258">
        <f t="shared" si="3"/>
        <v>2522884.33</v>
      </c>
      <c r="Q20" s="280">
        <v>0</v>
      </c>
      <c r="R20" s="280">
        <v>0</v>
      </c>
      <c r="S20" s="280"/>
      <c r="T20" s="280">
        <v>2522884.33</v>
      </c>
      <c r="U20" s="280">
        <v>0</v>
      </c>
      <c r="V20" s="280"/>
      <c r="W20" s="271">
        <v>0</v>
      </c>
      <c r="X20" s="280"/>
      <c r="Y20" s="280">
        <v>0</v>
      </c>
      <c r="Z20" s="280"/>
      <c r="AA20" s="280"/>
      <c r="AB20" s="280"/>
      <c r="AC20" s="282">
        <f t="shared" si="4"/>
        <v>2522884.33</v>
      </c>
      <c r="AD20" s="261">
        <f t="shared" si="5"/>
        <v>0</v>
      </c>
    </row>
    <row r="21" spans="1:30" s="218" customFormat="1" ht="16.5" hidden="1" thickBot="1">
      <c r="A21" s="292"/>
      <c r="B21" s="251" t="s">
        <v>248</v>
      </c>
      <c r="C21" s="252">
        <f aca="true" t="shared" si="6" ref="C21:AB21">SUM(C22:C22)</f>
        <v>0</v>
      </c>
      <c r="D21" s="252">
        <f t="shared" si="6"/>
        <v>0</v>
      </c>
      <c r="E21" s="271">
        <f t="shared" si="6"/>
        <v>0</v>
      </c>
      <c r="F21" s="252">
        <f t="shared" si="6"/>
        <v>0</v>
      </c>
      <c r="G21" s="252">
        <f t="shared" si="6"/>
        <v>0</v>
      </c>
      <c r="H21" s="252">
        <f t="shared" si="6"/>
        <v>0</v>
      </c>
      <c r="I21" s="252">
        <f t="shared" si="6"/>
        <v>0</v>
      </c>
      <c r="J21" s="271">
        <f t="shared" si="6"/>
        <v>0</v>
      </c>
      <c r="K21" s="252">
        <f t="shared" si="6"/>
        <v>0</v>
      </c>
      <c r="L21" s="252">
        <f t="shared" si="6"/>
        <v>0</v>
      </c>
      <c r="M21" s="252">
        <f t="shared" si="6"/>
        <v>0</v>
      </c>
      <c r="N21" s="252">
        <f t="shared" si="6"/>
        <v>0</v>
      </c>
      <c r="O21" s="252">
        <f t="shared" si="6"/>
        <v>0</v>
      </c>
      <c r="P21" s="258">
        <f t="shared" si="3"/>
        <v>0</v>
      </c>
      <c r="Q21" s="252">
        <f t="shared" si="6"/>
        <v>0</v>
      </c>
      <c r="R21" s="252">
        <f t="shared" si="6"/>
        <v>0</v>
      </c>
      <c r="S21" s="252">
        <f t="shared" si="6"/>
        <v>0</v>
      </c>
      <c r="T21" s="252">
        <f t="shared" si="6"/>
        <v>0</v>
      </c>
      <c r="U21" s="252">
        <f t="shared" si="6"/>
        <v>0</v>
      </c>
      <c r="V21" s="252">
        <f t="shared" si="6"/>
        <v>0</v>
      </c>
      <c r="W21" s="271">
        <f t="shared" si="6"/>
        <v>0</v>
      </c>
      <c r="X21" s="252">
        <f t="shared" si="6"/>
        <v>0</v>
      </c>
      <c r="Y21" s="252">
        <f t="shared" si="6"/>
        <v>0</v>
      </c>
      <c r="Z21" s="252">
        <f t="shared" si="6"/>
        <v>0</v>
      </c>
      <c r="AA21" s="252">
        <f t="shared" si="6"/>
        <v>0</v>
      </c>
      <c r="AB21" s="252">
        <f t="shared" si="6"/>
        <v>0</v>
      </c>
      <c r="AC21" s="282">
        <f t="shared" si="4"/>
        <v>0</v>
      </c>
      <c r="AD21" s="261">
        <f t="shared" si="5"/>
        <v>0</v>
      </c>
    </row>
    <row r="22" spans="1:30" s="10" customFormat="1" ht="15" hidden="1">
      <c r="A22" s="293" t="s">
        <v>249</v>
      </c>
      <c r="B22" s="275" t="s">
        <v>250</v>
      </c>
      <c r="C22" s="280"/>
      <c r="D22" s="280"/>
      <c r="E22" s="271"/>
      <c r="F22" s="280"/>
      <c r="G22" s="280"/>
      <c r="H22" s="280"/>
      <c r="I22" s="280"/>
      <c r="J22" s="271"/>
      <c r="K22" s="280"/>
      <c r="L22" s="280"/>
      <c r="M22" s="280"/>
      <c r="N22" s="280"/>
      <c r="O22" s="280"/>
      <c r="P22" s="258">
        <f t="shared" si="3"/>
        <v>0</v>
      </c>
      <c r="Q22" s="280"/>
      <c r="R22" s="280"/>
      <c r="S22" s="280"/>
      <c r="T22" s="280"/>
      <c r="U22" s="280"/>
      <c r="V22" s="280"/>
      <c r="W22" s="271"/>
      <c r="X22" s="280"/>
      <c r="Y22" s="280"/>
      <c r="Z22" s="280"/>
      <c r="AA22" s="280"/>
      <c r="AB22" s="280"/>
      <c r="AC22" s="282">
        <f t="shared" si="4"/>
        <v>0</v>
      </c>
      <c r="AD22" s="261">
        <f t="shared" si="5"/>
        <v>0</v>
      </c>
    </row>
    <row r="23" spans="1:30" s="10" customFormat="1" ht="15">
      <c r="A23" s="15" t="s">
        <v>224</v>
      </c>
      <c r="B23" s="275" t="s">
        <v>110</v>
      </c>
      <c r="C23" s="280">
        <v>9105763.76</v>
      </c>
      <c r="D23" s="280"/>
      <c r="E23" s="271">
        <v>1965968.54</v>
      </c>
      <c r="F23" s="280">
        <v>148297.79</v>
      </c>
      <c r="G23" s="280">
        <v>2965277.02</v>
      </c>
      <c r="H23" s="280">
        <v>0</v>
      </c>
      <c r="I23" s="280">
        <v>3208607.3</v>
      </c>
      <c r="J23" s="271">
        <v>0</v>
      </c>
      <c r="K23" s="280">
        <v>113652.8</v>
      </c>
      <c r="L23" s="280">
        <v>0</v>
      </c>
      <c r="M23" s="280">
        <v>701165.48</v>
      </c>
      <c r="N23" s="280">
        <v>-19920.64</v>
      </c>
      <c r="O23" s="280"/>
      <c r="P23" s="258">
        <f t="shared" si="3"/>
        <v>9083048.29</v>
      </c>
      <c r="Q23" s="280"/>
      <c r="R23" s="280">
        <v>1965968.54</v>
      </c>
      <c r="S23" s="280">
        <v>148297.79</v>
      </c>
      <c r="T23" s="280">
        <v>2965277.02</v>
      </c>
      <c r="U23" s="280">
        <v>0</v>
      </c>
      <c r="V23" s="280">
        <v>3208607.3</v>
      </c>
      <c r="W23" s="271">
        <v>0</v>
      </c>
      <c r="X23" s="280">
        <v>113652.8</v>
      </c>
      <c r="Y23" s="280">
        <v>0</v>
      </c>
      <c r="Z23" s="280">
        <v>701165.48</v>
      </c>
      <c r="AA23" s="280">
        <v>-19920.64</v>
      </c>
      <c r="AB23" s="280"/>
      <c r="AC23" s="282">
        <f t="shared" si="4"/>
        <v>9083048.29</v>
      </c>
      <c r="AD23" s="261">
        <f t="shared" si="5"/>
        <v>22715.47000000067</v>
      </c>
    </row>
    <row r="24" spans="1:30" s="10" customFormat="1" ht="15.75" thickBot="1">
      <c r="A24" s="15" t="s">
        <v>225</v>
      </c>
      <c r="B24" s="287" t="s">
        <v>274</v>
      </c>
      <c r="C24" s="257">
        <v>402018.67</v>
      </c>
      <c r="D24" s="257"/>
      <c r="E24" s="271">
        <v>0</v>
      </c>
      <c r="F24" s="257"/>
      <c r="G24" s="257">
        <v>402018.67</v>
      </c>
      <c r="H24" s="257">
        <v>0</v>
      </c>
      <c r="I24" s="257"/>
      <c r="J24" s="271">
        <v>0</v>
      </c>
      <c r="K24" s="257"/>
      <c r="L24" s="257">
        <v>0</v>
      </c>
      <c r="M24" s="257"/>
      <c r="N24" s="257"/>
      <c r="O24" s="257"/>
      <c r="P24" s="258">
        <f t="shared" si="3"/>
        <v>402018.67</v>
      </c>
      <c r="Q24" s="257"/>
      <c r="R24" s="257">
        <v>0</v>
      </c>
      <c r="S24" s="257"/>
      <c r="T24" s="257">
        <v>402018.67</v>
      </c>
      <c r="U24" s="257">
        <v>0</v>
      </c>
      <c r="V24" s="257"/>
      <c r="W24" s="257">
        <v>0</v>
      </c>
      <c r="X24" s="257"/>
      <c r="Y24" s="257">
        <v>0</v>
      </c>
      <c r="Z24" s="257"/>
      <c r="AA24" s="257"/>
      <c r="AB24" s="257"/>
      <c r="AC24" s="282">
        <f t="shared" si="4"/>
        <v>402018.67</v>
      </c>
      <c r="AD24" s="261">
        <f t="shared" si="5"/>
        <v>0</v>
      </c>
    </row>
    <row r="25" spans="1:30" s="14" customFormat="1" ht="16.5" thickBot="1">
      <c r="A25" s="25"/>
      <c r="B25" s="251" t="s">
        <v>255</v>
      </c>
      <c r="C25" s="252">
        <f>SUM(C26:C27)</f>
        <v>1644722577.2199998</v>
      </c>
      <c r="D25" s="252">
        <f aca="true" t="shared" si="7" ref="D25:AD25">SUM(D26:D27)</f>
        <v>0</v>
      </c>
      <c r="E25" s="252">
        <f t="shared" si="7"/>
        <v>190444713.89</v>
      </c>
      <c r="F25" s="252">
        <f t="shared" si="7"/>
        <v>140811241.96</v>
      </c>
      <c r="G25" s="252">
        <f t="shared" si="7"/>
        <v>129167677.66000001</v>
      </c>
      <c r="H25" s="252">
        <f t="shared" si="7"/>
        <v>234444889.66</v>
      </c>
      <c r="I25" s="252">
        <f t="shared" si="7"/>
        <v>149897421.88</v>
      </c>
      <c r="J25" s="252">
        <f t="shared" si="7"/>
        <v>102292795.01</v>
      </c>
      <c r="K25" s="252">
        <f t="shared" si="7"/>
        <v>83985399.18</v>
      </c>
      <c r="L25" s="252">
        <f t="shared" si="7"/>
        <v>182481590.57</v>
      </c>
      <c r="M25" s="252">
        <f t="shared" si="7"/>
        <v>136838801.5</v>
      </c>
      <c r="N25" s="252">
        <f t="shared" si="7"/>
        <v>47982508.37</v>
      </c>
      <c r="O25" s="252">
        <f t="shared" si="7"/>
        <v>243402755.76</v>
      </c>
      <c r="P25" s="252">
        <f t="shared" si="7"/>
        <v>1641749795.4399998</v>
      </c>
      <c r="Q25" s="252">
        <f t="shared" si="7"/>
        <v>0</v>
      </c>
      <c r="R25" s="252">
        <f t="shared" si="7"/>
        <v>190444713.89</v>
      </c>
      <c r="S25" s="252">
        <f t="shared" si="7"/>
        <v>140811241.96</v>
      </c>
      <c r="T25" s="252">
        <f t="shared" si="7"/>
        <v>129167677.66000001</v>
      </c>
      <c r="U25" s="252">
        <f t="shared" si="7"/>
        <v>234444889.66</v>
      </c>
      <c r="V25" s="252">
        <f t="shared" si="7"/>
        <v>149897421.88</v>
      </c>
      <c r="W25" s="252">
        <f t="shared" si="7"/>
        <v>102292795.01</v>
      </c>
      <c r="X25" s="252">
        <f t="shared" si="7"/>
        <v>83985399.18</v>
      </c>
      <c r="Y25" s="252">
        <f t="shared" si="7"/>
        <v>182481590.57</v>
      </c>
      <c r="Z25" s="252">
        <f t="shared" si="7"/>
        <v>136838801.5</v>
      </c>
      <c r="AA25" s="252">
        <f t="shared" si="7"/>
        <v>47982508.37</v>
      </c>
      <c r="AB25" s="252">
        <f t="shared" si="7"/>
        <v>243402755.76</v>
      </c>
      <c r="AC25" s="252">
        <f t="shared" si="7"/>
        <v>1641749795.4399998</v>
      </c>
      <c r="AD25" s="252">
        <f t="shared" si="7"/>
        <v>2972781.780000115</v>
      </c>
    </row>
    <row r="26" spans="1:30" s="14" customFormat="1" ht="15.75">
      <c r="A26" s="16" t="s">
        <v>256</v>
      </c>
      <c r="B26" s="269" t="s">
        <v>257</v>
      </c>
      <c r="C26" s="319">
        <v>15669139.85</v>
      </c>
      <c r="D26" s="320"/>
      <c r="E26" s="319">
        <v>7638792.44</v>
      </c>
      <c r="F26" s="319">
        <v>0</v>
      </c>
      <c r="G26" s="257">
        <v>8030309.26</v>
      </c>
      <c r="H26" s="257">
        <v>0</v>
      </c>
      <c r="I26" s="320">
        <v>0</v>
      </c>
      <c r="J26" s="320"/>
      <c r="K26" s="319">
        <v>0</v>
      </c>
      <c r="L26" s="319">
        <v>0</v>
      </c>
      <c r="M26" s="320"/>
      <c r="N26" s="320">
        <v>0</v>
      </c>
      <c r="O26" s="320"/>
      <c r="P26" s="258">
        <f>SUM(D26:O26)</f>
        <v>15669101.7</v>
      </c>
      <c r="Q26" s="320"/>
      <c r="R26" s="319">
        <v>7638792.44</v>
      </c>
      <c r="S26" s="258">
        <v>0</v>
      </c>
      <c r="T26" s="257">
        <v>8030309.26</v>
      </c>
      <c r="U26" s="257">
        <v>0</v>
      </c>
      <c r="V26" s="320">
        <v>0</v>
      </c>
      <c r="W26" s="320"/>
      <c r="X26" s="319">
        <v>0</v>
      </c>
      <c r="Y26" s="319">
        <v>0</v>
      </c>
      <c r="Z26" s="320"/>
      <c r="AA26" s="320"/>
      <c r="AB26" s="320"/>
      <c r="AC26" s="282">
        <f>SUM(Q26:AB26)</f>
        <v>15669101.7</v>
      </c>
      <c r="AD26" s="261">
        <f>SUM(C26-AC26)</f>
        <v>38.15000000037253</v>
      </c>
    </row>
    <row r="27" spans="1:30" s="10" customFormat="1" ht="15.75" thickBot="1">
      <c r="A27" s="16" t="s">
        <v>275</v>
      </c>
      <c r="B27" s="269" t="s">
        <v>257</v>
      </c>
      <c r="C27" s="271">
        <v>1629053437.37</v>
      </c>
      <c r="D27" s="271">
        <v>0</v>
      </c>
      <c r="E27" s="271">
        <v>182805921.45</v>
      </c>
      <c r="F27" s="319">
        <v>140811241.96</v>
      </c>
      <c r="G27" s="271">
        <v>121137368.4</v>
      </c>
      <c r="H27" s="271">
        <v>234444889.66</v>
      </c>
      <c r="I27" s="271">
        <v>149897421.88</v>
      </c>
      <c r="J27" s="271">
        <v>102292795.01</v>
      </c>
      <c r="K27" s="271">
        <v>83985399.18</v>
      </c>
      <c r="L27" s="271">
        <v>182481590.57</v>
      </c>
      <c r="M27" s="271">
        <v>136838801.5</v>
      </c>
      <c r="N27" s="271">
        <v>47982508.37</v>
      </c>
      <c r="O27" s="271">
        <v>243402755.76</v>
      </c>
      <c r="P27" s="258">
        <f>SUM(D27:O27)</f>
        <v>1626080693.7399998</v>
      </c>
      <c r="Q27" s="271">
        <v>0</v>
      </c>
      <c r="R27" s="271">
        <v>182805921.45</v>
      </c>
      <c r="S27" s="258">
        <v>140811241.96</v>
      </c>
      <c r="T27" s="271">
        <v>121137368.4</v>
      </c>
      <c r="U27" s="271">
        <v>234444889.66</v>
      </c>
      <c r="V27" s="271">
        <v>149897421.88</v>
      </c>
      <c r="W27" s="271">
        <v>102292795.01</v>
      </c>
      <c r="X27" s="271">
        <v>83985399.18</v>
      </c>
      <c r="Y27" s="271">
        <v>182481590.57</v>
      </c>
      <c r="Z27" s="271">
        <v>136838801.5</v>
      </c>
      <c r="AA27" s="271">
        <v>47982508.37</v>
      </c>
      <c r="AB27" s="271">
        <v>243402755.76</v>
      </c>
      <c r="AC27" s="282">
        <f>SUM(Q27:AB27)</f>
        <v>1626080693.7399998</v>
      </c>
      <c r="AD27" s="261">
        <f>SUM(C27-AC27)</f>
        <v>2972743.6300001144</v>
      </c>
    </row>
    <row r="28" spans="1:30" s="303" customFormat="1" ht="18.75" thickBot="1">
      <c r="A28" s="297" t="s">
        <v>33</v>
      </c>
      <c r="B28" s="298"/>
      <c r="C28" s="299">
        <f aca="true" t="shared" si="8" ref="C28:AD28">SUM(C14+C25)</f>
        <v>1710200517.7599998</v>
      </c>
      <c r="D28" s="299">
        <f t="shared" si="8"/>
        <v>0</v>
      </c>
      <c r="E28" s="299">
        <f t="shared" si="8"/>
        <v>194145594.42999998</v>
      </c>
      <c r="F28" s="299">
        <f t="shared" si="8"/>
        <v>142694451.75</v>
      </c>
      <c r="G28" s="299">
        <f t="shared" si="8"/>
        <v>140033677.66000003</v>
      </c>
      <c r="H28" s="299">
        <f t="shared" si="8"/>
        <v>275571882.65999997</v>
      </c>
      <c r="I28" s="299">
        <f t="shared" si="8"/>
        <v>153106029.18</v>
      </c>
      <c r="J28" s="299">
        <f t="shared" si="8"/>
        <v>104027707.01</v>
      </c>
      <c r="K28" s="299">
        <f t="shared" si="8"/>
        <v>86238776.78</v>
      </c>
      <c r="L28" s="299">
        <f t="shared" si="8"/>
        <v>182481590.57</v>
      </c>
      <c r="M28" s="299">
        <f t="shared" si="8"/>
        <v>137539966.98</v>
      </c>
      <c r="N28" s="299">
        <f t="shared" si="8"/>
        <v>47962587.73</v>
      </c>
      <c r="O28" s="299">
        <f t="shared" si="8"/>
        <v>243402755.76</v>
      </c>
      <c r="P28" s="299">
        <f t="shared" si="8"/>
        <v>1707205020.5099998</v>
      </c>
      <c r="Q28" s="299">
        <f t="shared" si="8"/>
        <v>0</v>
      </c>
      <c r="R28" s="299">
        <f t="shared" si="8"/>
        <v>194145594.42999998</v>
      </c>
      <c r="S28" s="299">
        <f t="shared" si="8"/>
        <v>142694451.75</v>
      </c>
      <c r="T28" s="299">
        <f t="shared" si="8"/>
        <v>140033677.66000003</v>
      </c>
      <c r="U28" s="299">
        <f t="shared" si="8"/>
        <v>275571882.65999997</v>
      </c>
      <c r="V28" s="299">
        <f t="shared" si="8"/>
        <v>153106029.18</v>
      </c>
      <c r="W28" s="299">
        <f t="shared" si="8"/>
        <v>104027707.01</v>
      </c>
      <c r="X28" s="299">
        <f t="shared" si="8"/>
        <v>86238776.78</v>
      </c>
      <c r="Y28" s="299">
        <f t="shared" si="8"/>
        <v>182481590.57</v>
      </c>
      <c r="Z28" s="299">
        <f t="shared" si="8"/>
        <v>137539966.98</v>
      </c>
      <c r="AA28" s="299">
        <f t="shared" si="8"/>
        <v>47962587.73</v>
      </c>
      <c r="AB28" s="299">
        <f t="shared" si="8"/>
        <v>243402755.76</v>
      </c>
      <c r="AC28" s="301">
        <f t="shared" si="8"/>
        <v>1707205020.5099998</v>
      </c>
      <c r="AD28" s="301">
        <f t="shared" si="8"/>
        <v>2995497.2500001155</v>
      </c>
    </row>
    <row r="29" spans="1:29" ht="12.75">
      <c r="A29" s="304" t="s">
        <v>260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</row>
    <row r="31" spans="1:29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</row>
    <row r="32" spans="1:30" ht="15">
      <c r="A32" s="32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261"/>
    </row>
    <row r="33" spans="1:29" ht="12.75">
      <c r="A33" s="306">
        <f ca="1">TODAY()</f>
        <v>39582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3.5" thickBot="1">
      <c r="A36" s="3"/>
      <c r="B36" s="307" t="s">
        <v>261</v>
      </c>
      <c r="C36" s="219"/>
      <c r="D36" s="4" t="s">
        <v>262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1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2.75">
      <c r="A37" s="3"/>
      <c r="B37" s="311" t="s">
        <v>276</v>
      </c>
      <c r="C37" s="2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322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11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2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</sheetData>
  <mergeCells count="10">
    <mergeCell ref="Q37:AC37"/>
    <mergeCell ref="A1:AC1"/>
    <mergeCell ref="A2:AC2"/>
    <mergeCell ref="A3:AC3"/>
    <mergeCell ref="A4:AC4"/>
    <mergeCell ref="A5:AC5"/>
    <mergeCell ref="A7:B7"/>
    <mergeCell ref="A8:B8"/>
    <mergeCell ref="A28:B28"/>
    <mergeCell ref="D37:P37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6">
      <selection activeCell="A33" sqref="A33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customWidth="1"/>
    <col min="16" max="16" width="20.28125" style="1" customWidth="1"/>
    <col min="17" max="16384" width="11.421875" style="1" customWidth="1"/>
  </cols>
  <sheetData>
    <row r="1" spans="1:16" s="26" customFormat="1" ht="1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</row>
    <row r="2" spans="1:16" s="26" customFormat="1" ht="1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s="26" customFormat="1" ht="1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6" s="26" customFormat="1" ht="15">
      <c r="A4" s="130" t="s">
        <v>155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s="26" customFormat="1" ht="1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3" t="s">
        <v>2</v>
      </c>
      <c r="B7" s="134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2" t="s">
        <v>4</v>
      </c>
      <c r="P7" s="33" t="s">
        <v>165</v>
      </c>
    </row>
    <row r="8" spans="1:16" s="26" customFormat="1" ht="15" customHeight="1" thickBot="1">
      <c r="A8" s="133" t="s">
        <v>3</v>
      </c>
      <c r="B8" s="134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2" t="s">
        <v>5</v>
      </c>
      <c r="P8" s="34">
        <v>2007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s="26" customFormat="1" ht="15">
      <c r="A11" s="75" t="s">
        <v>24</v>
      </c>
      <c r="B11" s="75" t="s">
        <v>26</v>
      </c>
      <c r="C11" s="75" t="s">
        <v>27</v>
      </c>
      <c r="D11" s="75" t="s">
        <v>30</v>
      </c>
      <c r="E11" s="75" t="s">
        <v>30</v>
      </c>
      <c r="F11" s="75" t="s">
        <v>30</v>
      </c>
      <c r="G11" s="75" t="s">
        <v>30</v>
      </c>
      <c r="H11" s="75" t="s">
        <v>30</v>
      </c>
      <c r="I11" s="75" t="s">
        <v>30</v>
      </c>
      <c r="J11" s="75" t="s">
        <v>30</v>
      </c>
      <c r="K11" s="75" t="s">
        <v>30</v>
      </c>
      <c r="L11" s="75" t="s">
        <v>30</v>
      </c>
      <c r="M11" s="75" t="s">
        <v>30</v>
      </c>
      <c r="N11" s="75" t="s">
        <v>30</v>
      </c>
      <c r="O11" s="75" t="s">
        <v>30</v>
      </c>
      <c r="P11" s="75" t="s">
        <v>30</v>
      </c>
    </row>
    <row r="12" spans="1:16" s="26" customFormat="1" ht="15.75" thickBot="1">
      <c r="A12" s="76" t="s">
        <v>25</v>
      </c>
      <c r="B12" s="76"/>
      <c r="C12" s="76" t="s">
        <v>6</v>
      </c>
      <c r="D12" s="76" t="s">
        <v>7</v>
      </c>
      <c r="E12" s="76" t="s">
        <v>8</v>
      </c>
      <c r="F12" s="76" t="s">
        <v>9</v>
      </c>
      <c r="G12" s="76" t="s">
        <v>10</v>
      </c>
      <c r="H12" s="76" t="s">
        <v>20</v>
      </c>
      <c r="I12" s="76" t="s">
        <v>21</v>
      </c>
      <c r="J12" s="76" t="s">
        <v>22</v>
      </c>
      <c r="K12" s="76" t="s">
        <v>14</v>
      </c>
      <c r="L12" s="76" t="s">
        <v>15</v>
      </c>
      <c r="M12" s="76" t="s">
        <v>23</v>
      </c>
      <c r="N12" s="76" t="s">
        <v>17</v>
      </c>
      <c r="O12" s="76" t="s">
        <v>18</v>
      </c>
      <c r="P12" s="76" t="s">
        <v>19</v>
      </c>
    </row>
    <row r="13" spans="1:16" s="26" customFormat="1" ht="15.75" thickBot="1">
      <c r="A13" s="77">
        <v>1</v>
      </c>
      <c r="B13" s="77">
        <v>2</v>
      </c>
      <c r="C13" s="77"/>
      <c r="D13" s="77">
        <v>7</v>
      </c>
      <c r="E13" s="77">
        <v>7</v>
      </c>
      <c r="F13" s="77">
        <v>7</v>
      </c>
      <c r="G13" s="77">
        <v>7</v>
      </c>
      <c r="H13" s="77">
        <v>7</v>
      </c>
      <c r="I13" s="77">
        <v>7</v>
      </c>
      <c r="J13" s="77">
        <v>7</v>
      </c>
      <c r="K13" s="77">
        <v>7</v>
      </c>
      <c r="L13" s="77">
        <v>7</v>
      </c>
      <c r="M13" s="77">
        <v>7</v>
      </c>
      <c r="N13" s="77">
        <v>7</v>
      </c>
      <c r="O13" s="77">
        <v>7</v>
      </c>
      <c r="P13" s="77">
        <v>8</v>
      </c>
    </row>
    <row r="14" spans="1:16" s="14" customFormat="1" ht="13.5" thickBot="1">
      <c r="A14" s="39"/>
      <c r="B14" s="40" t="s">
        <v>45</v>
      </c>
      <c r="C14" s="41">
        <f aca="true" t="shared" si="0" ref="C14:P14">SUM(C15,C17,C19)</f>
        <v>25674442</v>
      </c>
      <c r="D14" s="41">
        <f t="shared" si="0"/>
        <v>14969500</v>
      </c>
      <c r="E14" s="41">
        <f t="shared" si="0"/>
        <v>10447992</v>
      </c>
      <c r="F14" s="41">
        <f t="shared" si="0"/>
        <v>256950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2">
        <f t="shared" si="0"/>
        <v>25674442</v>
      </c>
    </row>
    <row r="15" spans="1:16" s="14" customFormat="1" ht="12.75">
      <c r="A15" s="39"/>
      <c r="B15" s="40" t="s">
        <v>42</v>
      </c>
      <c r="C15" s="41">
        <f aca="true" t="shared" si="1" ref="C15:P15">SUM(C16:C16)</f>
        <v>14969500</v>
      </c>
      <c r="D15" s="41">
        <f t="shared" si="1"/>
        <v>14969500</v>
      </c>
      <c r="E15" s="41">
        <f t="shared" si="1"/>
        <v>0</v>
      </c>
      <c r="F15" s="41">
        <f t="shared" si="1"/>
        <v>0</v>
      </c>
      <c r="G15" s="41">
        <f t="shared" si="1"/>
        <v>0</v>
      </c>
      <c r="H15" s="41">
        <f t="shared" si="1"/>
        <v>0</v>
      </c>
      <c r="I15" s="41">
        <f t="shared" si="1"/>
        <v>0</v>
      </c>
      <c r="J15" s="41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41">
        <f t="shared" si="1"/>
        <v>0</v>
      </c>
      <c r="P15" s="108">
        <f t="shared" si="1"/>
        <v>14969500</v>
      </c>
    </row>
    <row r="16" spans="1:16" s="12" customFormat="1" ht="13.5" thickBot="1">
      <c r="A16" s="15" t="s">
        <v>156</v>
      </c>
      <c r="B16" s="47" t="s">
        <v>157</v>
      </c>
      <c r="C16" s="48">
        <v>14969500</v>
      </c>
      <c r="D16" s="48">
        <v>14969500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50">
        <f>SUM(D16:O16)</f>
        <v>14969500</v>
      </c>
    </row>
    <row r="17" spans="1:16" s="14" customFormat="1" ht="13.5" thickBot="1">
      <c r="A17" s="25"/>
      <c r="B17" s="53" t="s">
        <v>43</v>
      </c>
      <c r="C17" s="54">
        <f aca="true" t="shared" si="2" ref="C17:P17">SUM(C18:C18)</f>
        <v>10704942</v>
      </c>
      <c r="D17" s="54">
        <f t="shared" si="2"/>
        <v>0</v>
      </c>
      <c r="E17" s="54">
        <f t="shared" si="2"/>
        <v>10447992</v>
      </c>
      <c r="F17" s="54">
        <f t="shared" si="2"/>
        <v>256950</v>
      </c>
      <c r="G17" s="54">
        <f t="shared" si="2"/>
        <v>0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42">
        <f t="shared" si="2"/>
        <v>10704942</v>
      </c>
    </row>
    <row r="18" spans="1:16" s="12" customFormat="1" ht="13.5" thickBot="1">
      <c r="A18" s="16" t="s">
        <v>120</v>
      </c>
      <c r="B18" s="56" t="s">
        <v>147</v>
      </c>
      <c r="C18" s="57">
        <v>10704942</v>
      </c>
      <c r="D18" s="57">
        <v>0</v>
      </c>
      <c r="E18" s="49">
        <f>8597992+1850000</f>
        <v>10447992</v>
      </c>
      <c r="F18" s="57">
        <v>256950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9">
        <f>SUM(D18:O18)</f>
        <v>10704942</v>
      </c>
    </row>
    <row r="19" spans="1:16" s="14" customFormat="1" ht="13.5" hidden="1" thickBot="1">
      <c r="A19" s="25"/>
      <c r="B19" s="53" t="s">
        <v>44</v>
      </c>
      <c r="C19" s="54">
        <f aca="true" t="shared" si="3" ref="C19:P19">SUM(C20:C22)</f>
        <v>0</v>
      </c>
      <c r="D19" s="54">
        <f t="shared" si="3"/>
        <v>0</v>
      </c>
      <c r="E19" s="54">
        <f t="shared" si="3"/>
        <v>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4">
        <f t="shared" si="3"/>
        <v>0</v>
      </c>
      <c r="P19" s="42">
        <f t="shared" si="3"/>
        <v>0</v>
      </c>
    </row>
    <row r="20" spans="1:16" s="12" customFormat="1" ht="13.5" hidden="1" thickBot="1">
      <c r="A20" s="79" t="s">
        <v>40</v>
      </c>
      <c r="B20" s="61" t="s">
        <v>46</v>
      </c>
      <c r="C20" s="62"/>
      <c r="D20" s="48">
        <v>0</v>
      </c>
      <c r="E20" s="49"/>
      <c r="F20" s="48"/>
      <c r="G20" s="48"/>
      <c r="H20" s="48"/>
      <c r="I20" s="48"/>
      <c r="J20" s="48"/>
      <c r="K20" s="48"/>
      <c r="L20" s="62"/>
      <c r="M20" s="49"/>
      <c r="N20" s="48"/>
      <c r="O20" s="48"/>
      <c r="P20" s="50">
        <f>SUM(D20:O20)</f>
        <v>0</v>
      </c>
    </row>
    <row r="21" spans="1:16" s="12" customFormat="1" ht="13.5" hidden="1" thickBot="1">
      <c r="A21" s="15" t="s">
        <v>50</v>
      </c>
      <c r="B21" s="47" t="s">
        <v>49</v>
      </c>
      <c r="C21" s="48"/>
      <c r="D21" s="48">
        <v>0</v>
      </c>
      <c r="E21" s="49"/>
      <c r="F21" s="48"/>
      <c r="G21" s="48"/>
      <c r="H21" s="48"/>
      <c r="I21" s="48"/>
      <c r="J21" s="48"/>
      <c r="K21" s="48"/>
      <c r="L21" s="62"/>
      <c r="M21" s="49"/>
      <c r="N21" s="48"/>
      <c r="O21" s="48"/>
      <c r="P21" s="50">
        <f>SUM(D21:O21)</f>
        <v>0</v>
      </c>
    </row>
    <row r="22" spans="1:16" s="12" customFormat="1" ht="13.5" hidden="1" thickBot="1">
      <c r="A22" s="15" t="s">
        <v>47</v>
      </c>
      <c r="B22" s="47" t="s">
        <v>48</v>
      </c>
      <c r="C22" s="58"/>
      <c r="D22" s="58">
        <v>0</v>
      </c>
      <c r="E22" s="65"/>
      <c r="F22" s="63"/>
      <c r="G22" s="63"/>
      <c r="H22" s="51"/>
      <c r="I22" s="66"/>
      <c r="J22" s="63"/>
      <c r="K22" s="51"/>
      <c r="L22" s="64"/>
      <c r="M22" s="51"/>
      <c r="N22" s="48"/>
      <c r="O22" s="48"/>
      <c r="P22" s="50">
        <f>SUM(D22:O22)</f>
        <v>0</v>
      </c>
    </row>
    <row r="23" spans="1:16" s="14" customFormat="1" ht="18" customHeight="1" thickBot="1">
      <c r="A23" s="25"/>
      <c r="B23" s="53" t="s">
        <v>41</v>
      </c>
      <c r="C23" s="54">
        <f aca="true" t="shared" si="4" ref="C23:P23">SUM(C24:C25)</f>
        <v>391107120</v>
      </c>
      <c r="D23" s="54">
        <f t="shared" si="4"/>
        <v>0</v>
      </c>
      <c r="E23" s="54">
        <f t="shared" si="4"/>
        <v>391107120</v>
      </c>
      <c r="F23" s="54">
        <f t="shared" si="4"/>
        <v>0</v>
      </c>
      <c r="G23" s="54">
        <f t="shared" si="4"/>
        <v>0</v>
      </c>
      <c r="H23" s="54">
        <f t="shared" si="4"/>
        <v>0</v>
      </c>
      <c r="I23" s="54">
        <f t="shared" si="4"/>
        <v>0</v>
      </c>
      <c r="J23" s="54">
        <f t="shared" si="4"/>
        <v>0</v>
      </c>
      <c r="K23" s="54">
        <f t="shared" si="4"/>
        <v>0</v>
      </c>
      <c r="L23" s="54">
        <f t="shared" si="4"/>
        <v>0</v>
      </c>
      <c r="M23" s="54">
        <f t="shared" si="4"/>
        <v>0</v>
      </c>
      <c r="N23" s="54">
        <f t="shared" si="4"/>
        <v>0</v>
      </c>
      <c r="O23" s="54">
        <f t="shared" si="4"/>
        <v>0</v>
      </c>
      <c r="P23" s="42">
        <f t="shared" si="4"/>
        <v>391107120</v>
      </c>
    </row>
    <row r="24" spans="1:16" s="10" customFormat="1" ht="12.75">
      <c r="A24" s="68" t="s">
        <v>149</v>
      </c>
      <c r="B24" s="109" t="s">
        <v>158</v>
      </c>
      <c r="C24" s="48">
        <v>390000000</v>
      </c>
      <c r="D24" s="57">
        <v>0</v>
      </c>
      <c r="E24" s="48">
        <v>390000000</v>
      </c>
      <c r="F24" s="48"/>
      <c r="G24" s="57">
        <v>0</v>
      </c>
      <c r="H24" s="57">
        <v>0</v>
      </c>
      <c r="I24" s="57">
        <v>0</v>
      </c>
      <c r="J24" s="57">
        <v>0</v>
      </c>
      <c r="K24" s="48">
        <v>0</v>
      </c>
      <c r="L24" s="48">
        <v>0</v>
      </c>
      <c r="M24" s="48">
        <v>0</v>
      </c>
      <c r="N24" s="48">
        <v>0</v>
      </c>
      <c r="O24" s="57">
        <v>0</v>
      </c>
      <c r="P24" s="50">
        <f>SUM(D24:O24)</f>
        <v>390000000</v>
      </c>
    </row>
    <row r="25" spans="1:16" s="10" customFormat="1" ht="13.5" thickBot="1">
      <c r="A25" s="68" t="s">
        <v>159</v>
      </c>
      <c r="B25" s="109" t="s">
        <v>160</v>
      </c>
      <c r="C25" s="48">
        <v>1107120</v>
      </c>
      <c r="D25" s="57">
        <v>0</v>
      </c>
      <c r="E25" s="48">
        <v>1107120</v>
      </c>
      <c r="F25" s="48"/>
      <c r="G25" s="57">
        <v>0</v>
      </c>
      <c r="H25" s="57">
        <v>0</v>
      </c>
      <c r="I25" s="57">
        <v>0</v>
      </c>
      <c r="J25" s="57">
        <v>0</v>
      </c>
      <c r="K25" s="48">
        <v>0</v>
      </c>
      <c r="L25" s="48">
        <v>0</v>
      </c>
      <c r="M25" s="48">
        <v>0</v>
      </c>
      <c r="N25" s="110">
        <v>0</v>
      </c>
      <c r="O25" s="57">
        <v>0</v>
      </c>
      <c r="P25" s="50">
        <f>SUM(D25:O25)</f>
        <v>1107120</v>
      </c>
    </row>
    <row r="26" spans="1:16" s="11" customFormat="1" ht="13.5" thickBot="1">
      <c r="A26" s="135" t="s">
        <v>33</v>
      </c>
      <c r="B26" s="136"/>
      <c r="C26" s="54">
        <f aca="true" t="shared" si="5" ref="C26:P26">SUM(C15+C17+C19+C23)</f>
        <v>416781562</v>
      </c>
      <c r="D26" s="54">
        <f t="shared" si="5"/>
        <v>14969500</v>
      </c>
      <c r="E26" s="54">
        <f t="shared" si="5"/>
        <v>401555112</v>
      </c>
      <c r="F26" s="54">
        <f t="shared" si="5"/>
        <v>256950</v>
      </c>
      <c r="G26" s="54">
        <f t="shared" si="5"/>
        <v>0</v>
      </c>
      <c r="H26" s="54">
        <f t="shared" si="5"/>
        <v>0</v>
      </c>
      <c r="I26" s="54">
        <f t="shared" si="5"/>
        <v>0</v>
      </c>
      <c r="J26" s="54">
        <f t="shared" si="5"/>
        <v>0</v>
      </c>
      <c r="K26" s="54">
        <f t="shared" si="5"/>
        <v>0</v>
      </c>
      <c r="L26" s="54">
        <f t="shared" si="5"/>
        <v>0</v>
      </c>
      <c r="M26" s="54">
        <f t="shared" si="5"/>
        <v>0</v>
      </c>
      <c r="N26" s="54">
        <f t="shared" si="5"/>
        <v>0</v>
      </c>
      <c r="O26" s="54">
        <f t="shared" si="5"/>
        <v>0</v>
      </c>
      <c r="P26" s="42">
        <f t="shared" si="5"/>
        <v>416781562</v>
      </c>
    </row>
    <row r="27" spans="1:16" ht="12.75">
      <c r="A27" s="80" t="s">
        <v>161</v>
      </c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</row>
    <row r="28" spans="1:16" ht="12.75">
      <c r="A28" s="7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71"/>
      <c r="B29" s="7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5.75" thickBot="1">
      <c r="A33" s="3"/>
      <c r="B33" s="6"/>
      <c r="C33" s="111"/>
      <c r="D33" s="127"/>
      <c r="E33" s="127"/>
      <c r="F33" s="127"/>
      <c r="G33" s="127"/>
      <c r="H33" s="127"/>
      <c r="I33" s="127"/>
      <c r="J33" s="127"/>
      <c r="K33" s="6"/>
      <c r="L33" s="6"/>
      <c r="M33" s="6"/>
      <c r="N33" s="4"/>
      <c r="O33" s="6"/>
      <c r="P33" s="7"/>
    </row>
    <row r="34" spans="1:16" ht="15" customHeight="1">
      <c r="A34" s="3"/>
      <c r="B34" s="23" t="s">
        <v>153</v>
      </c>
      <c r="C34" s="128" t="s">
        <v>154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</row>
    <row r="35" spans="1:16" ht="0.75" customHeight="1" thickBot="1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</sheetData>
  <mergeCells count="10">
    <mergeCell ref="A1:P1"/>
    <mergeCell ref="A2:P2"/>
    <mergeCell ref="A3:P3"/>
    <mergeCell ref="A4:P4"/>
    <mergeCell ref="D33:J33"/>
    <mergeCell ref="C34:P34"/>
    <mergeCell ref="A5:P5"/>
    <mergeCell ref="A7:B7"/>
    <mergeCell ref="A8:B8"/>
    <mergeCell ref="A26:B26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82"/>
  <sheetViews>
    <sheetView zoomScale="75" zoomScaleNormal="75" workbookViewId="0" topLeftCell="A1">
      <pane xSplit="2" ySplit="11" topLeftCell="AC47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" sqref="AQ1:AU15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customWidth="1"/>
    <col min="42" max="42" width="22.28125" style="1" customWidth="1"/>
    <col min="43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104" t="s">
        <v>2</v>
      </c>
      <c r="B6" s="105"/>
      <c r="C6" s="86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8" t="s">
        <v>165</v>
      </c>
    </row>
    <row r="7" spans="1:42" ht="15" customHeight="1">
      <c r="A7" s="104" t="s">
        <v>3</v>
      </c>
      <c r="B7" s="10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9">
        <v>2007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</row>
    <row r="10" spans="1:42" ht="12.75">
      <c r="A10" s="73" t="s">
        <v>24</v>
      </c>
      <c r="B10" s="73" t="s">
        <v>26</v>
      </c>
      <c r="C10" s="73" t="s">
        <v>27</v>
      </c>
      <c r="D10" s="73" t="s">
        <v>28</v>
      </c>
      <c r="E10" s="73" t="s">
        <v>28</v>
      </c>
      <c r="F10" s="73" t="s">
        <v>28</v>
      </c>
      <c r="G10" s="73" t="s">
        <v>28</v>
      </c>
      <c r="H10" s="73" t="s">
        <v>28</v>
      </c>
      <c r="I10" s="73" t="s">
        <v>28</v>
      </c>
      <c r="J10" s="73" t="s">
        <v>28</v>
      </c>
      <c r="K10" s="73" t="s">
        <v>28</v>
      </c>
      <c r="L10" s="73" t="s">
        <v>28</v>
      </c>
      <c r="M10" s="73" t="s">
        <v>28</v>
      </c>
      <c r="N10" s="73" t="s">
        <v>28</v>
      </c>
      <c r="O10" s="73" t="s">
        <v>28</v>
      </c>
      <c r="P10" s="73" t="s">
        <v>28</v>
      </c>
      <c r="Q10" s="73" t="s">
        <v>29</v>
      </c>
      <c r="R10" s="73" t="s">
        <v>29</v>
      </c>
      <c r="S10" s="73" t="s">
        <v>29</v>
      </c>
      <c r="T10" s="73" t="s">
        <v>29</v>
      </c>
      <c r="U10" s="73" t="s">
        <v>29</v>
      </c>
      <c r="V10" s="73" t="s">
        <v>29</v>
      </c>
      <c r="W10" s="73" t="s">
        <v>29</v>
      </c>
      <c r="X10" s="73" t="s">
        <v>29</v>
      </c>
      <c r="Y10" s="73" t="s">
        <v>29</v>
      </c>
      <c r="Z10" s="73" t="s">
        <v>29</v>
      </c>
      <c r="AA10" s="73" t="s">
        <v>29</v>
      </c>
      <c r="AB10" s="73" t="s">
        <v>29</v>
      </c>
      <c r="AC10" s="73" t="s">
        <v>29</v>
      </c>
      <c r="AD10" s="73" t="s">
        <v>30</v>
      </c>
      <c r="AE10" s="73" t="s">
        <v>30</v>
      </c>
      <c r="AF10" s="73" t="s">
        <v>30</v>
      </c>
      <c r="AG10" s="73" t="s">
        <v>30</v>
      </c>
      <c r="AH10" s="73" t="s">
        <v>30</v>
      </c>
      <c r="AI10" s="73" t="s">
        <v>30</v>
      </c>
      <c r="AJ10" s="73" t="s">
        <v>30</v>
      </c>
      <c r="AK10" s="73" t="s">
        <v>30</v>
      </c>
      <c r="AL10" s="73" t="s">
        <v>30</v>
      </c>
      <c r="AM10" s="73" t="s">
        <v>30</v>
      </c>
      <c r="AN10" s="73" t="s">
        <v>30</v>
      </c>
      <c r="AO10" s="73" t="s">
        <v>30</v>
      </c>
      <c r="AP10" s="73" t="s">
        <v>30</v>
      </c>
    </row>
    <row r="11" spans="1:42" ht="13.5" thickBot="1">
      <c r="A11" s="90" t="s">
        <v>25</v>
      </c>
      <c r="B11" s="90"/>
      <c r="C11" s="90" t="s">
        <v>6</v>
      </c>
      <c r="D11" s="90" t="s">
        <v>7</v>
      </c>
      <c r="E11" s="90" t="s">
        <v>8</v>
      </c>
      <c r="F11" s="90" t="s">
        <v>9</v>
      </c>
      <c r="G11" s="90" t="s">
        <v>10</v>
      </c>
      <c r="H11" s="90" t="s">
        <v>11</v>
      </c>
      <c r="I11" s="90" t="s">
        <v>12</v>
      </c>
      <c r="J11" s="90" t="s">
        <v>13</v>
      </c>
      <c r="K11" s="90" t="s">
        <v>14</v>
      </c>
      <c r="L11" s="90" t="s">
        <v>15</v>
      </c>
      <c r="M11" s="90" t="s">
        <v>16</v>
      </c>
      <c r="N11" s="90" t="s">
        <v>17</v>
      </c>
      <c r="O11" s="90" t="s">
        <v>18</v>
      </c>
      <c r="P11" s="90" t="s">
        <v>19</v>
      </c>
      <c r="Q11" s="90" t="s">
        <v>7</v>
      </c>
      <c r="R11" s="90" t="s">
        <v>8</v>
      </c>
      <c r="S11" s="90" t="s">
        <v>9</v>
      </c>
      <c r="T11" s="90" t="s">
        <v>10</v>
      </c>
      <c r="U11" s="90" t="s">
        <v>20</v>
      </c>
      <c r="V11" s="90" t="s">
        <v>21</v>
      </c>
      <c r="W11" s="90" t="s">
        <v>22</v>
      </c>
      <c r="X11" s="90" t="s">
        <v>14</v>
      </c>
      <c r="Y11" s="90" t="s">
        <v>15</v>
      </c>
      <c r="Z11" s="90" t="s">
        <v>23</v>
      </c>
      <c r="AA11" s="90" t="s">
        <v>17</v>
      </c>
      <c r="AB11" s="90" t="s">
        <v>18</v>
      </c>
      <c r="AC11" s="90" t="s">
        <v>31</v>
      </c>
      <c r="AD11" s="90" t="s">
        <v>7</v>
      </c>
      <c r="AE11" s="90" t="s">
        <v>8</v>
      </c>
      <c r="AF11" s="90" t="s">
        <v>9</v>
      </c>
      <c r="AG11" s="90" t="s">
        <v>10</v>
      </c>
      <c r="AH11" s="90" t="s">
        <v>20</v>
      </c>
      <c r="AI11" s="90" t="s">
        <v>21</v>
      </c>
      <c r="AJ11" s="90" t="s">
        <v>22</v>
      </c>
      <c r="AK11" s="90" t="s">
        <v>14</v>
      </c>
      <c r="AL11" s="90" t="s">
        <v>15</v>
      </c>
      <c r="AM11" s="90" t="s">
        <v>23</v>
      </c>
      <c r="AN11" s="90" t="s">
        <v>17</v>
      </c>
      <c r="AO11" s="90" t="s">
        <v>18</v>
      </c>
      <c r="AP11" s="90" t="s">
        <v>19</v>
      </c>
    </row>
    <row r="12" spans="1:42" s="96" customFormat="1" ht="12" thickBot="1">
      <c r="A12" s="72">
        <v>1</v>
      </c>
      <c r="B12" s="72">
        <v>2</v>
      </c>
      <c r="C12" s="72"/>
      <c r="D12" s="72">
        <v>3</v>
      </c>
      <c r="E12" s="72">
        <v>3</v>
      </c>
      <c r="F12" s="72">
        <v>3</v>
      </c>
      <c r="G12" s="72">
        <v>3</v>
      </c>
      <c r="H12" s="72">
        <v>3</v>
      </c>
      <c r="I12" s="72">
        <v>3</v>
      </c>
      <c r="J12" s="72">
        <v>3</v>
      </c>
      <c r="K12" s="72">
        <v>3</v>
      </c>
      <c r="L12" s="72">
        <v>3</v>
      </c>
      <c r="M12" s="72">
        <v>3</v>
      </c>
      <c r="N12" s="72">
        <v>3</v>
      </c>
      <c r="O12" s="72">
        <v>3</v>
      </c>
      <c r="P12" s="72">
        <v>4</v>
      </c>
      <c r="Q12" s="72">
        <v>5</v>
      </c>
      <c r="R12" s="72">
        <v>5</v>
      </c>
      <c r="S12" s="72">
        <v>5</v>
      </c>
      <c r="T12" s="72">
        <v>5</v>
      </c>
      <c r="U12" s="72">
        <v>5</v>
      </c>
      <c r="V12" s="72">
        <v>5</v>
      </c>
      <c r="W12" s="72">
        <v>5</v>
      </c>
      <c r="X12" s="72">
        <v>5</v>
      </c>
      <c r="Y12" s="72">
        <v>5</v>
      </c>
      <c r="Z12" s="72">
        <v>5</v>
      </c>
      <c r="AA12" s="72">
        <v>5</v>
      </c>
      <c r="AB12" s="72">
        <v>5</v>
      </c>
      <c r="AC12" s="72">
        <v>6</v>
      </c>
      <c r="AD12" s="72">
        <v>7</v>
      </c>
      <c r="AE12" s="72">
        <v>7</v>
      </c>
      <c r="AF12" s="72">
        <v>7</v>
      </c>
      <c r="AG12" s="72">
        <v>7</v>
      </c>
      <c r="AH12" s="72">
        <v>7</v>
      </c>
      <c r="AI12" s="72">
        <v>7</v>
      </c>
      <c r="AJ12" s="72">
        <v>7</v>
      </c>
      <c r="AK12" s="72">
        <v>7</v>
      </c>
      <c r="AL12" s="72">
        <v>7</v>
      </c>
      <c r="AM12" s="72">
        <v>7</v>
      </c>
      <c r="AN12" s="72">
        <v>7</v>
      </c>
      <c r="AO12" s="72">
        <v>7</v>
      </c>
      <c r="AP12" s="72">
        <v>8</v>
      </c>
    </row>
    <row r="13" spans="1:42" s="14" customFormat="1" ht="13.5" thickBot="1">
      <c r="A13" s="39"/>
      <c r="B13" s="40" t="s">
        <v>45</v>
      </c>
      <c r="C13" s="41">
        <f aca="true" t="shared" si="0" ref="C13:AP13">SUM(C14,C42,C55)</f>
        <v>18324643727</v>
      </c>
      <c r="D13" s="41">
        <f t="shared" si="0"/>
        <v>1105367158</v>
      </c>
      <c r="E13" s="41">
        <f t="shared" si="0"/>
        <v>1123886613.2</v>
      </c>
      <c r="F13" s="41">
        <f t="shared" si="0"/>
        <v>1862919524</v>
      </c>
      <c r="G13" s="41">
        <f t="shared" si="0"/>
        <v>1360687173</v>
      </c>
      <c r="H13" s="41">
        <f t="shared" si="0"/>
        <v>1449629433</v>
      </c>
      <c r="I13" s="41">
        <f t="shared" si="0"/>
        <v>1456012576</v>
      </c>
      <c r="J13" s="41">
        <f t="shared" si="0"/>
        <v>1643371170</v>
      </c>
      <c r="K13" s="41">
        <f t="shared" si="0"/>
        <v>1183169710</v>
      </c>
      <c r="L13" s="41">
        <f t="shared" si="0"/>
        <v>1268981251</v>
      </c>
      <c r="M13" s="41">
        <f t="shared" si="0"/>
        <v>1180124290</v>
      </c>
      <c r="N13" s="41">
        <f t="shared" si="0"/>
        <v>1320897926</v>
      </c>
      <c r="O13" s="41">
        <f t="shared" si="0"/>
        <v>2707506447.01</v>
      </c>
      <c r="P13" s="41">
        <f t="shared" si="0"/>
        <v>17662553271.21</v>
      </c>
      <c r="Q13" s="41">
        <f t="shared" si="0"/>
        <v>856433185</v>
      </c>
      <c r="R13" s="41">
        <f t="shared" si="0"/>
        <v>1064133361</v>
      </c>
      <c r="S13" s="41">
        <f t="shared" si="0"/>
        <v>1383037879.52</v>
      </c>
      <c r="T13" s="41">
        <f t="shared" si="0"/>
        <v>1379001128.52</v>
      </c>
      <c r="U13" s="41">
        <f t="shared" si="0"/>
        <v>1542956552.52</v>
      </c>
      <c r="V13" s="41">
        <f t="shared" si="0"/>
        <v>1457563276.52</v>
      </c>
      <c r="W13" s="41">
        <f t="shared" si="0"/>
        <v>1783482735.04</v>
      </c>
      <c r="X13" s="41">
        <f t="shared" si="0"/>
        <v>1236941477</v>
      </c>
      <c r="Y13" s="41">
        <f t="shared" si="0"/>
        <v>1295391948.04</v>
      </c>
      <c r="Z13" s="41">
        <f t="shared" si="0"/>
        <v>1300134020.52</v>
      </c>
      <c r="AA13" s="41">
        <f t="shared" si="0"/>
        <v>1401754661.52</v>
      </c>
      <c r="AB13" s="41">
        <f t="shared" si="0"/>
        <v>2961723046.01</v>
      </c>
      <c r="AC13" s="41">
        <f t="shared" si="0"/>
        <v>17662553271.21</v>
      </c>
      <c r="AD13" s="41">
        <f t="shared" si="0"/>
        <v>856433185</v>
      </c>
      <c r="AE13" s="41">
        <f t="shared" si="0"/>
        <v>1064133361</v>
      </c>
      <c r="AF13" s="41">
        <f t="shared" si="0"/>
        <v>1382979879.52</v>
      </c>
      <c r="AG13" s="41">
        <f t="shared" si="0"/>
        <v>1349469905.52</v>
      </c>
      <c r="AH13" s="41">
        <f t="shared" si="0"/>
        <v>1276107874.52</v>
      </c>
      <c r="AI13" s="41">
        <f t="shared" si="0"/>
        <v>1519000261.52</v>
      </c>
      <c r="AJ13" s="41">
        <f t="shared" si="0"/>
        <v>1634940012.52</v>
      </c>
      <c r="AK13" s="41">
        <f t="shared" si="0"/>
        <v>1323665966.52</v>
      </c>
      <c r="AL13" s="41">
        <f t="shared" si="0"/>
        <v>1352423558.52</v>
      </c>
      <c r="AM13" s="41">
        <f t="shared" si="0"/>
        <v>1468633996.52</v>
      </c>
      <c r="AN13" s="41">
        <f t="shared" si="0"/>
        <v>1235113507.52</v>
      </c>
      <c r="AO13" s="41">
        <f t="shared" si="0"/>
        <v>2892153022.53</v>
      </c>
      <c r="AP13" s="41">
        <f t="shared" si="0"/>
        <v>17355054531.21</v>
      </c>
    </row>
    <row r="14" spans="1:42" s="14" customFormat="1" ht="13.5" thickBot="1">
      <c r="A14" s="39"/>
      <c r="B14" s="40" t="s">
        <v>42</v>
      </c>
      <c r="C14" s="41">
        <f aca="true" t="shared" si="1" ref="C14:AP14">SUM(C15:C41)</f>
        <v>16347740158</v>
      </c>
      <c r="D14" s="41">
        <f t="shared" si="1"/>
        <v>772710428</v>
      </c>
      <c r="E14" s="41">
        <f t="shared" si="1"/>
        <v>1047331631</v>
      </c>
      <c r="F14" s="41">
        <f t="shared" si="1"/>
        <v>1286170154</v>
      </c>
      <c r="G14" s="41">
        <f t="shared" si="1"/>
        <v>1283510588</v>
      </c>
      <c r="H14" s="41">
        <f t="shared" si="1"/>
        <v>1412549452</v>
      </c>
      <c r="I14" s="41">
        <f t="shared" si="1"/>
        <v>1360073164</v>
      </c>
      <c r="J14" s="41">
        <f t="shared" si="1"/>
        <v>1621491292</v>
      </c>
      <c r="K14" s="41">
        <f t="shared" si="1"/>
        <v>1143477847</v>
      </c>
      <c r="L14" s="41">
        <f t="shared" si="1"/>
        <v>1235883004</v>
      </c>
      <c r="M14" s="41">
        <f t="shared" si="1"/>
        <v>1160818961</v>
      </c>
      <c r="N14" s="41">
        <f t="shared" si="1"/>
        <v>1175930999</v>
      </c>
      <c r="O14" s="41">
        <f t="shared" si="1"/>
        <v>2465587788</v>
      </c>
      <c r="P14" s="41">
        <f t="shared" si="1"/>
        <v>15965535308</v>
      </c>
      <c r="Q14" s="41">
        <f t="shared" si="1"/>
        <v>772710428</v>
      </c>
      <c r="R14" s="41">
        <f t="shared" si="1"/>
        <v>1047331631</v>
      </c>
      <c r="S14" s="41">
        <f t="shared" si="1"/>
        <v>1286170154</v>
      </c>
      <c r="T14" s="41">
        <f t="shared" si="1"/>
        <v>1264242038</v>
      </c>
      <c r="U14" s="41">
        <f t="shared" si="1"/>
        <v>1416426702</v>
      </c>
      <c r="V14" s="41">
        <f t="shared" si="1"/>
        <v>1357614014</v>
      </c>
      <c r="W14" s="41">
        <f t="shared" si="1"/>
        <v>1626119142</v>
      </c>
      <c r="X14" s="41">
        <f t="shared" si="1"/>
        <v>1144432367</v>
      </c>
      <c r="Y14" s="41">
        <f t="shared" si="1"/>
        <v>1206245864</v>
      </c>
      <c r="Z14" s="41">
        <f t="shared" si="1"/>
        <v>1169085961</v>
      </c>
      <c r="AA14" s="41">
        <f t="shared" si="1"/>
        <v>1184074219</v>
      </c>
      <c r="AB14" s="41">
        <f t="shared" si="1"/>
        <v>2491082788</v>
      </c>
      <c r="AC14" s="41">
        <f t="shared" si="1"/>
        <v>15965535308</v>
      </c>
      <c r="AD14" s="41">
        <f t="shared" si="1"/>
        <v>772710428</v>
      </c>
      <c r="AE14" s="41">
        <f t="shared" si="1"/>
        <v>1047331631</v>
      </c>
      <c r="AF14" s="41">
        <f t="shared" si="1"/>
        <v>1286170154</v>
      </c>
      <c r="AG14" s="41">
        <f t="shared" si="1"/>
        <v>1264242038</v>
      </c>
      <c r="AH14" s="41">
        <f t="shared" si="1"/>
        <v>1122461858</v>
      </c>
      <c r="AI14" s="41">
        <f t="shared" si="1"/>
        <v>1416727942</v>
      </c>
      <c r="AJ14" s="41">
        <f t="shared" si="1"/>
        <v>1493532816</v>
      </c>
      <c r="AK14" s="41">
        <f t="shared" si="1"/>
        <v>1216341651</v>
      </c>
      <c r="AL14" s="41">
        <f t="shared" si="1"/>
        <v>1266655162</v>
      </c>
      <c r="AM14" s="41">
        <f t="shared" si="1"/>
        <v>1337330073</v>
      </c>
      <c r="AN14" s="41">
        <f t="shared" si="1"/>
        <v>1025721789</v>
      </c>
      <c r="AO14" s="41">
        <f t="shared" si="1"/>
        <v>2713938866</v>
      </c>
      <c r="AP14" s="42">
        <f t="shared" si="1"/>
        <v>15963164408</v>
      </c>
    </row>
    <row r="15" spans="1:42" s="12" customFormat="1" ht="12.75">
      <c r="A15" s="44" t="s">
        <v>54</v>
      </c>
      <c r="B15" s="45" t="s">
        <v>56</v>
      </c>
      <c r="C15" s="46">
        <f>8197556279+295500000</f>
        <v>8493056279</v>
      </c>
      <c r="D15" s="46">
        <v>563458752</v>
      </c>
      <c r="E15" s="46">
        <v>689864496</v>
      </c>
      <c r="F15" s="46">
        <v>794378042</v>
      </c>
      <c r="G15" s="46">
        <v>706977442</v>
      </c>
      <c r="H15" s="46">
        <v>728845736</v>
      </c>
      <c r="I15" s="46">
        <v>711900889</v>
      </c>
      <c r="J15" s="46">
        <v>684249789</v>
      </c>
      <c r="K15" s="46">
        <v>697082893</v>
      </c>
      <c r="L15" s="46">
        <v>715947184</v>
      </c>
      <c r="M15" s="46">
        <v>701564066</v>
      </c>
      <c r="N15" s="46">
        <v>711650309</v>
      </c>
      <c r="O15" s="46">
        <v>667865108</v>
      </c>
      <c r="P15" s="84">
        <f>SUM(D15:O15)</f>
        <v>8373784706</v>
      </c>
      <c r="Q15" s="46">
        <v>563458752</v>
      </c>
      <c r="R15" s="46">
        <v>689864496</v>
      </c>
      <c r="S15" s="46">
        <v>794378042</v>
      </c>
      <c r="T15" s="46">
        <v>706977442</v>
      </c>
      <c r="U15" s="46">
        <v>728845736</v>
      </c>
      <c r="V15" s="46">
        <v>711900889</v>
      </c>
      <c r="W15" s="46">
        <v>684249789</v>
      </c>
      <c r="X15" s="46">
        <v>697082893</v>
      </c>
      <c r="Y15" s="46">
        <v>715947184</v>
      </c>
      <c r="Z15" s="46">
        <v>701564066</v>
      </c>
      <c r="AA15" s="46">
        <v>711310809</v>
      </c>
      <c r="AB15" s="46">
        <v>668204608</v>
      </c>
      <c r="AC15" s="84">
        <f>SUM(Q15:AB15)</f>
        <v>8373784706</v>
      </c>
      <c r="AD15" s="46">
        <v>563458752</v>
      </c>
      <c r="AE15" s="46">
        <v>689864496</v>
      </c>
      <c r="AF15" s="46">
        <v>794378042</v>
      </c>
      <c r="AG15" s="46">
        <v>706977442</v>
      </c>
      <c r="AH15" s="46">
        <v>728845736</v>
      </c>
      <c r="AI15" s="46">
        <v>711900889</v>
      </c>
      <c r="AJ15" s="46">
        <v>684249789</v>
      </c>
      <c r="AK15" s="46">
        <v>697082893</v>
      </c>
      <c r="AL15" s="46">
        <v>715947184</v>
      </c>
      <c r="AM15" s="46">
        <v>701564066</v>
      </c>
      <c r="AN15" s="46">
        <v>711310809</v>
      </c>
      <c r="AO15" s="46">
        <v>668204608</v>
      </c>
      <c r="AP15" s="85">
        <f>SUM(AD15:AO15)</f>
        <v>8373784706</v>
      </c>
    </row>
    <row r="16" spans="1:42" s="12" customFormat="1" ht="12.75">
      <c r="A16" s="16" t="s">
        <v>55</v>
      </c>
      <c r="B16" s="56" t="s">
        <v>57</v>
      </c>
      <c r="C16" s="57">
        <v>608449222</v>
      </c>
      <c r="D16" s="57">
        <v>28410904</v>
      </c>
      <c r="E16" s="57">
        <v>15440456</v>
      </c>
      <c r="F16" s="57">
        <v>52075514</v>
      </c>
      <c r="G16" s="57">
        <v>25941659</v>
      </c>
      <c r="H16" s="57">
        <v>17451795</v>
      </c>
      <c r="I16" s="57">
        <v>80701447</v>
      </c>
      <c r="J16" s="57">
        <v>44553250</v>
      </c>
      <c r="K16" s="57">
        <v>30025117</v>
      </c>
      <c r="L16" s="57">
        <v>23895979</v>
      </c>
      <c r="M16" s="57">
        <v>30243805</v>
      </c>
      <c r="N16" s="57">
        <v>16310419</v>
      </c>
      <c r="O16" s="57">
        <v>222711955</v>
      </c>
      <c r="P16" s="49">
        <f aca="true" t="shared" si="2" ref="P16:P43">SUM(D16:O16)</f>
        <v>587762300</v>
      </c>
      <c r="Q16" s="57">
        <v>28410904</v>
      </c>
      <c r="R16" s="57">
        <v>15440456</v>
      </c>
      <c r="S16" s="57">
        <v>52075514</v>
      </c>
      <c r="T16" s="57">
        <v>25941659</v>
      </c>
      <c r="U16" s="57">
        <v>17451795</v>
      </c>
      <c r="V16" s="57">
        <v>80701447</v>
      </c>
      <c r="W16" s="57">
        <v>44553250</v>
      </c>
      <c r="X16" s="57">
        <v>30025117</v>
      </c>
      <c r="Y16" s="57">
        <v>23895979</v>
      </c>
      <c r="Z16" s="57">
        <v>30243805</v>
      </c>
      <c r="AA16" s="57">
        <v>16310419</v>
      </c>
      <c r="AB16" s="57">
        <v>222711955</v>
      </c>
      <c r="AC16" s="49">
        <f aca="true" t="shared" si="3" ref="AC16:AC43">SUM(Q16:AB16)</f>
        <v>587762300</v>
      </c>
      <c r="AD16" s="57">
        <v>28410904</v>
      </c>
      <c r="AE16" s="57">
        <v>15440456</v>
      </c>
      <c r="AF16" s="57">
        <v>52075514</v>
      </c>
      <c r="AG16" s="57">
        <v>25941659</v>
      </c>
      <c r="AH16" s="57">
        <v>17451795</v>
      </c>
      <c r="AI16" s="57">
        <v>80701447</v>
      </c>
      <c r="AJ16" s="57">
        <v>44553250</v>
      </c>
      <c r="AK16" s="57">
        <v>30025117</v>
      </c>
      <c r="AL16" s="57">
        <v>23895979</v>
      </c>
      <c r="AM16" s="57">
        <v>30243805</v>
      </c>
      <c r="AN16" s="57">
        <v>16310419</v>
      </c>
      <c r="AO16" s="57">
        <v>222711955</v>
      </c>
      <c r="AP16" s="50">
        <f aca="true" t="shared" si="4" ref="AP16:AP43">SUM(AD16:AO16)</f>
        <v>587762300</v>
      </c>
    </row>
    <row r="17" spans="1:42" s="12" customFormat="1" ht="12.75">
      <c r="A17" s="16" t="s">
        <v>76</v>
      </c>
      <c r="B17" s="56" t="s">
        <v>58</v>
      </c>
      <c r="C17" s="57">
        <v>40000000</v>
      </c>
      <c r="D17" s="57">
        <v>2261688</v>
      </c>
      <c r="E17" s="57">
        <v>1864055</v>
      </c>
      <c r="F17" s="57">
        <v>1894474</v>
      </c>
      <c r="G17" s="57">
        <v>2490950</v>
      </c>
      <c r="H17" s="57">
        <v>2375617</v>
      </c>
      <c r="I17" s="57">
        <v>2097491</v>
      </c>
      <c r="J17" s="57">
        <v>48230</v>
      </c>
      <c r="K17" s="57">
        <v>646514</v>
      </c>
      <c r="L17" s="57">
        <v>1042985</v>
      </c>
      <c r="M17" s="57">
        <v>1333912</v>
      </c>
      <c r="N17" s="57">
        <v>1149882</v>
      </c>
      <c r="O17" s="57">
        <v>1099355</v>
      </c>
      <c r="P17" s="49">
        <f t="shared" si="2"/>
        <v>18305153</v>
      </c>
      <c r="Q17" s="57">
        <v>2261688</v>
      </c>
      <c r="R17" s="57">
        <v>1864055</v>
      </c>
      <c r="S17" s="57">
        <v>1894474</v>
      </c>
      <c r="T17" s="57">
        <v>2490950</v>
      </c>
      <c r="U17" s="57">
        <v>2375617</v>
      </c>
      <c r="V17" s="57">
        <v>2097491</v>
      </c>
      <c r="W17" s="57">
        <v>48230</v>
      </c>
      <c r="X17" s="57">
        <v>646514</v>
      </c>
      <c r="Y17" s="57">
        <v>1042985</v>
      </c>
      <c r="Z17" s="57">
        <v>1333912</v>
      </c>
      <c r="AA17" s="57">
        <v>1149882</v>
      </c>
      <c r="AB17" s="57">
        <v>1099355</v>
      </c>
      <c r="AC17" s="49">
        <f t="shared" si="3"/>
        <v>18305153</v>
      </c>
      <c r="AD17" s="57">
        <v>2261688</v>
      </c>
      <c r="AE17" s="57">
        <v>1864055</v>
      </c>
      <c r="AF17" s="57">
        <v>1894474</v>
      </c>
      <c r="AG17" s="57">
        <v>2490950</v>
      </c>
      <c r="AH17" s="57">
        <v>2375617</v>
      </c>
      <c r="AI17" s="57">
        <v>2097491</v>
      </c>
      <c r="AJ17" s="57">
        <v>48230</v>
      </c>
      <c r="AK17" s="57">
        <v>646514</v>
      </c>
      <c r="AL17" s="57">
        <v>1042985</v>
      </c>
      <c r="AM17" s="57">
        <v>1333912</v>
      </c>
      <c r="AN17" s="57">
        <v>1149882</v>
      </c>
      <c r="AO17" s="57">
        <v>1099355</v>
      </c>
      <c r="AP17" s="50">
        <f t="shared" si="4"/>
        <v>18305153</v>
      </c>
    </row>
    <row r="18" spans="1:42" s="12" customFormat="1" ht="12.75">
      <c r="A18" s="16" t="s">
        <v>77</v>
      </c>
      <c r="B18" s="56" t="s">
        <v>59</v>
      </c>
      <c r="C18" s="57">
        <f>482692128+43118952</f>
        <v>525811080</v>
      </c>
      <c r="D18" s="57">
        <v>35934558</v>
      </c>
      <c r="E18" s="57">
        <v>39810579</v>
      </c>
      <c r="F18" s="57">
        <v>46911926</v>
      </c>
      <c r="G18" s="57">
        <v>41523938</v>
      </c>
      <c r="H18" s="57">
        <v>42454726</v>
      </c>
      <c r="I18" s="57">
        <v>42756902</v>
      </c>
      <c r="J18" s="57">
        <v>38081330</v>
      </c>
      <c r="K18" s="57">
        <v>42976487</v>
      </c>
      <c r="L18" s="57">
        <v>42155148</v>
      </c>
      <c r="M18" s="57">
        <v>45274652</v>
      </c>
      <c r="N18" s="57">
        <v>42073614</v>
      </c>
      <c r="O18" s="57">
        <v>41080561</v>
      </c>
      <c r="P18" s="49">
        <f t="shared" si="2"/>
        <v>501034421</v>
      </c>
      <c r="Q18" s="57">
        <v>35934558</v>
      </c>
      <c r="R18" s="57">
        <v>39810579</v>
      </c>
      <c r="S18" s="57">
        <v>46911926</v>
      </c>
      <c r="T18" s="57">
        <v>41523938</v>
      </c>
      <c r="U18" s="57">
        <v>42454726</v>
      </c>
      <c r="V18" s="57">
        <v>42756902</v>
      </c>
      <c r="W18" s="57">
        <v>38081330</v>
      </c>
      <c r="X18" s="57">
        <v>42976487</v>
      </c>
      <c r="Y18" s="57">
        <v>42155148</v>
      </c>
      <c r="Z18" s="57">
        <v>45274652</v>
      </c>
      <c r="AA18" s="57">
        <v>42073614</v>
      </c>
      <c r="AB18" s="57">
        <v>41080561</v>
      </c>
      <c r="AC18" s="49">
        <f t="shared" si="3"/>
        <v>501034421</v>
      </c>
      <c r="AD18" s="57">
        <v>35934558</v>
      </c>
      <c r="AE18" s="57">
        <v>39810579</v>
      </c>
      <c r="AF18" s="57">
        <v>46911926</v>
      </c>
      <c r="AG18" s="57">
        <v>41523938</v>
      </c>
      <c r="AH18" s="57">
        <v>42454726</v>
      </c>
      <c r="AI18" s="57">
        <v>42756902</v>
      </c>
      <c r="AJ18" s="57">
        <v>38081330</v>
      </c>
      <c r="AK18" s="57">
        <v>42976487</v>
      </c>
      <c r="AL18" s="57">
        <v>42155148</v>
      </c>
      <c r="AM18" s="57">
        <v>45274652</v>
      </c>
      <c r="AN18" s="57">
        <v>42073614</v>
      </c>
      <c r="AO18" s="57">
        <v>41080561</v>
      </c>
      <c r="AP18" s="50">
        <f t="shared" si="4"/>
        <v>501034421</v>
      </c>
    </row>
    <row r="19" spans="1:42" s="12" customFormat="1" ht="12.75">
      <c r="A19" s="16" t="s">
        <v>78</v>
      </c>
      <c r="B19" s="56" t="s">
        <v>60</v>
      </c>
      <c r="C19" s="57">
        <v>104723249</v>
      </c>
      <c r="D19" s="57">
        <v>4787279</v>
      </c>
      <c r="E19" s="57">
        <v>8311370</v>
      </c>
      <c r="F19" s="57">
        <v>9274822</v>
      </c>
      <c r="G19" s="57">
        <v>8685382</v>
      </c>
      <c r="H19" s="57">
        <v>8685382</v>
      </c>
      <c r="I19" s="57">
        <v>8685382</v>
      </c>
      <c r="J19" s="57">
        <v>8685382</v>
      </c>
      <c r="K19" s="57">
        <v>8563263</v>
      </c>
      <c r="L19" s="57">
        <v>6365131</v>
      </c>
      <c r="M19" s="57">
        <v>8685382</v>
      </c>
      <c r="N19" s="57">
        <v>8685382</v>
      </c>
      <c r="O19" s="57">
        <v>8685381</v>
      </c>
      <c r="P19" s="49">
        <f t="shared" si="2"/>
        <v>98099538</v>
      </c>
      <c r="Q19" s="57">
        <v>4787279</v>
      </c>
      <c r="R19" s="57">
        <v>8311370</v>
      </c>
      <c r="S19" s="57">
        <v>9274822</v>
      </c>
      <c r="T19" s="57">
        <v>8685382</v>
      </c>
      <c r="U19" s="57">
        <v>8685382</v>
      </c>
      <c r="V19" s="57">
        <v>8685382</v>
      </c>
      <c r="W19" s="57">
        <v>8685382</v>
      </c>
      <c r="X19" s="57">
        <v>8563263</v>
      </c>
      <c r="Y19" s="57">
        <v>6365131</v>
      </c>
      <c r="Z19" s="57">
        <v>8685382</v>
      </c>
      <c r="AA19" s="57">
        <v>8685382</v>
      </c>
      <c r="AB19" s="57">
        <v>8685381</v>
      </c>
      <c r="AC19" s="49">
        <f t="shared" si="3"/>
        <v>98099538</v>
      </c>
      <c r="AD19" s="57">
        <v>4787279</v>
      </c>
      <c r="AE19" s="57">
        <v>8311370</v>
      </c>
      <c r="AF19" s="57">
        <v>9274822</v>
      </c>
      <c r="AG19" s="57">
        <v>8685382</v>
      </c>
      <c r="AH19" s="57">
        <v>8685382</v>
      </c>
      <c r="AI19" s="57">
        <v>8685382</v>
      </c>
      <c r="AJ19" s="57">
        <v>8685382</v>
      </c>
      <c r="AK19" s="57">
        <v>8563263</v>
      </c>
      <c r="AL19" s="57">
        <v>6365131</v>
      </c>
      <c r="AM19" s="57">
        <v>8685382</v>
      </c>
      <c r="AN19" s="57">
        <v>8685382</v>
      </c>
      <c r="AO19" s="57">
        <v>8685381</v>
      </c>
      <c r="AP19" s="50">
        <f t="shared" si="4"/>
        <v>98099538</v>
      </c>
    </row>
    <row r="20" spans="1:42" s="12" customFormat="1" ht="12.75">
      <c r="A20" s="16" t="s">
        <v>81</v>
      </c>
      <c r="B20" s="56" t="s">
        <v>79</v>
      </c>
      <c r="C20" s="57">
        <v>68079539</v>
      </c>
      <c r="D20" s="57">
        <v>4054851</v>
      </c>
      <c r="E20" s="57">
        <v>5259281</v>
      </c>
      <c r="F20" s="57">
        <v>6295141</v>
      </c>
      <c r="G20" s="57">
        <v>5513718</v>
      </c>
      <c r="H20" s="57">
        <v>5661796</v>
      </c>
      <c r="I20" s="57">
        <v>5335084</v>
      </c>
      <c r="J20" s="57">
        <v>5422682</v>
      </c>
      <c r="K20" s="57">
        <v>5577751</v>
      </c>
      <c r="L20" s="57">
        <v>5676002</v>
      </c>
      <c r="M20" s="57">
        <v>5507911</v>
      </c>
      <c r="N20" s="57">
        <v>5490156</v>
      </c>
      <c r="O20" s="57">
        <v>5056925</v>
      </c>
      <c r="P20" s="49">
        <f t="shared" si="2"/>
        <v>64851298</v>
      </c>
      <c r="Q20" s="57">
        <v>4054851</v>
      </c>
      <c r="R20" s="57">
        <v>5259281</v>
      </c>
      <c r="S20" s="57">
        <v>6295141</v>
      </c>
      <c r="T20" s="57">
        <v>5513718</v>
      </c>
      <c r="U20" s="57">
        <v>5661796</v>
      </c>
      <c r="V20" s="57">
        <v>5335084</v>
      </c>
      <c r="W20" s="57">
        <v>5422682</v>
      </c>
      <c r="X20" s="57">
        <v>5577751</v>
      </c>
      <c r="Y20" s="57">
        <v>5676002</v>
      </c>
      <c r="Z20" s="57">
        <v>5507911</v>
      </c>
      <c r="AA20" s="57">
        <v>5490156</v>
      </c>
      <c r="AB20" s="57">
        <v>5056925</v>
      </c>
      <c r="AC20" s="49">
        <f t="shared" si="3"/>
        <v>64851298</v>
      </c>
      <c r="AD20" s="57">
        <v>4054851</v>
      </c>
      <c r="AE20" s="57">
        <v>5259281</v>
      </c>
      <c r="AF20" s="57">
        <v>6295141</v>
      </c>
      <c r="AG20" s="57">
        <v>5513718</v>
      </c>
      <c r="AH20" s="57">
        <v>5661796</v>
      </c>
      <c r="AI20" s="57">
        <v>5335084</v>
      </c>
      <c r="AJ20" s="57">
        <v>5422682</v>
      </c>
      <c r="AK20" s="57">
        <v>5577751</v>
      </c>
      <c r="AL20" s="57">
        <v>5676002</v>
      </c>
      <c r="AM20" s="57">
        <v>5507911</v>
      </c>
      <c r="AN20" s="57">
        <v>5490156</v>
      </c>
      <c r="AO20" s="57">
        <v>5056925</v>
      </c>
      <c r="AP20" s="50">
        <f t="shared" si="4"/>
        <v>64851298</v>
      </c>
    </row>
    <row r="21" spans="1:42" s="12" customFormat="1" ht="12.75">
      <c r="A21" s="16" t="s">
        <v>82</v>
      </c>
      <c r="B21" s="56" t="s">
        <v>80</v>
      </c>
      <c r="C21" s="57">
        <f>61304040+2000000</f>
        <v>63304040</v>
      </c>
      <c r="D21" s="57">
        <v>4452072</v>
      </c>
      <c r="E21" s="57">
        <v>5784428</v>
      </c>
      <c r="F21" s="57">
        <v>4483430</v>
      </c>
      <c r="G21" s="57">
        <v>5212079</v>
      </c>
      <c r="H21" s="57">
        <v>5366173</v>
      </c>
      <c r="I21" s="57">
        <v>5127413</v>
      </c>
      <c r="J21" s="57">
        <v>5193456</v>
      </c>
      <c r="K21" s="57">
        <v>5400039</v>
      </c>
      <c r="L21" s="57">
        <v>5400040</v>
      </c>
      <c r="M21" s="57">
        <v>5235787</v>
      </c>
      <c r="N21" s="57">
        <v>5239172</v>
      </c>
      <c r="O21" s="57">
        <v>4653277</v>
      </c>
      <c r="P21" s="49">
        <f t="shared" si="2"/>
        <v>61547366</v>
      </c>
      <c r="Q21" s="57">
        <v>4452072</v>
      </c>
      <c r="R21" s="57">
        <v>5784428</v>
      </c>
      <c r="S21" s="57">
        <v>4483430</v>
      </c>
      <c r="T21" s="57">
        <v>5212079</v>
      </c>
      <c r="U21" s="57">
        <v>5366173</v>
      </c>
      <c r="V21" s="57">
        <v>5127413</v>
      </c>
      <c r="W21" s="57">
        <v>5193456</v>
      </c>
      <c r="X21" s="57">
        <v>5400039</v>
      </c>
      <c r="Y21" s="57">
        <v>5400040</v>
      </c>
      <c r="Z21" s="57">
        <v>5235787</v>
      </c>
      <c r="AA21" s="57">
        <v>5239172</v>
      </c>
      <c r="AB21" s="57">
        <v>4653277</v>
      </c>
      <c r="AC21" s="49">
        <f t="shared" si="3"/>
        <v>61547366</v>
      </c>
      <c r="AD21" s="57">
        <v>4452072</v>
      </c>
      <c r="AE21" s="57">
        <v>5784428</v>
      </c>
      <c r="AF21" s="57">
        <v>4483430</v>
      </c>
      <c r="AG21" s="57">
        <v>5212079</v>
      </c>
      <c r="AH21" s="57">
        <v>5366173</v>
      </c>
      <c r="AI21" s="57">
        <v>5127413</v>
      </c>
      <c r="AJ21" s="57">
        <v>5193456</v>
      </c>
      <c r="AK21" s="57">
        <v>5400039</v>
      </c>
      <c r="AL21" s="57">
        <v>5400040</v>
      </c>
      <c r="AM21" s="57">
        <v>5235787</v>
      </c>
      <c r="AN21" s="57">
        <v>5239172</v>
      </c>
      <c r="AO21" s="57">
        <v>4653277</v>
      </c>
      <c r="AP21" s="50">
        <f t="shared" si="4"/>
        <v>61547366</v>
      </c>
    </row>
    <row r="22" spans="1:42" s="12" customFormat="1" ht="12.75">
      <c r="A22" s="16" t="s">
        <v>83</v>
      </c>
      <c r="B22" s="56" t="s">
        <v>61</v>
      </c>
      <c r="C22" s="57">
        <f>398257610-9900000</f>
        <v>388357610</v>
      </c>
      <c r="D22" s="57">
        <v>1596491</v>
      </c>
      <c r="E22" s="57">
        <v>771187</v>
      </c>
      <c r="F22" s="57">
        <v>547744</v>
      </c>
      <c r="G22" s="57">
        <v>2743640</v>
      </c>
      <c r="H22" s="57">
        <v>0</v>
      </c>
      <c r="I22" s="57">
        <v>2117807</v>
      </c>
      <c r="J22" s="57">
        <v>380486864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49">
        <f t="shared" si="2"/>
        <v>388263733</v>
      </c>
      <c r="Q22" s="57">
        <v>1596491</v>
      </c>
      <c r="R22" s="57">
        <v>771187</v>
      </c>
      <c r="S22" s="57">
        <v>547744</v>
      </c>
      <c r="T22" s="57">
        <v>2743640</v>
      </c>
      <c r="U22" s="57">
        <v>0</v>
      </c>
      <c r="V22" s="57">
        <v>2117807</v>
      </c>
      <c r="W22" s="57">
        <v>380486864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49">
        <f t="shared" si="3"/>
        <v>388263733</v>
      </c>
      <c r="AD22" s="57">
        <v>1596491</v>
      </c>
      <c r="AE22" s="57">
        <v>771187</v>
      </c>
      <c r="AF22" s="57">
        <v>547744</v>
      </c>
      <c r="AG22" s="57">
        <v>2743640</v>
      </c>
      <c r="AH22" s="57">
        <v>0</v>
      </c>
      <c r="AI22" s="57">
        <v>2117807</v>
      </c>
      <c r="AJ22" s="57">
        <v>380486864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0">
        <f t="shared" si="4"/>
        <v>388263733</v>
      </c>
    </row>
    <row r="23" spans="1:42" s="12" customFormat="1" ht="12.75">
      <c r="A23" s="16" t="s">
        <v>84</v>
      </c>
      <c r="B23" s="56" t="s">
        <v>63</v>
      </c>
      <c r="C23" s="57">
        <v>414851674</v>
      </c>
      <c r="D23" s="57">
        <v>21425339</v>
      </c>
      <c r="E23" s="57">
        <v>12702258</v>
      </c>
      <c r="F23" s="57">
        <v>32192653</v>
      </c>
      <c r="G23" s="57">
        <v>23792540</v>
      </c>
      <c r="H23" s="57">
        <v>11501866</v>
      </c>
      <c r="I23" s="57">
        <v>57255232</v>
      </c>
      <c r="J23" s="57">
        <v>35127129</v>
      </c>
      <c r="K23" s="57">
        <v>22450527</v>
      </c>
      <c r="L23" s="57">
        <v>18890188</v>
      </c>
      <c r="M23" s="57">
        <v>20326273</v>
      </c>
      <c r="N23" s="57">
        <v>17112671</v>
      </c>
      <c r="O23" s="57">
        <v>137492455</v>
      </c>
      <c r="P23" s="49">
        <f t="shared" si="2"/>
        <v>410269131</v>
      </c>
      <c r="Q23" s="57">
        <v>21425339</v>
      </c>
      <c r="R23" s="57">
        <v>12702258</v>
      </c>
      <c r="S23" s="57">
        <v>32192653</v>
      </c>
      <c r="T23" s="57">
        <v>23792540</v>
      </c>
      <c r="U23" s="57">
        <v>11501866</v>
      </c>
      <c r="V23" s="57">
        <v>57255232</v>
      </c>
      <c r="W23" s="57">
        <v>35127129</v>
      </c>
      <c r="X23" s="57">
        <v>22450527</v>
      </c>
      <c r="Y23" s="57">
        <v>18890188</v>
      </c>
      <c r="Z23" s="57">
        <v>20326273</v>
      </c>
      <c r="AA23" s="57">
        <v>17112671</v>
      </c>
      <c r="AB23" s="57">
        <v>137492455</v>
      </c>
      <c r="AC23" s="49">
        <f t="shared" si="3"/>
        <v>410269131</v>
      </c>
      <c r="AD23" s="57">
        <v>21425339</v>
      </c>
      <c r="AE23" s="57">
        <v>12702258</v>
      </c>
      <c r="AF23" s="57">
        <v>32192653</v>
      </c>
      <c r="AG23" s="57">
        <v>23792540</v>
      </c>
      <c r="AH23" s="57">
        <v>11501866</v>
      </c>
      <c r="AI23" s="57">
        <v>57255232</v>
      </c>
      <c r="AJ23" s="57">
        <v>35127129</v>
      </c>
      <c r="AK23" s="57">
        <v>22450527</v>
      </c>
      <c r="AL23" s="57">
        <v>18890188</v>
      </c>
      <c r="AM23" s="57">
        <v>20326273</v>
      </c>
      <c r="AN23" s="57">
        <v>17112671</v>
      </c>
      <c r="AO23" s="57">
        <v>137492455</v>
      </c>
      <c r="AP23" s="50">
        <f t="shared" si="4"/>
        <v>410269131</v>
      </c>
    </row>
    <row r="24" spans="1:42" s="12" customFormat="1" ht="12.75">
      <c r="A24" s="16" t="s">
        <v>85</v>
      </c>
      <c r="B24" s="56" t="s">
        <v>62</v>
      </c>
      <c r="C24" s="57">
        <f>864274321-12100000</f>
        <v>852174321</v>
      </c>
      <c r="D24" s="57">
        <v>246185</v>
      </c>
      <c r="E24" s="57">
        <v>299736</v>
      </c>
      <c r="F24" s="57">
        <v>13217</v>
      </c>
      <c r="G24" s="57">
        <v>2080517</v>
      </c>
      <c r="H24" s="57">
        <v>0</v>
      </c>
      <c r="I24" s="57">
        <v>2272779</v>
      </c>
      <c r="J24" s="57">
        <v>3263273</v>
      </c>
      <c r="K24" s="57">
        <v>1232812</v>
      </c>
      <c r="L24" s="57">
        <v>8486880</v>
      </c>
      <c r="M24" s="57">
        <v>0</v>
      </c>
      <c r="N24" s="57">
        <v>9136047</v>
      </c>
      <c r="O24" s="57">
        <v>815234075</v>
      </c>
      <c r="P24" s="49">
        <f>SUM(D24:O24)</f>
        <v>842265521</v>
      </c>
      <c r="Q24" s="57">
        <v>246185</v>
      </c>
      <c r="R24" s="57">
        <v>299736</v>
      </c>
      <c r="S24" s="57">
        <v>13217</v>
      </c>
      <c r="T24" s="57">
        <v>2080517</v>
      </c>
      <c r="U24" s="57">
        <v>0</v>
      </c>
      <c r="V24" s="57">
        <v>2272779</v>
      </c>
      <c r="W24" s="57">
        <v>3263273</v>
      </c>
      <c r="X24" s="57">
        <v>1232812</v>
      </c>
      <c r="Y24" s="57">
        <v>8486880</v>
      </c>
      <c r="Z24" s="57">
        <v>0</v>
      </c>
      <c r="AA24" s="57">
        <v>9136047</v>
      </c>
      <c r="AB24" s="57">
        <v>815234075</v>
      </c>
      <c r="AC24" s="49">
        <f t="shared" si="3"/>
        <v>842265521</v>
      </c>
      <c r="AD24" s="57">
        <v>246185</v>
      </c>
      <c r="AE24" s="57">
        <v>299736</v>
      </c>
      <c r="AF24" s="57">
        <v>13217</v>
      </c>
      <c r="AG24" s="57">
        <v>2080517</v>
      </c>
      <c r="AH24" s="57">
        <v>0</v>
      </c>
      <c r="AI24" s="57">
        <v>2272779</v>
      </c>
      <c r="AJ24" s="57">
        <v>3263273</v>
      </c>
      <c r="AK24" s="57">
        <v>1232812</v>
      </c>
      <c r="AL24" s="57">
        <v>8486880</v>
      </c>
      <c r="AM24" s="57">
        <v>0</v>
      </c>
      <c r="AN24" s="57">
        <v>9136047</v>
      </c>
      <c r="AO24" s="57">
        <v>815234075</v>
      </c>
      <c r="AP24" s="50">
        <f t="shared" si="4"/>
        <v>842265521</v>
      </c>
    </row>
    <row r="25" spans="1:42" s="12" customFormat="1" ht="12.75">
      <c r="A25" s="16" t="s">
        <v>86</v>
      </c>
      <c r="B25" s="56" t="s">
        <v>64</v>
      </c>
      <c r="C25" s="57">
        <v>2315794</v>
      </c>
      <c r="D25" s="57">
        <v>122529</v>
      </c>
      <c r="E25" s="57">
        <v>183794</v>
      </c>
      <c r="F25" s="57">
        <v>205848</v>
      </c>
      <c r="G25" s="57">
        <v>192064</v>
      </c>
      <c r="H25" s="57">
        <v>192064</v>
      </c>
      <c r="I25" s="57">
        <v>192064</v>
      </c>
      <c r="J25" s="57">
        <v>192064</v>
      </c>
      <c r="K25" s="57">
        <v>192064</v>
      </c>
      <c r="L25" s="57">
        <v>192064</v>
      </c>
      <c r="M25" s="57">
        <v>128043</v>
      </c>
      <c r="N25" s="57">
        <v>192064</v>
      </c>
      <c r="O25" s="57">
        <v>172858</v>
      </c>
      <c r="P25" s="49">
        <f t="shared" si="2"/>
        <v>2157520</v>
      </c>
      <c r="Q25" s="57">
        <v>122529</v>
      </c>
      <c r="R25" s="57">
        <v>183794</v>
      </c>
      <c r="S25" s="57">
        <v>205848</v>
      </c>
      <c r="T25" s="57">
        <v>192064</v>
      </c>
      <c r="U25" s="57">
        <v>192064</v>
      </c>
      <c r="V25" s="57">
        <v>192064</v>
      </c>
      <c r="W25" s="57">
        <v>192064</v>
      </c>
      <c r="X25" s="57">
        <v>192064</v>
      </c>
      <c r="Y25" s="57">
        <v>192064</v>
      </c>
      <c r="Z25" s="57">
        <v>128043</v>
      </c>
      <c r="AA25" s="57">
        <v>192064</v>
      </c>
      <c r="AB25" s="57">
        <v>172858</v>
      </c>
      <c r="AC25" s="49">
        <f t="shared" si="3"/>
        <v>2157520</v>
      </c>
      <c r="AD25" s="57">
        <v>122529</v>
      </c>
      <c r="AE25" s="57">
        <v>183794</v>
      </c>
      <c r="AF25" s="57">
        <v>205848</v>
      </c>
      <c r="AG25" s="57">
        <v>192064</v>
      </c>
      <c r="AH25" s="57">
        <v>192064</v>
      </c>
      <c r="AI25" s="57">
        <v>192064</v>
      </c>
      <c r="AJ25" s="57">
        <v>192064</v>
      </c>
      <c r="AK25" s="57">
        <v>192064</v>
      </c>
      <c r="AL25" s="57">
        <v>192064</v>
      </c>
      <c r="AM25" s="57">
        <v>128043</v>
      </c>
      <c r="AN25" s="57">
        <v>192064</v>
      </c>
      <c r="AO25" s="57">
        <v>172858</v>
      </c>
      <c r="AP25" s="50">
        <f t="shared" si="4"/>
        <v>2157520</v>
      </c>
    </row>
    <row r="26" spans="1:42" s="12" customFormat="1" ht="12.75">
      <c r="A26" s="16" t="s">
        <v>87</v>
      </c>
      <c r="B26" s="56" t="s">
        <v>88</v>
      </c>
      <c r="C26" s="57">
        <v>285278275</v>
      </c>
      <c r="D26" s="57">
        <v>22001474</v>
      </c>
      <c r="E26" s="57">
        <v>35964177</v>
      </c>
      <c r="F26" s="57">
        <v>21582714</v>
      </c>
      <c r="G26" s="57">
        <v>31478275</v>
      </c>
      <c r="H26" s="57">
        <v>13564351</v>
      </c>
      <c r="I26" s="57">
        <v>17391123</v>
      </c>
      <c r="J26" s="57">
        <v>14933195</v>
      </c>
      <c r="K26" s="57">
        <v>12666559</v>
      </c>
      <c r="L26" s="57">
        <v>31512851</v>
      </c>
      <c r="M26" s="57">
        <v>23827731</v>
      </c>
      <c r="N26" s="57">
        <v>22696544</v>
      </c>
      <c r="O26" s="57">
        <v>25861942</v>
      </c>
      <c r="P26" s="49">
        <f t="shared" si="2"/>
        <v>273480936</v>
      </c>
      <c r="Q26" s="57">
        <v>22001474</v>
      </c>
      <c r="R26" s="57">
        <v>35964177</v>
      </c>
      <c r="S26" s="57">
        <v>21582714</v>
      </c>
      <c r="T26" s="57">
        <v>31478275</v>
      </c>
      <c r="U26" s="57">
        <v>13564351</v>
      </c>
      <c r="V26" s="57">
        <v>17391123</v>
      </c>
      <c r="W26" s="57">
        <v>14933195</v>
      </c>
      <c r="X26" s="57">
        <v>12666559</v>
      </c>
      <c r="Y26" s="57">
        <v>31512851</v>
      </c>
      <c r="Z26" s="57">
        <v>23827731</v>
      </c>
      <c r="AA26" s="57">
        <v>22696544</v>
      </c>
      <c r="AB26" s="57">
        <v>25861942</v>
      </c>
      <c r="AC26" s="49">
        <f t="shared" si="3"/>
        <v>273480936</v>
      </c>
      <c r="AD26" s="57">
        <v>22001474</v>
      </c>
      <c r="AE26" s="57">
        <v>35964177</v>
      </c>
      <c r="AF26" s="57">
        <v>21582714</v>
      </c>
      <c r="AG26" s="57">
        <v>31478275</v>
      </c>
      <c r="AH26" s="57">
        <v>13564351</v>
      </c>
      <c r="AI26" s="57">
        <v>17391123</v>
      </c>
      <c r="AJ26" s="57">
        <v>14933195</v>
      </c>
      <c r="AK26" s="57">
        <v>12666559</v>
      </c>
      <c r="AL26" s="57">
        <v>31512851</v>
      </c>
      <c r="AM26" s="57">
        <v>23827731</v>
      </c>
      <c r="AN26" s="57">
        <v>22696544</v>
      </c>
      <c r="AO26" s="57">
        <v>25861942</v>
      </c>
      <c r="AP26" s="50">
        <f t="shared" si="4"/>
        <v>273480936</v>
      </c>
    </row>
    <row r="27" spans="1:42" s="12" customFormat="1" ht="12.75">
      <c r="A27" s="16" t="s">
        <v>89</v>
      </c>
      <c r="B27" s="56" t="s">
        <v>106</v>
      </c>
      <c r="C27" s="57">
        <v>29876767</v>
      </c>
      <c r="D27" s="57">
        <v>632313</v>
      </c>
      <c r="E27" s="57">
        <v>2371172</v>
      </c>
      <c r="F27" s="57">
        <v>3798620</v>
      </c>
      <c r="G27" s="57">
        <v>2477876</v>
      </c>
      <c r="H27" s="57">
        <v>2477876</v>
      </c>
      <c r="I27" s="57">
        <v>2477876</v>
      </c>
      <c r="J27" s="57">
        <v>2477876</v>
      </c>
      <c r="K27" s="57">
        <v>2477876</v>
      </c>
      <c r="L27" s="57">
        <v>2477875</v>
      </c>
      <c r="M27" s="57">
        <v>2477876</v>
      </c>
      <c r="N27" s="57">
        <v>2477876</v>
      </c>
      <c r="O27" s="57">
        <v>2477875</v>
      </c>
      <c r="P27" s="49">
        <f t="shared" si="2"/>
        <v>29102987</v>
      </c>
      <c r="Q27" s="57">
        <v>632313</v>
      </c>
      <c r="R27" s="57">
        <v>2371172</v>
      </c>
      <c r="S27" s="57">
        <v>3798620</v>
      </c>
      <c r="T27" s="57">
        <v>2477876</v>
      </c>
      <c r="U27" s="57">
        <v>2477876</v>
      </c>
      <c r="V27" s="57">
        <v>2477876</v>
      </c>
      <c r="W27" s="57">
        <v>2477876</v>
      </c>
      <c r="X27" s="57">
        <v>2477876</v>
      </c>
      <c r="Y27" s="57">
        <v>2477875</v>
      </c>
      <c r="Z27" s="57">
        <v>2477876</v>
      </c>
      <c r="AA27" s="57">
        <v>2477876</v>
      </c>
      <c r="AB27" s="57">
        <v>2477875</v>
      </c>
      <c r="AC27" s="49">
        <f t="shared" si="3"/>
        <v>29102987</v>
      </c>
      <c r="AD27" s="57">
        <v>632313</v>
      </c>
      <c r="AE27" s="57">
        <v>2371172</v>
      </c>
      <c r="AF27" s="57">
        <v>3798620</v>
      </c>
      <c r="AG27" s="57">
        <v>2477876</v>
      </c>
      <c r="AH27" s="57">
        <v>2477876</v>
      </c>
      <c r="AI27" s="57">
        <v>2477876</v>
      </c>
      <c r="AJ27" s="57">
        <v>2477876</v>
      </c>
      <c r="AK27" s="57">
        <v>2477876</v>
      </c>
      <c r="AL27" s="57">
        <v>2477875</v>
      </c>
      <c r="AM27" s="57">
        <v>2477876</v>
      </c>
      <c r="AN27" s="57">
        <v>2477876</v>
      </c>
      <c r="AO27" s="57">
        <v>2477875</v>
      </c>
      <c r="AP27" s="50">
        <f t="shared" si="4"/>
        <v>29102987</v>
      </c>
    </row>
    <row r="28" spans="1:42" s="12" customFormat="1" ht="12.75">
      <c r="A28" s="16" t="s">
        <v>91</v>
      </c>
      <c r="B28" s="56" t="s">
        <v>90</v>
      </c>
      <c r="C28" s="57">
        <v>164045889</v>
      </c>
      <c r="D28" s="57">
        <v>10245859</v>
      </c>
      <c r="E28" s="57">
        <v>12376685</v>
      </c>
      <c r="F28" s="57">
        <v>15202143</v>
      </c>
      <c r="G28" s="57">
        <v>13656909</v>
      </c>
      <c r="H28" s="57">
        <v>13211375</v>
      </c>
      <c r="I28" s="57">
        <v>12194734</v>
      </c>
      <c r="J28" s="57">
        <v>13525197</v>
      </c>
      <c r="K28" s="57">
        <v>12605015</v>
      </c>
      <c r="L28" s="57">
        <v>13218429</v>
      </c>
      <c r="M28" s="57">
        <v>13871309</v>
      </c>
      <c r="N28" s="57">
        <v>12987489</v>
      </c>
      <c r="O28" s="57">
        <v>12746594</v>
      </c>
      <c r="P28" s="49">
        <f t="shared" si="2"/>
        <v>155841738</v>
      </c>
      <c r="Q28" s="57">
        <v>10245859</v>
      </c>
      <c r="R28" s="57">
        <v>12376685</v>
      </c>
      <c r="S28" s="57">
        <v>15202143</v>
      </c>
      <c r="T28" s="57">
        <v>13656909</v>
      </c>
      <c r="U28" s="57">
        <v>13211375</v>
      </c>
      <c r="V28" s="57">
        <v>12194734</v>
      </c>
      <c r="W28" s="57">
        <v>13525197</v>
      </c>
      <c r="X28" s="57">
        <v>12605015</v>
      </c>
      <c r="Y28" s="57">
        <v>13218429</v>
      </c>
      <c r="Z28" s="57">
        <v>13871309</v>
      </c>
      <c r="AA28" s="57">
        <v>12987489</v>
      </c>
      <c r="AB28" s="57">
        <v>12746594</v>
      </c>
      <c r="AC28" s="49">
        <f t="shared" si="3"/>
        <v>155841738</v>
      </c>
      <c r="AD28" s="57">
        <v>10245859</v>
      </c>
      <c r="AE28" s="57">
        <v>12376685</v>
      </c>
      <c r="AF28" s="57">
        <v>15202143</v>
      </c>
      <c r="AG28" s="57">
        <v>13656909</v>
      </c>
      <c r="AH28" s="57">
        <v>13211375</v>
      </c>
      <c r="AI28" s="57">
        <v>12194734</v>
      </c>
      <c r="AJ28" s="57">
        <v>13525197</v>
      </c>
      <c r="AK28" s="57">
        <v>12605015</v>
      </c>
      <c r="AL28" s="57">
        <v>13218429</v>
      </c>
      <c r="AM28" s="57">
        <v>13871309</v>
      </c>
      <c r="AN28" s="57">
        <v>12987489</v>
      </c>
      <c r="AO28" s="57">
        <v>12746594</v>
      </c>
      <c r="AP28" s="50">
        <f t="shared" si="4"/>
        <v>155841738</v>
      </c>
    </row>
    <row r="29" spans="1:42" s="12" customFormat="1" ht="12.75">
      <c r="A29" s="16" t="s">
        <v>92</v>
      </c>
      <c r="B29" s="56" t="s">
        <v>65</v>
      </c>
      <c r="C29" s="57">
        <v>50097213</v>
      </c>
      <c r="D29" s="57">
        <v>2607219</v>
      </c>
      <c r="E29" s="57">
        <v>1556601</v>
      </c>
      <c r="F29" s="57">
        <v>3784036</v>
      </c>
      <c r="G29" s="57">
        <v>2761131</v>
      </c>
      <c r="H29" s="57">
        <v>1406959</v>
      </c>
      <c r="I29" s="57">
        <v>6987187</v>
      </c>
      <c r="J29" s="57">
        <v>4302291</v>
      </c>
      <c r="K29" s="57">
        <v>2518148</v>
      </c>
      <c r="L29" s="57">
        <v>2319091</v>
      </c>
      <c r="M29" s="57">
        <v>2482397</v>
      </c>
      <c r="N29" s="57">
        <v>2059091</v>
      </c>
      <c r="O29" s="57">
        <v>16592238</v>
      </c>
      <c r="P29" s="49">
        <f t="shared" si="2"/>
        <v>49376389</v>
      </c>
      <c r="Q29" s="57">
        <v>2607219</v>
      </c>
      <c r="R29" s="57">
        <v>1556601</v>
      </c>
      <c r="S29" s="57">
        <v>3784036</v>
      </c>
      <c r="T29" s="57">
        <v>2761131</v>
      </c>
      <c r="U29" s="57">
        <v>1406959</v>
      </c>
      <c r="V29" s="57">
        <v>6987187</v>
      </c>
      <c r="W29" s="57">
        <v>4302291</v>
      </c>
      <c r="X29" s="57">
        <v>2518148</v>
      </c>
      <c r="Y29" s="57">
        <v>2319091</v>
      </c>
      <c r="Z29" s="57">
        <v>2482397</v>
      </c>
      <c r="AA29" s="57">
        <v>2059091</v>
      </c>
      <c r="AB29" s="57">
        <v>16592238</v>
      </c>
      <c r="AC29" s="49">
        <f t="shared" si="3"/>
        <v>49376389</v>
      </c>
      <c r="AD29" s="57">
        <v>2607219</v>
      </c>
      <c r="AE29" s="57">
        <v>1556601</v>
      </c>
      <c r="AF29" s="57">
        <v>3784036</v>
      </c>
      <c r="AG29" s="57">
        <v>2761131</v>
      </c>
      <c r="AH29" s="57">
        <v>1406959</v>
      </c>
      <c r="AI29" s="57">
        <v>6987187</v>
      </c>
      <c r="AJ29" s="57">
        <v>4302291</v>
      </c>
      <c r="AK29" s="57">
        <v>2518148</v>
      </c>
      <c r="AL29" s="57">
        <v>2319091</v>
      </c>
      <c r="AM29" s="57">
        <v>2482397</v>
      </c>
      <c r="AN29" s="57">
        <v>2059091</v>
      </c>
      <c r="AO29" s="57">
        <v>16592238</v>
      </c>
      <c r="AP29" s="50">
        <f t="shared" si="4"/>
        <v>49376389</v>
      </c>
    </row>
    <row r="30" spans="1:42" s="12" customFormat="1" ht="12.75">
      <c r="A30" s="16" t="s">
        <v>93</v>
      </c>
      <c r="B30" s="56" t="s">
        <v>66</v>
      </c>
      <c r="C30" s="57">
        <f>91638409+60000000+20000000</f>
        <v>171638409</v>
      </c>
      <c r="D30" s="57">
        <v>0</v>
      </c>
      <c r="E30" s="57"/>
      <c r="F30" s="57">
        <v>0</v>
      </c>
      <c r="G30" s="57">
        <v>0</v>
      </c>
      <c r="H30" s="57">
        <v>0</v>
      </c>
      <c r="I30" s="57">
        <v>85253086</v>
      </c>
      <c r="J30" s="57">
        <v>0</v>
      </c>
      <c r="K30" s="57">
        <v>0</v>
      </c>
      <c r="L30" s="57">
        <v>5231071</v>
      </c>
      <c r="M30" s="57">
        <v>0</v>
      </c>
      <c r="N30" s="57">
        <v>6949024</v>
      </c>
      <c r="O30" s="57">
        <v>66104665</v>
      </c>
      <c r="P30" s="49">
        <f t="shared" si="2"/>
        <v>163537846</v>
      </c>
      <c r="Q30" s="57">
        <v>0</v>
      </c>
      <c r="R30" s="57"/>
      <c r="S30" s="57">
        <v>0</v>
      </c>
      <c r="T30" s="57">
        <v>0</v>
      </c>
      <c r="U30" s="57">
        <v>0</v>
      </c>
      <c r="V30" s="57">
        <v>85253086</v>
      </c>
      <c r="W30" s="57">
        <v>0</v>
      </c>
      <c r="X30" s="57">
        <v>0</v>
      </c>
      <c r="Y30" s="57">
        <v>5231071</v>
      </c>
      <c r="Z30" s="57">
        <v>0</v>
      </c>
      <c r="AA30" s="57">
        <v>6949024</v>
      </c>
      <c r="AB30" s="57">
        <v>66104665</v>
      </c>
      <c r="AC30" s="49">
        <f t="shared" si="3"/>
        <v>163537846</v>
      </c>
      <c r="AD30" s="57">
        <v>0</v>
      </c>
      <c r="AE30" s="57"/>
      <c r="AF30" s="57">
        <v>0</v>
      </c>
      <c r="AG30" s="57">
        <v>0</v>
      </c>
      <c r="AH30" s="57">
        <v>0</v>
      </c>
      <c r="AI30" s="57">
        <v>85253086</v>
      </c>
      <c r="AJ30" s="57">
        <v>0</v>
      </c>
      <c r="AK30" s="57">
        <v>0</v>
      </c>
      <c r="AL30" s="57">
        <v>5231071</v>
      </c>
      <c r="AM30" s="57">
        <v>0</v>
      </c>
      <c r="AN30" s="57">
        <v>6949024</v>
      </c>
      <c r="AO30" s="57">
        <v>66104665</v>
      </c>
      <c r="AP30" s="50">
        <f t="shared" si="4"/>
        <v>163537846</v>
      </c>
    </row>
    <row r="31" spans="1:42" s="12" customFormat="1" ht="12.75">
      <c r="A31" s="16" t="s">
        <v>94</v>
      </c>
      <c r="B31" s="56" t="s">
        <v>67</v>
      </c>
      <c r="C31" s="57">
        <f>30860945+2400000</f>
        <v>33260945</v>
      </c>
      <c r="D31" s="57">
        <v>0</v>
      </c>
      <c r="E31" s="57">
        <v>1884547</v>
      </c>
      <c r="F31" s="57">
        <v>2827654</v>
      </c>
      <c r="G31" s="57">
        <v>2917056</v>
      </c>
      <c r="H31" s="57">
        <v>2416180</v>
      </c>
      <c r="I31" s="57">
        <v>2467226</v>
      </c>
      <c r="J31" s="57">
        <v>2511218</v>
      </c>
      <c r="K31" s="57">
        <v>2647053</v>
      </c>
      <c r="L31" s="57">
        <v>3170893</v>
      </c>
      <c r="M31" s="57">
        <v>2855548</v>
      </c>
      <c r="N31" s="57">
        <v>3739158</v>
      </c>
      <c r="O31" s="57">
        <v>5038846</v>
      </c>
      <c r="P31" s="49">
        <f t="shared" si="2"/>
        <v>32475379</v>
      </c>
      <c r="Q31" s="57">
        <v>0</v>
      </c>
      <c r="R31" s="57">
        <v>1884547</v>
      </c>
      <c r="S31" s="57">
        <v>2827654</v>
      </c>
      <c r="T31" s="57">
        <v>2917056</v>
      </c>
      <c r="U31" s="57">
        <v>2416180</v>
      </c>
      <c r="V31" s="57">
        <v>2467226</v>
      </c>
      <c r="W31" s="57">
        <v>2511218</v>
      </c>
      <c r="X31" s="57">
        <v>2647053</v>
      </c>
      <c r="Y31" s="57">
        <v>3170893</v>
      </c>
      <c r="Z31" s="57">
        <v>2855548</v>
      </c>
      <c r="AA31" s="57">
        <v>3739158</v>
      </c>
      <c r="AB31" s="57">
        <v>5038846</v>
      </c>
      <c r="AC31" s="49">
        <f t="shared" si="3"/>
        <v>32475379</v>
      </c>
      <c r="AD31" s="57">
        <v>0</v>
      </c>
      <c r="AE31" s="57">
        <v>1884547</v>
      </c>
      <c r="AF31" s="57">
        <v>2827654</v>
      </c>
      <c r="AG31" s="57">
        <v>2917056</v>
      </c>
      <c r="AH31" s="57">
        <v>2416180</v>
      </c>
      <c r="AI31" s="57">
        <v>2467226</v>
      </c>
      <c r="AJ31" s="57">
        <v>2511218</v>
      </c>
      <c r="AK31" s="57">
        <v>2647053</v>
      </c>
      <c r="AL31" s="57">
        <v>3170893</v>
      </c>
      <c r="AM31" s="57">
        <v>2855548</v>
      </c>
      <c r="AN31" s="57">
        <v>3739158</v>
      </c>
      <c r="AO31" s="57">
        <v>5038846</v>
      </c>
      <c r="AP31" s="50">
        <f t="shared" si="4"/>
        <v>32475379</v>
      </c>
    </row>
    <row r="32" spans="1:42" s="12" customFormat="1" ht="12.75">
      <c r="A32" s="16" t="s">
        <v>95</v>
      </c>
      <c r="B32" s="56" t="s">
        <v>68</v>
      </c>
      <c r="C32" s="57">
        <f>2659171-2400000</f>
        <v>259171</v>
      </c>
      <c r="D32" s="57">
        <v>0</v>
      </c>
      <c r="E32" s="57">
        <v>63912</v>
      </c>
      <c r="F32" s="57">
        <v>47170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49">
        <f t="shared" si="2"/>
        <v>111082</v>
      </c>
      <c r="Q32" s="57">
        <v>0</v>
      </c>
      <c r="R32" s="57">
        <v>63912</v>
      </c>
      <c r="S32" s="57">
        <v>47170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49">
        <f t="shared" si="3"/>
        <v>111082</v>
      </c>
      <c r="AD32" s="57">
        <v>0</v>
      </c>
      <c r="AE32" s="57">
        <v>63912</v>
      </c>
      <c r="AF32" s="57">
        <v>47170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0">
        <f t="shared" si="4"/>
        <v>111082</v>
      </c>
    </row>
    <row r="33" spans="1:42" s="12" customFormat="1" ht="12.75">
      <c r="A33" s="16" t="s">
        <v>96</v>
      </c>
      <c r="B33" s="47" t="s">
        <v>53</v>
      </c>
      <c r="C33" s="48">
        <f>50308945+50000000</f>
        <v>100308945</v>
      </c>
      <c r="D33" s="48">
        <v>3480427</v>
      </c>
      <c r="E33" s="48">
        <v>2835047</v>
      </c>
      <c r="F33" s="48">
        <v>2182894</v>
      </c>
      <c r="G33" s="48">
        <v>7913788</v>
      </c>
      <c r="H33" s="48">
        <v>959659</v>
      </c>
      <c r="I33" s="48">
        <v>6341460</v>
      </c>
      <c r="J33" s="48">
        <v>12055585</v>
      </c>
      <c r="K33" s="48">
        <v>1205691</v>
      </c>
      <c r="L33" s="48">
        <v>13184593</v>
      </c>
      <c r="M33" s="48">
        <v>0</v>
      </c>
      <c r="N33" s="48">
        <v>13868835</v>
      </c>
      <c r="O33" s="48">
        <v>36260794</v>
      </c>
      <c r="P33" s="49">
        <f t="shared" si="2"/>
        <v>100288773</v>
      </c>
      <c r="Q33" s="48">
        <v>3480427</v>
      </c>
      <c r="R33" s="48">
        <v>2835047</v>
      </c>
      <c r="S33" s="48">
        <v>2182894</v>
      </c>
      <c r="T33" s="48">
        <v>7913788</v>
      </c>
      <c r="U33" s="48">
        <v>959659</v>
      </c>
      <c r="V33" s="48">
        <v>6341460</v>
      </c>
      <c r="W33" s="48">
        <v>12055585</v>
      </c>
      <c r="X33" s="48">
        <v>1205691</v>
      </c>
      <c r="Y33" s="48">
        <v>13184593</v>
      </c>
      <c r="Z33" s="48">
        <v>0</v>
      </c>
      <c r="AA33" s="48">
        <v>13868835</v>
      </c>
      <c r="AB33" s="48">
        <v>36260794</v>
      </c>
      <c r="AC33" s="49">
        <f t="shared" si="3"/>
        <v>100288773</v>
      </c>
      <c r="AD33" s="48">
        <v>3480427</v>
      </c>
      <c r="AE33" s="48">
        <v>2835047</v>
      </c>
      <c r="AF33" s="48">
        <v>2182894</v>
      </c>
      <c r="AG33" s="48">
        <v>7913788</v>
      </c>
      <c r="AH33" s="48">
        <v>959659</v>
      </c>
      <c r="AI33" s="48">
        <v>6341460</v>
      </c>
      <c r="AJ33" s="48">
        <v>12055585</v>
      </c>
      <c r="AK33" s="48">
        <v>1205691</v>
      </c>
      <c r="AL33" s="48">
        <v>13184593</v>
      </c>
      <c r="AM33" s="48">
        <v>0</v>
      </c>
      <c r="AN33" s="48">
        <v>13868835</v>
      </c>
      <c r="AO33" s="48">
        <v>36260794</v>
      </c>
      <c r="AP33" s="50">
        <f t="shared" si="4"/>
        <v>100288773</v>
      </c>
    </row>
    <row r="34" spans="1:42" s="12" customFormat="1" ht="12.75">
      <c r="A34" s="16" t="s">
        <v>97</v>
      </c>
      <c r="B34" s="47" t="s">
        <v>69</v>
      </c>
      <c r="C34" s="60">
        <f>180000000-43118952</f>
        <v>136881048</v>
      </c>
      <c r="D34" s="48">
        <v>0</v>
      </c>
      <c r="E34" s="48"/>
      <c r="F34" s="48">
        <v>0</v>
      </c>
      <c r="G34" s="48">
        <v>0</v>
      </c>
      <c r="H34" s="48">
        <v>0</v>
      </c>
      <c r="I34" s="48">
        <v>5700000</v>
      </c>
      <c r="J34" s="48">
        <v>0</v>
      </c>
      <c r="K34" s="48">
        <v>0</v>
      </c>
      <c r="L34" s="48">
        <v>34800000</v>
      </c>
      <c r="M34" s="48">
        <v>0</v>
      </c>
      <c r="N34" s="48">
        <v>0</v>
      </c>
      <c r="O34" s="48">
        <v>13200000</v>
      </c>
      <c r="P34" s="49">
        <f t="shared" si="2"/>
        <v>53700000</v>
      </c>
      <c r="Q34" s="48">
        <v>0</v>
      </c>
      <c r="R34" s="48"/>
      <c r="S34" s="48">
        <v>0</v>
      </c>
      <c r="T34" s="48">
        <v>0</v>
      </c>
      <c r="U34" s="48">
        <v>0</v>
      </c>
      <c r="V34" s="48">
        <v>0</v>
      </c>
      <c r="W34" s="48">
        <v>2850000</v>
      </c>
      <c r="X34" s="48">
        <v>0</v>
      </c>
      <c r="Y34" s="48">
        <v>2850000</v>
      </c>
      <c r="Z34" s="48">
        <v>8700000</v>
      </c>
      <c r="AA34" s="48">
        <v>8700000</v>
      </c>
      <c r="AB34" s="48">
        <v>30600000</v>
      </c>
      <c r="AC34" s="49">
        <f t="shared" si="3"/>
        <v>53700000</v>
      </c>
      <c r="AD34" s="48">
        <v>0</v>
      </c>
      <c r="AE34" s="48"/>
      <c r="AF34" s="48">
        <v>0</v>
      </c>
      <c r="AG34" s="48">
        <v>0</v>
      </c>
      <c r="AH34" s="48">
        <v>0</v>
      </c>
      <c r="AI34" s="48">
        <v>0</v>
      </c>
      <c r="AJ34" s="48">
        <v>2850000</v>
      </c>
      <c r="AK34" s="48">
        <v>0</v>
      </c>
      <c r="AL34" s="48">
        <v>2850000</v>
      </c>
      <c r="AM34" s="48">
        <v>8700000</v>
      </c>
      <c r="AN34" s="48">
        <v>8700000</v>
      </c>
      <c r="AO34" s="48">
        <v>29400000</v>
      </c>
      <c r="AP34" s="50">
        <f t="shared" si="4"/>
        <v>52500000</v>
      </c>
    </row>
    <row r="35" spans="1:42" s="12" customFormat="1" ht="12.75">
      <c r="A35" s="16" t="s">
        <v>98</v>
      </c>
      <c r="B35" s="47" t="s">
        <v>70</v>
      </c>
      <c r="C35" s="60">
        <v>25200000</v>
      </c>
      <c r="D35" s="48">
        <v>0</v>
      </c>
      <c r="E35" s="48"/>
      <c r="F35" s="48">
        <v>0</v>
      </c>
      <c r="G35" s="48">
        <v>19268550</v>
      </c>
      <c r="H35" s="48">
        <v>0</v>
      </c>
      <c r="I35" s="48">
        <v>0</v>
      </c>
      <c r="J35" s="48">
        <v>1463000</v>
      </c>
      <c r="K35" s="48">
        <v>0</v>
      </c>
      <c r="L35" s="48">
        <v>-1263080</v>
      </c>
      <c r="M35" s="48">
        <v>2970900</v>
      </c>
      <c r="N35" s="48">
        <v>2341800</v>
      </c>
      <c r="O35" s="48">
        <v>0</v>
      </c>
      <c r="P35" s="49">
        <f t="shared" si="2"/>
        <v>24781170</v>
      </c>
      <c r="Q35" s="48">
        <v>0</v>
      </c>
      <c r="R35" s="48"/>
      <c r="S35" s="48">
        <v>0</v>
      </c>
      <c r="T35" s="48">
        <v>0</v>
      </c>
      <c r="U35" s="48">
        <v>3877250</v>
      </c>
      <c r="V35" s="48">
        <v>3240850</v>
      </c>
      <c r="W35" s="48">
        <v>3240850</v>
      </c>
      <c r="X35" s="48">
        <v>954520</v>
      </c>
      <c r="Y35" s="48">
        <v>1049780</v>
      </c>
      <c r="Z35" s="48">
        <v>2537900</v>
      </c>
      <c r="AA35" s="48">
        <v>2124520</v>
      </c>
      <c r="AB35" s="48">
        <v>7755500</v>
      </c>
      <c r="AC35" s="49">
        <f t="shared" si="3"/>
        <v>24781170</v>
      </c>
      <c r="AD35" s="48">
        <v>0</v>
      </c>
      <c r="AE35" s="48"/>
      <c r="AF35" s="48">
        <v>0</v>
      </c>
      <c r="AG35" s="48">
        <v>0</v>
      </c>
      <c r="AH35" s="48">
        <v>3877250</v>
      </c>
      <c r="AI35" s="48">
        <v>636400</v>
      </c>
      <c r="AJ35" s="48">
        <v>3240850</v>
      </c>
      <c r="AK35" s="48">
        <v>3240850</v>
      </c>
      <c r="AL35" s="48">
        <v>1367900</v>
      </c>
      <c r="AM35" s="48">
        <v>2537900</v>
      </c>
      <c r="AN35" s="48">
        <v>2124520</v>
      </c>
      <c r="AO35" s="48">
        <v>6584600</v>
      </c>
      <c r="AP35" s="50">
        <f t="shared" si="4"/>
        <v>23610270</v>
      </c>
    </row>
    <row r="36" spans="1:42" s="12" customFormat="1" ht="12.75">
      <c r="A36" s="16" t="s">
        <v>99</v>
      </c>
      <c r="B36" s="47" t="s">
        <v>100</v>
      </c>
      <c r="C36" s="48">
        <v>1664794991</v>
      </c>
      <c r="D36" s="48">
        <v>0</v>
      </c>
      <c r="E36" s="48">
        <v>126612520</v>
      </c>
      <c r="F36" s="48">
        <v>131936240</v>
      </c>
      <c r="G36" s="48">
        <v>137544060</v>
      </c>
      <c r="H36" s="48">
        <v>287806031</v>
      </c>
      <c r="I36" s="48">
        <v>135761316</v>
      </c>
      <c r="J36" s="48">
        <v>148771576</v>
      </c>
      <c r="K36" s="48">
        <v>133020724</v>
      </c>
      <c r="L36" s="48">
        <v>136930760</v>
      </c>
      <c r="M36" s="48">
        <v>131847271</v>
      </c>
      <c r="N36" s="48">
        <v>130293878</v>
      </c>
      <c r="O36" s="48">
        <v>136229904</v>
      </c>
      <c r="P36" s="49">
        <f t="shared" si="2"/>
        <v>1636754280</v>
      </c>
      <c r="Q36" s="48">
        <v>0</v>
      </c>
      <c r="R36" s="48">
        <v>126612520</v>
      </c>
      <c r="S36" s="48">
        <v>131936240</v>
      </c>
      <c r="T36" s="48">
        <v>137544060</v>
      </c>
      <c r="U36" s="48">
        <v>287806031</v>
      </c>
      <c r="V36" s="48">
        <v>135761316</v>
      </c>
      <c r="W36" s="48">
        <v>148771576</v>
      </c>
      <c r="X36" s="48">
        <v>133020724</v>
      </c>
      <c r="Y36" s="48">
        <v>136930760</v>
      </c>
      <c r="Z36" s="48">
        <v>131847271</v>
      </c>
      <c r="AA36" s="48">
        <v>130293878</v>
      </c>
      <c r="AB36" s="48">
        <v>136229904</v>
      </c>
      <c r="AC36" s="49">
        <f t="shared" si="3"/>
        <v>1636754280</v>
      </c>
      <c r="AD36" s="48">
        <v>0</v>
      </c>
      <c r="AE36" s="48">
        <v>126612520</v>
      </c>
      <c r="AF36" s="48">
        <v>131936240</v>
      </c>
      <c r="AG36" s="48">
        <v>137544060</v>
      </c>
      <c r="AH36" s="48">
        <v>154189554</v>
      </c>
      <c r="AI36" s="48">
        <v>133616477</v>
      </c>
      <c r="AJ36" s="48">
        <v>135799416</v>
      </c>
      <c r="AK36" s="48">
        <v>148733676</v>
      </c>
      <c r="AL36" s="48">
        <v>133020524</v>
      </c>
      <c r="AM36" s="48">
        <v>268778031</v>
      </c>
      <c r="AN36" s="48">
        <v>0</v>
      </c>
      <c r="AO36" s="48">
        <v>266523782</v>
      </c>
      <c r="AP36" s="50">
        <f t="shared" si="4"/>
        <v>1636754280</v>
      </c>
    </row>
    <row r="37" spans="1:42" s="12" customFormat="1" ht="12.75">
      <c r="A37" s="16" t="s">
        <v>101</v>
      </c>
      <c r="B37" s="47" t="s">
        <v>71</v>
      </c>
      <c r="C37" s="48">
        <f>1519410623+83000000</f>
        <v>1602410623</v>
      </c>
      <c r="D37" s="48">
        <v>64325588</v>
      </c>
      <c r="E37" s="48">
        <v>50721600</v>
      </c>
      <c r="F37" s="48">
        <v>118001347</v>
      </c>
      <c r="G37" s="48">
        <v>198998674</v>
      </c>
      <c r="H37" s="48">
        <v>182669277</v>
      </c>
      <c r="I37" s="48">
        <v>124582616</v>
      </c>
      <c r="J37" s="48">
        <v>155869131</v>
      </c>
      <c r="K37" s="48">
        <v>122104064</v>
      </c>
      <c r="L37" s="48">
        <v>125095720</v>
      </c>
      <c r="M37" s="48">
        <v>122086848</v>
      </c>
      <c r="N37" s="48">
        <v>122189488</v>
      </c>
      <c r="O37" s="48">
        <v>201248930</v>
      </c>
      <c r="P37" s="49">
        <f t="shared" si="2"/>
        <v>1587893283</v>
      </c>
      <c r="Q37" s="48">
        <v>64325588</v>
      </c>
      <c r="R37" s="48">
        <v>50721600</v>
      </c>
      <c r="S37" s="48">
        <v>118001347</v>
      </c>
      <c r="T37" s="48">
        <v>198998674</v>
      </c>
      <c r="U37" s="48">
        <v>182669277</v>
      </c>
      <c r="V37" s="48">
        <v>124582616</v>
      </c>
      <c r="W37" s="48">
        <v>155869131</v>
      </c>
      <c r="X37" s="48">
        <v>122104064</v>
      </c>
      <c r="Y37" s="48">
        <v>125095720</v>
      </c>
      <c r="Z37" s="48">
        <v>122086848</v>
      </c>
      <c r="AA37" s="48">
        <v>122189488</v>
      </c>
      <c r="AB37" s="48">
        <v>201248930</v>
      </c>
      <c r="AC37" s="49">
        <f t="shared" si="3"/>
        <v>1587893283</v>
      </c>
      <c r="AD37" s="48">
        <v>64325588</v>
      </c>
      <c r="AE37" s="48">
        <v>50721600</v>
      </c>
      <c r="AF37" s="48">
        <v>118001347</v>
      </c>
      <c r="AG37" s="48">
        <v>198998674</v>
      </c>
      <c r="AH37" s="48">
        <v>62102610</v>
      </c>
      <c r="AI37" s="48">
        <v>191138183</v>
      </c>
      <c r="AJ37" s="48">
        <v>54045065</v>
      </c>
      <c r="AK37" s="48">
        <v>155835166</v>
      </c>
      <c r="AL37" s="48">
        <v>190165084</v>
      </c>
      <c r="AM37" s="48">
        <v>112247000</v>
      </c>
      <c r="AN37" s="48">
        <v>133419036</v>
      </c>
      <c r="AO37" s="48">
        <v>256893930</v>
      </c>
      <c r="AP37" s="50">
        <f t="shared" si="4"/>
        <v>1587893283</v>
      </c>
    </row>
    <row r="38" spans="1:42" s="12" customFormat="1" ht="12.75">
      <c r="A38" s="16" t="s">
        <v>102</v>
      </c>
      <c r="B38" s="47" t="s">
        <v>72</v>
      </c>
      <c r="C38" s="48">
        <f>307886529+4000000</f>
        <v>311886529</v>
      </c>
      <c r="D38" s="48">
        <v>2666900</v>
      </c>
      <c r="E38" s="48">
        <v>19592340</v>
      </c>
      <c r="F38" s="48">
        <v>23120730</v>
      </c>
      <c r="G38" s="48">
        <v>24804170</v>
      </c>
      <c r="H38" s="48">
        <v>51301570</v>
      </c>
      <c r="I38" s="48">
        <v>25484430</v>
      </c>
      <c r="J38" s="48">
        <v>36167265</v>
      </c>
      <c r="K38" s="48">
        <v>24051150</v>
      </c>
      <c r="L38" s="48">
        <v>24691920</v>
      </c>
      <c r="M38" s="48">
        <v>24059550</v>
      </c>
      <c r="N38" s="48">
        <v>23572860</v>
      </c>
      <c r="O38" s="48">
        <v>27464430</v>
      </c>
      <c r="P38" s="49">
        <f t="shared" si="2"/>
        <v>306977315</v>
      </c>
      <c r="Q38" s="48">
        <v>2666900</v>
      </c>
      <c r="R38" s="48">
        <v>19592340</v>
      </c>
      <c r="S38" s="48">
        <v>23120730</v>
      </c>
      <c r="T38" s="48">
        <v>24804170</v>
      </c>
      <c r="U38" s="48">
        <v>51301570</v>
      </c>
      <c r="V38" s="48">
        <v>25484430</v>
      </c>
      <c r="W38" s="48">
        <v>36167265</v>
      </c>
      <c r="X38" s="48">
        <v>24051150</v>
      </c>
      <c r="Y38" s="48">
        <v>24691920</v>
      </c>
      <c r="Z38" s="48">
        <v>24059550</v>
      </c>
      <c r="AA38" s="48">
        <v>23572860</v>
      </c>
      <c r="AB38" s="48">
        <v>27464430</v>
      </c>
      <c r="AC38" s="49">
        <f t="shared" si="3"/>
        <v>306977315</v>
      </c>
      <c r="AD38" s="48">
        <v>2666900</v>
      </c>
      <c r="AE38" s="48">
        <v>19592340</v>
      </c>
      <c r="AF38" s="48">
        <v>23120730</v>
      </c>
      <c r="AG38" s="48">
        <v>24804170</v>
      </c>
      <c r="AH38" s="48">
        <v>27432550</v>
      </c>
      <c r="AI38" s="48">
        <v>23869020</v>
      </c>
      <c r="AJ38" s="48">
        <v>25493205</v>
      </c>
      <c r="AK38" s="48">
        <v>36158490</v>
      </c>
      <c r="AL38" s="48">
        <v>24051150</v>
      </c>
      <c r="AM38" s="48">
        <v>48751470</v>
      </c>
      <c r="AN38" s="48">
        <v>0</v>
      </c>
      <c r="AO38" s="48">
        <v>51037290</v>
      </c>
      <c r="AP38" s="50">
        <f t="shared" si="4"/>
        <v>306977315</v>
      </c>
    </row>
    <row r="39" spans="1:42" s="12" customFormat="1" ht="12.75">
      <c r="A39" s="16" t="s">
        <v>103</v>
      </c>
      <c r="B39" s="47" t="s">
        <v>73</v>
      </c>
      <c r="C39" s="48">
        <f>50794636+2000000</f>
        <v>52794636</v>
      </c>
      <c r="D39" s="48">
        <v>0</v>
      </c>
      <c r="E39" s="48">
        <v>3265390</v>
      </c>
      <c r="F39" s="48">
        <v>3853455</v>
      </c>
      <c r="G39" s="48">
        <v>4134045</v>
      </c>
      <c r="H39" s="48">
        <v>8550240</v>
      </c>
      <c r="I39" s="48">
        <v>4247405</v>
      </c>
      <c r="J39" s="48">
        <v>6027877</v>
      </c>
      <c r="K39" s="48">
        <v>4008525</v>
      </c>
      <c r="L39" s="48">
        <v>4115320</v>
      </c>
      <c r="M39" s="48">
        <v>4009925</v>
      </c>
      <c r="N39" s="48">
        <v>3928810</v>
      </c>
      <c r="O39" s="48">
        <v>4577405</v>
      </c>
      <c r="P39" s="49">
        <f t="shared" si="2"/>
        <v>50718397</v>
      </c>
      <c r="Q39" s="48">
        <v>0</v>
      </c>
      <c r="R39" s="48">
        <v>3265390</v>
      </c>
      <c r="S39" s="48">
        <v>3853455</v>
      </c>
      <c r="T39" s="48">
        <v>4134045</v>
      </c>
      <c r="U39" s="48">
        <v>8550240</v>
      </c>
      <c r="V39" s="48">
        <v>4247405</v>
      </c>
      <c r="W39" s="48">
        <v>6027877</v>
      </c>
      <c r="X39" s="48">
        <v>4008525</v>
      </c>
      <c r="Y39" s="48">
        <v>4115320</v>
      </c>
      <c r="Z39" s="48">
        <v>4009925</v>
      </c>
      <c r="AA39" s="48">
        <v>3928810</v>
      </c>
      <c r="AB39" s="48">
        <v>4577405</v>
      </c>
      <c r="AC39" s="49">
        <f t="shared" si="3"/>
        <v>50718397</v>
      </c>
      <c r="AD39" s="48">
        <v>0</v>
      </c>
      <c r="AE39" s="48">
        <v>3265390</v>
      </c>
      <c r="AF39" s="48">
        <v>3853455</v>
      </c>
      <c r="AG39" s="48">
        <v>4134045</v>
      </c>
      <c r="AH39" s="48">
        <v>4572070</v>
      </c>
      <c r="AI39" s="48">
        <v>3978170</v>
      </c>
      <c r="AJ39" s="48">
        <v>4248867</v>
      </c>
      <c r="AK39" s="48">
        <v>6026415</v>
      </c>
      <c r="AL39" s="48">
        <v>4008525</v>
      </c>
      <c r="AM39" s="48">
        <v>8125245</v>
      </c>
      <c r="AN39" s="48">
        <v>0</v>
      </c>
      <c r="AO39" s="48">
        <v>8506215</v>
      </c>
      <c r="AP39" s="50">
        <f t="shared" si="4"/>
        <v>50718397</v>
      </c>
    </row>
    <row r="40" spans="1:42" s="12" customFormat="1" ht="12.75">
      <c r="A40" s="16" t="s">
        <v>104</v>
      </c>
      <c r="B40" s="47" t="s">
        <v>74</v>
      </c>
      <c r="C40" s="48">
        <f>50794636+2000000</f>
        <v>52794636</v>
      </c>
      <c r="D40" s="48">
        <v>0</v>
      </c>
      <c r="E40" s="48">
        <v>3265300</v>
      </c>
      <c r="F40" s="48">
        <v>3853480</v>
      </c>
      <c r="G40" s="48">
        <v>4134075</v>
      </c>
      <c r="H40" s="48">
        <v>8550240</v>
      </c>
      <c r="I40" s="48">
        <v>4247405</v>
      </c>
      <c r="J40" s="48">
        <v>6027877</v>
      </c>
      <c r="K40" s="48">
        <v>4008525</v>
      </c>
      <c r="L40" s="48">
        <v>4115320</v>
      </c>
      <c r="M40" s="48">
        <v>4009925</v>
      </c>
      <c r="N40" s="48">
        <v>3928810</v>
      </c>
      <c r="O40" s="48">
        <v>4577405</v>
      </c>
      <c r="P40" s="49">
        <f t="shared" si="2"/>
        <v>50718362</v>
      </c>
      <c r="Q40" s="48">
        <v>0</v>
      </c>
      <c r="R40" s="48">
        <v>3265300</v>
      </c>
      <c r="S40" s="48">
        <v>3853480</v>
      </c>
      <c r="T40" s="48">
        <v>4134075</v>
      </c>
      <c r="U40" s="48">
        <v>8550240</v>
      </c>
      <c r="V40" s="48">
        <v>4247405</v>
      </c>
      <c r="W40" s="48">
        <v>6027877</v>
      </c>
      <c r="X40" s="48">
        <v>4008525</v>
      </c>
      <c r="Y40" s="48">
        <v>4115320</v>
      </c>
      <c r="Z40" s="48">
        <v>4009925</v>
      </c>
      <c r="AA40" s="48">
        <v>3928810</v>
      </c>
      <c r="AB40" s="48">
        <v>4577405</v>
      </c>
      <c r="AC40" s="49">
        <f t="shared" si="3"/>
        <v>50718362</v>
      </c>
      <c r="AD40" s="48">
        <v>0</v>
      </c>
      <c r="AE40" s="48">
        <v>3265300</v>
      </c>
      <c r="AF40" s="48">
        <v>3853480</v>
      </c>
      <c r="AG40" s="48">
        <v>4134075</v>
      </c>
      <c r="AH40" s="48">
        <v>4572070</v>
      </c>
      <c r="AI40" s="48">
        <v>3978170</v>
      </c>
      <c r="AJ40" s="48">
        <v>4248867</v>
      </c>
      <c r="AK40" s="48">
        <v>6026415</v>
      </c>
      <c r="AL40" s="48">
        <v>4008525</v>
      </c>
      <c r="AM40" s="48">
        <v>8125245</v>
      </c>
      <c r="AN40" s="48">
        <v>0</v>
      </c>
      <c r="AO40" s="48">
        <v>8506215</v>
      </c>
      <c r="AP40" s="50">
        <f t="shared" si="4"/>
        <v>50718362</v>
      </c>
    </row>
    <row r="41" spans="1:42" s="12" customFormat="1" ht="13.5" thickBot="1">
      <c r="A41" s="16" t="s">
        <v>105</v>
      </c>
      <c r="B41" s="47" t="s">
        <v>75</v>
      </c>
      <c r="C41" s="48">
        <f>101589273+3500000</f>
        <v>105089273</v>
      </c>
      <c r="D41" s="48">
        <v>0</v>
      </c>
      <c r="E41" s="48">
        <v>6530700</v>
      </c>
      <c r="F41" s="48">
        <v>7706860</v>
      </c>
      <c r="G41" s="48">
        <v>8268050</v>
      </c>
      <c r="H41" s="48">
        <v>17100539</v>
      </c>
      <c r="I41" s="48">
        <v>8494810</v>
      </c>
      <c r="J41" s="48">
        <v>12055755</v>
      </c>
      <c r="K41" s="48">
        <v>8017050</v>
      </c>
      <c r="L41" s="48">
        <v>8230640</v>
      </c>
      <c r="M41" s="48">
        <v>8019850</v>
      </c>
      <c r="N41" s="48">
        <v>7857620</v>
      </c>
      <c r="O41" s="48">
        <v>9154810</v>
      </c>
      <c r="P41" s="49">
        <f t="shared" si="2"/>
        <v>101436684</v>
      </c>
      <c r="Q41" s="48">
        <v>0</v>
      </c>
      <c r="R41" s="48">
        <v>6530700</v>
      </c>
      <c r="S41" s="48">
        <v>7706860</v>
      </c>
      <c r="T41" s="48">
        <v>8268050</v>
      </c>
      <c r="U41" s="48">
        <v>17100539</v>
      </c>
      <c r="V41" s="48">
        <v>8494810</v>
      </c>
      <c r="W41" s="48">
        <v>12055755</v>
      </c>
      <c r="X41" s="48">
        <v>8017050</v>
      </c>
      <c r="Y41" s="48">
        <v>8230640</v>
      </c>
      <c r="Z41" s="48">
        <v>8019850</v>
      </c>
      <c r="AA41" s="48">
        <v>7857620</v>
      </c>
      <c r="AB41" s="48">
        <v>9154810</v>
      </c>
      <c r="AC41" s="49">
        <f t="shared" si="3"/>
        <v>101436684</v>
      </c>
      <c r="AD41" s="48">
        <v>0</v>
      </c>
      <c r="AE41" s="48">
        <v>6530700</v>
      </c>
      <c r="AF41" s="48">
        <v>7706860</v>
      </c>
      <c r="AG41" s="48">
        <v>8268050</v>
      </c>
      <c r="AH41" s="48">
        <v>9144199</v>
      </c>
      <c r="AI41" s="48">
        <v>7956340</v>
      </c>
      <c r="AJ41" s="48">
        <v>8497735</v>
      </c>
      <c r="AK41" s="48">
        <v>12052830</v>
      </c>
      <c r="AL41" s="48">
        <v>8017050</v>
      </c>
      <c r="AM41" s="48">
        <v>16250490</v>
      </c>
      <c r="AN41" s="48"/>
      <c r="AO41" s="48">
        <v>17012430</v>
      </c>
      <c r="AP41" s="50">
        <f t="shared" si="4"/>
        <v>101436684</v>
      </c>
    </row>
    <row r="42" spans="1:42" s="14" customFormat="1" ht="13.5" thickBot="1">
      <c r="A42" s="25"/>
      <c r="B42" s="53" t="s">
        <v>43</v>
      </c>
      <c r="C42" s="54">
        <f>SUM(C43:C54)</f>
        <v>1613526675</v>
      </c>
      <c r="D42" s="54">
        <f aca="true" t="shared" si="5" ref="D42:P42">SUM(D43:D54)</f>
        <v>332656730</v>
      </c>
      <c r="E42" s="54">
        <f t="shared" si="5"/>
        <v>76554982.2</v>
      </c>
      <c r="F42" s="54">
        <f t="shared" si="5"/>
        <v>569627776</v>
      </c>
      <c r="G42" s="54">
        <f t="shared" si="5"/>
        <v>77176585</v>
      </c>
      <c r="H42" s="54">
        <f t="shared" si="5"/>
        <v>36079981</v>
      </c>
      <c r="I42" s="54">
        <f t="shared" si="5"/>
        <v>93452262</v>
      </c>
      <c r="J42" s="54">
        <f t="shared" si="5"/>
        <v>21879878</v>
      </c>
      <c r="K42" s="54">
        <f t="shared" si="5"/>
        <v>39691863</v>
      </c>
      <c r="L42" s="54">
        <f t="shared" si="5"/>
        <v>33098247</v>
      </c>
      <c r="M42" s="54">
        <f t="shared" si="5"/>
        <v>19305329</v>
      </c>
      <c r="N42" s="54">
        <f t="shared" si="5"/>
        <v>36264121</v>
      </c>
      <c r="O42" s="54">
        <f t="shared" si="5"/>
        <v>241918659.01000002</v>
      </c>
      <c r="P42" s="54">
        <f t="shared" si="5"/>
        <v>1577706413.21</v>
      </c>
      <c r="Q42" s="54">
        <f aca="true" t="shared" si="6" ref="Q42:AP42">SUM(Q43:Q54)</f>
        <v>83722757</v>
      </c>
      <c r="R42" s="54">
        <f t="shared" si="6"/>
        <v>16801730</v>
      </c>
      <c r="S42" s="54">
        <f t="shared" si="6"/>
        <v>89746131.52</v>
      </c>
      <c r="T42" s="54">
        <f t="shared" si="6"/>
        <v>114759090.52</v>
      </c>
      <c r="U42" s="54">
        <f t="shared" si="6"/>
        <v>125529850.52</v>
      </c>
      <c r="V42" s="54">
        <f t="shared" si="6"/>
        <v>97462112.52</v>
      </c>
      <c r="W42" s="54">
        <f t="shared" si="6"/>
        <v>157363593.04000002</v>
      </c>
      <c r="X42" s="54">
        <f t="shared" si="6"/>
        <v>92509110</v>
      </c>
      <c r="Y42" s="54">
        <f t="shared" si="6"/>
        <v>89146084.04</v>
      </c>
      <c r="Z42" s="54">
        <f t="shared" si="6"/>
        <v>131048059.52</v>
      </c>
      <c r="AA42" s="54">
        <f t="shared" si="6"/>
        <v>108977636.52000001</v>
      </c>
      <c r="AB42" s="54">
        <f t="shared" si="6"/>
        <v>470640258.01</v>
      </c>
      <c r="AC42" s="54">
        <f t="shared" si="6"/>
        <v>1577706413.21</v>
      </c>
      <c r="AD42" s="54">
        <f t="shared" si="6"/>
        <v>83722757</v>
      </c>
      <c r="AE42" s="54">
        <f t="shared" si="6"/>
        <v>16801730</v>
      </c>
      <c r="AF42" s="54">
        <f t="shared" si="6"/>
        <v>89688131.52</v>
      </c>
      <c r="AG42" s="54">
        <f t="shared" si="6"/>
        <v>85227867.52000001</v>
      </c>
      <c r="AH42" s="54">
        <f t="shared" si="6"/>
        <v>153646016.51999998</v>
      </c>
      <c r="AI42" s="54">
        <f t="shared" si="6"/>
        <v>98785169.52</v>
      </c>
      <c r="AJ42" s="54">
        <f t="shared" si="6"/>
        <v>141407196.51999998</v>
      </c>
      <c r="AK42" s="54">
        <f t="shared" si="6"/>
        <v>107324315.52</v>
      </c>
      <c r="AL42" s="54">
        <f t="shared" si="6"/>
        <v>85768396.52</v>
      </c>
      <c r="AM42" s="54">
        <f t="shared" si="6"/>
        <v>131303923.52</v>
      </c>
      <c r="AN42" s="54">
        <f t="shared" si="6"/>
        <v>100688912.52000001</v>
      </c>
      <c r="AO42" s="54">
        <f t="shared" si="6"/>
        <v>178214156.53</v>
      </c>
      <c r="AP42" s="42">
        <f t="shared" si="6"/>
        <v>1272578573.21</v>
      </c>
    </row>
    <row r="43" spans="1:42" s="14" customFormat="1" ht="12.75">
      <c r="A43" s="16" t="s">
        <v>124</v>
      </c>
      <c r="B43" s="56" t="s">
        <v>125</v>
      </c>
      <c r="C43" s="57">
        <f>39840199+14518640+105000000-105000000</f>
        <v>54358839</v>
      </c>
      <c r="D43" s="101"/>
      <c r="E43" s="101"/>
      <c r="F43" s="107">
        <v>0</v>
      </c>
      <c r="G43" s="101">
        <v>0</v>
      </c>
      <c r="H43" s="101">
        <v>0</v>
      </c>
      <c r="I43" s="107">
        <v>39800000</v>
      </c>
      <c r="J43" s="107">
        <v>13457160</v>
      </c>
      <c r="K43" s="107">
        <v>1017240</v>
      </c>
      <c r="L43" s="107">
        <v>0</v>
      </c>
      <c r="M43" s="107">
        <v>0</v>
      </c>
      <c r="N43" s="57">
        <v>0</v>
      </c>
      <c r="O43" s="57">
        <v>0</v>
      </c>
      <c r="P43" s="49">
        <f t="shared" si="2"/>
        <v>54274400</v>
      </c>
      <c r="Q43" s="101">
        <v>0</v>
      </c>
      <c r="R43" s="101"/>
      <c r="S43" s="101">
        <v>0</v>
      </c>
      <c r="T43" s="101">
        <v>0</v>
      </c>
      <c r="U43" s="101">
        <v>0</v>
      </c>
      <c r="V43" s="107">
        <v>0</v>
      </c>
      <c r="W43" s="107">
        <v>52505480</v>
      </c>
      <c r="X43" s="107">
        <v>1768920</v>
      </c>
      <c r="Y43" s="107">
        <v>0</v>
      </c>
      <c r="Z43" s="107">
        <v>0</v>
      </c>
      <c r="AA43" s="57">
        <v>0</v>
      </c>
      <c r="AB43" s="57">
        <v>0</v>
      </c>
      <c r="AC43" s="49">
        <f t="shared" si="3"/>
        <v>54274400</v>
      </c>
      <c r="AD43" s="101">
        <v>0</v>
      </c>
      <c r="AE43" s="101"/>
      <c r="AF43" s="101"/>
      <c r="AG43" s="101">
        <v>0</v>
      </c>
      <c r="AH43" s="101">
        <v>0</v>
      </c>
      <c r="AI43" s="101">
        <v>0</v>
      </c>
      <c r="AJ43" s="107">
        <v>52505480</v>
      </c>
      <c r="AK43" s="107">
        <v>1768920</v>
      </c>
      <c r="AL43" s="107">
        <v>0</v>
      </c>
      <c r="AM43" s="107">
        <v>0</v>
      </c>
      <c r="AN43" s="57">
        <v>0</v>
      </c>
      <c r="AO43" s="57">
        <v>0</v>
      </c>
      <c r="AP43" s="50">
        <f t="shared" si="4"/>
        <v>54274400</v>
      </c>
    </row>
    <row r="44" spans="1:42" s="12" customFormat="1" ht="12.75">
      <c r="A44" s="16" t="s">
        <v>115</v>
      </c>
      <c r="B44" s="56" t="s">
        <v>107</v>
      </c>
      <c r="C44" s="57">
        <v>300000</v>
      </c>
      <c r="D44" s="57"/>
      <c r="E44" s="48"/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299450</v>
      </c>
      <c r="P44" s="57">
        <f>SUM(D44:O44)</f>
        <v>299450</v>
      </c>
      <c r="Q44" s="57">
        <v>0</v>
      </c>
      <c r="R44" s="49"/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299450</v>
      </c>
      <c r="AC44" s="57">
        <f>SUM(Q44:AB44)</f>
        <v>299450</v>
      </c>
      <c r="AD44" s="57">
        <v>0</v>
      </c>
      <c r="AE44" s="49"/>
      <c r="AF44" s="57"/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299450</v>
      </c>
      <c r="AP44" s="102">
        <f>SUM(AD44:AO44)</f>
        <v>299450</v>
      </c>
    </row>
    <row r="45" spans="1:42" s="12" customFormat="1" ht="12.75">
      <c r="A45" s="16" t="s">
        <v>116</v>
      </c>
      <c r="B45" s="56" t="s">
        <v>108</v>
      </c>
      <c r="C45" s="57">
        <v>22000000</v>
      </c>
      <c r="D45" s="57"/>
      <c r="E45" s="48"/>
      <c r="F45" s="57">
        <v>1265230</v>
      </c>
      <c r="G45" s="57">
        <v>12216354</v>
      </c>
      <c r="H45" s="57">
        <v>6470881</v>
      </c>
      <c r="I45" s="57">
        <v>0</v>
      </c>
      <c r="J45" s="57">
        <v>0</v>
      </c>
      <c r="K45" s="57">
        <v>1679892</v>
      </c>
      <c r="L45" s="57">
        <v>284332</v>
      </c>
      <c r="M45" s="57">
        <v>0</v>
      </c>
      <c r="N45" s="57">
        <v>-491551</v>
      </c>
      <c r="O45" s="57">
        <v>0</v>
      </c>
      <c r="P45" s="57">
        <f aca="true" t="shared" si="7" ref="P45:P54">SUM(D45:O45)</f>
        <v>21425138</v>
      </c>
      <c r="Q45" s="57">
        <v>0</v>
      </c>
      <c r="R45" s="49"/>
      <c r="S45" s="57">
        <v>0</v>
      </c>
      <c r="T45" s="57">
        <v>8996590</v>
      </c>
      <c r="U45" s="57">
        <v>3754324</v>
      </c>
      <c r="V45" s="57">
        <v>5700000</v>
      </c>
      <c r="W45" s="57">
        <v>1010000</v>
      </c>
      <c r="X45" s="57">
        <v>0</v>
      </c>
      <c r="Y45" s="57">
        <v>279892</v>
      </c>
      <c r="Z45" s="57">
        <v>284332</v>
      </c>
      <c r="AA45" s="57">
        <v>0</v>
      </c>
      <c r="AB45" s="57">
        <v>1400000</v>
      </c>
      <c r="AC45" s="57">
        <f aca="true" t="shared" si="8" ref="AC45:AC54">SUM(Q45:AB45)</f>
        <v>21425138</v>
      </c>
      <c r="AD45" s="57">
        <v>0</v>
      </c>
      <c r="AE45" s="49"/>
      <c r="AF45" s="57"/>
      <c r="AG45" s="57">
        <v>8996590</v>
      </c>
      <c r="AH45" s="57">
        <v>2933338</v>
      </c>
      <c r="AI45" s="57">
        <v>6370986</v>
      </c>
      <c r="AJ45" s="57">
        <v>1010000</v>
      </c>
      <c r="AK45" s="57">
        <v>0</v>
      </c>
      <c r="AL45" s="57">
        <v>429892</v>
      </c>
      <c r="AM45" s="57">
        <v>0</v>
      </c>
      <c r="AN45" s="57">
        <v>284332</v>
      </c>
      <c r="AO45" s="57">
        <v>1400000</v>
      </c>
      <c r="AP45" s="102">
        <f aca="true" t="shared" si="9" ref="AP45:AP56">SUM(AD45:AO45)</f>
        <v>21425138</v>
      </c>
    </row>
    <row r="46" spans="1:42" s="12" customFormat="1" ht="12.75">
      <c r="A46" s="16" t="s">
        <v>166</v>
      </c>
      <c r="B46" s="56" t="s">
        <v>169</v>
      </c>
      <c r="C46" s="57">
        <v>21000000</v>
      </c>
      <c r="D46" s="57"/>
      <c r="E46" s="48"/>
      <c r="F46" s="57"/>
      <c r="G46" s="57"/>
      <c r="H46" s="57"/>
      <c r="I46" s="57"/>
      <c r="J46" s="57"/>
      <c r="K46" s="57"/>
      <c r="L46" s="57"/>
      <c r="M46" s="57"/>
      <c r="N46" s="57"/>
      <c r="O46" s="57">
        <v>20858340</v>
      </c>
      <c r="P46" s="57">
        <f>SUM(D46:O46)</f>
        <v>20858340</v>
      </c>
      <c r="Q46" s="57"/>
      <c r="R46" s="49"/>
      <c r="S46" s="57"/>
      <c r="T46" s="57"/>
      <c r="U46" s="57"/>
      <c r="V46" s="57"/>
      <c r="W46" s="57"/>
      <c r="X46" s="57"/>
      <c r="Y46" s="57"/>
      <c r="Z46" s="57"/>
      <c r="AA46" s="57"/>
      <c r="AB46" s="57">
        <v>20858340</v>
      </c>
      <c r="AC46" s="57">
        <f t="shared" si="8"/>
        <v>20858340</v>
      </c>
      <c r="AD46" s="57"/>
      <c r="AE46" s="49"/>
      <c r="AF46" s="57"/>
      <c r="AG46" s="57"/>
      <c r="AH46" s="57"/>
      <c r="AI46" s="57"/>
      <c r="AJ46" s="57"/>
      <c r="AK46" s="57"/>
      <c r="AL46" s="57"/>
      <c r="AM46" s="57"/>
      <c r="AN46" s="57"/>
      <c r="AO46" s="57">
        <v>5999998</v>
      </c>
      <c r="AP46" s="102">
        <f t="shared" si="9"/>
        <v>5999998</v>
      </c>
    </row>
    <row r="47" spans="1:42" s="12" customFormat="1" ht="12.75">
      <c r="A47" s="16" t="s">
        <v>167</v>
      </c>
      <c r="B47" s="56" t="s">
        <v>168</v>
      </c>
      <c r="C47" s="57">
        <f>17000000+105000000</f>
        <v>122000000</v>
      </c>
      <c r="D47" s="57"/>
      <c r="E47" s="48"/>
      <c r="F47" s="57"/>
      <c r="G47" s="57"/>
      <c r="H47" s="57"/>
      <c r="I47" s="57"/>
      <c r="J47" s="57"/>
      <c r="K47" s="57"/>
      <c r="L47" s="57"/>
      <c r="M47" s="57"/>
      <c r="N47" s="57"/>
      <c r="O47" s="57">
        <v>121915683</v>
      </c>
      <c r="P47" s="57">
        <f>SUM(D47:O47)</f>
        <v>121915683</v>
      </c>
      <c r="Q47" s="57"/>
      <c r="R47" s="49"/>
      <c r="S47" s="57"/>
      <c r="T47" s="57"/>
      <c r="U47" s="57"/>
      <c r="V47" s="57"/>
      <c r="W47" s="57"/>
      <c r="X47" s="57"/>
      <c r="Y47" s="57"/>
      <c r="Z47" s="57"/>
      <c r="AA47" s="57"/>
      <c r="AB47" s="57">
        <v>121915683</v>
      </c>
      <c r="AC47" s="57">
        <f t="shared" si="8"/>
        <v>121915683</v>
      </c>
      <c r="AD47" s="57"/>
      <c r="AE47" s="49"/>
      <c r="AF47" s="57"/>
      <c r="AG47" s="57"/>
      <c r="AH47" s="57"/>
      <c r="AI47" s="57"/>
      <c r="AJ47" s="57"/>
      <c r="AK47" s="57"/>
      <c r="AL47" s="57"/>
      <c r="AM47" s="57"/>
      <c r="AN47" s="57"/>
      <c r="AO47" s="57">
        <v>16915683</v>
      </c>
      <c r="AP47" s="102">
        <f t="shared" si="9"/>
        <v>16915683</v>
      </c>
    </row>
    <row r="48" spans="1:42" s="12" customFormat="1" ht="12.75">
      <c r="A48" s="16" t="s">
        <v>163</v>
      </c>
      <c r="B48" s="56" t="s">
        <v>109</v>
      </c>
      <c r="C48" s="57">
        <f>69600000-1000000+13500000+22451752</f>
        <v>104551752</v>
      </c>
      <c r="D48" s="57"/>
      <c r="E48" s="48">
        <v>2500000</v>
      </c>
      <c r="F48" s="57">
        <v>1461600</v>
      </c>
      <c r="G48" s="57">
        <v>15250255</v>
      </c>
      <c r="H48" s="57">
        <v>1206971</v>
      </c>
      <c r="I48" s="57">
        <v>2791431</v>
      </c>
      <c r="J48" s="57">
        <v>0</v>
      </c>
      <c r="K48" s="57">
        <v>17016376</v>
      </c>
      <c r="L48" s="57">
        <v>13772676</v>
      </c>
      <c r="M48" s="57">
        <v>0</v>
      </c>
      <c r="N48" s="57">
        <v>15675384</v>
      </c>
      <c r="O48" s="57">
        <v>33103592</v>
      </c>
      <c r="P48" s="57">
        <f t="shared" si="7"/>
        <v>102778285</v>
      </c>
      <c r="Q48" s="57">
        <v>0</v>
      </c>
      <c r="R48" s="49">
        <v>2500000</v>
      </c>
      <c r="S48" s="57">
        <v>1171600</v>
      </c>
      <c r="T48" s="57">
        <v>1599190</v>
      </c>
      <c r="U48" s="57">
        <v>6151957</v>
      </c>
      <c r="V48" s="57">
        <v>2496079</v>
      </c>
      <c r="W48" s="57">
        <v>5092164</v>
      </c>
      <c r="X48" s="57">
        <v>1139673</v>
      </c>
      <c r="Y48" s="57">
        <v>3000000</v>
      </c>
      <c r="Z48" s="57">
        <v>16754176</v>
      </c>
      <c r="AA48" s="57">
        <v>16094470</v>
      </c>
      <c r="AB48" s="57">
        <v>46778976</v>
      </c>
      <c r="AC48" s="57">
        <f t="shared" si="8"/>
        <v>102778285</v>
      </c>
      <c r="AD48" s="57">
        <v>0</v>
      </c>
      <c r="AE48" s="49">
        <v>2500000</v>
      </c>
      <c r="AF48" s="57">
        <v>1171600</v>
      </c>
      <c r="AG48" s="57">
        <v>1599190</v>
      </c>
      <c r="AH48" s="57">
        <v>5499886</v>
      </c>
      <c r="AI48" s="57">
        <v>3148150</v>
      </c>
      <c r="AJ48" s="57">
        <v>5092164</v>
      </c>
      <c r="AK48" s="57">
        <v>1139673</v>
      </c>
      <c r="AL48" s="57">
        <v>3000000</v>
      </c>
      <c r="AM48" s="57">
        <v>16754176</v>
      </c>
      <c r="AN48" s="57">
        <v>14094470</v>
      </c>
      <c r="AO48" s="57">
        <v>12487208</v>
      </c>
      <c r="AP48" s="102">
        <f t="shared" si="9"/>
        <v>66486517</v>
      </c>
    </row>
    <row r="49" spans="1:42" s="12" customFormat="1" ht="12.75">
      <c r="A49" s="16" t="s">
        <v>163</v>
      </c>
      <c r="B49" s="56" t="s">
        <v>162</v>
      </c>
      <c r="C49" s="57">
        <v>10000000</v>
      </c>
      <c r="D49" s="57"/>
      <c r="E49" s="48"/>
      <c r="F49" s="57"/>
      <c r="G49" s="57"/>
      <c r="H49" s="57"/>
      <c r="I49" s="57"/>
      <c r="J49" s="57"/>
      <c r="K49" s="57"/>
      <c r="L49" s="57">
        <v>8242960</v>
      </c>
      <c r="M49" s="57">
        <v>0</v>
      </c>
      <c r="N49" s="57">
        <v>0</v>
      </c>
      <c r="O49" s="57">
        <v>0</v>
      </c>
      <c r="P49" s="57">
        <f>SUM(D49:O49)</f>
        <v>8242960</v>
      </c>
      <c r="Q49" s="57"/>
      <c r="R49" s="49"/>
      <c r="S49" s="57"/>
      <c r="T49" s="57"/>
      <c r="U49" s="57"/>
      <c r="V49" s="57"/>
      <c r="W49" s="57"/>
      <c r="X49" s="57"/>
      <c r="Y49" s="57">
        <v>0</v>
      </c>
      <c r="Z49" s="57">
        <v>8242960</v>
      </c>
      <c r="AA49" s="57">
        <v>0</v>
      </c>
      <c r="AB49" s="57">
        <v>0</v>
      </c>
      <c r="AC49" s="57">
        <f>SUM(Q49:AB49)</f>
        <v>8242960</v>
      </c>
      <c r="AD49" s="57"/>
      <c r="AE49" s="49"/>
      <c r="AF49" s="57"/>
      <c r="AG49" s="57"/>
      <c r="AH49" s="57"/>
      <c r="AI49" s="57"/>
      <c r="AJ49" s="57"/>
      <c r="AK49" s="57"/>
      <c r="AL49" s="57">
        <v>0</v>
      </c>
      <c r="AM49" s="57">
        <v>8242960</v>
      </c>
      <c r="AN49" s="57">
        <v>0</v>
      </c>
      <c r="AO49" s="57">
        <v>0</v>
      </c>
      <c r="AP49" s="102">
        <f>SUM(AD49:AO49)</f>
        <v>8242960</v>
      </c>
    </row>
    <row r="50" spans="1:42" s="12" customFormat="1" ht="12.75">
      <c r="A50" s="16" t="s">
        <v>117</v>
      </c>
      <c r="B50" s="56" t="s">
        <v>110</v>
      </c>
      <c r="C50" s="57">
        <f>891220000-14518640-4500000-13500000+13397000</f>
        <v>872098360</v>
      </c>
      <c r="D50" s="57">
        <v>179712140</v>
      </c>
      <c r="E50" s="48">
        <v>64601774.2</v>
      </c>
      <c r="F50" s="57">
        <v>547063365</v>
      </c>
      <c r="G50" s="57">
        <v>8983144</v>
      </c>
      <c r="H50" s="57">
        <v>9056520</v>
      </c>
      <c r="I50" s="57">
        <v>37215164</v>
      </c>
      <c r="J50" s="57">
        <v>2840342</v>
      </c>
      <c r="K50" s="57">
        <v>820654</v>
      </c>
      <c r="L50" s="57">
        <v>0</v>
      </c>
      <c r="M50" s="57">
        <v>904760</v>
      </c>
      <c r="N50" s="57">
        <v>-8055277</v>
      </c>
      <c r="O50" s="57">
        <v>26518245.99</v>
      </c>
      <c r="P50" s="57">
        <f t="shared" si="7"/>
        <v>869660832.19</v>
      </c>
      <c r="Q50" s="57">
        <v>0</v>
      </c>
      <c r="R50" s="49">
        <v>5905552</v>
      </c>
      <c r="S50" s="57">
        <v>70130863.52</v>
      </c>
      <c r="T50" s="57">
        <v>70111134.52</v>
      </c>
      <c r="U50" s="57">
        <v>94823582.52</v>
      </c>
      <c r="V50" s="57">
        <v>74773963.52</v>
      </c>
      <c r="W50" s="57">
        <v>81990880.04</v>
      </c>
      <c r="X50" s="57">
        <v>68750816</v>
      </c>
      <c r="Y50" s="57">
        <v>74277923.04</v>
      </c>
      <c r="Z50" s="57">
        <v>87126022.52</v>
      </c>
      <c r="AA50" s="57">
        <v>63635527.52</v>
      </c>
      <c r="AB50" s="57">
        <v>178134566.99</v>
      </c>
      <c r="AC50" s="57">
        <f t="shared" si="8"/>
        <v>869660832.1899999</v>
      </c>
      <c r="AD50" s="57">
        <v>0</v>
      </c>
      <c r="AE50" s="49">
        <v>5905552</v>
      </c>
      <c r="AF50" s="57">
        <v>70072863.52</v>
      </c>
      <c r="AG50" s="57">
        <v>40660429.52</v>
      </c>
      <c r="AH50" s="57">
        <v>124332287.52</v>
      </c>
      <c r="AI50" s="57">
        <v>74773963.52</v>
      </c>
      <c r="AJ50" s="57">
        <v>77870903.52</v>
      </c>
      <c r="AK50" s="57">
        <v>71729601.52</v>
      </c>
      <c r="AL50" s="57">
        <v>71299137.52</v>
      </c>
      <c r="AM50" s="57">
        <v>87126022.52</v>
      </c>
      <c r="AN50" s="57">
        <v>63635527.52</v>
      </c>
      <c r="AO50" s="57">
        <v>99106283.51</v>
      </c>
      <c r="AP50" s="102">
        <f t="shared" si="9"/>
        <v>786512572.1899999</v>
      </c>
    </row>
    <row r="51" spans="1:42" s="12" customFormat="1" ht="12.75">
      <c r="A51" s="16" t="s">
        <v>118</v>
      </c>
      <c r="B51" s="56" t="s">
        <v>111</v>
      </c>
      <c r="C51" s="57">
        <f>16000000-300000-1500000</f>
        <v>14200000</v>
      </c>
      <c r="D51" s="57"/>
      <c r="E51" s="48">
        <v>0</v>
      </c>
      <c r="F51" s="57">
        <v>0</v>
      </c>
      <c r="G51" s="57">
        <v>7000000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1840939</v>
      </c>
      <c r="P51" s="57">
        <f t="shared" si="7"/>
        <v>8840939</v>
      </c>
      <c r="Q51" s="57">
        <v>0</v>
      </c>
      <c r="R51" s="49"/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540000</v>
      </c>
      <c r="Z51" s="57">
        <v>240000</v>
      </c>
      <c r="AA51" s="57">
        <v>0</v>
      </c>
      <c r="AB51" s="57">
        <v>8060939</v>
      </c>
      <c r="AC51" s="57">
        <f t="shared" si="8"/>
        <v>8840939</v>
      </c>
      <c r="AD51" s="57">
        <v>0</v>
      </c>
      <c r="AE51" s="49"/>
      <c r="AF51" s="57"/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540000</v>
      </c>
      <c r="AM51" s="57">
        <v>240000</v>
      </c>
      <c r="AN51" s="57">
        <v>0</v>
      </c>
      <c r="AO51" s="57">
        <v>5060939</v>
      </c>
      <c r="AP51" s="102">
        <f t="shared" si="9"/>
        <v>5840939</v>
      </c>
    </row>
    <row r="52" spans="1:42" s="12" customFormat="1" ht="12.75">
      <c r="A52" s="16" t="s">
        <v>119</v>
      </c>
      <c r="B52" s="56" t="s">
        <v>112</v>
      </c>
      <c r="C52" s="57">
        <f>12100000-3000000</f>
        <v>9100000</v>
      </c>
      <c r="D52" s="57">
        <v>187700</v>
      </c>
      <c r="E52" s="48">
        <v>1256000</v>
      </c>
      <c r="F52" s="57">
        <v>696000</v>
      </c>
      <c r="G52" s="57">
        <v>0</v>
      </c>
      <c r="H52" s="57">
        <v>2169980</v>
      </c>
      <c r="I52" s="57">
        <v>0</v>
      </c>
      <c r="J52" s="57">
        <v>1692000</v>
      </c>
      <c r="K52" s="57">
        <v>218000</v>
      </c>
      <c r="L52" s="57">
        <v>0</v>
      </c>
      <c r="M52" s="57">
        <v>0</v>
      </c>
      <c r="N52" s="57">
        <v>972000</v>
      </c>
      <c r="O52" s="57">
        <v>894912</v>
      </c>
      <c r="P52" s="57">
        <f t="shared" si="7"/>
        <v>8086592</v>
      </c>
      <c r="Q52" s="57">
        <v>187700</v>
      </c>
      <c r="R52" s="49"/>
      <c r="S52" s="57">
        <v>1324000</v>
      </c>
      <c r="T52" s="57">
        <v>628000</v>
      </c>
      <c r="U52" s="57">
        <v>743000</v>
      </c>
      <c r="V52" s="57">
        <v>927000</v>
      </c>
      <c r="W52" s="57">
        <v>0</v>
      </c>
      <c r="X52" s="57">
        <v>1910000</v>
      </c>
      <c r="Y52" s="57">
        <v>249990</v>
      </c>
      <c r="Z52" s="57">
        <v>0</v>
      </c>
      <c r="AA52" s="57">
        <v>1221990</v>
      </c>
      <c r="AB52" s="57">
        <v>894912</v>
      </c>
      <c r="AC52" s="57">
        <f t="shared" si="8"/>
        <v>8086592</v>
      </c>
      <c r="AD52" s="57">
        <v>187700</v>
      </c>
      <c r="AE52" s="49"/>
      <c r="AF52" s="57">
        <v>1324000</v>
      </c>
      <c r="AG52" s="57">
        <v>628000</v>
      </c>
      <c r="AH52" s="57">
        <v>743000</v>
      </c>
      <c r="AI52" s="57">
        <v>927000</v>
      </c>
      <c r="AJ52" s="57">
        <v>0</v>
      </c>
      <c r="AK52" s="57">
        <v>1910000</v>
      </c>
      <c r="AL52" s="57">
        <v>249990</v>
      </c>
      <c r="AM52" s="57">
        <v>0</v>
      </c>
      <c r="AN52" s="57">
        <v>1221990</v>
      </c>
      <c r="AO52" s="57">
        <v>300000</v>
      </c>
      <c r="AP52" s="102">
        <f t="shared" si="9"/>
        <v>7491680</v>
      </c>
    </row>
    <row r="53" spans="1:42" s="12" customFormat="1" ht="12.75">
      <c r="A53" s="16" t="s">
        <v>120</v>
      </c>
      <c r="B53" s="56" t="s">
        <v>113</v>
      </c>
      <c r="C53" s="57">
        <f>234300000-22000000+29617724</f>
        <v>241917724</v>
      </c>
      <c r="D53" s="57">
        <v>10862306</v>
      </c>
      <c r="E53" s="48">
        <v>8197208</v>
      </c>
      <c r="F53" s="57">
        <v>19141581</v>
      </c>
      <c r="G53" s="57">
        <v>33726832</v>
      </c>
      <c r="H53" s="57">
        <v>17175629</v>
      </c>
      <c r="I53" s="57">
        <v>13645667</v>
      </c>
      <c r="J53" s="57">
        <v>3890376</v>
      </c>
      <c r="K53" s="57">
        <v>18939701</v>
      </c>
      <c r="L53" s="57">
        <v>10798279</v>
      </c>
      <c r="M53" s="57">
        <v>18400569</v>
      </c>
      <c r="N53" s="57">
        <v>28163565</v>
      </c>
      <c r="O53" s="57">
        <v>36487497.02</v>
      </c>
      <c r="P53" s="57">
        <f t="shared" si="7"/>
        <v>219429210.02</v>
      </c>
      <c r="Q53" s="57">
        <v>10663336</v>
      </c>
      <c r="R53" s="49">
        <v>8396178</v>
      </c>
      <c r="S53" s="57">
        <v>17119668</v>
      </c>
      <c r="T53" s="57">
        <v>33424176</v>
      </c>
      <c r="U53" s="57">
        <v>19500198</v>
      </c>
      <c r="V53" s="57">
        <v>13468657</v>
      </c>
      <c r="W53" s="57">
        <v>4067386</v>
      </c>
      <c r="X53" s="57">
        <v>18939701</v>
      </c>
      <c r="Y53" s="57">
        <v>10798279</v>
      </c>
      <c r="Z53" s="57">
        <v>18400569</v>
      </c>
      <c r="AA53" s="57">
        <v>28025649</v>
      </c>
      <c r="AB53" s="57">
        <v>36625413.02</v>
      </c>
      <c r="AC53" s="57">
        <f t="shared" si="8"/>
        <v>219429210.02</v>
      </c>
      <c r="AD53" s="57">
        <v>10663336</v>
      </c>
      <c r="AE53" s="49">
        <v>8396178</v>
      </c>
      <c r="AF53" s="57">
        <v>17119668</v>
      </c>
      <c r="AG53" s="57">
        <v>33343658</v>
      </c>
      <c r="AH53" s="57">
        <v>19580716</v>
      </c>
      <c r="AI53" s="57">
        <v>13468657</v>
      </c>
      <c r="AJ53" s="57">
        <v>4067386</v>
      </c>
      <c r="AK53" s="57">
        <v>18939701</v>
      </c>
      <c r="AL53" s="57">
        <v>10249377</v>
      </c>
      <c r="AM53" s="57">
        <v>18940765</v>
      </c>
      <c r="AN53" s="57">
        <v>21452593</v>
      </c>
      <c r="AO53" s="57">
        <v>36644595.02</v>
      </c>
      <c r="AP53" s="102">
        <f t="shared" si="9"/>
        <v>212866630.02</v>
      </c>
    </row>
    <row r="54" spans="1:42" s="12" customFormat="1" ht="13.5" thickBot="1">
      <c r="A54" s="16" t="s">
        <v>121</v>
      </c>
      <c r="B54" s="56" t="s">
        <v>114</v>
      </c>
      <c r="C54" s="57">
        <v>142000000</v>
      </c>
      <c r="D54" s="57">
        <v>141894584</v>
      </c>
      <c r="E54" s="48"/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/>
      <c r="O54" s="57">
        <v>0</v>
      </c>
      <c r="P54" s="57">
        <f t="shared" si="7"/>
        <v>141894584</v>
      </c>
      <c r="Q54" s="57">
        <v>72871721</v>
      </c>
      <c r="R54" s="49"/>
      <c r="S54" s="57">
        <v>0</v>
      </c>
      <c r="T54" s="57">
        <v>0</v>
      </c>
      <c r="U54" s="57">
        <v>556789</v>
      </c>
      <c r="V54" s="57">
        <v>96413</v>
      </c>
      <c r="W54" s="57">
        <v>12697683</v>
      </c>
      <c r="X54" s="57">
        <v>0</v>
      </c>
      <c r="Y54" s="57">
        <v>0</v>
      </c>
      <c r="Z54" s="57">
        <v>0</v>
      </c>
      <c r="AA54" s="57">
        <v>0</v>
      </c>
      <c r="AB54" s="57">
        <v>55671978</v>
      </c>
      <c r="AC54" s="57">
        <f t="shared" si="8"/>
        <v>141894584</v>
      </c>
      <c r="AD54" s="57">
        <v>72871721</v>
      </c>
      <c r="AE54" s="49"/>
      <c r="AF54" s="57"/>
      <c r="AG54" s="57">
        <v>0</v>
      </c>
      <c r="AH54" s="57">
        <v>556789</v>
      </c>
      <c r="AI54" s="57">
        <v>96413</v>
      </c>
      <c r="AJ54" s="57">
        <v>861263</v>
      </c>
      <c r="AK54" s="57">
        <v>11836420</v>
      </c>
      <c r="AL54" s="57">
        <v>0</v>
      </c>
      <c r="AM54" s="57">
        <v>0</v>
      </c>
      <c r="AN54" s="57"/>
      <c r="AO54" s="57">
        <v>0</v>
      </c>
      <c r="AP54" s="103">
        <f t="shared" si="9"/>
        <v>86222606</v>
      </c>
    </row>
    <row r="55" spans="1:42" s="14" customFormat="1" ht="13.5" thickBot="1">
      <c r="A55" s="25"/>
      <c r="B55" s="53" t="s">
        <v>44</v>
      </c>
      <c r="C55" s="54">
        <f aca="true" t="shared" si="10" ref="C55:AP55">SUM(C56:C57)</f>
        <v>363376894</v>
      </c>
      <c r="D55" s="54">
        <f t="shared" si="10"/>
        <v>0</v>
      </c>
      <c r="E55" s="54">
        <f t="shared" si="10"/>
        <v>0</v>
      </c>
      <c r="F55" s="54">
        <f t="shared" si="10"/>
        <v>7121594</v>
      </c>
      <c r="G55" s="54">
        <f t="shared" si="10"/>
        <v>0</v>
      </c>
      <c r="H55" s="54">
        <f t="shared" si="10"/>
        <v>1000000</v>
      </c>
      <c r="I55" s="54">
        <f t="shared" si="10"/>
        <v>2487150</v>
      </c>
      <c r="J55" s="54">
        <f t="shared" si="10"/>
        <v>0</v>
      </c>
      <c r="K55" s="54">
        <f t="shared" si="10"/>
        <v>0</v>
      </c>
      <c r="L55" s="54">
        <f t="shared" si="10"/>
        <v>0</v>
      </c>
      <c r="M55" s="54">
        <f t="shared" si="10"/>
        <v>0</v>
      </c>
      <c r="N55" s="54">
        <f t="shared" si="10"/>
        <v>108702806</v>
      </c>
      <c r="O55" s="54">
        <f t="shared" si="10"/>
        <v>0</v>
      </c>
      <c r="P55" s="54">
        <f t="shared" si="10"/>
        <v>119311550</v>
      </c>
      <c r="Q55" s="54">
        <f t="shared" si="10"/>
        <v>0</v>
      </c>
      <c r="R55" s="54">
        <f t="shared" si="10"/>
        <v>0</v>
      </c>
      <c r="S55" s="54">
        <f t="shared" si="10"/>
        <v>7121594</v>
      </c>
      <c r="T55" s="54">
        <f t="shared" si="10"/>
        <v>0</v>
      </c>
      <c r="U55" s="54">
        <f t="shared" si="10"/>
        <v>1000000</v>
      </c>
      <c r="V55" s="54">
        <f t="shared" si="10"/>
        <v>2487150</v>
      </c>
      <c r="W55" s="54">
        <f t="shared" si="10"/>
        <v>0</v>
      </c>
      <c r="X55" s="54">
        <f t="shared" si="10"/>
        <v>0</v>
      </c>
      <c r="Y55" s="54">
        <f t="shared" si="10"/>
        <v>0</v>
      </c>
      <c r="Z55" s="54">
        <f t="shared" si="10"/>
        <v>0</v>
      </c>
      <c r="AA55" s="54">
        <f t="shared" si="10"/>
        <v>108702806</v>
      </c>
      <c r="AB55" s="54">
        <f t="shared" si="10"/>
        <v>0</v>
      </c>
      <c r="AC55" s="54">
        <f t="shared" si="10"/>
        <v>119311550</v>
      </c>
      <c r="AD55" s="54">
        <f t="shared" si="10"/>
        <v>0</v>
      </c>
      <c r="AE55" s="54">
        <f t="shared" si="10"/>
        <v>0</v>
      </c>
      <c r="AF55" s="54">
        <f t="shared" si="10"/>
        <v>7121594</v>
      </c>
      <c r="AG55" s="54">
        <f t="shared" si="10"/>
        <v>0</v>
      </c>
      <c r="AH55" s="54">
        <f t="shared" si="10"/>
        <v>0</v>
      </c>
      <c r="AI55" s="54">
        <f t="shared" si="10"/>
        <v>3487150</v>
      </c>
      <c r="AJ55" s="54">
        <f t="shared" si="10"/>
        <v>0</v>
      </c>
      <c r="AK55" s="54">
        <f t="shared" si="10"/>
        <v>0</v>
      </c>
      <c r="AL55" s="54">
        <v>0</v>
      </c>
      <c r="AM55" s="54">
        <f t="shared" si="10"/>
        <v>0</v>
      </c>
      <c r="AN55" s="54">
        <f t="shared" si="10"/>
        <v>108702806</v>
      </c>
      <c r="AO55" s="54">
        <f t="shared" si="10"/>
        <v>0</v>
      </c>
      <c r="AP55" s="42">
        <f t="shared" si="10"/>
        <v>119311550</v>
      </c>
    </row>
    <row r="56" spans="1:42" s="12" customFormat="1" ht="13.5" thickBot="1">
      <c r="A56" s="79" t="s">
        <v>40</v>
      </c>
      <c r="B56" s="61" t="s">
        <v>46</v>
      </c>
      <c r="C56" s="62">
        <v>120000000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48">
        <v>0</v>
      </c>
      <c r="K56" s="62">
        <v>0</v>
      </c>
      <c r="L56" s="62">
        <v>0</v>
      </c>
      <c r="M56" s="62">
        <v>0</v>
      </c>
      <c r="N56" s="48">
        <v>108702806</v>
      </c>
      <c r="O56" s="48">
        <v>0</v>
      </c>
      <c r="P56" s="49">
        <f>SUM(D56:O56)</f>
        <v>108702806</v>
      </c>
      <c r="Q56" s="48">
        <v>0</v>
      </c>
      <c r="R56" s="49">
        <v>0</v>
      </c>
      <c r="S56" s="49">
        <v>0</v>
      </c>
      <c r="T56" s="62">
        <v>0</v>
      </c>
      <c r="U56" s="49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108702806</v>
      </c>
      <c r="AB56" s="48">
        <v>0</v>
      </c>
      <c r="AC56" s="49">
        <f>SUM(Q56:AB56)</f>
        <v>108702806</v>
      </c>
      <c r="AD56" s="48">
        <v>0</v>
      </c>
      <c r="AE56" s="49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62">
        <v>0</v>
      </c>
      <c r="AM56" s="49">
        <v>0</v>
      </c>
      <c r="AN56" s="49">
        <f>SUM(AB56:AM56)</f>
        <v>108702806</v>
      </c>
      <c r="AO56" s="48">
        <v>0</v>
      </c>
      <c r="AP56" s="103">
        <f t="shared" si="9"/>
        <v>108702806</v>
      </c>
    </row>
    <row r="57" spans="1:42" s="12" customFormat="1" ht="13.5" thickBot="1">
      <c r="A57" s="15" t="s">
        <v>50</v>
      </c>
      <c r="B57" s="47" t="s">
        <v>122</v>
      </c>
      <c r="C57" s="48">
        <f>451843370-208466476</f>
        <v>243376894</v>
      </c>
      <c r="D57" s="48">
        <v>0</v>
      </c>
      <c r="E57" s="48">
        <v>0</v>
      </c>
      <c r="F57" s="48">
        <v>7121594</v>
      </c>
      <c r="G57" s="48">
        <v>0</v>
      </c>
      <c r="H57" s="48">
        <v>1000000</v>
      </c>
      <c r="I57" s="48">
        <v>2487150</v>
      </c>
      <c r="J57" s="48">
        <v>0</v>
      </c>
      <c r="K57" s="62">
        <v>0</v>
      </c>
      <c r="L57" s="62">
        <v>0</v>
      </c>
      <c r="M57" s="62">
        <v>0</v>
      </c>
      <c r="N57" s="48">
        <v>0</v>
      </c>
      <c r="O57" s="48">
        <v>0</v>
      </c>
      <c r="P57" s="49">
        <f>SUM(D57:O57)</f>
        <v>10608744</v>
      </c>
      <c r="Q57" s="48">
        <v>0</v>
      </c>
      <c r="R57" s="49">
        <v>0</v>
      </c>
      <c r="S57" s="49">
        <v>7121594</v>
      </c>
      <c r="T57" s="48">
        <v>0</v>
      </c>
      <c r="U57" s="49">
        <v>1000000</v>
      </c>
      <c r="V57" s="48">
        <v>2487150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9">
        <f>SUM(Q57:AB57)</f>
        <v>10608744</v>
      </c>
      <c r="AD57" s="48">
        <v>0</v>
      </c>
      <c r="AE57" s="49">
        <v>0</v>
      </c>
      <c r="AF57" s="48">
        <v>7121594</v>
      </c>
      <c r="AG57" s="48">
        <v>0</v>
      </c>
      <c r="AH57" s="48">
        <v>0</v>
      </c>
      <c r="AI57" s="48">
        <v>3487150</v>
      </c>
      <c r="AJ57" s="48">
        <v>0</v>
      </c>
      <c r="AK57" s="48">
        <v>0</v>
      </c>
      <c r="AL57" s="62">
        <v>0</v>
      </c>
      <c r="AM57" s="49">
        <v>0</v>
      </c>
      <c r="AN57" s="48">
        <v>0</v>
      </c>
      <c r="AO57" s="48">
        <v>0</v>
      </c>
      <c r="AP57" s="50">
        <f>SUM(AD57:AO57)</f>
        <v>10608744</v>
      </c>
    </row>
    <row r="58" spans="1:42" s="14" customFormat="1" ht="18" customHeight="1" thickBot="1">
      <c r="A58" s="25"/>
      <c r="B58" s="53" t="s">
        <v>41</v>
      </c>
      <c r="C58" s="54">
        <f aca="true" t="shared" si="11" ref="C58:AP58">SUM(C59:C68)</f>
        <v>67500000000</v>
      </c>
      <c r="D58" s="54">
        <f t="shared" si="11"/>
        <v>1753162167</v>
      </c>
      <c r="E58" s="100">
        <f t="shared" si="11"/>
        <v>5402572362</v>
      </c>
      <c r="F58" s="100">
        <f t="shared" si="11"/>
        <v>8347786612</v>
      </c>
      <c r="G58" s="100">
        <f t="shared" si="11"/>
        <v>7685885886</v>
      </c>
      <c r="H58" s="100">
        <f t="shared" si="11"/>
        <v>20325550321</v>
      </c>
      <c r="I58" s="54">
        <f t="shared" si="11"/>
        <v>1974181184</v>
      </c>
      <c r="J58" s="54">
        <f t="shared" si="11"/>
        <v>4897036262</v>
      </c>
      <c r="K58" s="54">
        <f t="shared" si="11"/>
        <v>4013776526.05</v>
      </c>
      <c r="L58" s="54">
        <f t="shared" si="11"/>
        <v>-10019868470.29</v>
      </c>
      <c r="M58" s="54">
        <f t="shared" si="11"/>
        <v>2554536806.95</v>
      </c>
      <c r="N58" s="54">
        <f t="shared" si="11"/>
        <v>3970656275.5</v>
      </c>
      <c r="O58" s="54">
        <f t="shared" si="11"/>
        <v>14200058346.14</v>
      </c>
      <c r="P58" s="54">
        <f t="shared" si="11"/>
        <v>65105334278.35</v>
      </c>
      <c r="Q58" s="54">
        <f t="shared" si="11"/>
        <v>0</v>
      </c>
      <c r="R58" s="54">
        <f t="shared" si="11"/>
        <v>735431948</v>
      </c>
      <c r="S58" s="54">
        <f t="shared" si="11"/>
        <v>1603272175</v>
      </c>
      <c r="T58" s="54">
        <f t="shared" si="11"/>
        <v>3229314735.6</v>
      </c>
      <c r="U58" s="54">
        <f t="shared" si="11"/>
        <v>6081044725.84</v>
      </c>
      <c r="V58" s="54">
        <f t="shared" si="11"/>
        <v>3038492063.9300003</v>
      </c>
      <c r="W58" s="54">
        <f t="shared" si="11"/>
        <v>3939443121</v>
      </c>
      <c r="X58" s="54">
        <f t="shared" si="11"/>
        <v>3283546781.4900002</v>
      </c>
      <c r="Y58" s="54">
        <f t="shared" si="11"/>
        <v>3996101363.07</v>
      </c>
      <c r="Z58" s="54">
        <f t="shared" si="11"/>
        <v>5513597472.95202</v>
      </c>
      <c r="AA58" s="54">
        <f t="shared" si="11"/>
        <v>5266195356.34</v>
      </c>
      <c r="AB58" s="54">
        <f t="shared" si="11"/>
        <v>17295300815.53</v>
      </c>
      <c r="AC58" s="54">
        <f t="shared" si="11"/>
        <v>53981740558.75202</v>
      </c>
      <c r="AD58" s="54">
        <f t="shared" si="11"/>
        <v>0</v>
      </c>
      <c r="AE58" s="54">
        <f t="shared" si="11"/>
        <v>733675470</v>
      </c>
      <c r="AF58" s="54">
        <f t="shared" si="11"/>
        <v>1501544247</v>
      </c>
      <c r="AG58" s="54">
        <f t="shared" si="11"/>
        <v>2917532127.5</v>
      </c>
      <c r="AH58" s="54">
        <f t="shared" si="11"/>
        <v>5137335597.110001</v>
      </c>
      <c r="AI58" s="54">
        <f t="shared" si="11"/>
        <v>3919750356.76</v>
      </c>
      <c r="AJ58" s="54">
        <f t="shared" si="11"/>
        <v>3978524748</v>
      </c>
      <c r="AK58" s="54">
        <f t="shared" si="11"/>
        <v>3535287535.86</v>
      </c>
      <c r="AL58" s="54">
        <f t="shared" si="11"/>
        <v>3812232201.65</v>
      </c>
      <c r="AM58" s="54">
        <f t="shared" si="11"/>
        <v>4804795981</v>
      </c>
      <c r="AN58" s="54">
        <f t="shared" si="11"/>
        <v>5491518392.96</v>
      </c>
      <c r="AO58" s="54">
        <f t="shared" si="11"/>
        <v>5919811266.51</v>
      </c>
      <c r="AP58" s="42">
        <f t="shared" si="11"/>
        <v>41752007924.350006</v>
      </c>
    </row>
    <row r="59" spans="1:42" s="10" customFormat="1" ht="12.75">
      <c r="A59" s="97" t="s">
        <v>127</v>
      </c>
      <c r="B59" s="13" t="s">
        <v>126</v>
      </c>
      <c r="C59" s="57">
        <v>18104000000</v>
      </c>
      <c r="D59" s="57">
        <v>1056168759</v>
      </c>
      <c r="E59" s="57">
        <v>309300146</v>
      </c>
      <c r="F59" s="57">
        <v>1952121035</v>
      </c>
      <c r="G59" s="57">
        <v>4848136823</v>
      </c>
      <c r="H59" s="57">
        <v>186266992</v>
      </c>
      <c r="I59" s="57">
        <v>403435055</v>
      </c>
      <c r="J59" s="57">
        <v>995188035</v>
      </c>
      <c r="K59" s="57">
        <v>955094417</v>
      </c>
      <c r="L59" s="57">
        <v>721206019</v>
      </c>
      <c r="M59" s="57">
        <v>387689543</v>
      </c>
      <c r="N59" s="57">
        <v>1508274643</v>
      </c>
      <c r="O59" s="81">
        <v>4323013426.42</v>
      </c>
      <c r="P59" s="57">
        <f aca="true" t="shared" si="12" ref="P59:P68">SUM(D59:O59)</f>
        <v>17645894893.42</v>
      </c>
      <c r="Q59" s="57">
        <v>0</v>
      </c>
      <c r="R59" s="57">
        <v>128097281</v>
      </c>
      <c r="S59" s="57">
        <v>233486042</v>
      </c>
      <c r="T59" s="57">
        <v>432825558</v>
      </c>
      <c r="U59" s="57">
        <v>3063925437</v>
      </c>
      <c r="V59" s="57">
        <v>364629436</v>
      </c>
      <c r="W59" s="57">
        <v>1296053666</v>
      </c>
      <c r="X59" s="57">
        <v>544179562.36</v>
      </c>
      <c r="Y59" s="57">
        <v>502052415.36</v>
      </c>
      <c r="Z59" s="57">
        <v>792794272</v>
      </c>
      <c r="AA59" s="57">
        <v>977721872.38</v>
      </c>
      <c r="AB59" s="81">
        <v>6238376416.4</v>
      </c>
      <c r="AC59" s="57">
        <f aca="true" t="shared" si="13" ref="AC59:AC68">SUM(Q59:AB59)</f>
        <v>14574141958.5</v>
      </c>
      <c r="AD59" s="57">
        <v>0</v>
      </c>
      <c r="AE59" s="57">
        <v>128097281</v>
      </c>
      <c r="AF59" s="57">
        <v>226286042</v>
      </c>
      <c r="AG59" s="57">
        <v>266550090</v>
      </c>
      <c r="AH59" s="57">
        <v>2259864189</v>
      </c>
      <c r="AI59" s="57">
        <v>1322728261</v>
      </c>
      <c r="AJ59" s="57">
        <v>1270922175</v>
      </c>
      <c r="AK59" s="57">
        <v>550922184.36</v>
      </c>
      <c r="AL59" s="57">
        <v>492703591.36</v>
      </c>
      <c r="AM59" s="57">
        <v>667106468</v>
      </c>
      <c r="AN59" s="57">
        <v>969715941</v>
      </c>
      <c r="AO59" s="81">
        <v>1488887391.38</v>
      </c>
      <c r="AP59" s="102">
        <f aca="true" t="shared" si="14" ref="AP59:AP68">SUM(AD59:AO59)</f>
        <v>9643783614.099998</v>
      </c>
    </row>
    <row r="60" spans="1:42" s="10" customFormat="1" ht="12.75">
      <c r="A60" s="97" t="s">
        <v>128</v>
      </c>
      <c r="B60" s="13" t="s">
        <v>137</v>
      </c>
      <c r="C60" s="57">
        <v>5300000000</v>
      </c>
      <c r="D60" s="57">
        <v>0</v>
      </c>
      <c r="E60" s="57">
        <v>113216000</v>
      </c>
      <c r="F60" s="57">
        <v>65555668</v>
      </c>
      <c r="G60" s="57">
        <v>96280550</v>
      </c>
      <c r="H60" s="57">
        <v>2095629158</v>
      </c>
      <c r="I60" s="57">
        <v>2372689413</v>
      </c>
      <c r="J60" s="57">
        <v>23716736</v>
      </c>
      <c r="K60" s="57">
        <v>291940492</v>
      </c>
      <c r="L60" s="57">
        <v>-1218085283</v>
      </c>
      <c r="M60" s="57">
        <v>879251487.1</v>
      </c>
      <c r="N60" s="57">
        <v>84465725</v>
      </c>
      <c r="O60" s="81">
        <v>335441157.25</v>
      </c>
      <c r="P60" s="57">
        <f t="shared" si="12"/>
        <v>5140101103.35</v>
      </c>
      <c r="Q60" s="57">
        <v>0</v>
      </c>
      <c r="R60" s="57">
        <v>0</v>
      </c>
      <c r="S60" s="57">
        <v>28304000</v>
      </c>
      <c r="T60" s="57">
        <v>33687068</v>
      </c>
      <c r="U60" s="57">
        <v>58886896</v>
      </c>
      <c r="V60" s="57">
        <v>34339628</v>
      </c>
      <c r="W60" s="57">
        <v>310342217</v>
      </c>
      <c r="X60" s="57">
        <v>534591184</v>
      </c>
      <c r="Y60" s="57">
        <v>605305942</v>
      </c>
      <c r="Z60" s="57">
        <v>1303850636</v>
      </c>
      <c r="AA60" s="57">
        <v>664275065.75</v>
      </c>
      <c r="AB60" s="81">
        <v>1453048156.6</v>
      </c>
      <c r="AC60" s="57">
        <f t="shared" si="13"/>
        <v>5026630793.35</v>
      </c>
      <c r="AD60" s="57">
        <v>0</v>
      </c>
      <c r="AE60" s="57">
        <v>0</v>
      </c>
      <c r="AF60" s="57">
        <v>28304000</v>
      </c>
      <c r="AG60" s="57">
        <v>32787068</v>
      </c>
      <c r="AH60" s="57">
        <v>57703998</v>
      </c>
      <c r="AI60" s="57">
        <v>36422526</v>
      </c>
      <c r="AJ60" s="57">
        <v>212893311</v>
      </c>
      <c r="AK60" s="57">
        <v>610857385</v>
      </c>
      <c r="AL60" s="57">
        <v>563119841</v>
      </c>
      <c r="AM60" s="57">
        <v>1082853152</v>
      </c>
      <c r="AN60" s="57">
        <v>884069880.25</v>
      </c>
      <c r="AO60" s="81">
        <v>680422458.5</v>
      </c>
      <c r="AP60" s="102">
        <f t="shared" si="14"/>
        <v>4189433619.75</v>
      </c>
    </row>
    <row r="61" spans="1:42" s="10" customFormat="1" ht="12.75">
      <c r="A61" s="97" t="s">
        <v>129</v>
      </c>
      <c r="B61" s="13" t="s">
        <v>138</v>
      </c>
      <c r="C61" s="57">
        <v>12229000000</v>
      </c>
      <c r="D61" s="57">
        <v>0</v>
      </c>
      <c r="E61" s="57">
        <v>876924284</v>
      </c>
      <c r="F61" s="57">
        <v>1044392219.5</v>
      </c>
      <c r="G61" s="57">
        <v>644460151.5</v>
      </c>
      <c r="H61" s="57">
        <v>5131726532</v>
      </c>
      <c r="I61" s="57">
        <v>-734965886</v>
      </c>
      <c r="J61" s="57">
        <v>2363009686</v>
      </c>
      <c r="K61" s="57">
        <v>1024183054.25</v>
      </c>
      <c r="L61" s="57">
        <v>-2514158252</v>
      </c>
      <c r="M61" s="57">
        <v>240609749</v>
      </c>
      <c r="N61" s="57">
        <v>536754323</v>
      </c>
      <c r="O61" s="81">
        <v>2946506711.13</v>
      </c>
      <c r="P61" s="57">
        <f t="shared" si="12"/>
        <v>11559442572.380001</v>
      </c>
      <c r="Q61" s="57">
        <v>0</v>
      </c>
      <c r="R61" s="57">
        <v>3000000</v>
      </c>
      <c r="S61" s="57">
        <v>175198315</v>
      </c>
      <c r="T61" s="57">
        <v>375565878.67</v>
      </c>
      <c r="U61" s="57">
        <v>516537491.5</v>
      </c>
      <c r="V61" s="57">
        <v>555387809.83</v>
      </c>
      <c r="W61" s="57">
        <v>454999983.5</v>
      </c>
      <c r="X61" s="57">
        <v>598850946.9</v>
      </c>
      <c r="Y61" s="57">
        <v>1072561136.6</v>
      </c>
      <c r="Z61" s="57">
        <v>1351927056</v>
      </c>
      <c r="AA61" s="57">
        <v>1074241355.25</v>
      </c>
      <c r="AB61" s="81">
        <v>2983992735</v>
      </c>
      <c r="AC61" s="57">
        <f t="shared" si="13"/>
        <v>9162262708.25</v>
      </c>
      <c r="AD61" s="57">
        <v>0</v>
      </c>
      <c r="AE61" s="57">
        <v>3000000</v>
      </c>
      <c r="AF61" s="57">
        <v>146104385</v>
      </c>
      <c r="AG61" s="57">
        <v>371422591.17</v>
      </c>
      <c r="AH61" s="57">
        <v>426852680</v>
      </c>
      <c r="AI61" s="57">
        <v>605077261.83</v>
      </c>
      <c r="AJ61" s="57">
        <v>487797933.5</v>
      </c>
      <c r="AK61" s="57">
        <v>580387193.5</v>
      </c>
      <c r="AL61" s="57">
        <v>1043041952</v>
      </c>
      <c r="AM61" s="57">
        <v>1143562611</v>
      </c>
      <c r="AN61" s="57">
        <v>1132018930.25</v>
      </c>
      <c r="AO61" s="81">
        <v>1037350293</v>
      </c>
      <c r="AP61" s="102">
        <f t="shared" si="14"/>
        <v>6976615831.25</v>
      </c>
    </row>
    <row r="62" spans="1:42" s="10" customFormat="1" ht="12.75">
      <c r="A62" s="97" t="s">
        <v>130</v>
      </c>
      <c r="B62" s="13" t="s">
        <v>139</v>
      </c>
      <c r="C62" s="57">
        <v>2120000000</v>
      </c>
      <c r="D62" s="57">
        <v>62309456</v>
      </c>
      <c r="E62" s="57">
        <v>251934448</v>
      </c>
      <c r="F62" s="57">
        <v>358241908.5</v>
      </c>
      <c r="G62" s="57">
        <v>72082142.5</v>
      </c>
      <c r="H62" s="57">
        <v>1066959243</v>
      </c>
      <c r="I62" s="57">
        <v>-94195643</v>
      </c>
      <c r="J62" s="57">
        <v>312612563</v>
      </c>
      <c r="K62" s="57">
        <v>37090078.25</v>
      </c>
      <c r="L62" s="57">
        <v>-601383868</v>
      </c>
      <c r="M62" s="57">
        <v>233421972</v>
      </c>
      <c r="N62" s="57">
        <v>16314764.5</v>
      </c>
      <c r="O62" s="81">
        <v>314435314.74</v>
      </c>
      <c r="P62" s="57">
        <f t="shared" si="12"/>
        <v>2029822379.49</v>
      </c>
      <c r="Q62" s="57">
        <v>0</v>
      </c>
      <c r="R62" s="57">
        <v>0</v>
      </c>
      <c r="S62" s="57">
        <v>87324787</v>
      </c>
      <c r="T62" s="57">
        <v>116683260.74</v>
      </c>
      <c r="U62" s="57">
        <v>101843604.33</v>
      </c>
      <c r="V62" s="57">
        <v>106883120.17</v>
      </c>
      <c r="W62" s="57">
        <v>184250325.5</v>
      </c>
      <c r="X62" s="57">
        <v>131759059.6</v>
      </c>
      <c r="Y62" s="57">
        <v>257465601.4</v>
      </c>
      <c r="Z62" s="57">
        <v>161341151</v>
      </c>
      <c r="AA62" s="57">
        <v>241685531.75</v>
      </c>
      <c r="AB62" s="81">
        <v>324439813</v>
      </c>
      <c r="AC62" s="57">
        <f t="shared" si="13"/>
        <v>1713676254.49</v>
      </c>
      <c r="AD62" s="57">
        <v>0</v>
      </c>
      <c r="AE62" s="57">
        <v>0</v>
      </c>
      <c r="AF62" s="57">
        <v>77189111</v>
      </c>
      <c r="AG62" s="57">
        <v>113565649.74</v>
      </c>
      <c r="AH62" s="57">
        <v>104014242.5</v>
      </c>
      <c r="AI62" s="57">
        <v>109846609</v>
      </c>
      <c r="AJ62" s="57">
        <v>177424870.5</v>
      </c>
      <c r="AK62" s="57">
        <v>130232162</v>
      </c>
      <c r="AL62" s="57">
        <v>252684783</v>
      </c>
      <c r="AM62" s="57">
        <v>147888086</v>
      </c>
      <c r="AN62" s="57">
        <v>202266653.75</v>
      </c>
      <c r="AO62" s="81">
        <v>228158505</v>
      </c>
      <c r="AP62" s="102">
        <f t="shared" si="14"/>
        <v>1543270672.49</v>
      </c>
    </row>
    <row r="63" spans="1:42" s="10" customFormat="1" ht="12.75">
      <c r="A63" s="97" t="s">
        <v>131</v>
      </c>
      <c r="B63" s="13" t="s">
        <v>140</v>
      </c>
      <c r="C63" s="57">
        <v>3745000000</v>
      </c>
      <c r="D63" s="57">
        <v>634683952</v>
      </c>
      <c r="E63" s="57">
        <v>24656716</v>
      </c>
      <c r="F63" s="57">
        <v>111193115.4</v>
      </c>
      <c r="G63" s="57">
        <v>152158056.5</v>
      </c>
      <c r="H63" s="57">
        <v>2342188022.4</v>
      </c>
      <c r="I63" s="57">
        <v>70250240.4</v>
      </c>
      <c r="J63" s="57">
        <v>56130937</v>
      </c>
      <c r="K63" s="57">
        <v>309898330.25</v>
      </c>
      <c r="L63" s="57">
        <v>-815775770</v>
      </c>
      <c r="M63" s="57">
        <v>188842858</v>
      </c>
      <c r="N63" s="57">
        <v>63701343</v>
      </c>
      <c r="O63" s="81">
        <v>498155319.2</v>
      </c>
      <c r="P63" s="57">
        <f t="shared" si="12"/>
        <v>3636083120.15</v>
      </c>
      <c r="Q63" s="57">
        <v>0</v>
      </c>
      <c r="R63" s="57">
        <v>63358328</v>
      </c>
      <c r="S63" s="57">
        <v>181903523.2</v>
      </c>
      <c r="T63" s="57">
        <v>169861976.86</v>
      </c>
      <c r="U63" s="57">
        <v>236859945.18</v>
      </c>
      <c r="V63" s="57">
        <v>150512473.5</v>
      </c>
      <c r="W63" s="57">
        <v>271959400.44</v>
      </c>
      <c r="X63" s="57">
        <v>246704851.52</v>
      </c>
      <c r="Y63" s="57">
        <v>296185100</v>
      </c>
      <c r="Z63" s="57">
        <v>369567801</v>
      </c>
      <c r="AA63" s="57">
        <v>407773727.25</v>
      </c>
      <c r="AB63" s="81">
        <v>768356843.2</v>
      </c>
      <c r="AC63" s="57">
        <f t="shared" si="13"/>
        <v>3163043970.1499996</v>
      </c>
      <c r="AD63" s="57">
        <v>0</v>
      </c>
      <c r="AE63" s="57">
        <v>61601850</v>
      </c>
      <c r="AF63" s="57">
        <v>175404084.7</v>
      </c>
      <c r="AG63" s="57">
        <v>149715023.76</v>
      </c>
      <c r="AH63" s="57">
        <v>219364812.78</v>
      </c>
      <c r="AI63" s="57">
        <v>179604099.5</v>
      </c>
      <c r="AJ63" s="57">
        <v>240438136.04</v>
      </c>
      <c r="AK63" s="57">
        <v>280214361.34</v>
      </c>
      <c r="AL63" s="57">
        <v>276264877.58</v>
      </c>
      <c r="AM63" s="57">
        <v>355775373</v>
      </c>
      <c r="AN63" s="57">
        <v>397076405.25</v>
      </c>
      <c r="AO63" s="81">
        <v>369680273</v>
      </c>
      <c r="AP63" s="102">
        <f t="shared" si="14"/>
        <v>2705139296.95</v>
      </c>
    </row>
    <row r="64" spans="1:42" s="10" customFormat="1" ht="12.75">
      <c r="A64" s="97" t="s">
        <v>132</v>
      </c>
      <c r="B64" s="13" t="s">
        <v>141</v>
      </c>
      <c r="C64" s="57">
        <v>15029000000</v>
      </c>
      <c r="D64" s="57">
        <v>0</v>
      </c>
      <c r="E64" s="57">
        <v>3800290768</v>
      </c>
      <c r="F64" s="57">
        <v>2620072775.6</v>
      </c>
      <c r="G64" s="57">
        <v>1295581762.5</v>
      </c>
      <c r="H64" s="57">
        <v>5329154283.6</v>
      </c>
      <c r="I64" s="57">
        <v>430578877.6</v>
      </c>
      <c r="J64" s="57">
        <v>460033132.5</v>
      </c>
      <c r="K64" s="57">
        <v>640930344.3</v>
      </c>
      <c r="L64" s="57">
        <v>-3166536302.29</v>
      </c>
      <c r="M64" s="57">
        <v>299510305.23</v>
      </c>
      <c r="N64" s="57">
        <v>770736460</v>
      </c>
      <c r="O64" s="81">
        <v>2009147794.11</v>
      </c>
      <c r="P64" s="57">
        <f t="shared" si="12"/>
        <v>14489500201.150002</v>
      </c>
      <c r="Q64" s="57">
        <v>0</v>
      </c>
      <c r="R64" s="57">
        <v>540976339</v>
      </c>
      <c r="S64" s="57">
        <v>758899978.8</v>
      </c>
      <c r="T64" s="57">
        <v>1905452974.33</v>
      </c>
      <c r="U64" s="57">
        <v>1690433590.83</v>
      </c>
      <c r="V64" s="57">
        <v>1450556968.43</v>
      </c>
      <c r="W64" s="57">
        <v>1010653965.56</v>
      </c>
      <c r="X64" s="57">
        <v>729737788.11</v>
      </c>
      <c r="Y64" s="57">
        <v>711564508.71</v>
      </c>
      <c r="Z64" s="57">
        <v>763877599.95</v>
      </c>
      <c r="AA64" s="57">
        <v>992982111.75</v>
      </c>
      <c r="AB64" s="81">
        <v>2673962215.07</v>
      </c>
      <c r="AC64" s="57">
        <f t="shared" si="13"/>
        <v>13229098040.54</v>
      </c>
      <c r="AD64" s="57">
        <v>0</v>
      </c>
      <c r="AE64" s="57">
        <v>540976339</v>
      </c>
      <c r="AF64" s="57">
        <v>710101095.3</v>
      </c>
      <c r="AG64" s="57">
        <v>1806731029.83</v>
      </c>
      <c r="AH64" s="57">
        <v>1686329765.83</v>
      </c>
      <c r="AI64" s="57">
        <v>1255623747.43</v>
      </c>
      <c r="AJ64" s="57">
        <v>1181670842.96</v>
      </c>
      <c r="AK64" s="57">
        <v>879435002.66</v>
      </c>
      <c r="AL64" s="57">
        <v>665315842.71</v>
      </c>
      <c r="AM64" s="57">
        <v>700273973</v>
      </c>
      <c r="AN64" s="57">
        <v>1021711101.25</v>
      </c>
      <c r="AO64" s="81">
        <v>1059124034.49</v>
      </c>
      <c r="AP64" s="102">
        <f t="shared" si="14"/>
        <v>11507292774.460001</v>
      </c>
    </row>
    <row r="65" spans="1:42" s="10" customFormat="1" ht="12.75">
      <c r="A65" s="97" t="s">
        <v>133</v>
      </c>
      <c r="B65" s="13" t="s">
        <v>142</v>
      </c>
      <c r="C65" s="57">
        <v>1799000000</v>
      </c>
      <c r="D65" s="57">
        <v>0</v>
      </c>
      <c r="E65" s="57">
        <v>0</v>
      </c>
      <c r="F65" s="57">
        <v>392897296.5</v>
      </c>
      <c r="G65" s="57">
        <v>1000000</v>
      </c>
      <c r="H65" s="57">
        <v>757367934</v>
      </c>
      <c r="I65" s="57">
        <v>-111972135</v>
      </c>
      <c r="J65" s="57">
        <v>200775859.5</v>
      </c>
      <c r="K65" s="57">
        <v>130179889</v>
      </c>
      <c r="L65" s="57">
        <v>-462685817</v>
      </c>
      <c r="M65" s="57">
        <v>115305990.11</v>
      </c>
      <c r="N65" s="57">
        <v>47967708</v>
      </c>
      <c r="O65" s="81">
        <v>693021532.99</v>
      </c>
      <c r="P65" s="57">
        <f t="shared" si="12"/>
        <v>1763858258.1</v>
      </c>
      <c r="Q65" s="57">
        <v>0</v>
      </c>
      <c r="R65" s="57">
        <v>0</v>
      </c>
      <c r="S65" s="57">
        <v>23051779</v>
      </c>
      <c r="T65" s="57">
        <v>500000</v>
      </c>
      <c r="U65" s="57">
        <v>75819000</v>
      </c>
      <c r="V65" s="57">
        <v>67014499</v>
      </c>
      <c r="W65" s="57">
        <v>96755006</v>
      </c>
      <c r="X65" s="57">
        <v>117807233</v>
      </c>
      <c r="Y65" s="57">
        <v>119666990</v>
      </c>
      <c r="Z65" s="57">
        <v>171844401.5</v>
      </c>
      <c r="AA65" s="57">
        <v>161830179.91</v>
      </c>
      <c r="AB65" s="81">
        <v>294654998.75</v>
      </c>
      <c r="AC65" s="57">
        <f t="shared" si="13"/>
        <v>1128944087.1599998</v>
      </c>
      <c r="AD65" s="57">
        <v>0</v>
      </c>
      <c r="AE65" s="57">
        <v>0</v>
      </c>
      <c r="AF65" s="57">
        <v>23051779</v>
      </c>
      <c r="AG65" s="57">
        <v>500000</v>
      </c>
      <c r="AH65" s="57">
        <v>64753000</v>
      </c>
      <c r="AI65" s="57">
        <v>78080499</v>
      </c>
      <c r="AJ65" s="57">
        <v>88335966</v>
      </c>
      <c r="AK65" s="57">
        <v>119732273</v>
      </c>
      <c r="AL65" s="57">
        <v>119838854</v>
      </c>
      <c r="AM65" s="57">
        <v>136343363.5</v>
      </c>
      <c r="AN65" s="57">
        <v>182228657.91</v>
      </c>
      <c r="AO65" s="81">
        <v>113339784.14</v>
      </c>
      <c r="AP65" s="102">
        <f t="shared" si="14"/>
        <v>926204176.55</v>
      </c>
    </row>
    <row r="66" spans="1:42" s="10" customFormat="1" ht="12.75">
      <c r="A66" s="97" t="s">
        <v>134</v>
      </c>
      <c r="B66" s="13" t="s">
        <v>143</v>
      </c>
      <c r="C66" s="57">
        <v>3021000000</v>
      </c>
      <c r="D66" s="57">
        <v>0</v>
      </c>
      <c r="E66" s="57">
        <v>0</v>
      </c>
      <c r="F66" s="57">
        <v>216883109.5</v>
      </c>
      <c r="G66" s="57">
        <v>329482453</v>
      </c>
      <c r="H66" s="57">
        <v>1360070516.5</v>
      </c>
      <c r="I66" s="57">
        <v>-127285572</v>
      </c>
      <c r="J66" s="57">
        <v>322881600</v>
      </c>
      <c r="K66" s="57">
        <v>477203212</v>
      </c>
      <c r="L66" s="57">
        <v>-699892850</v>
      </c>
      <c r="M66" s="57">
        <v>135205403.81</v>
      </c>
      <c r="N66" s="57">
        <v>89033102</v>
      </c>
      <c r="O66" s="81">
        <v>862556922.25</v>
      </c>
      <c r="P66" s="57">
        <f t="shared" si="12"/>
        <v>2966137897.06</v>
      </c>
      <c r="Q66" s="57">
        <v>0</v>
      </c>
      <c r="R66" s="57">
        <v>0</v>
      </c>
      <c r="S66" s="57">
        <v>0</v>
      </c>
      <c r="T66" s="57">
        <v>21952460</v>
      </c>
      <c r="U66" s="57">
        <v>123437628</v>
      </c>
      <c r="V66" s="57">
        <v>105905386</v>
      </c>
      <c r="W66" s="57">
        <v>102117571</v>
      </c>
      <c r="X66" s="57">
        <v>116061213</v>
      </c>
      <c r="Y66" s="57">
        <v>170858328.5</v>
      </c>
      <c r="Z66" s="57">
        <v>278118704</v>
      </c>
      <c r="AA66" s="57">
        <v>264328647.25</v>
      </c>
      <c r="AB66" s="81">
        <v>978413813.31</v>
      </c>
      <c r="AC66" s="57">
        <f t="shared" si="13"/>
        <v>2161193751.06</v>
      </c>
      <c r="AD66" s="57">
        <v>0</v>
      </c>
      <c r="AE66" s="57">
        <v>0</v>
      </c>
      <c r="AF66" s="57">
        <v>0</v>
      </c>
      <c r="AG66" s="57">
        <v>18452460</v>
      </c>
      <c r="AH66" s="57">
        <v>114917660</v>
      </c>
      <c r="AI66" s="57">
        <v>115384313</v>
      </c>
      <c r="AJ66" s="57">
        <v>103417920</v>
      </c>
      <c r="AK66" s="57">
        <v>116345764</v>
      </c>
      <c r="AL66" s="57">
        <v>161666865.5</v>
      </c>
      <c r="AM66" s="57">
        <v>269237647</v>
      </c>
      <c r="AN66" s="57">
        <v>272471822.25</v>
      </c>
      <c r="AO66" s="81">
        <v>333059641.5</v>
      </c>
      <c r="AP66" s="102">
        <f t="shared" si="14"/>
        <v>1504954093.25</v>
      </c>
    </row>
    <row r="67" spans="1:42" s="10" customFormat="1" ht="12.75">
      <c r="A67" s="97" t="s">
        <v>135</v>
      </c>
      <c r="B67" s="13" t="s">
        <v>144</v>
      </c>
      <c r="C67" s="57">
        <v>3668000000</v>
      </c>
      <c r="D67" s="57">
        <v>0</v>
      </c>
      <c r="E67" s="57">
        <v>26250000</v>
      </c>
      <c r="F67" s="57">
        <v>353064857</v>
      </c>
      <c r="G67" s="57">
        <v>180791883</v>
      </c>
      <c r="H67" s="57">
        <v>1479618841.5</v>
      </c>
      <c r="I67" s="57">
        <v>-246456775</v>
      </c>
      <c r="J67" s="57">
        <v>86605583</v>
      </c>
      <c r="K67" s="57">
        <v>87929816</v>
      </c>
      <c r="L67" s="57">
        <v>-1006007260</v>
      </c>
      <c r="M67" s="57">
        <v>33947035.81</v>
      </c>
      <c r="N67" s="57">
        <v>822991022</v>
      </c>
      <c r="O67" s="81">
        <v>1629588050</v>
      </c>
      <c r="P67" s="57">
        <f t="shared" si="12"/>
        <v>3448323053.31</v>
      </c>
      <c r="Q67" s="57">
        <v>0</v>
      </c>
      <c r="R67" s="57">
        <v>0</v>
      </c>
      <c r="S67" s="57">
        <v>10750000</v>
      </c>
      <c r="T67" s="57">
        <v>56404670</v>
      </c>
      <c r="U67" s="57">
        <v>81304737</v>
      </c>
      <c r="V67" s="57">
        <v>60418971</v>
      </c>
      <c r="W67" s="57">
        <v>75279096</v>
      </c>
      <c r="X67" s="57">
        <v>94466371</v>
      </c>
      <c r="Y67" s="57">
        <v>110104744</v>
      </c>
      <c r="Z67" s="57">
        <v>118207308.50202</v>
      </c>
      <c r="AA67" s="57">
        <v>255317103</v>
      </c>
      <c r="AB67" s="81">
        <v>1008585673.81</v>
      </c>
      <c r="AC67" s="57">
        <f t="shared" si="13"/>
        <v>1870838674.3120198</v>
      </c>
      <c r="AD67" s="57">
        <v>0</v>
      </c>
      <c r="AE67" s="57">
        <v>0</v>
      </c>
      <c r="AF67" s="57">
        <v>10750000</v>
      </c>
      <c r="AG67" s="57">
        <v>53627326</v>
      </c>
      <c r="AH67" s="57">
        <v>71772853</v>
      </c>
      <c r="AI67" s="57">
        <v>70675268</v>
      </c>
      <c r="AJ67" s="57">
        <v>75082027</v>
      </c>
      <c r="AK67" s="57">
        <v>92312314</v>
      </c>
      <c r="AL67" s="57">
        <v>100374722</v>
      </c>
      <c r="AM67" s="57">
        <v>118129541.5</v>
      </c>
      <c r="AN67" s="57">
        <v>245497738</v>
      </c>
      <c r="AO67" s="81">
        <v>354404044.5</v>
      </c>
      <c r="AP67" s="102">
        <f t="shared" si="14"/>
        <v>1192625834</v>
      </c>
    </row>
    <row r="68" spans="1:42" s="10" customFormat="1" ht="13.5" thickBot="1">
      <c r="A68" s="97" t="s">
        <v>136</v>
      </c>
      <c r="B68" s="13" t="s">
        <v>145</v>
      </c>
      <c r="C68" s="57">
        <v>2485000000</v>
      </c>
      <c r="D68" s="57">
        <v>0</v>
      </c>
      <c r="E68" s="57">
        <v>0</v>
      </c>
      <c r="F68" s="57">
        <v>1233364627</v>
      </c>
      <c r="G68" s="57">
        <v>65912064</v>
      </c>
      <c r="H68" s="57">
        <v>576568798</v>
      </c>
      <c r="I68" s="57">
        <v>12103609</v>
      </c>
      <c r="J68" s="57">
        <v>76082130</v>
      </c>
      <c r="K68" s="57">
        <v>59326893</v>
      </c>
      <c r="L68" s="57">
        <v>-256549087</v>
      </c>
      <c r="M68" s="57">
        <v>40752462.89</v>
      </c>
      <c r="N68" s="57">
        <v>30417185</v>
      </c>
      <c r="O68" s="81">
        <v>588192118.05</v>
      </c>
      <c r="P68" s="57">
        <f t="shared" si="12"/>
        <v>2426170799.94</v>
      </c>
      <c r="Q68" s="57">
        <v>0</v>
      </c>
      <c r="R68" s="57">
        <v>0</v>
      </c>
      <c r="S68" s="57">
        <v>104353750</v>
      </c>
      <c r="T68" s="57">
        <v>116380889</v>
      </c>
      <c r="U68" s="57">
        <v>131996396</v>
      </c>
      <c r="V68" s="57">
        <v>142843772</v>
      </c>
      <c r="W68" s="57">
        <v>137031890</v>
      </c>
      <c r="X68" s="57">
        <v>169388572</v>
      </c>
      <c r="Y68" s="57">
        <v>150336596.5</v>
      </c>
      <c r="Z68" s="57">
        <v>202068543</v>
      </c>
      <c r="AA68" s="57">
        <v>226039762.05</v>
      </c>
      <c r="AB68" s="81">
        <v>571470150.39</v>
      </c>
      <c r="AC68" s="57">
        <f t="shared" si="13"/>
        <v>1951910320.94</v>
      </c>
      <c r="AD68" s="57">
        <v>0</v>
      </c>
      <c r="AE68" s="57">
        <v>0</v>
      </c>
      <c r="AF68" s="57">
        <v>104353750</v>
      </c>
      <c r="AG68" s="57">
        <v>104180889</v>
      </c>
      <c r="AH68" s="57">
        <v>131762396</v>
      </c>
      <c r="AI68" s="57">
        <v>146307772</v>
      </c>
      <c r="AJ68" s="57">
        <v>140541566</v>
      </c>
      <c r="AK68" s="57">
        <v>174848896</v>
      </c>
      <c r="AL68" s="57">
        <v>137220872.5</v>
      </c>
      <c r="AM68" s="57">
        <v>183625766</v>
      </c>
      <c r="AN68" s="57">
        <v>184461263.05</v>
      </c>
      <c r="AO68" s="81">
        <v>255384841</v>
      </c>
      <c r="AP68" s="102">
        <f t="shared" si="14"/>
        <v>1562688011.55</v>
      </c>
    </row>
    <row r="69" spans="1:42" s="11" customFormat="1" ht="13.5" thickBot="1">
      <c r="A69" s="149" t="s">
        <v>33</v>
      </c>
      <c r="B69" s="150"/>
      <c r="C69" s="54">
        <f aca="true" t="shared" si="15" ref="C69:AP69">SUM(C14+C42+C55+C58)</f>
        <v>85824643727</v>
      </c>
      <c r="D69" s="54">
        <f t="shared" si="15"/>
        <v>2858529325</v>
      </c>
      <c r="E69" s="54">
        <f t="shared" si="15"/>
        <v>6526458975.2</v>
      </c>
      <c r="F69" s="54">
        <f t="shared" si="15"/>
        <v>10210706136</v>
      </c>
      <c r="G69" s="54">
        <f t="shared" si="15"/>
        <v>9046573059</v>
      </c>
      <c r="H69" s="54">
        <f t="shared" si="15"/>
        <v>21775179754</v>
      </c>
      <c r="I69" s="54">
        <f t="shared" si="15"/>
        <v>3430193760</v>
      </c>
      <c r="J69" s="54">
        <f t="shared" si="15"/>
        <v>6540407432</v>
      </c>
      <c r="K69" s="54">
        <f t="shared" si="15"/>
        <v>5196946236.05</v>
      </c>
      <c r="L69" s="54">
        <f t="shared" si="15"/>
        <v>-8750887219.29</v>
      </c>
      <c r="M69" s="54">
        <f t="shared" si="15"/>
        <v>3734661096.95</v>
      </c>
      <c r="N69" s="54">
        <f t="shared" si="15"/>
        <v>5291554201.5</v>
      </c>
      <c r="O69" s="54">
        <f t="shared" si="15"/>
        <v>16907564793.15</v>
      </c>
      <c r="P69" s="54">
        <f t="shared" si="15"/>
        <v>82767887549.56</v>
      </c>
      <c r="Q69" s="54">
        <f t="shared" si="15"/>
        <v>856433185</v>
      </c>
      <c r="R69" s="54">
        <f t="shared" si="15"/>
        <v>1799565309</v>
      </c>
      <c r="S69" s="54">
        <f t="shared" si="15"/>
        <v>2986310054.52</v>
      </c>
      <c r="T69" s="54">
        <f t="shared" si="15"/>
        <v>4608315864.12</v>
      </c>
      <c r="U69" s="54">
        <f t="shared" si="15"/>
        <v>7624001278.360001</v>
      </c>
      <c r="V69" s="54">
        <f t="shared" si="15"/>
        <v>4496055340.450001</v>
      </c>
      <c r="W69" s="54">
        <f t="shared" si="15"/>
        <v>5722925856.04</v>
      </c>
      <c r="X69" s="54">
        <f t="shared" si="15"/>
        <v>4520488258.49</v>
      </c>
      <c r="Y69" s="54">
        <f t="shared" si="15"/>
        <v>5291493311.110001</v>
      </c>
      <c r="Z69" s="54">
        <f t="shared" si="15"/>
        <v>6813731493.472019</v>
      </c>
      <c r="AA69" s="54">
        <f t="shared" si="15"/>
        <v>6667950017.860001</v>
      </c>
      <c r="AB69" s="54">
        <f t="shared" si="15"/>
        <v>20257023861.54</v>
      </c>
      <c r="AC69" s="54">
        <f t="shared" si="15"/>
        <v>71644293829.96202</v>
      </c>
      <c r="AD69" s="54">
        <f t="shared" si="15"/>
        <v>856433185</v>
      </c>
      <c r="AE69" s="54">
        <f t="shared" si="15"/>
        <v>1797808831</v>
      </c>
      <c r="AF69" s="54">
        <f t="shared" si="15"/>
        <v>2884524126.52</v>
      </c>
      <c r="AG69" s="54">
        <f t="shared" si="15"/>
        <v>4267002033.02</v>
      </c>
      <c r="AH69" s="54">
        <f t="shared" si="15"/>
        <v>6413443471.630001</v>
      </c>
      <c r="AI69" s="54">
        <f t="shared" si="15"/>
        <v>5438750618.280001</v>
      </c>
      <c r="AJ69" s="54">
        <f t="shared" si="15"/>
        <v>5613464760.52</v>
      </c>
      <c r="AK69" s="54">
        <f t="shared" si="15"/>
        <v>4858953502.38</v>
      </c>
      <c r="AL69" s="54">
        <f t="shared" si="15"/>
        <v>5164655760.17</v>
      </c>
      <c r="AM69" s="54">
        <f t="shared" si="15"/>
        <v>6273429977.52</v>
      </c>
      <c r="AN69" s="54">
        <f t="shared" si="15"/>
        <v>6726631900.48</v>
      </c>
      <c r="AO69" s="54">
        <f t="shared" si="15"/>
        <v>8811964289.04</v>
      </c>
      <c r="AP69" s="42">
        <f t="shared" si="15"/>
        <v>59107062455.560005</v>
      </c>
    </row>
    <row r="70" spans="1:42" ht="12.75">
      <c r="A70" s="80" t="s">
        <v>161</v>
      </c>
      <c r="B70" s="91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92"/>
    </row>
    <row r="71" spans="1:42" ht="12.75">
      <c r="A71" s="8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93"/>
    </row>
    <row r="72" spans="1:42" ht="12.75">
      <c r="A72" s="8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93"/>
    </row>
    <row r="73" spans="1:42" ht="12.75">
      <c r="A73" s="8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93"/>
    </row>
    <row r="74" spans="1:42" ht="12.75">
      <c r="A74" s="8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93"/>
    </row>
    <row r="75" spans="1:42" ht="9.75" customHeight="1" thickBot="1">
      <c r="A75" s="83"/>
      <c r="B75" s="94"/>
      <c r="C75" s="2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94"/>
      <c r="AL75" s="70"/>
      <c r="AM75" s="70"/>
      <c r="AN75" s="70"/>
      <c r="AO75" s="70"/>
      <c r="AP75" s="93"/>
    </row>
    <row r="76" spans="1:42" ht="18.75" customHeight="1">
      <c r="A76" s="83"/>
      <c r="B76" s="95" t="s">
        <v>153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148" t="s">
        <v>154</v>
      </c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70"/>
      <c r="AM76" s="70"/>
      <c r="AN76" s="70"/>
      <c r="AO76" s="70"/>
      <c r="AP76" s="93"/>
    </row>
    <row r="77" spans="1:42" ht="0.75" customHeight="1" thickBot="1">
      <c r="A77" s="2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2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80.25" customHeight="1">
      <c r="A80" s="146" t="s">
        <v>170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1:42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</row>
    <row r="82" spans="1:42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</row>
  </sheetData>
  <mergeCells count="9">
    <mergeCell ref="A80:AP80"/>
    <mergeCell ref="X76:AK76"/>
    <mergeCell ref="A69:B69"/>
    <mergeCell ref="X75:AJ75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zoomScale="75" zoomScaleNormal="75" workbookViewId="0" topLeftCell="C1">
      <pane xSplit="14790" ySplit="7500" topLeftCell="AD41" activePane="topLeft" state="split"/>
      <selection pane="topLeft" activeCell="P24" sqref="P24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customWidth="1"/>
    <col min="29" max="29" width="20.28125" style="1" customWidth="1"/>
    <col min="30" max="30" width="20.00390625" style="1" customWidth="1"/>
    <col min="31" max="16384" width="11.421875" style="1" customWidth="1"/>
  </cols>
  <sheetData>
    <row r="1" spans="1:29" s="26" customFormat="1" ht="1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</row>
    <row r="2" spans="1:29" s="26" customFormat="1" ht="1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2"/>
    </row>
    <row r="3" spans="1:29" s="26" customFormat="1" ht="1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</row>
    <row r="4" spans="1:29" s="26" customFormat="1" ht="15">
      <c r="A4" s="130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</row>
    <row r="5" spans="1:29" s="26" customFormat="1" ht="1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60" t="s">
        <v>2</v>
      </c>
      <c r="B7" s="161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164</v>
      </c>
    </row>
    <row r="8" spans="1:29" s="26" customFormat="1" ht="15" customHeight="1" thickBot="1">
      <c r="A8" s="160" t="s">
        <v>3</v>
      </c>
      <c r="B8" s="161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2007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s="26" customFormat="1" ht="15">
      <c r="A11" s="75" t="s">
        <v>24</v>
      </c>
      <c r="B11" s="75" t="s">
        <v>26</v>
      </c>
      <c r="C11" s="75" t="s">
        <v>27</v>
      </c>
      <c r="D11" s="75" t="s">
        <v>29</v>
      </c>
      <c r="E11" s="75" t="s">
        <v>29</v>
      </c>
      <c r="F11" s="75" t="s">
        <v>29</v>
      </c>
      <c r="G11" s="75" t="s">
        <v>29</v>
      </c>
      <c r="H11" s="75" t="s">
        <v>29</v>
      </c>
      <c r="I11" s="75" t="s">
        <v>29</v>
      </c>
      <c r="J11" s="75" t="s">
        <v>29</v>
      </c>
      <c r="K11" s="75" t="s">
        <v>29</v>
      </c>
      <c r="L11" s="75" t="s">
        <v>29</v>
      </c>
      <c r="M11" s="75" t="s">
        <v>29</v>
      </c>
      <c r="N11" s="75" t="s">
        <v>29</v>
      </c>
      <c r="O11" s="75" t="s">
        <v>29</v>
      </c>
      <c r="P11" s="75" t="s">
        <v>29</v>
      </c>
      <c r="Q11" s="75" t="s">
        <v>30</v>
      </c>
      <c r="R11" s="75" t="s">
        <v>30</v>
      </c>
      <c r="S11" s="75" t="s">
        <v>30</v>
      </c>
      <c r="T11" s="75" t="s">
        <v>30</v>
      </c>
      <c r="U11" s="75" t="s">
        <v>30</v>
      </c>
      <c r="V11" s="75" t="s">
        <v>30</v>
      </c>
      <c r="W11" s="75" t="s">
        <v>30</v>
      </c>
      <c r="X11" s="75" t="s">
        <v>30</v>
      </c>
      <c r="Y11" s="75" t="s">
        <v>30</v>
      </c>
      <c r="Z11" s="75" t="s">
        <v>30</v>
      </c>
      <c r="AA11" s="75" t="s">
        <v>30</v>
      </c>
      <c r="AB11" s="75" t="s">
        <v>30</v>
      </c>
      <c r="AC11" s="75" t="s">
        <v>30</v>
      </c>
    </row>
    <row r="12" spans="1:29" s="26" customFormat="1" ht="15.75" thickBot="1">
      <c r="A12" s="76" t="s">
        <v>25</v>
      </c>
      <c r="B12" s="76"/>
      <c r="C12" s="76" t="s">
        <v>6</v>
      </c>
      <c r="D12" s="76" t="s">
        <v>7</v>
      </c>
      <c r="E12" s="76" t="s">
        <v>8</v>
      </c>
      <c r="F12" s="76" t="s">
        <v>9</v>
      </c>
      <c r="G12" s="76" t="s">
        <v>10</v>
      </c>
      <c r="H12" s="76" t="s">
        <v>20</v>
      </c>
      <c r="I12" s="76" t="s">
        <v>21</v>
      </c>
      <c r="J12" s="76" t="s">
        <v>22</v>
      </c>
      <c r="K12" s="76" t="s">
        <v>14</v>
      </c>
      <c r="L12" s="76" t="s">
        <v>15</v>
      </c>
      <c r="M12" s="76" t="s">
        <v>23</v>
      </c>
      <c r="N12" s="76" t="s">
        <v>17</v>
      </c>
      <c r="O12" s="76" t="s">
        <v>18</v>
      </c>
      <c r="P12" s="76" t="s">
        <v>31</v>
      </c>
      <c r="Q12" s="76" t="s">
        <v>7</v>
      </c>
      <c r="R12" s="76" t="s">
        <v>8</v>
      </c>
      <c r="S12" s="76" t="s">
        <v>9</v>
      </c>
      <c r="T12" s="76" t="s">
        <v>10</v>
      </c>
      <c r="U12" s="76" t="s">
        <v>20</v>
      </c>
      <c r="V12" s="76" t="s">
        <v>21</v>
      </c>
      <c r="W12" s="76" t="s">
        <v>22</v>
      </c>
      <c r="X12" s="76" t="s">
        <v>14</v>
      </c>
      <c r="Y12" s="76" t="s">
        <v>15</v>
      </c>
      <c r="Z12" s="76" t="s">
        <v>23</v>
      </c>
      <c r="AA12" s="76" t="s">
        <v>17</v>
      </c>
      <c r="AB12" s="76" t="s">
        <v>18</v>
      </c>
      <c r="AC12" s="76" t="s">
        <v>19</v>
      </c>
    </row>
    <row r="13" spans="1:30" s="26" customFormat="1" ht="15.75" thickBot="1">
      <c r="A13" s="77">
        <v>1</v>
      </c>
      <c r="B13" s="77">
        <v>2</v>
      </c>
      <c r="C13" s="77"/>
      <c r="D13" s="77">
        <v>5</v>
      </c>
      <c r="E13" s="77">
        <v>5</v>
      </c>
      <c r="F13" s="77">
        <v>5</v>
      </c>
      <c r="G13" s="77">
        <v>5</v>
      </c>
      <c r="H13" s="77">
        <v>5</v>
      </c>
      <c r="I13" s="77">
        <v>5</v>
      </c>
      <c r="J13" s="77">
        <v>5</v>
      </c>
      <c r="K13" s="77">
        <v>5</v>
      </c>
      <c r="L13" s="77">
        <v>5</v>
      </c>
      <c r="M13" s="77">
        <v>5</v>
      </c>
      <c r="N13" s="77">
        <v>5</v>
      </c>
      <c r="O13" s="77">
        <v>5</v>
      </c>
      <c r="P13" s="77">
        <v>6</v>
      </c>
      <c r="Q13" s="77">
        <v>7</v>
      </c>
      <c r="R13" s="77">
        <v>7</v>
      </c>
      <c r="S13" s="77">
        <v>7</v>
      </c>
      <c r="T13" s="77">
        <v>7</v>
      </c>
      <c r="U13" s="77">
        <v>7</v>
      </c>
      <c r="V13" s="77">
        <v>7</v>
      </c>
      <c r="W13" s="77">
        <v>7</v>
      </c>
      <c r="X13" s="77">
        <v>7</v>
      </c>
      <c r="Y13" s="77">
        <v>7</v>
      </c>
      <c r="Z13" s="77">
        <v>7</v>
      </c>
      <c r="AA13" s="77">
        <v>7</v>
      </c>
      <c r="AB13" s="77">
        <v>7</v>
      </c>
      <c r="AC13" s="77">
        <v>8</v>
      </c>
      <c r="AD13" s="38" t="s">
        <v>123</v>
      </c>
    </row>
    <row r="14" spans="1:30" s="14" customFormat="1" ht="13.5" thickBot="1">
      <c r="A14" s="39"/>
      <c r="B14" s="40" t="s">
        <v>45</v>
      </c>
      <c r="C14" s="41">
        <f aca="true" t="shared" si="0" ref="C14:AB14">SUM(C15,C17,C19)</f>
        <v>194672939</v>
      </c>
      <c r="D14" s="41">
        <f t="shared" si="0"/>
        <v>0</v>
      </c>
      <c r="E14" s="41">
        <f t="shared" si="0"/>
        <v>83863134</v>
      </c>
      <c r="F14" s="41">
        <f t="shared" si="0"/>
        <v>50679389</v>
      </c>
      <c r="G14" s="41">
        <f t="shared" si="0"/>
        <v>8090348</v>
      </c>
      <c r="H14" s="41">
        <f t="shared" si="0"/>
        <v>5067616</v>
      </c>
      <c r="I14" s="41">
        <f t="shared" si="0"/>
        <v>2194500</v>
      </c>
      <c r="J14" s="41">
        <f t="shared" si="0"/>
        <v>2295420</v>
      </c>
      <c r="K14" s="41">
        <f t="shared" si="0"/>
        <v>2273380</v>
      </c>
      <c r="L14" s="41">
        <f t="shared" si="0"/>
        <v>2194500</v>
      </c>
      <c r="M14" s="41">
        <f t="shared" si="0"/>
        <v>2402140</v>
      </c>
      <c r="N14" s="41">
        <f t="shared" si="0"/>
        <v>2194500</v>
      </c>
      <c r="O14" s="41">
        <f t="shared" si="0"/>
        <v>33418012</v>
      </c>
      <c r="P14" s="41">
        <f t="shared" si="0"/>
        <v>194672939</v>
      </c>
      <c r="Q14" s="41">
        <f t="shared" si="0"/>
        <v>0</v>
      </c>
      <c r="R14" s="41">
        <f t="shared" si="0"/>
        <v>83863134</v>
      </c>
      <c r="S14" s="41">
        <f t="shared" si="0"/>
        <v>46839014</v>
      </c>
      <c r="T14" s="41">
        <f t="shared" si="0"/>
        <v>7989428</v>
      </c>
      <c r="U14" s="41">
        <f t="shared" si="0"/>
        <v>5356412</v>
      </c>
      <c r="V14" s="41">
        <f t="shared" si="0"/>
        <v>3652499</v>
      </c>
      <c r="W14" s="41">
        <f t="shared" si="0"/>
        <v>2295420</v>
      </c>
      <c r="X14" s="41">
        <f t="shared" si="0"/>
        <v>4467880</v>
      </c>
      <c r="Y14" s="41">
        <f t="shared" si="0"/>
        <v>0</v>
      </c>
      <c r="Z14" s="41">
        <f t="shared" si="0"/>
        <v>2402140</v>
      </c>
      <c r="AA14" s="41">
        <f t="shared" si="0"/>
        <v>2194500</v>
      </c>
      <c r="AB14" s="41">
        <f t="shared" si="0"/>
        <v>35612512</v>
      </c>
      <c r="AC14" s="98">
        <f>SUM(AC15,AC17)</f>
        <v>194672939</v>
      </c>
      <c r="AD14" s="43">
        <f>SUM(AD15,AD17)</f>
        <v>0</v>
      </c>
    </row>
    <row r="15" spans="1:30" s="14" customFormat="1" ht="13.5" thickBot="1">
      <c r="A15" s="39"/>
      <c r="B15" s="40" t="s">
        <v>42</v>
      </c>
      <c r="C15" s="41">
        <f aca="true" t="shared" si="1" ref="C15:AD15">SUM(C16:C16)</f>
        <v>75026976</v>
      </c>
      <c r="D15" s="41">
        <f t="shared" si="1"/>
        <v>0</v>
      </c>
      <c r="E15" s="41">
        <f t="shared" si="1"/>
        <v>10515888</v>
      </c>
      <c r="F15" s="41">
        <f t="shared" si="1"/>
        <v>10161263</v>
      </c>
      <c r="G15" s="41">
        <f t="shared" si="1"/>
        <v>6320888</v>
      </c>
      <c r="H15" s="41">
        <f t="shared" si="1"/>
        <v>3017437</v>
      </c>
      <c r="I15" s="41">
        <f t="shared" si="1"/>
        <v>2194500</v>
      </c>
      <c r="J15" s="41">
        <f t="shared" si="1"/>
        <v>2194500</v>
      </c>
      <c r="K15" s="41">
        <f t="shared" si="1"/>
        <v>2194500</v>
      </c>
      <c r="L15" s="41">
        <f t="shared" si="1"/>
        <v>2194500</v>
      </c>
      <c r="M15" s="41">
        <f t="shared" si="1"/>
        <v>2194500</v>
      </c>
      <c r="N15" s="41">
        <f t="shared" si="1"/>
        <v>2194500</v>
      </c>
      <c r="O15" s="41">
        <f t="shared" si="1"/>
        <v>31844500</v>
      </c>
      <c r="P15" s="41">
        <f t="shared" si="1"/>
        <v>75026976</v>
      </c>
      <c r="Q15" s="41">
        <f t="shared" si="1"/>
        <v>0</v>
      </c>
      <c r="R15" s="41">
        <f t="shared" si="1"/>
        <v>10515888</v>
      </c>
      <c r="S15" s="41">
        <f t="shared" si="1"/>
        <v>6320888</v>
      </c>
      <c r="T15" s="41">
        <f t="shared" si="1"/>
        <v>6320888</v>
      </c>
      <c r="U15" s="41">
        <f t="shared" si="1"/>
        <v>4663312</v>
      </c>
      <c r="V15" s="41">
        <f t="shared" si="1"/>
        <v>2194500</v>
      </c>
      <c r="W15" s="41">
        <f t="shared" si="1"/>
        <v>2194500</v>
      </c>
      <c r="X15" s="41">
        <f t="shared" si="1"/>
        <v>4389000</v>
      </c>
      <c r="Y15" s="41">
        <f t="shared" si="1"/>
        <v>0</v>
      </c>
      <c r="Z15" s="41">
        <f t="shared" si="1"/>
        <v>2194500</v>
      </c>
      <c r="AA15" s="41">
        <f t="shared" si="1"/>
        <v>2194500</v>
      </c>
      <c r="AB15" s="41">
        <f t="shared" si="1"/>
        <v>34039000</v>
      </c>
      <c r="AC15" s="98">
        <f t="shared" si="1"/>
        <v>75026976</v>
      </c>
      <c r="AD15" s="43">
        <f t="shared" si="1"/>
        <v>0</v>
      </c>
    </row>
    <row r="16" spans="1:30" s="12" customFormat="1" ht="13.5" thickBot="1">
      <c r="A16" s="15" t="s">
        <v>148</v>
      </c>
      <c r="B16" s="47" t="s">
        <v>32</v>
      </c>
      <c r="C16" s="48">
        <v>75026976</v>
      </c>
      <c r="D16" s="48">
        <v>0</v>
      </c>
      <c r="E16" s="48">
        <v>10515888</v>
      </c>
      <c r="F16" s="48">
        <v>10161263</v>
      </c>
      <c r="G16" s="48">
        <v>6320888</v>
      </c>
      <c r="H16" s="48">
        <v>3017437</v>
      </c>
      <c r="I16" s="48">
        <v>2194500</v>
      </c>
      <c r="J16" s="48">
        <v>2194500</v>
      </c>
      <c r="K16" s="48">
        <v>2194500</v>
      </c>
      <c r="L16" s="48">
        <v>2194500</v>
      </c>
      <c r="M16" s="48">
        <v>2194500</v>
      </c>
      <c r="N16" s="48">
        <v>2194500</v>
      </c>
      <c r="O16" s="48">
        <v>31844500</v>
      </c>
      <c r="P16" s="49">
        <f>SUM(D16:O16)</f>
        <v>75026976</v>
      </c>
      <c r="Q16" s="48">
        <v>0</v>
      </c>
      <c r="R16" s="49">
        <v>10515888</v>
      </c>
      <c r="S16" s="48">
        <v>6320888</v>
      </c>
      <c r="T16" s="48">
        <v>6320888</v>
      </c>
      <c r="U16" s="48">
        <v>4663312</v>
      </c>
      <c r="V16" s="48">
        <v>2194500</v>
      </c>
      <c r="W16" s="48">
        <v>2194500</v>
      </c>
      <c r="X16" s="48">
        <v>4389000</v>
      </c>
      <c r="Y16" s="48">
        <v>0</v>
      </c>
      <c r="Z16" s="48">
        <v>2194500</v>
      </c>
      <c r="AA16" s="123">
        <v>2194500</v>
      </c>
      <c r="AB16" s="48">
        <v>34039000</v>
      </c>
      <c r="AC16" s="99">
        <f>SUM(Q16:AB16)</f>
        <v>75026976</v>
      </c>
      <c r="AD16" s="12">
        <f>SUM(C16-P16)</f>
        <v>0</v>
      </c>
    </row>
    <row r="17" spans="1:30" s="14" customFormat="1" ht="13.5" thickBot="1">
      <c r="A17" s="25"/>
      <c r="B17" s="53" t="s">
        <v>43</v>
      </c>
      <c r="C17" s="54">
        <f aca="true" t="shared" si="2" ref="C17:Z17">SUM(C18:C18)</f>
        <v>119645963</v>
      </c>
      <c r="D17" s="54">
        <f t="shared" si="2"/>
        <v>0</v>
      </c>
      <c r="E17" s="54">
        <f t="shared" si="2"/>
        <v>73347246</v>
      </c>
      <c r="F17" s="54">
        <f t="shared" si="2"/>
        <v>40518126</v>
      </c>
      <c r="G17" s="54">
        <f t="shared" si="2"/>
        <v>1769460</v>
      </c>
      <c r="H17" s="54">
        <f t="shared" si="2"/>
        <v>2050179</v>
      </c>
      <c r="I17" s="54">
        <f t="shared" si="2"/>
        <v>0</v>
      </c>
      <c r="J17" s="54">
        <f t="shared" si="2"/>
        <v>100920</v>
      </c>
      <c r="K17" s="54">
        <f t="shared" si="2"/>
        <v>78880</v>
      </c>
      <c r="L17" s="54">
        <f t="shared" si="2"/>
        <v>0</v>
      </c>
      <c r="M17" s="54">
        <f t="shared" si="2"/>
        <v>207640</v>
      </c>
      <c r="N17" s="54">
        <f t="shared" si="2"/>
        <v>0</v>
      </c>
      <c r="O17" s="54">
        <f t="shared" si="2"/>
        <v>1573512</v>
      </c>
      <c r="P17" s="54">
        <f t="shared" si="2"/>
        <v>119645963</v>
      </c>
      <c r="Q17" s="54">
        <f t="shared" si="2"/>
        <v>0</v>
      </c>
      <c r="R17" s="54">
        <f t="shared" si="2"/>
        <v>73347246</v>
      </c>
      <c r="S17" s="54">
        <f t="shared" si="2"/>
        <v>40518126</v>
      </c>
      <c r="T17" s="54">
        <f t="shared" si="2"/>
        <v>1668540</v>
      </c>
      <c r="U17" s="54">
        <f t="shared" si="2"/>
        <v>693100</v>
      </c>
      <c r="V17" s="54">
        <f t="shared" si="2"/>
        <v>1457999</v>
      </c>
      <c r="W17" s="54">
        <f t="shared" si="2"/>
        <v>100920</v>
      </c>
      <c r="X17" s="54">
        <f t="shared" si="2"/>
        <v>78880</v>
      </c>
      <c r="Y17" s="54">
        <f t="shared" si="2"/>
        <v>0</v>
      </c>
      <c r="Z17" s="54">
        <f t="shared" si="2"/>
        <v>207640</v>
      </c>
      <c r="AA17" s="122">
        <v>0</v>
      </c>
      <c r="AB17" s="54">
        <f>SUM(AB18:AB18)</f>
        <v>1573512</v>
      </c>
      <c r="AC17" s="42">
        <f>SUM(AC18:AC18)</f>
        <v>119645963</v>
      </c>
      <c r="AD17" s="55">
        <f>SUM(AD18:AD18)</f>
        <v>0</v>
      </c>
    </row>
    <row r="18" spans="1:30" s="12" customFormat="1" ht="13.5" thickBot="1">
      <c r="A18" s="16" t="s">
        <v>146</v>
      </c>
      <c r="B18" s="56" t="s">
        <v>147</v>
      </c>
      <c r="C18" s="57">
        <f>121806298-2160255-80</f>
        <v>119645963</v>
      </c>
      <c r="D18" s="57">
        <v>0</v>
      </c>
      <c r="E18" s="49">
        <v>73347246</v>
      </c>
      <c r="F18" s="57">
        <v>40518126</v>
      </c>
      <c r="G18" s="57">
        <v>1769460</v>
      </c>
      <c r="H18" s="57">
        <v>2050179</v>
      </c>
      <c r="I18" s="57">
        <v>0</v>
      </c>
      <c r="J18" s="57">
        <v>100920</v>
      </c>
      <c r="K18" s="57">
        <v>78880</v>
      </c>
      <c r="L18" s="57">
        <v>0</v>
      </c>
      <c r="M18" s="57">
        <v>207640</v>
      </c>
      <c r="N18" s="57">
        <v>0</v>
      </c>
      <c r="O18" s="57">
        <v>1573512</v>
      </c>
      <c r="P18" s="58">
        <f>SUM(D18:O18)</f>
        <v>119645963</v>
      </c>
      <c r="Q18" s="57">
        <v>0</v>
      </c>
      <c r="R18" s="49">
        <v>73347246</v>
      </c>
      <c r="S18" s="57">
        <v>40518126</v>
      </c>
      <c r="T18" s="57">
        <v>1668540</v>
      </c>
      <c r="U18" s="57">
        <v>693100</v>
      </c>
      <c r="V18" s="57">
        <v>1457999</v>
      </c>
      <c r="W18" s="57">
        <v>100920</v>
      </c>
      <c r="X18" s="57">
        <v>78880</v>
      </c>
      <c r="Y18" s="57">
        <v>0</v>
      </c>
      <c r="Z18" s="57">
        <v>207640</v>
      </c>
      <c r="AA18" s="121">
        <f>SUM(AA19:AA19)</f>
        <v>0</v>
      </c>
      <c r="AB18" s="57">
        <v>1573512</v>
      </c>
      <c r="AC18" s="59">
        <f>SUM(Q18:AB18)</f>
        <v>119645963</v>
      </c>
      <c r="AD18" s="12">
        <f>SUM(C18-P18)</f>
        <v>0</v>
      </c>
    </row>
    <row r="19" spans="1:30" s="14" customFormat="1" ht="13.5" hidden="1" thickBot="1">
      <c r="A19" s="25"/>
      <c r="B19" s="53" t="s">
        <v>44</v>
      </c>
      <c r="C19" s="54">
        <f aca="true" t="shared" si="3" ref="C19:AD19">SUM(C20:C22)</f>
        <v>0</v>
      </c>
      <c r="D19" s="54">
        <f t="shared" si="3"/>
        <v>0</v>
      </c>
      <c r="E19" s="54">
        <f t="shared" si="3"/>
        <v>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4">
        <f t="shared" si="3"/>
        <v>0</v>
      </c>
      <c r="P19" s="54">
        <f t="shared" si="3"/>
        <v>0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4">
        <f t="shared" si="3"/>
        <v>0</v>
      </c>
      <c r="U19" s="54">
        <f t="shared" si="3"/>
        <v>0</v>
      </c>
      <c r="V19" s="54">
        <f t="shared" si="3"/>
        <v>0</v>
      </c>
      <c r="W19" s="54">
        <f t="shared" si="3"/>
        <v>0</v>
      </c>
      <c r="X19" s="54">
        <f t="shared" si="3"/>
        <v>0</v>
      </c>
      <c r="Y19" s="54">
        <f t="shared" si="3"/>
        <v>0</v>
      </c>
      <c r="Z19" s="54">
        <f t="shared" si="3"/>
        <v>0</v>
      </c>
      <c r="AA19" s="48">
        <v>0</v>
      </c>
      <c r="AB19" s="54">
        <f t="shared" si="3"/>
        <v>0</v>
      </c>
      <c r="AC19" s="42">
        <f t="shared" si="3"/>
        <v>9107000</v>
      </c>
      <c r="AD19" s="55" t="e">
        <f t="shared" si="3"/>
        <v>#REF!</v>
      </c>
    </row>
    <row r="20" spans="1:30" s="12" customFormat="1" ht="13.5" hidden="1" thickBot="1">
      <c r="A20" s="79" t="s">
        <v>40</v>
      </c>
      <c r="B20" s="61" t="s">
        <v>46</v>
      </c>
      <c r="C20" s="62"/>
      <c r="D20" s="48"/>
      <c r="E20" s="52"/>
      <c r="F20" s="49"/>
      <c r="G20" s="62"/>
      <c r="H20" s="49"/>
      <c r="I20" s="48"/>
      <c r="J20" s="48"/>
      <c r="K20" s="48"/>
      <c r="L20" s="48"/>
      <c r="M20" s="48"/>
      <c r="N20" s="48"/>
      <c r="O20" s="48"/>
      <c r="P20" s="49">
        <f>SUM(D20:O20)</f>
        <v>0</v>
      </c>
      <c r="Q20" s="48">
        <v>0</v>
      </c>
      <c r="R20" s="49"/>
      <c r="S20" s="48"/>
      <c r="T20" s="48"/>
      <c r="U20" s="48"/>
      <c r="V20" s="48"/>
      <c r="W20" s="48"/>
      <c r="X20" s="48"/>
      <c r="Y20" s="62"/>
      <c r="Z20" s="49"/>
      <c r="AA20" s="54">
        <f>SUM(AA21:AA23)</f>
        <v>9107000</v>
      </c>
      <c r="AB20" s="48"/>
      <c r="AC20" s="50">
        <f>SUM(Q20:AB20)</f>
        <v>9107000</v>
      </c>
      <c r="AD20" s="12" t="e">
        <f>SUM(C20-#REF!)</f>
        <v>#REF!</v>
      </c>
    </row>
    <row r="21" spans="1:30" s="12" customFormat="1" ht="13.5" hidden="1" thickBot="1">
      <c r="A21" s="15" t="s">
        <v>50</v>
      </c>
      <c r="B21" s="47" t="s">
        <v>49</v>
      </c>
      <c r="C21" s="48"/>
      <c r="D21" s="48"/>
      <c r="E21" s="52"/>
      <c r="F21" s="49"/>
      <c r="G21" s="48"/>
      <c r="H21" s="49"/>
      <c r="I21" s="48"/>
      <c r="J21" s="48"/>
      <c r="K21" s="48"/>
      <c r="L21" s="48"/>
      <c r="M21" s="48"/>
      <c r="N21" s="48"/>
      <c r="O21" s="48"/>
      <c r="P21" s="49">
        <f>SUM(D21:O21)</f>
        <v>0</v>
      </c>
      <c r="Q21" s="48">
        <v>0</v>
      </c>
      <c r="R21" s="49"/>
      <c r="S21" s="48"/>
      <c r="T21" s="48"/>
      <c r="U21" s="48"/>
      <c r="V21" s="48"/>
      <c r="W21" s="48"/>
      <c r="X21" s="48"/>
      <c r="Y21" s="62"/>
      <c r="Z21" s="49"/>
      <c r="AA21" s="48"/>
      <c r="AB21" s="48"/>
      <c r="AC21" s="50">
        <f>SUM(Q21:AB21)</f>
        <v>0</v>
      </c>
      <c r="AD21" s="12" t="e">
        <f>SUM(C21-#REF!)</f>
        <v>#REF!</v>
      </c>
    </row>
    <row r="22" spans="1:30" s="12" customFormat="1" ht="13.5" hidden="1" thickBot="1">
      <c r="A22" s="15" t="s">
        <v>47</v>
      </c>
      <c r="B22" s="47" t="s">
        <v>48</v>
      </c>
      <c r="C22" s="58"/>
      <c r="D22" s="49"/>
      <c r="E22" s="65"/>
      <c r="F22" s="49"/>
      <c r="G22" s="51"/>
      <c r="H22" s="49"/>
      <c r="I22" s="66"/>
      <c r="J22" s="51"/>
      <c r="K22" s="51"/>
      <c r="L22" s="67"/>
      <c r="M22" s="51"/>
      <c r="N22" s="57"/>
      <c r="O22" s="48"/>
      <c r="P22" s="58">
        <f>SUM(D22:O22)</f>
        <v>0</v>
      </c>
      <c r="Q22" s="58">
        <v>0</v>
      </c>
      <c r="R22" s="65"/>
      <c r="S22" s="63"/>
      <c r="T22" s="63"/>
      <c r="U22" s="51"/>
      <c r="V22" s="66"/>
      <c r="W22" s="63"/>
      <c r="X22" s="51"/>
      <c r="Y22" s="64"/>
      <c r="Z22" s="51"/>
      <c r="AA22" s="48"/>
      <c r="AB22" s="48"/>
      <c r="AC22" s="50">
        <f>SUM(Q22:AB22)</f>
        <v>0</v>
      </c>
      <c r="AD22" s="12" t="e">
        <f>SUM(C22-#REF!)</f>
        <v>#REF!</v>
      </c>
    </row>
    <row r="23" spans="1:30" s="14" customFormat="1" ht="18" customHeight="1" thickBot="1">
      <c r="A23" s="25"/>
      <c r="B23" s="53" t="s">
        <v>41</v>
      </c>
      <c r="C23" s="54">
        <f aca="true" t="shared" si="4" ref="C23:Z23">SUM(C24:C26)</f>
        <v>1624111963.04</v>
      </c>
      <c r="D23" s="54">
        <f t="shared" si="4"/>
        <v>0</v>
      </c>
      <c r="E23" s="54">
        <f t="shared" si="4"/>
        <v>256021076</v>
      </c>
      <c r="F23" s="54">
        <f t="shared" si="4"/>
        <v>90756890</v>
      </c>
      <c r="G23" s="54">
        <f t="shared" si="4"/>
        <v>287522363.02</v>
      </c>
      <c r="H23" s="54">
        <f t="shared" si="4"/>
        <v>796863532</v>
      </c>
      <c r="I23" s="54">
        <f t="shared" si="4"/>
        <v>40402332</v>
      </c>
      <c r="J23" s="54">
        <f t="shared" si="4"/>
        <v>42914586</v>
      </c>
      <c r="K23" s="54">
        <f t="shared" si="4"/>
        <v>43740654</v>
      </c>
      <c r="L23" s="54">
        <f t="shared" si="4"/>
        <v>7952000</v>
      </c>
      <c r="M23" s="54">
        <f t="shared" si="4"/>
        <v>7447000</v>
      </c>
      <c r="N23" s="54">
        <f t="shared" si="4"/>
        <v>8602000</v>
      </c>
      <c r="O23" s="54">
        <f t="shared" si="4"/>
        <v>10624800</v>
      </c>
      <c r="P23" s="54">
        <f t="shared" si="4"/>
        <v>1592847233.02</v>
      </c>
      <c r="Q23" s="54">
        <f t="shared" si="4"/>
        <v>0</v>
      </c>
      <c r="R23" s="54">
        <f t="shared" si="4"/>
        <v>256021076</v>
      </c>
      <c r="S23" s="54">
        <f t="shared" si="4"/>
        <v>89124890</v>
      </c>
      <c r="T23" s="54">
        <f t="shared" si="4"/>
        <v>56782250</v>
      </c>
      <c r="U23" s="54">
        <f t="shared" si="4"/>
        <v>986978059.02</v>
      </c>
      <c r="V23" s="54">
        <f t="shared" si="4"/>
        <v>63159918</v>
      </c>
      <c r="W23" s="54">
        <f t="shared" si="4"/>
        <v>39914586</v>
      </c>
      <c r="X23" s="54">
        <f t="shared" si="4"/>
        <v>65085654</v>
      </c>
      <c r="Y23" s="54">
        <f t="shared" si="4"/>
        <v>9107000</v>
      </c>
      <c r="Z23" s="54">
        <f t="shared" si="4"/>
        <v>5787000</v>
      </c>
      <c r="AA23" s="54">
        <f>SUM(AA24:AA26)</f>
        <v>9107000</v>
      </c>
      <c r="AB23" s="54">
        <f>SUM(AB24:AB26)</f>
        <v>8779800</v>
      </c>
      <c r="AC23" s="42">
        <f>SUM(AC24:AC26)</f>
        <v>1589847233.02</v>
      </c>
      <c r="AD23" s="55">
        <f>SUM(AD24:AD26)</f>
        <v>31264730.01999998</v>
      </c>
    </row>
    <row r="24" spans="1:30" s="10" customFormat="1" ht="13.5" thickBot="1">
      <c r="A24" s="68" t="s">
        <v>149</v>
      </c>
      <c r="B24" s="82" t="s">
        <v>150</v>
      </c>
      <c r="C24" s="57">
        <v>1619147775.04</v>
      </c>
      <c r="D24" s="57">
        <v>0</v>
      </c>
      <c r="E24" s="57">
        <v>251056888</v>
      </c>
      <c r="F24" s="57">
        <v>90756890</v>
      </c>
      <c r="G24" s="57">
        <v>287522363.02</v>
      </c>
      <c r="H24" s="57">
        <v>796863532</v>
      </c>
      <c r="I24" s="57">
        <v>40402332</v>
      </c>
      <c r="J24" s="57">
        <v>42914586</v>
      </c>
      <c r="K24" s="57">
        <v>43740654</v>
      </c>
      <c r="L24" s="57">
        <v>7952000</v>
      </c>
      <c r="M24" s="57">
        <v>7447000</v>
      </c>
      <c r="N24" s="48">
        <v>8602000</v>
      </c>
      <c r="O24" s="57">
        <v>10624800</v>
      </c>
      <c r="P24" s="58">
        <f>SUM(D24:O24)</f>
        <v>1587883045.02</v>
      </c>
      <c r="Q24" s="57">
        <v>0</v>
      </c>
      <c r="R24" s="58">
        <v>251056888</v>
      </c>
      <c r="S24" s="57">
        <v>89124890</v>
      </c>
      <c r="T24" s="57">
        <v>56782250</v>
      </c>
      <c r="U24" s="57">
        <v>986978059.02</v>
      </c>
      <c r="V24" s="57">
        <v>63159918</v>
      </c>
      <c r="W24" s="57">
        <v>39914586</v>
      </c>
      <c r="X24" s="57">
        <v>65085654</v>
      </c>
      <c r="Y24" s="57">
        <v>9107000</v>
      </c>
      <c r="Z24" s="57">
        <v>5787000</v>
      </c>
      <c r="AA24" s="121">
        <v>9107000</v>
      </c>
      <c r="AB24" s="57">
        <v>8779800</v>
      </c>
      <c r="AC24" s="50">
        <f>SUM(Q24:AB24)</f>
        <v>1584883045.02</v>
      </c>
      <c r="AD24" s="12">
        <f>SUM(C24-P24)</f>
        <v>31264730.01999998</v>
      </c>
    </row>
    <row r="25" spans="1:30" s="10" customFormat="1" ht="12.75">
      <c r="A25" s="68" t="s">
        <v>51</v>
      </c>
      <c r="B25" s="13" t="s">
        <v>151</v>
      </c>
      <c r="C25" s="57">
        <v>4284088</v>
      </c>
      <c r="D25" s="57">
        <v>0</v>
      </c>
      <c r="E25" s="57">
        <v>4284088</v>
      </c>
      <c r="F25" s="57">
        <v>0</v>
      </c>
      <c r="G25" s="57">
        <v>0</v>
      </c>
      <c r="H25" s="57"/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48">
        <v>0</v>
      </c>
      <c r="O25" s="57"/>
      <c r="P25" s="58">
        <f>SUM(D25:O25)</f>
        <v>4284088</v>
      </c>
      <c r="Q25" s="57">
        <v>0</v>
      </c>
      <c r="R25" s="58">
        <v>4284088</v>
      </c>
      <c r="S25" s="57">
        <v>0</v>
      </c>
      <c r="T25" s="57">
        <v>0</v>
      </c>
      <c r="U25" s="57"/>
      <c r="V25" s="57">
        <v>0</v>
      </c>
      <c r="W25" s="57">
        <v>0</v>
      </c>
      <c r="X25" s="57">
        <v>0</v>
      </c>
      <c r="Y25" s="57">
        <v>0</v>
      </c>
      <c r="Z25" s="57"/>
      <c r="AA25" s="48">
        <v>0</v>
      </c>
      <c r="AB25" s="57">
        <v>0</v>
      </c>
      <c r="AC25" s="50">
        <f>SUM(Q25:AB25)</f>
        <v>4284088</v>
      </c>
      <c r="AD25" s="12">
        <f>SUM(C25-P25)</f>
        <v>0</v>
      </c>
    </row>
    <row r="26" spans="1:30" s="10" customFormat="1" ht="13.5" thickBot="1">
      <c r="A26" s="68" t="s">
        <v>52</v>
      </c>
      <c r="B26" s="13" t="s">
        <v>152</v>
      </c>
      <c r="C26" s="57">
        <v>680100</v>
      </c>
      <c r="D26" s="57">
        <v>0</v>
      </c>
      <c r="E26" s="57">
        <v>680100</v>
      </c>
      <c r="F26" s="57">
        <v>0</v>
      </c>
      <c r="G26" s="57">
        <v>0</v>
      </c>
      <c r="H26" s="57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f>SUM(D26:O26)</f>
        <v>680100</v>
      </c>
      <c r="Q26" s="57">
        <v>0</v>
      </c>
      <c r="R26" s="58">
        <v>680100</v>
      </c>
      <c r="S26" s="57">
        <v>0</v>
      </c>
      <c r="T26" s="57">
        <v>0</v>
      </c>
      <c r="U26" s="57"/>
      <c r="V26" s="57">
        <v>0</v>
      </c>
      <c r="W26" s="57">
        <v>0</v>
      </c>
      <c r="X26" s="57">
        <v>0</v>
      </c>
      <c r="Y26" s="57">
        <v>0</v>
      </c>
      <c r="Z26" s="57"/>
      <c r="AA26" s="48">
        <v>0</v>
      </c>
      <c r="AB26" s="57">
        <v>0</v>
      </c>
      <c r="AC26" s="50">
        <f>SUM(Q26:AB26)</f>
        <v>680100</v>
      </c>
      <c r="AD26" s="12">
        <f>SUM(C26-P26)</f>
        <v>0</v>
      </c>
    </row>
    <row r="27" spans="1:30" s="11" customFormat="1" ht="13.5" thickBot="1">
      <c r="A27" s="135" t="s">
        <v>33</v>
      </c>
      <c r="B27" s="136"/>
      <c r="C27" s="54">
        <f aca="true" t="shared" si="5" ref="C27:AA27">SUM(C15+C17+C19+C23)</f>
        <v>1818784902.04</v>
      </c>
      <c r="D27" s="54">
        <f t="shared" si="5"/>
        <v>0</v>
      </c>
      <c r="E27" s="54">
        <f t="shared" si="5"/>
        <v>339884210</v>
      </c>
      <c r="F27" s="54">
        <f t="shared" si="5"/>
        <v>141436279</v>
      </c>
      <c r="G27" s="54">
        <f t="shared" si="5"/>
        <v>295612711.02</v>
      </c>
      <c r="H27" s="54">
        <f t="shared" si="5"/>
        <v>801931148</v>
      </c>
      <c r="I27" s="54">
        <f t="shared" si="5"/>
        <v>42596832</v>
      </c>
      <c r="J27" s="54">
        <f t="shared" si="5"/>
        <v>45210006</v>
      </c>
      <c r="K27" s="54">
        <f t="shared" si="5"/>
        <v>46014034</v>
      </c>
      <c r="L27" s="54">
        <f t="shared" si="5"/>
        <v>10146500</v>
      </c>
      <c r="M27" s="54">
        <f t="shared" si="5"/>
        <v>9849140</v>
      </c>
      <c r="N27" s="54">
        <f t="shared" si="5"/>
        <v>10796500</v>
      </c>
      <c r="O27" s="54">
        <f t="shared" si="5"/>
        <v>44042812</v>
      </c>
      <c r="P27" s="54">
        <f t="shared" si="5"/>
        <v>1787520172.02</v>
      </c>
      <c r="Q27" s="54">
        <f t="shared" si="5"/>
        <v>0</v>
      </c>
      <c r="R27" s="54">
        <f t="shared" si="5"/>
        <v>339884210</v>
      </c>
      <c r="S27" s="54">
        <f t="shared" si="5"/>
        <v>135963904</v>
      </c>
      <c r="T27" s="54">
        <f t="shared" si="5"/>
        <v>64771678</v>
      </c>
      <c r="U27" s="54">
        <f t="shared" si="5"/>
        <v>992334471.02</v>
      </c>
      <c r="V27" s="54">
        <f t="shared" si="5"/>
        <v>66812417</v>
      </c>
      <c r="W27" s="54">
        <f t="shared" si="5"/>
        <v>42210006</v>
      </c>
      <c r="X27" s="54">
        <f t="shared" si="5"/>
        <v>69553534</v>
      </c>
      <c r="Y27" s="54">
        <f t="shared" si="5"/>
        <v>9107000</v>
      </c>
      <c r="Z27" s="54">
        <f t="shared" si="5"/>
        <v>8189140</v>
      </c>
      <c r="AA27" s="54">
        <f t="shared" si="5"/>
        <v>11301500</v>
      </c>
      <c r="AB27" s="54">
        <f>SUM(AB15+AB17+AB19+AB23)</f>
        <v>44392312</v>
      </c>
      <c r="AC27" s="42">
        <f>SUM(AC15+AC17+AC23)</f>
        <v>1784520172.02</v>
      </c>
      <c r="AD27" s="69">
        <f>SUM(AD15+AD17+AD23)</f>
        <v>31264730.01999998</v>
      </c>
    </row>
    <row r="28" spans="1:29" ht="12.75">
      <c r="A28" s="80" t="s">
        <v>161</v>
      </c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9"/>
    </row>
    <row r="29" spans="1:29" ht="12.75">
      <c r="A29" s="7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</row>
    <row r="30" spans="1:29" ht="12.75">
      <c r="A30" s="71"/>
      <c r="B30" s="7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</row>
    <row r="31" spans="1:29" ht="15.75" thickBot="1">
      <c r="A31" s="3"/>
      <c r="B31" s="4"/>
      <c r="C31" s="2"/>
      <c r="D31" s="4"/>
      <c r="E31" s="4"/>
      <c r="F31" s="4"/>
      <c r="G31" s="4"/>
      <c r="H31" s="4"/>
      <c r="I31" s="4"/>
      <c r="J31" s="4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4"/>
      <c r="Y31" s="4"/>
      <c r="Z31" s="4"/>
      <c r="AA31" s="4"/>
      <c r="AB31" s="4"/>
      <c r="AC31" s="5"/>
    </row>
    <row r="32" spans="1:29" ht="14.25">
      <c r="A32" s="118"/>
      <c r="B32" s="119" t="s">
        <v>153</v>
      </c>
      <c r="C32" s="8"/>
      <c r="D32" s="152" t="s">
        <v>154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</row>
    <row r="33" spans="1:29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5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6"/>
    </row>
    <row r="35" spans="1:30" ht="8.25" customHeight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9"/>
      <c r="AD35" s="4"/>
    </row>
    <row r="36" spans="1:29" ht="0.75" customHeight="1" hidden="1" thickBot="1">
      <c r="A36" s="11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0.75" customHeight="1" thickBot="1">
      <c r="A37" s="116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7"/>
    </row>
    <row r="38" spans="1:29" ht="0.75" customHeight="1" thickBot="1">
      <c r="A38" s="4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</row>
    <row r="39" spans="1:29" ht="18" customHeight="1">
      <c r="A39" s="125" t="s">
        <v>171</v>
      </c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 spans="1:29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</sheetData>
  <mergeCells count="11">
    <mergeCell ref="A4:AC4"/>
    <mergeCell ref="A1:AC1"/>
    <mergeCell ref="A2:AC2"/>
    <mergeCell ref="A3:AC3"/>
    <mergeCell ref="K31:W31"/>
    <mergeCell ref="D32:AC32"/>
    <mergeCell ref="A34:AC35"/>
    <mergeCell ref="A5:AC5"/>
    <mergeCell ref="A7:B7"/>
    <mergeCell ref="A8:B8"/>
    <mergeCell ref="A27:B27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cp:lastPrinted>2008-01-17T21:15:20Z</cp:lastPrinted>
  <dcterms:created xsi:type="dcterms:W3CDTF">1999-04-05T19:37:02Z</dcterms:created>
  <dcterms:modified xsi:type="dcterms:W3CDTF">2008-05-14T19:07:46Z</dcterms:modified>
  <cp:category/>
  <cp:version/>
  <cp:contentType/>
  <cp:contentStatus/>
</cp:coreProperties>
</file>