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activeTab="4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</sheets>
  <definedNames>
    <definedName name="_xlnm.Print_Area" localSheetId="1">'Gastos Fond '!$A$1:$AP$53</definedName>
    <definedName name="_xlnm.Print_Area" localSheetId="4">'Gastos Fond APN'!$A$1:$AP$32</definedName>
    <definedName name="_xlnm.Print_Area" localSheetId="0">'Ingresos Fond. '!$A$1:$CJ$34</definedName>
    <definedName name="_xlnm.Print_Area" localSheetId="3">'RESER FOND'!$A$1:$AC$38</definedName>
  </definedNames>
  <calcPr fullCalcOnLoad="1"/>
</workbook>
</file>

<file path=xl/sharedStrings.xml><?xml version="1.0" encoding="utf-8"?>
<sst xmlns="http://schemas.openxmlformats.org/spreadsheetml/2006/main" count="683" uniqueCount="183">
  <si>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</si>
  <si>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</si>
  <si>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</si>
  <si>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</si>
  <si>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</si>
  <si>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</si>
  <si>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</si>
  <si>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</si>
  <si>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</si>
  <si>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</si>
  <si>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</si>
  <si>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</si>
  <si>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</si>
  <si>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</si>
  <si>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</si>
  <si>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</si>
  <si>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</si>
  <si>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</si>
  <si>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</si>
  <si>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</si>
  <si>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</si>
  <si>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</si>
  <si>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</si>
  <si>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</si>
  <si>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</si>
  <si>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</si>
  <si>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</si>
  <si>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</si>
  <si>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</si>
  <si>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</si>
  <si>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</si>
  <si>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</si>
  <si>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</si>
  <si>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</si>
  <si>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</si>
  <si>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</si>
  <si>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</si>
  <si>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</si>
  <si>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</si>
  <si>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</si>
  <si>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</si>
  <si>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</si>
  <si>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</si>
  <si>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</si>
  <si>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</si>
  <si>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</si>
  <si>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</si>
  <si>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</si>
  <si>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</si>
  <si>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</si>
  <si>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</si>
  <si>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</si>
  <si>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</si>
  <si>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</si>
  <si>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</si>
  <si>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</si>
  <si>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</si>
  <si>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</si>
  <si>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</si>
  <si>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</si>
  <si>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</si>
  <si>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</si>
  <si>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</si>
  <si>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</si>
  <si>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</si>
  <si>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</si>
  <si>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</si>
  <si>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</si>
  <si>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</si>
  <si>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</si>
  <si>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</si>
  <si>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</si>
  <si>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</si>
  <si>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</si>
  <si>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</si>
  <si>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</si>
  <si>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</si>
  <si>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</si>
  <si>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</si>
  <si>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</si>
  <si>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</si>
  <si>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</si>
  <si>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</si>
  <si>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</si>
  <si>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</si>
  <si>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</si>
  <si>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</si>
  <si>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</si>
  <si>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</si>
  <si>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</si>
  <si>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</si>
  <si>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</si>
  <si>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</si>
  <si>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</si>
  <si>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</si>
  <si>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</si>
  <si>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</si>
  <si>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</si>
  <si>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</si>
  <si>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</si>
  <si>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</si>
  <si>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</si>
  <si>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</si>
  <si>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</si>
  <si>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A|2|0|4|5|20</t>
  </si>
  <si>
    <t>A|2|0|4|6|20</t>
  </si>
  <si>
    <t>A|2|0|4|7|20</t>
  </si>
  <si>
    <t>A|2|0|4|8|20</t>
  </si>
  <si>
    <t>IMPUESTOS Y CONTRIBUCIONES</t>
  </si>
  <si>
    <t>MES  1</t>
  </si>
  <si>
    <t>COMPRA DE EQUIPO</t>
  </si>
  <si>
    <t xml:space="preserve">SENTENCIAS Y CONCILIACIONES </t>
  </si>
  <si>
    <t>RECURSOS DE CAPITAL            1|3|2|0|0</t>
  </si>
  <si>
    <t>A|2|0|4|10|20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</si>
  <si>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</si>
  <si>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</si>
  <si>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</si>
  <si>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</si>
  <si>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</si>
  <si>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</si>
  <si>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 xml:space="preserve">CUOTA DE AUDITAJE - CONTRALORIA </t>
  </si>
  <si>
    <t>GASTOS DE FUNCIONAMIENTO APN</t>
  </si>
  <si>
    <t>MES 06</t>
  </si>
  <si>
    <t>A|2|0|4|2|20</t>
  </si>
  <si>
    <t>ENSERES Y EQUIPOS DE OFICINA</t>
  </si>
  <si>
    <t>SERVICIO DE SEGURIDAD Y VIGILANCIA</t>
  </si>
  <si>
    <t>A|2|0|4|0|21</t>
  </si>
  <si>
    <t>A|2|0|4|5|21</t>
  </si>
  <si>
    <t>A|2|0|4|11|21</t>
  </si>
  <si>
    <t xml:space="preserve">MES </t>
  </si>
  <si>
    <t>OTROS GASTOS POR ADQUISICION DE SERVICIOS</t>
  </si>
  <si>
    <t xml:space="preserve"> A JUNIO</t>
  </si>
  <si>
    <t>A AGOSTO</t>
  </si>
  <si>
    <t>A|3|2|1|1|11</t>
  </si>
  <si>
    <t>A|1|0|2|14|20</t>
  </si>
  <si>
    <t>A|2|0|4|1|20</t>
  </si>
  <si>
    <t>A|2|0|4|4|20</t>
  </si>
  <si>
    <t>A|2|0|4|9|20</t>
  </si>
  <si>
    <t>A|2|0|4|11|20</t>
  </si>
  <si>
    <t>A|2|0|4|41|20</t>
  </si>
  <si>
    <t>A|2|0|3|0|20</t>
  </si>
  <si>
    <t>A|2|0|3|50|20</t>
  </si>
  <si>
    <t>A|3|2|1|1|20</t>
  </si>
  <si>
    <t>A|3|6|1|1|20</t>
  </si>
  <si>
    <t>A|2|0|4|5|2|221</t>
  </si>
  <si>
    <t>MANTENIMIENTO DE BIENES MUEBLES, EQUIPOS Y ENSERES</t>
  </si>
  <si>
    <t>A|2|0|4|11|2|21</t>
  </si>
  <si>
    <t>A|2|0|4|5|10|21</t>
  </si>
  <si>
    <t>VIATICOS Y GSTOS DE VIAJE</t>
  </si>
  <si>
    <t>A|2|0|4|2|21</t>
  </si>
  <si>
    <t>ENSERES Y EQUIPOS PARA OFICINA</t>
  </si>
  <si>
    <t>A|2|0|4|2|1|21</t>
  </si>
  <si>
    <t>EQUIPO Y MAQUINA PARA OFICINA</t>
  </si>
  <si>
    <t>A|2|0|4|4|21</t>
  </si>
  <si>
    <t>A|2|0|4|4|6|21</t>
  </si>
  <si>
    <t>LLANTAS Y ACCESORIOS</t>
  </si>
  <si>
    <t>A|2|0|4|4|20|21</t>
  </si>
  <si>
    <t>REPUESTOS</t>
  </si>
  <si>
    <t>A|2|0|4|5|2|21</t>
  </si>
  <si>
    <t>A|2|0|4|5|1|21</t>
  </si>
  <si>
    <t>MANTENIMIENTO DE BIENES INMUEBLES</t>
  </si>
  <si>
    <t xml:space="preserve">CONVENIO </t>
  </si>
  <si>
    <t xml:space="preserve">VENTA </t>
  </si>
  <si>
    <t xml:space="preserve"> DE BIENES Y SERVICIOS </t>
  </si>
  <si>
    <t>MS 2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</si>
  <si>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</si>
  <si>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</si>
  <si>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</si>
  <si>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</si>
  <si>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</si>
  <si>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>ANTERIOR</t>
  </si>
  <si>
    <t xml:space="preserve">CONVENIOS </t>
  </si>
  <si>
    <t>VIATICOS Y GASTOS DE VIAJE AL INTERIOR</t>
  </si>
  <si>
    <t>EFECTIVO CONVENIOS</t>
  </si>
  <si>
    <t>EFECTIVO PUBLICACIONES</t>
  </si>
  <si>
    <t>Elaboró : R.CH.G</t>
  </si>
  <si>
    <t>Elaboró :R.CH.G</t>
  </si>
  <si>
    <t>A  DICIEMBRE</t>
  </si>
  <si>
    <t xml:space="preserve"> A DICIEMBRE</t>
  </si>
  <si>
    <t>A DICIEMBRE</t>
  </si>
  <si>
    <t>Nota: se realizo la siguiente modificacion a la desagregacion del presupuesto de gastos de Funcionamiento :  Credito: Compra de equipo $ 20,160,000. Enseres y equipo de oficina $ 20495,479. Materiales y Suministros $ 1,333,357. Mantenimiento  $4,300,000. Servivios Publicos $ 16,329,424</t>
  </si>
  <si>
    <t>MY S</t>
  </si>
  <si>
    <t>MTO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</si>
</sst>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[$-240A]dddd\,\ d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3" borderId="0" xfId="0" applyFont="1" applyFill="1" applyBorder="1" applyAlignment="1" quotePrefix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4" fontId="9" fillId="33" borderId="0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8" xfId="0" applyNumberFormat="1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33" borderId="39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185" fontId="13" fillId="33" borderId="40" xfId="50" applyFont="1" applyFill="1" applyBorder="1" applyAlignment="1">
      <alignment horizontal="center"/>
    </xf>
    <xf numFmtId="0" fontId="13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2" xfId="0" applyFont="1" applyFill="1" applyBorder="1" applyAlignment="1" applyProtection="1">
      <alignment horizontal="center"/>
      <protection locked="0"/>
    </xf>
    <xf numFmtId="0" fontId="5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203" fontId="9" fillId="0" borderId="21" xfId="0" applyNumberFormat="1" applyFont="1" applyBorder="1" applyAlignment="1" applyProtection="1">
      <alignment horizontal="right"/>
      <protection locked="0"/>
    </xf>
    <xf numFmtId="203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9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0" fillId="0" borderId="43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4" fontId="9" fillId="0" borderId="44" xfId="0" applyNumberFormat="1" applyFont="1" applyBorder="1" applyAlignment="1" applyProtection="1">
      <alignment horizontal="right"/>
      <protection locked="0"/>
    </xf>
    <xf numFmtId="0" fontId="7" fillId="33" borderId="4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" fontId="0" fillId="0" borderId="2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4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28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9" fillId="34" borderId="21" xfId="0" applyNumberFormat="1" applyFont="1" applyFill="1" applyBorder="1" applyAlignment="1" applyProtection="1">
      <alignment horizontal="right"/>
      <protection/>
    </xf>
    <xf numFmtId="4" fontId="2" fillId="35" borderId="25" xfId="0" applyNumberFormat="1" applyFont="1" applyFill="1" applyBorder="1" applyAlignment="1">
      <alignment horizontal="right"/>
    </xf>
    <xf numFmtId="4" fontId="2" fillId="35" borderId="23" xfId="0" applyNumberFormat="1" applyFont="1" applyFill="1" applyBorder="1" applyAlignment="1">
      <alignment horizontal="right"/>
    </xf>
    <xf numFmtId="4" fontId="9" fillId="35" borderId="21" xfId="0" applyNumberFormat="1" applyFont="1" applyFill="1" applyBorder="1" applyAlignment="1" applyProtection="1">
      <alignment horizontal="right"/>
      <protection/>
    </xf>
    <xf numFmtId="4" fontId="2" fillId="35" borderId="23" xfId="0" applyNumberFormat="1" applyFont="1" applyFill="1" applyBorder="1" applyAlignment="1" applyProtection="1">
      <alignment horizontal="right"/>
      <protection locked="0"/>
    </xf>
    <xf numFmtId="4" fontId="2" fillId="35" borderId="21" xfId="0" applyNumberFormat="1" applyFont="1" applyFill="1" applyBorder="1" applyAlignment="1" applyProtection="1">
      <alignment horizontal="right"/>
      <protection locked="0"/>
    </xf>
    <xf numFmtId="4" fontId="2" fillId="35" borderId="18" xfId="0" applyNumberFormat="1" applyFont="1" applyFill="1" applyBorder="1" applyAlignment="1" applyProtection="1">
      <alignment horizontal="right"/>
      <protection locked="0"/>
    </xf>
    <xf numFmtId="4" fontId="9" fillId="35" borderId="18" xfId="0" applyNumberFormat="1" applyFont="1" applyFill="1" applyBorder="1" applyAlignment="1" applyProtection="1">
      <alignment horizontal="right"/>
      <protection/>
    </xf>
    <xf numFmtId="4" fontId="9" fillId="35" borderId="30" xfId="0" applyNumberFormat="1" applyFont="1" applyFill="1" applyBorder="1" applyAlignment="1" applyProtection="1">
      <alignment horizontal="right"/>
      <protection locked="0"/>
    </xf>
    <xf numFmtId="4" fontId="9" fillId="35" borderId="21" xfId="0" applyNumberFormat="1" applyFont="1" applyFill="1" applyBorder="1" applyAlignment="1" applyProtection="1">
      <alignment horizontal="right"/>
      <protection locked="0"/>
    </xf>
    <xf numFmtId="203" fontId="9" fillId="35" borderId="21" xfId="0" applyNumberFormat="1" applyFont="1" applyFill="1" applyBorder="1" applyAlignment="1" applyProtection="1">
      <alignment horizontal="right"/>
      <protection locked="0"/>
    </xf>
    <xf numFmtId="4" fontId="9" fillId="35" borderId="18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43" fontId="0" fillId="0" borderId="0" xfId="48" applyFont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33" borderId="3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7"/>
  <sheetViews>
    <sheetView zoomScale="85" zoomScaleNormal="85" zoomScalePageLayoutView="0" workbookViewId="0" topLeftCell="A1">
      <selection activeCell="A1" sqref="A1:CJ34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7.57421875" style="1" customWidth="1"/>
    <col min="4" max="4" width="16.57421875" style="1" hidden="1" customWidth="1"/>
    <col min="5" max="5" width="19.421875" style="1" hidden="1" customWidth="1"/>
    <col min="6" max="7" width="15.28125" style="1" hidden="1" customWidth="1"/>
    <col min="8" max="8" width="16.421875" style="1" hidden="1" customWidth="1"/>
    <col min="9" max="11" width="15.00390625" style="1" hidden="1" customWidth="1"/>
    <col min="12" max="14" width="16.57421875" style="1" hidden="1" customWidth="1"/>
    <col min="15" max="17" width="15.57421875" style="1" hidden="1" customWidth="1"/>
    <col min="18" max="18" width="16.8515625" style="1" hidden="1" customWidth="1"/>
    <col min="19" max="19" width="21.421875" style="1" hidden="1" customWidth="1"/>
    <col min="20" max="20" width="21.57421875" style="1" hidden="1" customWidth="1"/>
    <col min="21" max="21" width="15.8515625" style="1" hidden="1" customWidth="1"/>
    <col min="22" max="22" width="18.57421875" style="1" hidden="1" customWidth="1"/>
    <col min="23" max="24" width="16.57421875" style="1" hidden="1" customWidth="1"/>
    <col min="25" max="25" width="18.00390625" style="1" hidden="1" customWidth="1"/>
    <col min="26" max="26" width="17.7109375" style="1" hidden="1" customWidth="1"/>
    <col min="27" max="27" width="19.28125" style="1" customWidth="1"/>
    <col min="28" max="28" width="22.28125" style="1" customWidth="1"/>
    <col min="29" max="29" width="19.7109375" style="1" hidden="1" customWidth="1"/>
    <col min="30" max="30" width="17.57421875" style="1" hidden="1" customWidth="1"/>
    <col min="31" max="36" width="16.7109375" style="1" hidden="1" customWidth="1"/>
    <col min="37" max="37" width="15.421875" style="1" hidden="1" customWidth="1"/>
    <col min="38" max="41" width="18.421875" style="1" hidden="1" customWidth="1"/>
    <col min="42" max="44" width="17.28125" style="1" hidden="1" customWidth="1"/>
    <col min="45" max="47" width="17.8515625" style="1" hidden="1" customWidth="1"/>
    <col min="48" max="48" width="16.57421875" style="1" hidden="1" customWidth="1"/>
    <col min="49" max="49" width="18.140625" style="1" hidden="1" customWidth="1"/>
    <col min="50" max="50" width="19.421875" style="1" hidden="1" customWidth="1"/>
    <col min="51" max="51" width="21.140625" style="1" hidden="1" customWidth="1"/>
    <col min="52" max="52" width="19.140625" style="1" hidden="1" customWidth="1"/>
    <col min="53" max="55" width="16.57421875" style="1" hidden="1" customWidth="1"/>
    <col min="56" max="56" width="4.7109375" style="1" hidden="1" customWidth="1"/>
    <col min="57" max="57" width="17.28125" style="1" hidden="1" customWidth="1"/>
    <col min="58" max="58" width="14.28125" style="1" hidden="1" customWidth="1"/>
    <col min="59" max="59" width="14.8515625" style="1" hidden="1" customWidth="1"/>
    <col min="60" max="60" width="16.57421875" style="1" hidden="1" customWidth="1"/>
    <col min="61" max="61" width="6.28125" style="1" hidden="1" customWidth="1"/>
    <col min="62" max="62" width="17.8515625" style="1" hidden="1" customWidth="1"/>
    <col min="63" max="63" width="17.7109375" style="1" hidden="1" customWidth="1"/>
    <col min="64" max="64" width="16.421875" style="1" hidden="1" customWidth="1"/>
    <col min="65" max="65" width="11.8515625" style="1" hidden="1" customWidth="1"/>
    <col min="66" max="66" width="17.57421875" style="1" hidden="1" customWidth="1"/>
    <col min="67" max="67" width="16.57421875" style="1" hidden="1" customWidth="1"/>
    <col min="68" max="68" width="18.00390625" style="1" hidden="1" customWidth="1"/>
    <col min="69" max="69" width="11.8515625" style="1" hidden="1" customWidth="1"/>
    <col min="70" max="70" width="14.421875" style="1" hidden="1" customWidth="1"/>
    <col min="71" max="71" width="15.28125" style="1" hidden="1" customWidth="1"/>
    <col min="72" max="72" width="16.57421875" style="1" customWidth="1"/>
    <col min="73" max="73" width="18.28125" style="1" hidden="1" customWidth="1"/>
    <col min="74" max="74" width="19.421875" style="1" customWidth="1"/>
    <col min="75" max="75" width="13.7109375" style="1" hidden="1" customWidth="1"/>
    <col min="76" max="76" width="14.140625" style="1" hidden="1" customWidth="1"/>
    <col min="77" max="77" width="13.421875" style="1" hidden="1" customWidth="1"/>
    <col min="78" max="78" width="15.00390625" style="1" hidden="1" customWidth="1"/>
    <col min="79" max="79" width="15.8515625" style="1" hidden="1" customWidth="1"/>
    <col min="80" max="80" width="16.8515625" style="1" hidden="1" customWidth="1"/>
    <col min="81" max="81" width="25.8515625" style="1" hidden="1" customWidth="1"/>
    <col min="82" max="82" width="15.8515625" style="1" hidden="1" customWidth="1"/>
    <col min="83" max="83" width="17.140625" style="1" hidden="1" customWidth="1"/>
    <col min="84" max="84" width="19.421875" style="1" hidden="1" customWidth="1"/>
    <col min="85" max="85" width="16.421875" style="1" hidden="1" customWidth="1"/>
    <col min="86" max="86" width="12.57421875" style="1" customWidth="1"/>
    <col min="87" max="87" width="13.57421875" style="1" customWidth="1"/>
    <col min="88" max="88" width="15.00390625" style="1" customWidth="1"/>
    <col min="89" max="89" width="11.421875" style="1" customWidth="1"/>
    <col min="90" max="90" width="15.421875" style="1" bestFit="1" customWidth="1"/>
    <col min="91" max="91" width="12.421875" style="1" bestFit="1" customWidth="1"/>
    <col min="92" max="16384" width="11.421875" style="1" customWidth="1"/>
  </cols>
  <sheetData>
    <row r="1" spans="1:88" ht="18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2"/>
    </row>
    <row r="2" spans="1:90" ht="15.7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5"/>
      <c r="CL2" s="12"/>
    </row>
    <row r="3" spans="1:90" ht="18">
      <c r="A3" s="186" t="s">
        <v>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8"/>
      <c r="CL3" s="12"/>
    </row>
    <row r="4" spans="1:90" ht="20.25">
      <c r="A4" s="189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1"/>
      <c r="CL4" s="12"/>
    </row>
    <row r="5" spans="1:90" ht="12.75">
      <c r="A5" s="50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2"/>
      <c r="CL5" s="12"/>
    </row>
    <row r="6" spans="1:88" ht="12.75">
      <c r="A6" s="171" t="s">
        <v>4</v>
      </c>
      <c r="B6" s="172"/>
      <c r="C6" s="58"/>
      <c r="D6" s="58"/>
      <c r="E6" s="5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3" t="s">
        <v>6</v>
      </c>
      <c r="AC6" s="53"/>
      <c r="AD6" s="53"/>
      <c r="AE6" s="53"/>
      <c r="AF6" s="53"/>
      <c r="AG6" s="53"/>
      <c r="AH6" s="53"/>
      <c r="AI6" s="53"/>
      <c r="AJ6" s="53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9" t="s">
        <v>129</v>
      </c>
      <c r="BW6" s="51"/>
      <c r="BX6" s="51"/>
      <c r="BY6" s="51"/>
      <c r="BZ6" s="51"/>
      <c r="CA6" s="88" t="s">
        <v>131</v>
      </c>
      <c r="CB6" s="140" t="s">
        <v>132</v>
      </c>
      <c r="CC6" s="51"/>
      <c r="CD6" s="51"/>
      <c r="CE6" s="51"/>
      <c r="CF6" s="51"/>
      <c r="CG6" s="51"/>
      <c r="CH6" s="51"/>
      <c r="CI6" s="88" t="s">
        <v>178</v>
      </c>
      <c r="CJ6" s="52"/>
    </row>
    <row r="7" spans="1:88" ht="12.75">
      <c r="A7" s="171" t="s">
        <v>5</v>
      </c>
      <c r="B7" s="172"/>
      <c r="C7" s="58"/>
      <c r="D7" s="58"/>
      <c r="E7" s="58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3" t="s">
        <v>7</v>
      </c>
      <c r="AC7" s="53"/>
      <c r="AD7" s="53"/>
      <c r="AE7" s="53"/>
      <c r="AF7" s="53"/>
      <c r="AG7" s="53"/>
      <c r="AH7" s="53"/>
      <c r="AI7" s="53"/>
      <c r="AJ7" s="53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9" t="s">
        <v>9</v>
      </c>
      <c r="BW7" s="51"/>
      <c r="BX7" s="51"/>
      <c r="BY7" s="51"/>
      <c r="BZ7" s="51"/>
      <c r="CA7" s="58">
        <v>2010</v>
      </c>
      <c r="CB7" s="59">
        <v>2010</v>
      </c>
      <c r="CC7" s="51"/>
      <c r="CD7" s="51"/>
      <c r="CE7" s="51"/>
      <c r="CF7" s="51"/>
      <c r="CG7" s="51"/>
      <c r="CH7" s="51"/>
      <c r="CI7" s="58">
        <v>2011</v>
      </c>
      <c r="CJ7" s="52"/>
    </row>
    <row r="8" spans="1:88" ht="13.5" thickBo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6"/>
    </row>
    <row r="9" spans="1:88" ht="12.75">
      <c r="A9" s="100" t="s">
        <v>78</v>
      </c>
      <c r="B9" s="92"/>
      <c r="C9" s="93" t="s">
        <v>66</v>
      </c>
      <c r="D9" s="93"/>
      <c r="E9" s="93" t="s">
        <v>162</v>
      </c>
      <c r="F9" s="92" t="s">
        <v>64</v>
      </c>
      <c r="G9" s="92"/>
      <c r="H9" s="93" t="s">
        <v>162</v>
      </c>
      <c r="I9" s="92" t="s">
        <v>64</v>
      </c>
      <c r="J9" s="92"/>
      <c r="K9" s="93" t="s">
        <v>162</v>
      </c>
      <c r="L9" s="92" t="s">
        <v>64</v>
      </c>
      <c r="M9" s="92"/>
      <c r="N9" s="93" t="s">
        <v>162</v>
      </c>
      <c r="O9" s="92" t="s">
        <v>64</v>
      </c>
      <c r="P9" s="92"/>
      <c r="Q9" s="93" t="s">
        <v>162</v>
      </c>
      <c r="R9" s="92" t="s">
        <v>64</v>
      </c>
      <c r="S9" s="92"/>
      <c r="T9" s="93" t="s">
        <v>162</v>
      </c>
      <c r="U9" s="92" t="s">
        <v>64</v>
      </c>
      <c r="V9" s="92" t="s">
        <v>64</v>
      </c>
      <c r="W9" s="92" t="s">
        <v>64</v>
      </c>
      <c r="X9" s="92" t="s">
        <v>64</v>
      </c>
      <c r="Y9" s="92" t="s">
        <v>64</v>
      </c>
      <c r="Z9" s="92" t="s">
        <v>64</v>
      </c>
      <c r="AA9" s="92" t="s">
        <v>64</v>
      </c>
      <c r="AB9" s="92" t="s">
        <v>64</v>
      </c>
      <c r="AC9" s="93" t="s">
        <v>68</v>
      </c>
      <c r="AD9" s="93" t="s">
        <v>68</v>
      </c>
      <c r="AE9" s="93" t="s">
        <v>68</v>
      </c>
      <c r="AF9" s="93" t="s">
        <v>68</v>
      </c>
      <c r="AG9" s="93" t="s">
        <v>68</v>
      </c>
      <c r="AH9" s="93" t="s">
        <v>68</v>
      </c>
      <c r="AI9" s="93"/>
      <c r="AJ9" s="93" t="s">
        <v>162</v>
      </c>
      <c r="AK9" s="92" t="s">
        <v>26</v>
      </c>
      <c r="AL9" s="93"/>
      <c r="AM9" s="93" t="s">
        <v>162</v>
      </c>
      <c r="AN9" s="93"/>
      <c r="AO9" s="93"/>
      <c r="AP9" s="92" t="s">
        <v>26</v>
      </c>
      <c r="AQ9" s="93" t="s">
        <v>68</v>
      </c>
      <c r="AR9" s="93" t="s">
        <v>68</v>
      </c>
      <c r="AS9" s="92" t="s">
        <v>68</v>
      </c>
      <c r="AT9" s="93"/>
      <c r="AU9" s="93"/>
      <c r="AV9" s="92" t="s">
        <v>26</v>
      </c>
      <c r="AW9" s="92" t="s">
        <v>68</v>
      </c>
      <c r="AX9" s="92" t="s">
        <v>26</v>
      </c>
      <c r="AY9" s="92" t="s">
        <v>26</v>
      </c>
      <c r="AZ9" s="92" t="s">
        <v>26</v>
      </c>
      <c r="BA9" s="92" t="s">
        <v>68</v>
      </c>
      <c r="BB9" s="93"/>
      <c r="BC9" s="93" t="s">
        <v>162</v>
      </c>
      <c r="BD9" s="92" t="s">
        <v>26</v>
      </c>
      <c r="BE9" s="92" t="s">
        <v>68</v>
      </c>
      <c r="BF9" s="93"/>
      <c r="BG9" s="93" t="s">
        <v>162</v>
      </c>
      <c r="BH9" s="92" t="s">
        <v>26</v>
      </c>
      <c r="BI9" s="92" t="s">
        <v>68</v>
      </c>
      <c r="BJ9" s="92" t="s">
        <v>26</v>
      </c>
      <c r="BK9" s="92" t="s">
        <v>68</v>
      </c>
      <c r="BL9" s="92" t="s">
        <v>26</v>
      </c>
      <c r="BM9" s="93" t="s">
        <v>68</v>
      </c>
      <c r="BN9" s="92" t="s">
        <v>26</v>
      </c>
      <c r="BO9" s="92" t="s">
        <v>68</v>
      </c>
      <c r="BP9" s="92" t="s">
        <v>26</v>
      </c>
      <c r="BQ9" s="92" t="s">
        <v>68</v>
      </c>
      <c r="BR9" s="92" t="s">
        <v>26</v>
      </c>
      <c r="BS9" s="92" t="s">
        <v>68</v>
      </c>
      <c r="BT9" s="92" t="s">
        <v>26</v>
      </c>
      <c r="BU9" s="92" t="s">
        <v>68</v>
      </c>
      <c r="BV9" s="92" t="s">
        <v>32</v>
      </c>
      <c r="BW9" s="92" t="s">
        <v>34</v>
      </c>
      <c r="BX9" s="92" t="s">
        <v>34</v>
      </c>
      <c r="BY9" s="92" t="s">
        <v>34</v>
      </c>
      <c r="BZ9" s="92" t="s">
        <v>34</v>
      </c>
      <c r="CA9" s="92" t="s">
        <v>34</v>
      </c>
      <c r="CB9" s="92" t="s">
        <v>34</v>
      </c>
      <c r="CC9" s="92" t="s">
        <v>34</v>
      </c>
      <c r="CD9" s="92" t="s">
        <v>34</v>
      </c>
      <c r="CE9" s="92" t="s">
        <v>34</v>
      </c>
      <c r="CF9" s="92" t="s">
        <v>34</v>
      </c>
      <c r="CG9" s="92" t="s">
        <v>34</v>
      </c>
      <c r="CH9" s="92" t="s">
        <v>34</v>
      </c>
      <c r="CI9" s="92" t="s">
        <v>34</v>
      </c>
      <c r="CJ9" s="92" t="s">
        <v>37</v>
      </c>
    </row>
    <row r="10" spans="1:88" ht="12.75">
      <c r="A10" s="101" t="s">
        <v>10</v>
      </c>
      <c r="B10" s="94" t="s">
        <v>11</v>
      </c>
      <c r="C10" s="95" t="s">
        <v>67</v>
      </c>
      <c r="D10" s="94" t="s">
        <v>161</v>
      </c>
      <c r="E10" s="94" t="s">
        <v>165</v>
      </c>
      <c r="F10" s="94" t="s">
        <v>65</v>
      </c>
      <c r="G10" s="95" t="s">
        <v>161</v>
      </c>
      <c r="H10" s="95" t="s">
        <v>165</v>
      </c>
      <c r="I10" s="94" t="s">
        <v>65</v>
      </c>
      <c r="J10" s="95" t="s">
        <v>161</v>
      </c>
      <c r="K10" s="95" t="s">
        <v>165</v>
      </c>
      <c r="L10" s="94" t="s">
        <v>65</v>
      </c>
      <c r="M10" s="95" t="s">
        <v>161</v>
      </c>
      <c r="N10" s="95" t="s">
        <v>165</v>
      </c>
      <c r="O10" s="94" t="s">
        <v>65</v>
      </c>
      <c r="P10" s="95" t="s">
        <v>161</v>
      </c>
      <c r="Q10" s="95" t="s">
        <v>165</v>
      </c>
      <c r="R10" s="94" t="s">
        <v>65</v>
      </c>
      <c r="S10" s="95" t="s">
        <v>161</v>
      </c>
      <c r="T10" s="95" t="s">
        <v>165</v>
      </c>
      <c r="U10" s="94" t="s">
        <v>65</v>
      </c>
      <c r="V10" s="94" t="s">
        <v>65</v>
      </c>
      <c r="W10" s="94" t="s">
        <v>65</v>
      </c>
      <c r="X10" s="94" t="s">
        <v>65</v>
      </c>
      <c r="Y10" s="94" t="s">
        <v>65</v>
      </c>
      <c r="Z10" s="94" t="s">
        <v>65</v>
      </c>
      <c r="AA10" s="94" t="s">
        <v>65</v>
      </c>
      <c r="AB10" s="94" t="s">
        <v>65</v>
      </c>
      <c r="AC10" s="95" t="s">
        <v>166</v>
      </c>
      <c r="AD10" s="95" t="s">
        <v>167</v>
      </c>
      <c r="AE10" s="95" t="s">
        <v>67</v>
      </c>
      <c r="AF10" s="95" t="s">
        <v>166</v>
      </c>
      <c r="AG10" s="95" t="s">
        <v>168</v>
      </c>
      <c r="AH10" s="95" t="s">
        <v>169</v>
      </c>
      <c r="AI10" s="94" t="s">
        <v>161</v>
      </c>
      <c r="AJ10" s="94" t="s">
        <v>165</v>
      </c>
      <c r="AK10" s="94" t="s">
        <v>27</v>
      </c>
      <c r="AL10" s="94" t="s">
        <v>161</v>
      </c>
      <c r="AM10" s="95" t="s">
        <v>163</v>
      </c>
      <c r="AN10" s="95" t="s">
        <v>171</v>
      </c>
      <c r="AO10" s="95" t="s">
        <v>165</v>
      </c>
      <c r="AP10" s="94" t="s">
        <v>27</v>
      </c>
      <c r="AQ10" s="95" t="s">
        <v>166</v>
      </c>
      <c r="AR10" s="95" t="s">
        <v>168</v>
      </c>
      <c r="AS10" s="94" t="s">
        <v>67</v>
      </c>
      <c r="AT10" s="95" t="s">
        <v>171</v>
      </c>
      <c r="AU10" s="95" t="s">
        <v>165</v>
      </c>
      <c r="AV10" s="94" t="s">
        <v>27</v>
      </c>
      <c r="AW10" s="94" t="s">
        <v>67</v>
      </c>
      <c r="AX10" s="94" t="s">
        <v>173</v>
      </c>
      <c r="AY10" s="94" t="s">
        <v>174</v>
      </c>
      <c r="AZ10" s="94" t="s">
        <v>27</v>
      </c>
      <c r="BA10" s="94" t="s">
        <v>67</v>
      </c>
      <c r="BB10" s="94" t="s">
        <v>161</v>
      </c>
      <c r="BC10" s="94" t="s">
        <v>165</v>
      </c>
      <c r="BD10" s="94" t="s">
        <v>27</v>
      </c>
      <c r="BE10" s="94" t="s">
        <v>67</v>
      </c>
      <c r="BF10" s="94" t="s">
        <v>161</v>
      </c>
      <c r="BG10" s="94" t="s">
        <v>165</v>
      </c>
      <c r="BH10" s="94" t="s">
        <v>27</v>
      </c>
      <c r="BI10" s="96" t="s">
        <v>67</v>
      </c>
      <c r="BJ10" s="96" t="s">
        <v>27</v>
      </c>
      <c r="BK10" s="94" t="s">
        <v>67</v>
      </c>
      <c r="BL10" s="94" t="s">
        <v>27</v>
      </c>
      <c r="BM10" s="95" t="s">
        <v>67</v>
      </c>
      <c r="BN10" s="94" t="s">
        <v>27</v>
      </c>
      <c r="BO10" s="94" t="s">
        <v>67</v>
      </c>
      <c r="BP10" s="94" t="s">
        <v>27</v>
      </c>
      <c r="BQ10" s="94" t="s">
        <v>67</v>
      </c>
      <c r="BR10" s="94" t="s">
        <v>27</v>
      </c>
      <c r="BS10" s="94" t="s">
        <v>67</v>
      </c>
      <c r="BT10" s="94" t="s">
        <v>27</v>
      </c>
      <c r="BU10" s="94" t="s">
        <v>67</v>
      </c>
      <c r="BV10" s="94" t="s">
        <v>27</v>
      </c>
      <c r="BW10" s="94" t="s">
        <v>35</v>
      </c>
      <c r="BX10" s="94" t="s">
        <v>35</v>
      </c>
      <c r="BY10" s="94" t="s">
        <v>35</v>
      </c>
      <c r="BZ10" s="94" t="s">
        <v>35</v>
      </c>
      <c r="CA10" s="94" t="s">
        <v>35</v>
      </c>
      <c r="CB10" s="94" t="s">
        <v>35</v>
      </c>
      <c r="CC10" s="94" t="s">
        <v>35</v>
      </c>
      <c r="CD10" s="94" t="s">
        <v>35</v>
      </c>
      <c r="CE10" s="94" t="s">
        <v>35</v>
      </c>
      <c r="CF10" s="94" t="s">
        <v>35</v>
      </c>
      <c r="CG10" s="94" t="s">
        <v>35</v>
      </c>
      <c r="CH10" s="94" t="s">
        <v>35</v>
      </c>
      <c r="CI10" s="94" t="s">
        <v>36</v>
      </c>
      <c r="CJ10" s="94" t="s">
        <v>38</v>
      </c>
    </row>
    <row r="11" spans="1:88" ht="13.5" thickBot="1">
      <c r="A11" s="102"/>
      <c r="B11" s="97" t="s">
        <v>12</v>
      </c>
      <c r="C11" s="97" t="s">
        <v>24</v>
      </c>
      <c r="D11" s="97" t="s">
        <v>13</v>
      </c>
      <c r="E11" s="97" t="s">
        <v>13</v>
      </c>
      <c r="F11" s="97" t="s">
        <v>13</v>
      </c>
      <c r="G11" s="97" t="s">
        <v>14</v>
      </c>
      <c r="H11" s="97" t="s">
        <v>164</v>
      </c>
      <c r="I11" s="97" t="s">
        <v>14</v>
      </c>
      <c r="J11" s="97" t="s">
        <v>15</v>
      </c>
      <c r="K11" s="97" t="s">
        <v>129</v>
      </c>
      <c r="L11" s="97" t="s">
        <v>15</v>
      </c>
      <c r="M11" s="97" t="s">
        <v>16</v>
      </c>
      <c r="N11" s="97" t="s">
        <v>16</v>
      </c>
      <c r="O11" s="97" t="s">
        <v>16</v>
      </c>
      <c r="P11" s="97" t="s">
        <v>28</v>
      </c>
      <c r="Q11" s="97" t="s">
        <v>28</v>
      </c>
      <c r="R11" s="97" t="s">
        <v>17</v>
      </c>
      <c r="S11" s="97" t="s">
        <v>29</v>
      </c>
      <c r="T11" s="97" t="s">
        <v>29</v>
      </c>
      <c r="U11" s="97" t="s">
        <v>18</v>
      </c>
      <c r="V11" s="97" t="s">
        <v>19</v>
      </c>
      <c r="W11" s="97" t="s">
        <v>20</v>
      </c>
      <c r="X11" s="97" t="s">
        <v>21</v>
      </c>
      <c r="Y11" s="97" t="s">
        <v>22</v>
      </c>
      <c r="Z11" s="97" t="s">
        <v>23</v>
      </c>
      <c r="AA11" s="97" t="s">
        <v>24</v>
      </c>
      <c r="AB11" s="97" t="s">
        <v>25</v>
      </c>
      <c r="AC11" s="97" t="s">
        <v>109</v>
      </c>
      <c r="AD11" s="97" t="s">
        <v>109</v>
      </c>
      <c r="AE11" s="97" t="s">
        <v>109</v>
      </c>
      <c r="AF11" s="97" t="s">
        <v>77</v>
      </c>
      <c r="AG11" s="97" t="s">
        <v>77</v>
      </c>
      <c r="AH11" s="97" t="s">
        <v>170</v>
      </c>
      <c r="AI11" s="97" t="s">
        <v>13</v>
      </c>
      <c r="AJ11" s="97" t="s">
        <v>13</v>
      </c>
      <c r="AK11" s="97" t="s">
        <v>13</v>
      </c>
      <c r="AL11" s="97" t="s">
        <v>14</v>
      </c>
      <c r="AM11" s="97" t="s">
        <v>164</v>
      </c>
      <c r="AN11" s="97" t="s">
        <v>14</v>
      </c>
      <c r="AO11" s="97" t="s">
        <v>14</v>
      </c>
      <c r="AP11" s="97" t="s">
        <v>14</v>
      </c>
      <c r="AQ11" s="97" t="s">
        <v>76</v>
      </c>
      <c r="AR11" s="97" t="s">
        <v>76</v>
      </c>
      <c r="AS11" s="97" t="s">
        <v>76</v>
      </c>
      <c r="AT11" s="97" t="s">
        <v>15</v>
      </c>
      <c r="AU11" s="97" t="s">
        <v>15</v>
      </c>
      <c r="AV11" s="97" t="s">
        <v>15</v>
      </c>
      <c r="AW11" s="97" t="s">
        <v>75</v>
      </c>
      <c r="AX11" s="97" t="s">
        <v>16</v>
      </c>
      <c r="AY11" s="97" t="s">
        <v>16</v>
      </c>
      <c r="AZ11" s="97" t="s">
        <v>16</v>
      </c>
      <c r="BA11" s="97" t="s">
        <v>74</v>
      </c>
      <c r="BB11" s="97" t="s">
        <v>28</v>
      </c>
      <c r="BC11" s="97" t="s">
        <v>28</v>
      </c>
      <c r="BD11" s="97" t="s">
        <v>28</v>
      </c>
      <c r="BE11" s="97" t="s">
        <v>73</v>
      </c>
      <c r="BF11" s="97" t="s">
        <v>29</v>
      </c>
      <c r="BG11" s="97" t="s">
        <v>29</v>
      </c>
      <c r="BH11" s="97" t="s">
        <v>29</v>
      </c>
      <c r="BI11" s="97" t="s">
        <v>19</v>
      </c>
      <c r="BJ11" s="97" t="s">
        <v>30</v>
      </c>
      <c r="BK11" s="97" t="s">
        <v>72</v>
      </c>
      <c r="BL11" s="97" t="s">
        <v>20</v>
      </c>
      <c r="BM11" s="97" t="s">
        <v>71</v>
      </c>
      <c r="BN11" s="97" t="s">
        <v>21</v>
      </c>
      <c r="BO11" s="97" t="s">
        <v>22</v>
      </c>
      <c r="BP11" s="97" t="s">
        <v>31</v>
      </c>
      <c r="BQ11" s="97" t="s">
        <v>70</v>
      </c>
      <c r="BR11" s="97" t="s">
        <v>23</v>
      </c>
      <c r="BS11" s="97" t="s">
        <v>69</v>
      </c>
      <c r="BT11" s="97" t="s">
        <v>24</v>
      </c>
      <c r="BU11" s="97" t="s">
        <v>33</v>
      </c>
      <c r="BV11" s="97" t="s">
        <v>33</v>
      </c>
      <c r="BW11" s="97" t="s">
        <v>29</v>
      </c>
      <c r="BX11" s="97" t="s">
        <v>14</v>
      </c>
      <c r="BY11" s="97" t="s">
        <v>15</v>
      </c>
      <c r="BZ11" s="97" t="s">
        <v>16</v>
      </c>
      <c r="CA11" s="97" t="s">
        <v>28</v>
      </c>
      <c r="CB11" s="97" t="s">
        <v>122</v>
      </c>
      <c r="CC11" s="97" t="s">
        <v>30</v>
      </c>
      <c r="CD11" s="97" t="s">
        <v>20</v>
      </c>
      <c r="CE11" s="97" t="s">
        <v>21</v>
      </c>
      <c r="CF11" s="97" t="s">
        <v>31</v>
      </c>
      <c r="CG11" s="97" t="s">
        <v>23</v>
      </c>
      <c r="CH11" s="97" t="s">
        <v>24</v>
      </c>
      <c r="CI11" s="97" t="s">
        <v>33</v>
      </c>
      <c r="CJ11" s="97" t="s">
        <v>39</v>
      </c>
    </row>
    <row r="12" spans="1:88" ht="13.5" thickBot="1">
      <c r="A12" s="98">
        <v>1</v>
      </c>
      <c r="B12" s="98">
        <v>2</v>
      </c>
      <c r="C12" s="98">
        <v>3</v>
      </c>
      <c r="D12" s="98"/>
      <c r="E12" s="98"/>
      <c r="F12" s="98">
        <v>3</v>
      </c>
      <c r="G12" s="98"/>
      <c r="H12" s="98"/>
      <c r="I12" s="99">
        <v>3</v>
      </c>
      <c r="J12" s="99"/>
      <c r="K12" s="99"/>
      <c r="L12" s="99">
        <v>3</v>
      </c>
      <c r="M12" s="99"/>
      <c r="N12" s="99"/>
      <c r="O12" s="99">
        <v>3</v>
      </c>
      <c r="P12" s="99"/>
      <c r="Q12" s="99"/>
      <c r="R12" s="99">
        <v>3</v>
      </c>
      <c r="S12" s="99"/>
      <c r="T12" s="99"/>
      <c r="U12" s="99">
        <v>3</v>
      </c>
      <c r="V12" s="99">
        <v>3</v>
      </c>
      <c r="W12" s="99">
        <v>3</v>
      </c>
      <c r="X12" s="99">
        <v>3</v>
      </c>
      <c r="Y12" s="99">
        <v>3</v>
      </c>
      <c r="Z12" s="99">
        <v>3</v>
      </c>
      <c r="AA12" s="99">
        <v>3</v>
      </c>
      <c r="AB12" s="98">
        <v>4</v>
      </c>
      <c r="AC12" s="98"/>
      <c r="AD12" s="98"/>
      <c r="AE12" s="98">
        <v>5</v>
      </c>
      <c r="AF12" s="98"/>
      <c r="AG12" s="98"/>
      <c r="AH12" s="98"/>
      <c r="AI12" s="98"/>
      <c r="AJ12" s="98"/>
      <c r="AK12" s="98">
        <v>5</v>
      </c>
      <c r="AL12" s="98"/>
      <c r="AM12" s="98"/>
      <c r="AN12" s="98"/>
      <c r="AO12" s="98"/>
      <c r="AP12" s="98">
        <v>5</v>
      </c>
      <c r="AQ12" s="98"/>
      <c r="AR12" s="98"/>
      <c r="AS12" s="98">
        <v>5</v>
      </c>
      <c r="AT12" s="98"/>
      <c r="AU12" s="98"/>
      <c r="AV12" s="98">
        <v>5</v>
      </c>
      <c r="AW12" s="98">
        <v>5</v>
      </c>
      <c r="AX12" s="98"/>
      <c r="AY12" s="98"/>
      <c r="AZ12" s="98">
        <v>5</v>
      </c>
      <c r="BA12" s="98">
        <v>5</v>
      </c>
      <c r="BB12" s="98"/>
      <c r="BC12" s="98"/>
      <c r="BD12" s="98">
        <v>5</v>
      </c>
      <c r="BE12" s="98">
        <v>5</v>
      </c>
      <c r="BF12" s="98"/>
      <c r="BG12" s="98"/>
      <c r="BH12" s="98">
        <v>5</v>
      </c>
      <c r="BI12" s="98">
        <v>5</v>
      </c>
      <c r="BJ12" s="98">
        <v>5</v>
      </c>
      <c r="BK12" s="98">
        <v>5</v>
      </c>
      <c r="BL12" s="98">
        <v>5</v>
      </c>
      <c r="BM12" s="98">
        <v>5</v>
      </c>
      <c r="BN12" s="98">
        <v>5</v>
      </c>
      <c r="BO12" s="98">
        <v>5</v>
      </c>
      <c r="BP12" s="98">
        <v>5</v>
      </c>
      <c r="BQ12" s="98">
        <v>5</v>
      </c>
      <c r="BR12" s="98">
        <v>5</v>
      </c>
      <c r="BS12" s="98">
        <v>5</v>
      </c>
      <c r="BT12" s="98">
        <v>5</v>
      </c>
      <c r="BU12" s="98"/>
      <c r="BV12" s="98">
        <v>6</v>
      </c>
      <c r="BW12" s="98">
        <v>7</v>
      </c>
      <c r="BX12" s="98">
        <v>7</v>
      </c>
      <c r="BY12" s="98">
        <v>7</v>
      </c>
      <c r="BZ12" s="98">
        <v>7</v>
      </c>
      <c r="CA12" s="98">
        <v>7</v>
      </c>
      <c r="CB12" s="98">
        <v>7</v>
      </c>
      <c r="CC12" s="98">
        <v>7</v>
      </c>
      <c r="CD12" s="98">
        <v>7</v>
      </c>
      <c r="CE12" s="98">
        <v>7</v>
      </c>
      <c r="CF12" s="98">
        <v>7</v>
      </c>
      <c r="CG12" s="98">
        <v>7</v>
      </c>
      <c r="CH12" s="98">
        <v>7</v>
      </c>
      <c r="CI12" s="98">
        <v>8</v>
      </c>
      <c r="CJ12" s="98">
        <v>9</v>
      </c>
    </row>
    <row r="13" spans="1:88" ht="24.75" customHeight="1">
      <c r="A13" s="63" t="s">
        <v>80</v>
      </c>
      <c r="B13" s="17">
        <v>10792865059</v>
      </c>
      <c r="C13" s="17">
        <f>297905962-137863</f>
        <v>297768099</v>
      </c>
      <c r="D13" s="17"/>
      <c r="E13" s="17">
        <v>12219955.02</v>
      </c>
      <c r="F13" s="17">
        <f>D13+E13</f>
        <v>12219955.02</v>
      </c>
      <c r="G13" s="17">
        <v>92400000</v>
      </c>
      <c r="H13" s="17">
        <v>19774351.79</v>
      </c>
      <c r="I13" s="17">
        <f>G13+H13</f>
        <v>112174351.78999999</v>
      </c>
      <c r="J13" s="17">
        <v>47600000</v>
      </c>
      <c r="K13" s="17">
        <v>15557990.51</v>
      </c>
      <c r="L13" s="17">
        <f>J13+K13</f>
        <v>63157990.51</v>
      </c>
      <c r="M13" s="17">
        <v>1097841379</v>
      </c>
      <c r="N13" s="17">
        <v>20406516.21</v>
      </c>
      <c r="O13" s="17">
        <f>M13+N13</f>
        <v>1118247895.21</v>
      </c>
      <c r="P13" s="17">
        <v>380000000</v>
      </c>
      <c r="Q13" s="17">
        <v>17584778.1</v>
      </c>
      <c r="R13" s="17">
        <f>P13+Q13</f>
        <v>397584778.1</v>
      </c>
      <c r="S13" s="17">
        <v>1126900000</v>
      </c>
      <c r="T13" s="17">
        <v>121201235.21</v>
      </c>
      <c r="U13" s="143">
        <f>+S13+T13</f>
        <v>1248101235.21</v>
      </c>
      <c r="V13" s="146">
        <v>762244625.74</v>
      </c>
      <c r="W13" s="143">
        <v>339811432.92</v>
      </c>
      <c r="X13" s="143">
        <v>3355820449.81</v>
      </c>
      <c r="Y13" s="143">
        <v>147628024.1</v>
      </c>
      <c r="Z13" s="143">
        <v>112993665.82</v>
      </c>
      <c r="AA13" s="143">
        <v>109988678.83</v>
      </c>
      <c r="AB13" s="16">
        <f>SUM(C13+F13+I13+L13+O13+R13+U13+V13+W13+X13+Y13+Z13+AA13)</f>
        <v>8077741182.059999</v>
      </c>
      <c r="AC13" s="141"/>
      <c r="AD13" s="141">
        <v>11004022.5</v>
      </c>
      <c r="AE13" s="144">
        <f>AC13+AD13</f>
        <v>11004022.5</v>
      </c>
      <c r="AF13" s="144"/>
      <c r="AG13" s="144">
        <v>34076.5</v>
      </c>
      <c r="AH13" s="144">
        <f>AE13+AG13</f>
        <v>11038099</v>
      </c>
      <c r="AI13" s="144"/>
      <c r="AJ13" s="144">
        <v>12219955.02</v>
      </c>
      <c r="AK13" s="143">
        <f>AI13+AJ13</f>
        <v>12219955.02</v>
      </c>
      <c r="AL13" s="144">
        <v>18925884.79</v>
      </c>
      <c r="AM13" s="143"/>
      <c r="AN13" s="143">
        <v>92400000</v>
      </c>
      <c r="AO13" s="143">
        <v>18925884.79</v>
      </c>
      <c r="AP13" s="13">
        <f>AN13+AO13</f>
        <v>111325884.78999999</v>
      </c>
      <c r="AQ13" s="145">
        <v>286730000</v>
      </c>
      <c r="AR13" s="145"/>
      <c r="AS13" s="146">
        <v>286730000</v>
      </c>
      <c r="AT13" s="145"/>
      <c r="AU13" s="145">
        <v>12190940.51</v>
      </c>
      <c r="AV13" s="143">
        <f>AT13+AU13</f>
        <v>12190940.51</v>
      </c>
      <c r="AW13" s="143">
        <v>0</v>
      </c>
      <c r="AX13" s="143">
        <v>705600000</v>
      </c>
      <c r="AY13" s="143">
        <v>7761858.21</v>
      </c>
      <c r="AZ13" s="143">
        <f>AX13+AY13</f>
        <v>713361858.21</v>
      </c>
      <c r="BA13" s="143">
        <v>0</v>
      </c>
      <c r="BB13" s="143">
        <v>47600000</v>
      </c>
      <c r="BC13" s="143">
        <v>404422885.1</v>
      </c>
      <c r="BD13" s="143">
        <f>BB13+BC13</f>
        <v>452022885.1</v>
      </c>
      <c r="BE13" s="143">
        <v>0</v>
      </c>
      <c r="BF13" s="143">
        <v>176400000</v>
      </c>
      <c r="BG13" s="143">
        <v>127306471.21</v>
      </c>
      <c r="BH13" s="143">
        <f>BF13+BG13</f>
        <v>303706471.21</v>
      </c>
      <c r="BI13" s="143"/>
      <c r="BJ13" s="143">
        <v>1294148802.74</v>
      </c>
      <c r="BK13" s="143"/>
      <c r="BL13" s="143">
        <v>1153292184.92</v>
      </c>
      <c r="BM13" s="143"/>
      <c r="BN13" s="143">
        <v>2795762686.81</v>
      </c>
      <c r="BO13" s="143"/>
      <c r="BP13" s="143">
        <v>684645828.1</v>
      </c>
      <c r="BQ13" s="143"/>
      <c r="BR13" s="143">
        <v>28066457.82</v>
      </c>
      <c r="BS13" s="143"/>
      <c r="BT13" s="143">
        <v>112275574.83</v>
      </c>
      <c r="BU13" s="145">
        <f>AS13+AG13+AD13</f>
        <v>297768099</v>
      </c>
      <c r="BV13" s="14">
        <f>AP13+AK13+AH13+AV13+AS13+AZ13+BD13+BH13+BJ13+BL13:BL14+BN13+BP13+BR13+BT13</f>
        <v>7970787629.059999</v>
      </c>
      <c r="BW13" s="17">
        <v>0</v>
      </c>
      <c r="BX13" s="17"/>
      <c r="BY13" s="17">
        <v>0</v>
      </c>
      <c r="BZ13" s="17"/>
      <c r="CA13" s="17"/>
      <c r="CB13" s="17">
        <v>0</v>
      </c>
      <c r="CC13" s="17">
        <v>0</v>
      </c>
      <c r="CD13" s="17"/>
      <c r="CE13" s="17">
        <v>0</v>
      </c>
      <c r="CF13" s="17">
        <v>0</v>
      </c>
      <c r="CG13" s="17">
        <v>0</v>
      </c>
      <c r="CH13" s="17">
        <v>0</v>
      </c>
      <c r="CI13" s="13">
        <f>SUM(BW13:CH13)</f>
        <v>0</v>
      </c>
      <c r="CJ13" s="15">
        <f>SUM(AB13-BV13-CI13)</f>
        <v>106953553</v>
      </c>
    </row>
    <row r="14" spans="1:88" ht="24.75" customHeight="1">
      <c r="A14" s="64" t="s">
        <v>81</v>
      </c>
      <c r="B14" s="18"/>
      <c r="C14" s="18">
        <v>6898672</v>
      </c>
      <c r="D14" s="18"/>
      <c r="E14" s="18"/>
      <c r="F14" s="18">
        <v>4545465</v>
      </c>
      <c r="G14" s="18"/>
      <c r="H14" s="18"/>
      <c r="I14" s="18">
        <v>10</v>
      </c>
      <c r="J14" s="18"/>
      <c r="K14" s="18"/>
      <c r="L14" s="18">
        <v>2272734</v>
      </c>
      <c r="M14" s="18"/>
      <c r="N14" s="18"/>
      <c r="O14" s="18">
        <v>5035938.16</v>
      </c>
      <c r="P14" s="18"/>
      <c r="Q14" s="18"/>
      <c r="R14" s="18">
        <v>2272762</v>
      </c>
      <c r="S14" s="18"/>
      <c r="T14" s="18"/>
      <c r="U14" s="146">
        <v>1428956</v>
      </c>
      <c r="V14" s="146">
        <v>2073431.62</v>
      </c>
      <c r="W14" s="146">
        <v>717322</v>
      </c>
      <c r="X14" s="146">
        <v>762247</v>
      </c>
      <c r="Y14" s="146">
        <v>290098</v>
      </c>
      <c r="Z14" s="146">
        <v>264344</v>
      </c>
      <c r="AA14" s="146">
        <v>318532</v>
      </c>
      <c r="AB14" s="16">
        <f>SUM(C14+F14+I14+L14+O14+R14+U14+V14+W14+X14+Y14+Z14+AA14)</f>
        <v>26880511.78</v>
      </c>
      <c r="AC14" s="16"/>
      <c r="AD14" s="16">
        <v>6898672</v>
      </c>
      <c r="AE14" s="16">
        <v>6898672</v>
      </c>
      <c r="AF14" s="16"/>
      <c r="AG14" s="16"/>
      <c r="AH14" s="16"/>
      <c r="AI14" s="16"/>
      <c r="AJ14" s="16"/>
      <c r="AK14" s="146">
        <v>4545465</v>
      </c>
      <c r="AL14" s="146"/>
      <c r="AM14" s="146"/>
      <c r="AN14" s="146"/>
      <c r="AO14" s="146"/>
      <c r="AP14" s="145">
        <v>10</v>
      </c>
      <c r="AQ14" s="147"/>
      <c r="AR14" s="147"/>
      <c r="AS14" s="146"/>
      <c r="AT14" s="146"/>
      <c r="AU14" s="146"/>
      <c r="AV14" s="146">
        <v>2272734</v>
      </c>
      <c r="AW14" s="146">
        <v>0</v>
      </c>
      <c r="AX14" s="146"/>
      <c r="AY14" s="146"/>
      <c r="AZ14" s="146">
        <v>2763211.16</v>
      </c>
      <c r="BA14" s="146"/>
      <c r="BB14" s="146"/>
      <c r="BC14" s="146"/>
      <c r="BD14" s="146">
        <v>2272762</v>
      </c>
      <c r="BE14" s="146">
        <v>0</v>
      </c>
      <c r="BF14" s="146"/>
      <c r="BG14" s="146"/>
      <c r="BH14" s="146">
        <v>216835</v>
      </c>
      <c r="BI14" s="146"/>
      <c r="BJ14" s="146">
        <v>4773047.62</v>
      </c>
      <c r="BK14" s="146"/>
      <c r="BL14" s="146">
        <v>1502554</v>
      </c>
      <c r="BM14" s="146"/>
      <c r="BN14" s="146">
        <v>762247</v>
      </c>
      <c r="BO14" s="146"/>
      <c r="BP14" s="146">
        <v>290098</v>
      </c>
      <c r="BQ14" s="146"/>
      <c r="BR14" s="146">
        <v>264344</v>
      </c>
      <c r="BS14" s="146"/>
      <c r="BT14" s="146">
        <v>318532</v>
      </c>
      <c r="BU14" s="147"/>
      <c r="BV14" s="78">
        <f>SUM(AE14:BT14)</f>
        <v>26880511.78</v>
      </c>
      <c r="BW14" s="18">
        <v>0</v>
      </c>
      <c r="BX14" s="18"/>
      <c r="BY14" s="18">
        <v>0</v>
      </c>
      <c r="BZ14" s="18"/>
      <c r="CA14" s="18"/>
      <c r="CB14" s="18">
        <v>0</v>
      </c>
      <c r="CC14" s="18">
        <v>0</v>
      </c>
      <c r="CD14" s="18"/>
      <c r="CE14" s="18">
        <v>0</v>
      </c>
      <c r="CF14" s="18">
        <v>0</v>
      </c>
      <c r="CG14" s="18">
        <v>0</v>
      </c>
      <c r="CH14" s="18">
        <v>0</v>
      </c>
      <c r="CI14" s="14">
        <f>SUM(BW14:CH14)</f>
        <v>0</v>
      </c>
      <c r="CJ14" s="15">
        <f>SUM(AB14-BV14-CI14)</f>
        <v>0</v>
      </c>
    </row>
    <row r="15" spans="1:90" ht="25.5" customHeight="1">
      <c r="A15" s="64" t="s">
        <v>112</v>
      </c>
      <c r="B15" s="18"/>
      <c r="C15" s="18">
        <v>0</v>
      </c>
      <c r="D15" s="18"/>
      <c r="E15" s="18"/>
      <c r="F15" s="18">
        <v>0</v>
      </c>
      <c r="G15" s="18"/>
      <c r="H15" s="18"/>
      <c r="I15" s="18"/>
      <c r="J15" s="18"/>
      <c r="K15" s="18"/>
      <c r="L15" s="18">
        <v>9833800</v>
      </c>
      <c r="M15" s="18"/>
      <c r="N15" s="18"/>
      <c r="O15" s="90"/>
      <c r="P15" s="90"/>
      <c r="Q15" s="90"/>
      <c r="R15" s="18"/>
      <c r="S15" s="18">
        <v>0</v>
      </c>
      <c r="T15" s="18"/>
      <c r="U15" s="146">
        <v>471322500</v>
      </c>
      <c r="V15" s="146">
        <v>0</v>
      </c>
      <c r="W15" s="146"/>
      <c r="X15" s="146"/>
      <c r="Y15" s="146">
        <v>155436500</v>
      </c>
      <c r="Z15" s="146">
        <v>0</v>
      </c>
      <c r="AA15" s="146">
        <v>5159031</v>
      </c>
      <c r="AB15" s="16">
        <f>SUM(C15+F15+I15+L15+O15+R15+U15+V15+W15+X15+Y15+AA15)</f>
        <v>641751831</v>
      </c>
      <c r="AC15" s="16"/>
      <c r="AD15" s="16"/>
      <c r="AE15" s="16">
        <v>0</v>
      </c>
      <c r="AF15" s="16"/>
      <c r="AG15" s="16"/>
      <c r="AH15" s="16"/>
      <c r="AI15" s="16"/>
      <c r="AJ15" s="16"/>
      <c r="AK15" s="146">
        <v>0</v>
      </c>
      <c r="AL15" s="146"/>
      <c r="AM15" s="146"/>
      <c r="AN15" s="146"/>
      <c r="AO15" s="146"/>
      <c r="AP15" s="146"/>
      <c r="AQ15" s="147"/>
      <c r="AR15" s="147"/>
      <c r="AS15" s="146"/>
      <c r="AT15" s="146"/>
      <c r="AU15" s="146"/>
      <c r="AV15" s="146">
        <v>9833800</v>
      </c>
      <c r="AW15" s="146">
        <v>0</v>
      </c>
      <c r="AX15" s="146"/>
      <c r="AY15" s="146"/>
      <c r="AZ15" s="146">
        <v>0</v>
      </c>
      <c r="BA15" s="146"/>
      <c r="BB15" s="146"/>
      <c r="BC15" s="146"/>
      <c r="BD15" s="146"/>
      <c r="BE15" s="146">
        <v>0</v>
      </c>
      <c r="BF15" s="146"/>
      <c r="BG15" s="146"/>
      <c r="BH15" s="146">
        <v>471322500</v>
      </c>
      <c r="BI15" s="146"/>
      <c r="BJ15" s="146">
        <v>0</v>
      </c>
      <c r="BK15" s="146"/>
      <c r="BL15" s="146"/>
      <c r="BM15" s="146"/>
      <c r="BN15" s="146">
        <v>0</v>
      </c>
      <c r="BO15" s="146"/>
      <c r="BP15" s="146">
        <v>155436500</v>
      </c>
      <c r="BQ15" s="146"/>
      <c r="BR15" s="146">
        <v>0</v>
      </c>
      <c r="BS15" s="146"/>
      <c r="BT15" s="146">
        <v>5159031</v>
      </c>
      <c r="BU15" s="147"/>
      <c r="BV15" s="78">
        <f>SUM(AE15:BT15)</f>
        <v>641751831</v>
      </c>
      <c r="BW15" s="18">
        <v>0</v>
      </c>
      <c r="BX15" s="18"/>
      <c r="BY15" s="18">
        <v>0</v>
      </c>
      <c r="BZ15" s="18"/>
      <c r="CA15" s="18"/>
      <c r="CB15" s="18">
        <v>0</v>
      </c>
      <c r="CC15" s="18">
        <v>0</v>
      </c>
      <c r="CD15" s="18"/>
      <c r="CE15" s="18">
        <v>0</v>
      </c>
      <c r="CF15" s="18">
        <v>0</v>
      </c>
      <c r="CG15" s="18">
        <v>0</v>
      </c>
      <c r="CH15" s="18">
        <v>0</v>
      </c>
      <c r="CI15" s="14">
        <f>SUM(BW15:CH15)</f>
        <v>0</v>
      </c>
      <c r="CJ15" s="15">
        <f>SUM(AB15-BV15-CI15)</f>
        <v>0</v>
      </c>
      <c r="CL15" s="12"/>
    </row>
    <row r="16" spans="1:88" ht="18" customHeight="1">
      <c r="A16" s="1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46"/>
      <c r="V16" s="146"/>
      <c r="W16" s="146"/>
      <c r="X16" s="146"/>
      <c r="Y16" s="146"/>
      <c r="Z16" s="146"/>
      <c r="AA16" s="146"/>
      <c r="AB16" s="16"/>
      <c r="AC16" s="16"/>
      <c r="AD16" s="16"/>
      <c r="AE16" s="16"/>
      <c r="AF16" s="16"/>
      <c r="AG16" s="16"/>
      <c r="AH16" s="16"/>
      <c r="AI16" s="16"/>
      <c r="AJ16" s="16"/>
      <c r="AK16" s="146"/>
      <c r="AL16" s="146"/>
      <c r="AM16" s="146"/>
      <c r="AN16" s="146"/>
      <c r="AO16" s="146"/>
      <c r="AP16" s="146"/>
      <c r="AQ16" s="147"/>
      <c r="AR16" s="147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7"/>
      <c r="BV16" s="7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4"/>
      <c r="CJ16" s="15"/>
    </row>
    <row r="17" spans="1:88" ht="18" customHeight="1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6"/>
      <c r="AC17" s="16"/>
      <c r="AD17" s="16"/>
      <c r="AE17" s="16"/>
      <c r="AF17" s="16"/>
      <c r="AG17" s="16"/>
      <c r="AH17" s="16"/>
      <c r="AI17" s="16"/>
      <c r="AJ17" s="16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4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4"/>
      <c r="CJ17" s="15"/>
    </row>
    <row r="18" spans="1:91" ht="18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6"/>
      <c r="AC18" s="16"/>
      <c r="AD18" s="16"/>
      <c r="AE18" s="16"/>
      <c r="AF18" s="16"/>
      <c r="AG18" s="16"/>
      <c r="AH18" s="16"/>
      <c r="AI18" s="16"/>
      <c r="AJ18" s="16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4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4"/>
      <c r="CJ18" s="15"/>
      <c r="CL18" s="12"/>
      <c r="CM18" s="12"/>
    </row>
    <row r="19" spans="1:88" ht="18" customHeight="1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6"/>
      <c r="AC19" s="16"/>
      <c r="AD19" s="16"/>
      <c r="AE19" s="16"/>
      <c r="AF19" s="16"/>
      <c r="AG19" s="16"/>
      <c r="AH19" s="16"/>
      <c r="AI19" s="16"/>
      <c r="AJ19" s="16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4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4"/>
      <c r="CJ19" s="15"/>
    </row>
    <row r="20" spans="1:88" ht="18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6"/>
      <c r="AC20" s="16"/>
      <c r="AD20" s="16"/>
      <c r="AE20" s="16"/>
      <c r="AF20" s="16"/>
      <c r="AG20" s="16"/>
      <c r="AH20" s="16"/>
      <c r="AI20" s="16"/>
      <c r="AJ20" s="16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4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4"/>
      <c r="CJ20" s="15"/>
    </row>
    <row r="21" spans="1:88" ht="18" customHeight="1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6"/>
      <c r="AC21" s="16"/>
      <c r="AD21" s="16"/>
      <c r="AE21" s="16"/>
      <c r="AF21" s="16"/>
      <c r="AG21" s="16"/>
      <c r="AH21" s="16"/>
      <c r="AI21" s="16"/>
      <c r="AJ21" s="16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4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4"/>
      <c r="CJ21" s="15"/>
    </row>
    <row r="22" spans="1:88" ht="18" customHeight="1" thickBot="1">
      <c r="A22" s="85" t="s">
        <v>87</v>
      </c>
      <c r="B22" s="86">
        <f>SUM(B13:B21)</f>
        <v>10792865059</v>
      </c>
      <c r="C22" s="86">
        <f>SUM(C13:C21)</f>
        <v>304666771</v>
      </c>
      <c r="D22" s="86"/>
      <c r="E22" s="86"/>
      <c r="F22" s="86">
        <f>SUM(F13:F21)</f>
        <v>16765420.02</v>
      </c>
      <c r="G22" s="86"/>
      <c r="H22" s="86"/>
      <c r="I22" s="86">
        <f>SUM(I13:I21)</f>
        <v>112174361.78999999</v>
      </c>
      <c r="J22" s="86"/>
      <c r="K22" s="86"/>
      <c r="L22" s="86">
        <f>SUM(L13:L21)</f>
        <v>75264524.50999999</v>
      </c>
      <c r="M22" s="86"/>
      <c r="N22" s="86"/>
      <c r="O22" s="86">
        <f>SUM(O13:O21)</f>
        <v>1123283833.3700001</v>
      </c>
      <c r="P22" s="86"/>
      <c r="Q22" s="86"/>
      <c r="R22" s="86">
        <f>SUM(R13:R21)</f>
        <v>399857540.1</v>
      </c>
      <c r="S22" s="86"/>
      <c r="T22" s="86"/>
      <c r="U22" s="86">
        <f aca="true" t="shared" si="0" ref="U22:AB22">SUM(U13:U21)</f>
        <v>1720852691.21</v>
      </c>
      <c r="V22" s="86">
        <f t="shared" si="0"/>
        <v>764318057.36</v>
      </c>
      <c r="W22" s="86">
        <f t="shared" si="0"/>
        <v>340528754.92</v>
      </c>
      <c r="X22" s="86">
        <f t="shared" si="0"/>
        <v>3356582696.81</v>
      </c>
      <c r="Y22" s="86">
        <f t="shared" si="0"/>
        <v>303354622.1</v>
      </c>
      <c r="Z22" s="86">
        <f t="shared" si="0"/>
        <v>113258009.82</v>
      </c>
      <c r="AA22" s="86">
        <f t="shared" si="0"/>
        <v>115466241.83</v>
      </c>
      <c r="AB22" s="86">
        <f t="shared" si="0"/>
        <v>8746373524.84</v>
      </c>
      <c r="AC22" s="86"/>
      <c r="AD22" s="86"/>
      <c r="AE22" s="86">
        <f>SUM(AE13:AE21)</f>
        <v>17902694.5</v>
      </c>
      <c r="AF22" s="86"/>
      <c r="AG22" s="86"/>
      <c r="AH22" s="86"/>
      <c r="AI22" s="86"/>
      <c r="AJ22" s="86"/>
      <c r="AK22" s="86">
        <f>SUM(AK13:AK21)</f>
        <v>16765420.02</v>
      </c>
      <c r="AL22" s="86"/>
      <c r="AM22" s="86"/>
      <c r="AN22" s="86"/>
      <c r="AO22" s="86"/>
      <c r="AP22" s="86">
        <f>SUM(AP13:AP21)</f>
        <v>111325894.78999999</v>
      </c>
      <c r="AQ22" s="86"/>
      <c r="AR22" s="86"/>
      <c r="AS22" s="86">
        <f>SUM(AS13:AS21)</f>
        <v>286730000</v>
      </c>
      <c r="AT22" s="86"/>
      <c r="AU22" s="86"/>
      <c r="AV22" s="86">
        <f>SUM(AV13:AV21)</f>
        <v>24297474.509999998</v>
      </c>
      <c r="AW22" s="86">
        <f>SUM(AW13:AW21)</f>
        <v>0</v>
      </c>
      <c r="AX22" s="86"/>
      <c r="AY22" s="86"/>
      <c r="AZ22" s="86">
        <f>SUM(AZ13:AZ21)</f>
        <v>716125069.37</v>
      </c>
      <c r="BA22" s="86">
        <f>SUM(BA13:BA21)</f>
        <v>0</v>
      </c>
      <c r="BB22" s="86"/>
      <c r="BC22" s="86"/>
      <c r="BD22" s="86">
        <f>SUM(BD13:BD21)</f>
        <v>454295647.1</v>
      </c>
      <c r="BE22" s="86">
        <f>SUM(BE13:BE21)</f>
        <v>0</v>
      </c>
      <c r="BF22" s="86"/>
      <c r="BG22" s="86"/>
      <c r="BH22" s="86">
        <f aca="true" t="shared" si="1" ref="BH22:BM22">SUM(BH13:BH21)</f>
        <v>775245806.21</v>
      </c>
      <c r="BI22" s="86">
        <f t="shared" si="1"/>
        <v>0</v>
      </c>
      <c r="BJ22" s="86">
        <f t="shared" si="1"/>
        <v>1298921850.36</v>
      </c>
      <c r="BK22" s="86">
        <f t="shared" si="1"/>
        <v>0</v>
      </c>
      <c r="BL22" s="86">
        <f t="shared" si="1"/>
        <v>1154794738.92</v>
      </c>
      <c r="BM22" s="86">
        <f t="shared" si="1"/>
        <v>0</v>
      </c>
      <c r="BN22" s="86">
        <f aca="true" t="shared" si="2" ref="BN22:CJ22">SUM(BN13:BN21)</f>
        <v>2796524933.81</v>
      </c>
      <c r="BO22" s="86">
        <f t="shared" si="2"/>
        <v>0</v>
      </c>
      <c r="BP22" s="86">
        <f t="shared" si="2"/>
        <v>840372426.1</v>
      </c>
      <c r="BQ22" s="86">
        <f t="shared" si="2"/>
        <v>0</v>
      </c>
      <c r="BR22" s="86">
        <f t="shared" si="2"/>
        <v>28330801.82</v>
      </c>
      <c r="BS22" s="86">
        <f t="shared" si="2"/>
        <v>0</v>
      </c>
      <c r="BT22" s="86">
        <f t="shared" si="2"/>
        <v>117753137.83</v>
      </c>
      <c r="BU22" s="86"/>
      <c r="BV22" s="110">
        <f t="shared" si="2"/>
        <v>8639419971.84</v>
      </c>
      <c r="BW22" s="86">
        <f t="shared" si="2"/>
        <v>0</v>
      </c>
      <c r="BX22" s="86">
        <f t="shared" si="2"/>
        <v>0</v>
      </c>
      <c r="BY22" s="86">
        <f t="shared" si="2"/>
        <v>0</v>
      </c>
      <c r="BZ22" s="86">
        <f t="shared" si="2"/>
        <v>0</v>
      </c>
      <c r="CA22" s="86">
        <f t="shared" si="2"/>
        <v>0</v>
      </c>
      <c r="CB22" s="86">
        <f t="shared" si="2"/>
        <v>0</v>
      </c>
      <c r="CC22" s="86">
        <f t="shared" si="2"/>
        <v>0</v>
      </c>
      <c r="CD22" s="86">
        <f t="shared" si="2"/>
        <v>0</v>
      </c>
      <c r="CE22" s="86">
        <f t="shared" si="2"/>
        <v>0</v>
      </c>
      <c r="CF22" s="86">
        <f t="shared" si="2"/>
        <v>0</v>
      </c>
      <c r="CG22" s="86">
        <f t="shared" si="2"/>
        <v>0</v>
      </c>
      <c r="CH22" s="86">
        <f t="shared" si="2"/>
        <v>0</v>
      </c>
      <c r="CI22" s="86">
        <f t="shared" si="2"/>
        <v>0</v>
      </c>
      <c r="CJ22" s="87">
        <f t="shared" si="2"/>
        <v>106953553</v>
      </c>
    </row>
    <row r="23" spans="1:88" ht="12.75">
      <c r="A23" s="80" t="s">
        <v>176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1"/>
    </row>
    <row r="24" spans="1:88" ht="12.75">
      <c r="A24" s="9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9"/>
      <c r="AC24" s="39"/>
      <c r="AD24" s="39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6"/>
    </row>
    <row r="25" spans="1:88" ht="15.7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6"/>
    </row>
    <row r="26" spans="1:88" ht="19.5" customHeight="1" hidden="1">
      <c r="A26" s="177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6"/>
    </row>
    <row r="27" spans="1:88" ht="12.75" customHeight="1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6"/>
    </row>
    <row r="28" spans="1:88" ht="8.25" customHeight="1">
      <c r="A28" s="177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6"/>
    </row>
    <row r="29" spans="1:88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6"/>
    </row>
    <row r="30" spans="1:88" ht="13.5" thickBot="1">
      <c r="A30" s="35"/>
      <c r="B30" s="42"/>
      <c r="C30" s="42"/>
      <c r="D30" s="42"/>
      <c r="E30" s="42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8"/>
      <c r="Z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2"/>
      <c r="CJ30" s="6"/>
    </row>
    <row r="31" spans="1:88" ht="12.75">
      <c r="A31" s="35"/>
      <c r="B31" s="173" t="s">
        <v>116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5"/>
      <c r="CI31" s="2"/>
      <c r="CJ31" s="6"/>
    </row>
    <row r="32" spans="1:88" ht="12.75">
      <c r="A32" s="4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5"/>
      <c r="CI32" s="5"/>
      <c r="CJ32" s="6"/>
    </row>
    <row r="33" spans="1:88" ht="12.75">
      <c r="A33" s="7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7"/>
      <c r="AF33" s="37"/>
      <c r="AG33" s="37"/>
      <c r="AH33" s="37"/>
      <c r="AI33" s="37"/>
      <c r="AJ33" s="37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6"/>
    </row>
    <row r="34" spans="1:88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9"/>
    </row>
    <row r="36" ht="12.75">
      <c r="B36" s="2"/>
    </row>
    <row r="37" spans="3:27" ht="15"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</row>
    <row r="38" spans="3:28" ht="15"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42"/>
    </row>
    <row r="39" spans="3:98" ht="15"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BE39" s="174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9"/>
    </row>
    <row r="40" spans="3:98" ht="15"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BE40" s="174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9"/>
    </row>
    <row r="41" spans="3:59" ht="15"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BE41" s="112"/>
      <c r="BF41" s="41"/>
      <c r="BG41" s="134"/>
    </row>
    <row r="42" spans="3:59" ht="15"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BE42" s="112"/>
      <c r="BF42" s="41"/>
      <c r="BG42" s="134"/>
    </row>
    <row r="43" spans="3:59" ht="15"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BE43" s="112"/>
      <c r="BF43" s="41"/>
      <c r="BG43" s="134"/>
    </row>
    <row r="44" spans="3:59" ht="15"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BE44" s="112"/>
      <c r="BF44" s="112"/>
      <c r="BG44" s="134"/>
    </row>
    <row r="45" spans="3:74" ht="15"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BP45" s="132"/>
      <c r="BQ45" s="132"/>
      <c r="BR45" s="132"/>
      <c r="BS45" s="132"/>
      <c r="BT45" s="132"/>
      <c r="BU45" s="132"/>
      <c r="BV45" s="132"/>
    </row>
    <row r="46" spans="19:28" ht="12.75">
      <c r="S46" s="142"/>
      <c r="T46" s="142"/>
      <c r="U46" s="142"/>
      <c r="V46" s="142"/>
      <c r="W46" s="142"/>
      <c r="X46" s="142"/>
      <c r="Y46" s="142"/>
      <c r="Z46" s="142"/>
      <c r="AB46" s="142"/>
    </row>
    <row r="47" spans="19:28" ht="12.75">
      <c r="S47" s="142"/>
      <c r="T47" s="142"/>
      <c r="U47" s="142"/>
      <c r="V47" s="142"/>
      <c r="W47" s="142"/>
      <c r="X47" s="142"/>
      <c r="Y47" s="142"/>
      <c r="Z47" s="142"/>
      <c r="AB47" s="142"/>
    </row>
  </sheetData>
  <sheetProtection/>
  <mergeCells count="11">
    <mergeCell ref="A1:CJ1"/>
    <mergeCell ref="A2:CJ2"/>
    <mergeCell ref="A3:CJ3"/>
    <mergeCell ref="A4:CJ4"/>
    <mergeCell ref="A27:CJ28"/>
    <mergeCell ref="B32:Z32"/>
    <mergeCell ref="A6:B6"/>
    <mergeCell ref="A7:B7"/>
    <mergeCell ref="B31:Z31"/>
    <mergeCell ref="A25:CJ26"/>
    <mergeCell ref="BE39:CT40"/>
  </mergeCells>
  <printOptions horizontalCentered="1" verticalCentered="1"/>
  <pageMargins left="0.984251968503937" right="0.15748031496062992" top="0.31496062992125984" bottom="0.5905511811023623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zoomScale="75" zoomScaleNormal="75" zoomScalePageLayoutView="0" workbookViewId="0" topLeftCell="A10">
      <selection activeCell="A49" sqref="A49"/>
    </sheetView>
  </sheetViews>
  <sheetFormatPr defaultColWidth="11.421875" defaultRowHeight="12.75"/>
  <cols>
    <col min="1" max="1" width="15.8515625" style="1" customWidth="1"/>
    <col min="2" max="2" width="42.28125" style="1" customWidth="1"/>
    <col min="3" max="3" width="20.8515625" style="1" customWidth="1"/>
    <col min="4" max="5" width="19.71093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18.28125" style="1" hidden="1" customWidth="1"/>
    <col min="11" max="11" width="20.7109375" style="1" hidden="1" customWidth="1"/>
    <col min="12" max="12" width="19.57421875" style="1" hidden="1" customWidth="1"/>
    <col min="13" max="13" width="20.421875" style="1" hidden="1" customWidth="1"/>
    <col min="14" max="14" width="17.8515625" style="1" hidden="1" customWidth="1"/>
    <col min="15" max="15" width="19.57421875" style="1" customWidth="1"/>
    <col min="16" max="16" width="19.710937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19.57421875" style="1" hidden="1" customWidth="1"/>
    <col min="24" max="24" width="19.28125" style="1" hidden="1" customWidth="1"/>
    <col min="25" max="25" width="21.140625" style="1" hidden="1" customWidth="1"/>
    <col min="26" max="26" width="23.00390625" style="1" hidden="1" customWidth="1"/>
    <col min="27" max="27" width="18.57421875" style="1" hidden="1" customWidth="1"/>
    <col min="28" max="28" width="21.57421875" style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7" width="18.57421875" style="1" hidden="1" customWidth="1"/>
    <col min="38" max="38" width="18.421875" style="1" hidden="1" customWidth="1"/>
    <col min="39" max="39" width="20.421875" style="1" hidden="1" customWidth="1"/>
    <col min="40" max="40" width="20.00390625" style="1" hidden="1" customWidth="1"/>
    <col min="41" max="41" width="20.7109375" style="1" customWidth="1"/>
    <col min="42" max="42" width="20.7109375" style="1" bestFit="1" customWidth="1"/>
    <col min="43" max="43" width="21.28125" style="112" bestFit="1" customWidth="1"/>
    <col min="44" max="44" width="19.57421875" style="112" customWidth="1"/>
    <col min="45" max="45" width="20.00390625" style="134" customWidth="1"/>
    <col min="46" max="46" width="19.7109375" style="1" customWidth="1"/>
    <col min="47" max="47" width="14.140625" style="1" customWidth="1"/>
    <col min="48" max="48" width="24.7109375" style="1" customWidth="1"/>
    <col min="49" max="49" width="11.421875" style="1" customWidth="1"/>
    <col min="50" max="50" width="12.8515625" style="1" bestFit="1" customWidth="1"/>
    <col min="51" max="51" width="11.8515625" style="1" bestFit="1" customWidth="1"/>
    <col min="52" max="52" width="12.8515625" style="1" bestFit="1" customWidth="1"/>
    <col min="53" max="53" width="13.8515625" style="1" bestFit="1" customWidth="1"/>
    <col min="54" max="54" width="11.421875" style="1" customWidth="1"/>
    <col min="55" max="55" width="11.8515625" style="1" bestFit="1" customWidth="1"/>
    <col min="56" max="56" width="12.8515625" style="1" bestFit="1" customWidth="1"/>
    <col min="57" max="57" width="11.421875" style="1" customWidth="1"/>
    <col min="58" max="58" width="11.8515625" style="1" bestFit="1" customWidth="1"/>
    <col min="59" max="16384" width="11.421875" style="1" customWidth="1"/>
  </cols>
  <sheetData>
    <row r="1" spans="1:42" ht="18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2"/>
    </row>
    <row r="2" spans="1:42" ht="15.7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5"/>
    </row>
    <row r="3" spans="1:42" ht="18">
      <c r="A3" s="186" t="s">
        <v>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8"/>
    </row>
    <row r="4" spans="1:42" ht="15.75">
      <c r="A4" s="183" t="s">
        <v>52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5"/>
    </row>
    <row r="5" spans="1:43" ht="20.25">
      <c r="A5" s="189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  <c r="AQ5" s="41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3"/>
    </row>
    <row r="7" spans="1:43" ht="15.75">
      <c r="A7" s="193" t="s">
        <v>4</v>
      </c>
      <c r="B7" s="194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177</v>
      </c>
      <c r="AQ7" s="114"/>
    </row>
    <row r="8" spans="1:44" ht="20.25">
      <c r="A8" s="193" t="s">
        <v>5</v>
      </c>
      <c r="B8" s="194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2011</v>
      </c>
      <c r="AQ8" s="40"/>
      <c r="AR8" s="41"/>
    </row>
    <row r="9" spans="1:45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  <c r="AQ9" s="41"/>
      <c r="AS9" s="132"/>
    </row>
    <row r="10" spans="1: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</row>
    <row r="11" spans="1:42" ht="14.25" customHeight="1">
      <c r="A11" s="105" t="s">
        <v>40</v>
      </c>
      <c r="B11" s="105" t="s">
        <v>42</v>
      </c>
      <c r="C11" s="105" t="s">
        <v>43</v>
      </c>
      <c r="D11" s="105" t="s">
        <v>44</v>
      </c>
      <c r="E11" s="105" t="s">
        <v>44</v>
      </c>
      <c r="F11" s="105" t="s">
        <v>44</v>
      </c>
      <c r="G11" s="105" t="s">
        <v>44</v>
      </c>
      <c r="H11" s="105" t="s">
        <v>44</v>
      </c>
      <c r="I11" s="105" t="s">
        <v>44</v>
      </c>
      <c r="J11" s="105" t="s">
        <v>44</v>
      </c>
      <c r="K11" s="105" t="s">
        <v>44</v>
      </c>
      <c r="L11" s="105" t="s">
        <v>44</v>
      </c>
      <c r="M11" s="105" t="s">
        <v>44</v>
      </c>
      <c r="N11" s="105" t="s">
        <v>44</v>
      </c>
      <c r="O11" s="105" t="s">
        <v>44</v>
      </c>
      <c r="P11" s="105" t="s">
        <v>44</v>
      </c>
      <c r="Q11" s="105" t="s">
        <v>45</v>
      </c>
      <c r="R11" s="105" t="s">
        <v>45</v>
      </c>
      <c r="S11" s="105" t="s">
        <v>45</v>
      </c>
      <c r="T11" s="105" t="s">
        <v>45</v>
      </c>
      <c r="U11" s="105" t="s">
        <v>45</v>
      </c>
      <c r="V11" s="105" t="s">
        <v>45</v>
      </c>
      <c r="W11" s="105" t="s">
        <v>45</v>
      </c>
      <c r="X11" s="105" t="s">
        <v>45</v>
      </c>
      <c r="Y11" s="105" t="s">
        <v>45</v>
      </c>
      <c r="Z11" s="105" t="s">
        <v>45</v>
      </c>
      <c r="AA11" s="105" t="s">
        <v>45</v>
      </c>
      <c r="AB11" s="105" t="s">
        <v>45</v>
      </c>
      <c r="AC11" s="105" t="s">
        <v>45</v>
      </c>
      <c r="AD11" s="105" t="s">
        <v>46</v>
      </c>
      <c r="AE11" s="105" t="s">
        <v>46</v>
      </c>
      <c r="AF11" s="105" t="s">
        <v>46</v>
      </c>
      <c r="AG11" s="105" t="s">
        <v>46</v>
      </c>
      <c r="AH11" s="105" t="s">
        <v>46</v>
      </c>
      <c r="AI11" s="105" t="s">
        <v>46</v>
      </c>
      <c r="AJ11" s="105" t="s">
        <v>46</v>
      </c>
      <c r="AK11" s="105" t="s">
        <v>46</v>
      </c>
      <c r="AL11" s="105" t="s">
        <v>46</v>
      </c>
      <c r="AM11" s="105" t="s">
        <v>46</v>
      </c>
      <c r="AN11" s="105" t="s">
        <v>46</v>
      </c>
      <c r="AO11" s="105" t="s">
        <v>46</v>
      </c>
      <c r="AP11" s="105" t="s">
        <v>46</v>
      </c>
    </row>
    <row r="12" spans="1:50" ht="13.5" thickBot="1">
      <c r="A12" s="106" t="s">
        <v>41</v>
      </c>
      <c r="B12" s="106"/>
      <c r="C12" s="106" t="s">
        <v>12</v>
      </c>
      <c r="D12" s="106" t="s">
        <v>13</v>
      </c>
      <c r="E12" s="106" t="s">
        <v>14</v>
      </c>
      <c r="F12" s="106" t="s">
        <v>15</v>
      </c>
      <c r="G12" s="106" t="s">
        <v>82</v>
      </c>
      <c r="H12" s="106" t="s">
        <v>17</v>
      </c>
      <c r="I12" s="106" t="s">
        <v>18</v>
      </c>
      <c r="J12" s="106" t="s">
        <v>19</v>
      </c>
      <c r="K12" s="106" t="s">
        <v>20</v>
      </c>
      <c r="L12" s="106" t="s">
        <v>21</v>
      </c>
      <c r="M12" s="106" t="s">
        <v>22</v>
      </c>
      <c r="N12" s="106" t="s">
        <v>23</v>
      </c>
      <c r="O12" s="106" t="s">
        <v>24</v>
      </c>
      <c r="P12" s="106" t="s">
        <v>25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21</v>
      </c>
      <c r="Z12" s="106" t="s">
        <v>31</v>
      </c>
      <c r="AA12" s="106" t="s">
        <v>23</v>
      </c>
      <c r="AB12" s="106" t="s">
        <v>24</v>
      </c>
      <c r="AC12" s="106" t="s">
        <v>47</v>
      </c>
      <c r="AD12" s="106" t="s">
        <v>13</v>
      </c>
      <c r="AE12" s="106" t="s">
        <v>14</v>
      </c>
      <c r="AF12" s="106" t="s">
        <v>15</v>
      </c>
      <c r="AG12" s="106" t="s">
        <v>16</v>
      </c>
      <c r="AH12" s="106" t="s">
        <v>28</v>
      </c>
      <c r="AI12" s="106" t="s">
        <v>29</v>
      </c>
      <c r="AJ12" s="106" t="s">
        <v>30</v>
      </c>
      <c r="AK12" s="106" t="s">
        <v>20</v>
      </c>
      <c r="AL12" s="106" t="s">
        <v>21</v>
      </c>
      <c r="AM12" s="106" t="s">
        <v>31</v>
      </c>
      <c r="AN12" s="106" t="s">
        <v>23</v>
      </c>
      <c r="AO12" s="106" t="s">
        <v>24</v>
      </c>
      <c r="AP12" s="106" t="s">
        <v>25</v>
      </c>
      <c r="AQ12" s="24"/>
      <c r="AR12" s="24"/>
      <c r="AS12" s="24"/>
      <c r="AT12" s="24"/>
      <c r="AU12" s="24"/>
      <c r="AV12" s="24"/>
      <c r="AW12" s="24"/>
      <c r="AX12" s="24"/>
    </row>
    <row r="13" spans="1:50" ht="13.5" thickBot="1">
      <c r="A13" s="107">
        <v>1</v>
      </c>
      <c r="B13" s="108">
        <v>2</v>
      </c>
      <c r="C13" s="108"/>
      <c r="D13" s="108"/>
      <c r="E13" s="108"/>
      <c r="F13" s="108">
        <v>3</v>
      </c>
      <c r="G13" s="108">
        <v>3</v>
      </c>
      <c r="H13" s="108">
        <v>3</v>
      </c>
      <c r="I13" s="108">
        <v>3</v>
      </c>
      <c r="J13" s="108">
        <v>3</v>
      </c>
      <c r="K13" s="108">
        <v>3</v>
      </c>
      <c r="L13" s="108">
        <v>3</v>
      </c>
      <c r="M13" s="108">
        <v>3</v>
      </c>
      <c r="N13" s="108">
        <v>3</v>
      </c>
      <c r="O13" s="108">
        <v>3</v>
      </c>
      <c r="P13" s="108">
        <v>4</v>
      </c>
      <c r="Q13" s="108"/>
      <c r="R13" s="108"/>
      <c r="S13" s="108">
        <v>5</v>
      </c>
      <c r="T13" s="108">
        <v>5</v>
      </c>
      <c r="U13" s="108">
        <v>5</v>
      </c>
      <c r="V13" s="108">
        <v>5</v>
      </c>
      <c r="W13" s="108">
        <v>5</v>
      </c>
      <c r="X13" s="108">
        <v>5</v>
      </c>
      <c r="Y13" s="108">
        <v>5</v>
      </c>
      <c r="Z13" s="108">
        <v>5</v>
      </c>
      <c r="AA13" s="108">
        <v>5</v>
      </c>
      <c r="AB13" s="108">
        <v>5</v>
      </c>
      <c r="AC13" s="108">
        <v>6</v>
      </c>
      <c r="AD13" s="108"/>
      <c r="AE13" s="108"/>
      <c r="AF13" s="108">
        <v>7</v>
      </c>
      <c r="AG13" s="108">
        <v>7</v>
      </c>
      <c r="AH13" s="108">
        <v>7</v>
      </c>
      <c r="AI13" s="108">
        <v>7</v>
      </c>
      <c r="AJ13" s="108">
        <v>7</v>
      </c>
      <c r="AK13" s="108">
        <v>7</v>
      </c>
      <c r="AL13" s="108">
        <v>7</v>
      </c>
      <c r="AM13" s="108">
        <v>7</v>
      </c>
      <c r="AN13" s="108">
        <v>7</v>
      </c>
      <c r="AO13" s="108">
        <v>7</v>
      </c>
      <c r="AP13" s="109">
        <v>8</v>
      </c>
      <c r="AQ13" s="24"/>
      <c r="AR13" s="24"/>
      <c r="AS13" s="24"/>
      <c r="AT13" s="24"/>
      <c r="AU13" s="24"/>
      <c r="AV13" s="24"/>
      <c r="AW13" s="24"/>
      <c r="AX13" s="24"/>
    </row>
    <row r="14" spans="1:50" s="29" customFormat="1" ht="16.5" thickBot="1">
      <c r="A14" s="31"/>
      <c r="B14" s="71" t="s">
        <v>60</v>
      </c>
      <c r="C14" s="32">
        <f>SUM(C15,C17,C32,)</f>
        <v>1106865059</v>
      </c>
      <c r="D14" s="32">
        <f aca="true" t="shared" si="0" ref="D14:AP14">SUM(D15,D17,D32)</f>
        <v>28780335</v>
      </c>
      <c r="E14" s="32">
        <f t="shared" si="0"/>
        <v>74818522.85</v>
      </c>
      <c r="F14" s="32">
        <f t="shared" si="0"/>
        <v>44270925.7</v>
      </c>
      <c r="G14" s="32">
        <f t="shared" si="0"/>
        <v>128322359.78</v>
      </c>
      <c r="H14" s="32">
        <f t="shared" si="0"/>
        <v>68114110.35</v>
      </c>
      <c r="I14" s="32">
        <f t="shared" si="0"/>
        <v>49407856.120000005</v>
      </c>
      <c r="J14" s="32">
        <f t="shared" si="0"/>
        <v>71264224.72</v>
      </c>
      <c r="K14" s="32">
        <f t="shared" si="0"/>
        <v>59216088.660000004</v>
      </c>
      <c r="L14" s="151">
        <f t="shared" si="0"/>
        <v>92650167.38</v>
      </c>
      <c r="M14" s="32">
        <f t="shared" si="0"/>
        <v>73476248.47</v>
      </c>
      <c r="N14" s="32">
        <f t="shared" si="0"/>
        <v>83441543.04</v>
      </c>
      <c r="O14" s="32">
        <f t="shared" si="0"/>
        <v>271757621.77</v>
      </c>
      <c r="P14" s="151">
        <f t="shared" si="0"/>
        <v>1045520003.8399999</v>
      </c>
      <c r="Q14" s="32">
        <f t="shared" si="0"/>
        <v>11642319</v>
      </c>
      <c r="R14" s="32">
        <f t="shared" si="0"/>
        <v>38723062.92</v>
      </c>
      <c r="S14" s="32">
        <f t="shared" si="0"/>
        <v>49543023.63</v>
      </c>
      <c r="T14" s="32">
        <f t="shared" si="0"/>
        <v>112184522.78</v>
      </c>
      <c r="U14" s="32">
        <f t="shared" si="0"/>
        <v>60921204.57000001</v>
      </c>
      <c r="V14" s="32">
        <f t="shared" si="0"/>
        <v>59939631.2</v>
      </c>
      <c r="W14" s="32">
        <f t="shared" si="0"/>
        <v>86036441.82</v>
      </c>
      <c r="X14" s="32">
        <f t="shared" si="0"/>
        <v>67166100.66</v>
      </c>
      <c r="Y14" s="151">
        <f t="shared" si="0"/>
        <v>82925977.38000001</v>
      </c>
      <c r="Z14" s="32">
        <f t="shared" si="0"/>
        <v>88667035.47</v>
      </c>
      <c r="AA14" s="32">
        <f t="shared" si="0"/>
        <v>67943238.66000001</v>
      </c>
      <c r="AB14" s="32">
        <f t="shared" si="0"/>
        <v>314106650.5900001</v>
      </c>
      <c r="AC14" s="32">
        <f t="shared" si="0"/>
        <v>1039799208.6800001</v>
      </c>
      <c r="AD14" s="32">
        <f t="shared" si="0"/>
        <v>2560728</v>
      </c>
      <c r="AE14" s="32">
        <f t="shared" si="0"/>
        <v>33005511.92</v>
      </c>
      <c r="AF14" s="32">
        <f t="shared" si="0"/>
        <v>64266636.94</v>
      </c>
      <c r="AG14" s="32">
        <f t="shared" si="0"/>
        <v>107088787.47</v>
      </c>
      <c r="AH14" s="32">
        <f t="shared" si="0"/>
        <v>61834768.57000001</v>
      </c>
      <c r="AI14" s="32">
        <f t="shared" si="0"/>
        <v>60194331.2</v>
      </c>
      <c r="AJ14" s="32">
        <f t="shared" si="0"/>
        <v>75649181.82</v>
      </c>
      <c r="AK14" s="32">
        <f t="shared" si="0"/>
        <v>73207141.46</v>
      </c>
      <c r="AL14" s="32">
        <f t="shared" si="0"/>
        <v>83854206.58000001</v>
      </c>
      <c r="AM14" s="32">
        <f t="shared" si="0"/>
        <v>88667035.47</v>
      </c>
      <c r="AN14" s="32">
        <f t="shared" si="0"/>
        <v>67570638.66000001</v>
      </c>
      <c r="AO14" s="32">
        <f t="shared" si="0"/>
        <v>208642000.65999997</v>
      </c>
      <c r="AP14" s="32">
        <f t="shared" si="0"/>
        <v>926540968.7500001</v>
      </c>
      <c r="AQ14" s="24"/>
      <c r="AR14" s="24"/>
      <c r="AS14" s="24"/>
      <c r="AT14" s="24"/>
      <c r="AU14" s="24"/>
      <c r="AV14" s="24"/>
      <c r="AW14" s="24"/>
      <c r="AX14" s="24"/>
    </row>
    <row r="15" spans="1:50" s="29" customFormat="1" ht="16.5" thickBot="1">
      <c r="A15" s="74"/>
      <c r="B15" s="72" t="s">
        <v>62</v>
      </c>
      <c r="C15" s="33">
        <f aca="true" t="shared" si="1" ref="C15:AS15">SUM(C16)</f>
        <v>12729255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4860000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152">
        <f t="shared" si="1"/>
        <v>0</v>
      </c>
      <c r="M15" s="33">
        <f t="shared" si="1"/>
        <v>0</v>
      </c>
      <c r="N15" s="33">
        <f t="shared" si="1"/>
        <v>11884.08</v>
      </c>
      <c r="O15" s="33">
        <f t="shared" si="1"/>
        <v>2173967.59</v>
      </c>
      <c r="P15" s="152">
        <f t="shared" si="1"/>
        <v>7045851.67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3240000</v>
      </c>
      <c r="X15" s="33">
        <f t="shared" si="1"/>
        <v>0</v>
      </c>
      <c r="Y15" s="152">
        <f t="shared" si="1"/>
        <v>1620000</v>
      </c>
      <c r="Z15" s="33">
        <f t="shared" si="1"/>
        <v>0</v>
      </c>
      <c r="AA15" s="33">
        <f t="shared" si="1"/>
        <v>11884.08</v>
      </c>
      <c r="AB15" s="33">
        <f t="shared" si="1"/>
        <v>2165330.04</v>
      </c>
      <c r="AC15" s="33">
        <f t="shared" si="1"/>
        <v>7037214.12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3240000</v>
      </c>
      <c r="AK15" s="33">
        <f t="shared" si="1"/>
        <v>0</v>
      </c>
      <c r="AL15" s="33">
        <f t="shared" si="1"/>
        <v>1620000</v>
      </c>
      <c r="AM15" s="33">
        <f t="shared" si="1"/>
        <v>0</v>
      </c>
      <c r="AN15" s="33">
        <f t="shared" si="1"/>
        <v>11884.08</v>
      </c>
      <c r="AO15" s="33">
        <f t="shared" si="1"/>
        <v>1085636.04</v>
      </c>
      <c r="AP15" s="34">
        <f t="shared" si="1"/>
        <v>5957520.12</v>
      </c>
      <c r="AQ15" s="24"/>
      <c r="AR15" s="24"/>
      <c r="AS15" s="24"/>
      <c r="AT15" s="24"/>
      <c r="AU15" s="24"/>
      <c r="AV15" s="24"/>
      <c r="AW15" s="24"/>
      <c r="AX15" s="24"/>
    </row>
    <row r="16" spans="1:50" s="12" customFormat="1" ht="15.75" thickBot="1">
      <c r="A16" s="83" t="s">
        <v>134</v>
      </c>
      <c r="B16" s="38" t="s">
        <v>49</v>
      </c>
      <c r="C16" s="48">
        <v>12729255</v>
      </c>
      <c r="D16" s="48">
        <v>0</v>
      </c>
      <c r="E16" s="48">
        <v>0</v>
      </c>
      <c r="F16" s="48">
        <v>0</v>
      </c>
      <c r="G16" s="48">
        <v>0</v>
      </c>
      <c r="H16" s="48">
        <v>4860000</v>
      </c>
      <c r="I16" s="48">
        <v>0</v>
      </c>
      <c r="J16" s="48">
        <v>0</v>
      </c>
      <c r="K16" s="48"/>
      <c r="L16" s="158">
        <v>0</v>
      </c>
      <c r="M16" s="48">
        <v>0</v>
      </c>
      <c r="N16" s="48">
        <v>11884.08</v>
      </c>
      <c r="O16" s="48">
        <v>2173967.59</v>
      </c>
      <c r="P16" s="153">
        <f>SUM(D16:O16)</f>
        <v>7045851.67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3240000</v>
      </c>
      <c r="X16" s="48"/>
      <c r="Y16" s="158">
        <v>1620000</v>
      </c>
      <c r="Z16" s="48">
        <v>0</v>
      </c>
      <c r="AA16" s="48">
        <v>11884.08</v>
      </c>
      <c r="AB16" s="48">
        <v>2165330.04</v>
      </c>
      <c r="AC16" s="49">
        <f>SUM(Q16:AB16)</f>
        <v>7037214.12</v>
      </c>
      <c r="AD16" s="48"/>
      <c r="AE16" s="48">
        <v>0</v>
      </c>
      <c r="AF16" s="48">
        <v>0</v>
      </c>
      <c r="AG16" s="48">
        <v>0</v>
      </c>
      <c r="AH16" s="48">
        <v>0</v>
      </c>
      <c r="AI16" s="48"/>
      <c r="AJ16" s="48">
        <v>3240000</v>
      </c>
      <c r="AK16" s="48">
        <v>0</v>
      </c>
      <c r="AL16" s="48">
        <v>1620000</v>
      </c>
      <c r="AM16" s="48">
        <v>0</v>
      </c>
      <c r="AN16" s="48">
        <v>11884.08</v>
      </c>
      <c r="AO16" s="48">
        <v>1085636.04</v>
      </c>
      <c r="AP16" s="75">
        <f>SUM(AD16:AO16)</f>
        <v>5957520.12</v>
      </c>
      <c r="AQ16" s="24"/>
      <c r="AR16" s="24"/>
      <c r="AS16" s="24"/>
      <c r="AT16" s="24"/>
      <c r="AU16" s="24"/>
      <c r="AV16" s="24"/>
      <c r="AW16" s="24"/>
      <c r="AX16" s="24"/>
    </row>
    <row r="17" spans="1:50" s="12" customFormat="1" ht="16.5" thickBot="1">
      <c r="A17" s="74"/>
      <c r="B17" s="72" t="s">
        <v>63</v>
      </c>
      <c r="C17" s="43">
        <f>SUM(C18,C30)</f>
        <v>1071201264</v>
      </c>
      <c r="D17" s="43">
        <f>SUM(D18,D30)</f>
        <v>28780335</v>
      </c>
      <c r="E17" s="43">
        <f aca="true" t="shared" si="2" ref="E17:AB17">SUM(E18,E30)</f>
        <v>74818522.85</v>
      </c>
      <c r="F17" s="43">
        <f t="shared" si="2"/>
        <v>44270925.7</v>
      </c>
      <c r="G17" s="43">
        <f t="shared" si="2"/>
        <v>128322359.78</v>
      </c>
      <c r="H17" s="43">
        <f t="shared" si="2"/>
        <v>63254110.35</v>
      </c>
      <c r="I17" s="43">
        <f t="shared" si="2"/>
        <v>49407856.120000005</v>
      </c>
      <c r="J17" s="43">
        <f t="shared" si="2"/>
        <v>65418868.720000006</v>
      </c>
      <c r="K17" s="43">
        <f t="shared" si="2"/>
        <v>59216088.660000004</v>
      </c>
      <c r="L17" s="154">
        <f t="shared" si="2"/>
        <v>92650167.38</v>
      </c>
      <c r="M17" s="43">
        <f t="shared" si="2"/>
        <v>72405048.47</v>
      </c>
      <c r="N17" s="43">
        <f t="shared" si="2"/>
        <v>81901756.54</v>
      </c>
      <c r="O17" s="43">
        <f t="shared" si="2"/>
        <v>269579369.38</v>
      </c>
      <c r="P17" s="154">
        <f t="shared" si="2"/>
        <v>1030025408.9499999</v>
      </c>
      <c r="Q17" s="43">
        <f t="shared" si="2"/>
        <v>11642319</v>
      </c>
      <c r="R17" s="43">
        <f t="shared" si="2"/>
        <v>38723062.92</v>
      </c>
      <c r="S17" s="43">
        <f t="shared" si="2"/>
        <v>49543023.63</v>
      </c>
      <c r="T17" s="43">
        <f t="shared" si="2"/>
        <v>112184522.78</v>
      </c>
      <c r="U17" s="43">
        <f t="shared" si="2"/>
        <v>60921204.57000001</v>
      </c>
      <c r="V17" s="43">
        <f t="shared" si="2"/>
        <v>59939631.2</v>
      </c>
      <c r="W17" s="43">
        <f t="shared" si="2"/>
        <v>76951085.82</v>
      </c>
      <c r="X17" s="43">
        <f t="shared" si="2"/>
        <v>67166100.66</v>
      </c>
      <c r="Y17" s="154">
        <f t="shared" si="2"/>
        <v>81305977.38000001</v>
      </c>
      <c r="Z17" s="43">
        <f t="shared" si="2"/>
        <v>87595835.47</v>
      </c>
      <c r="AA17" s="43">
        <f t="shared" si="2"/>
        <v>67907973.16000001</v>
      </c>
      <c r="AB17" s="43">
        <f t="shared" si="2"/>
        <v>310432514.75000006</v>
      </c>
      <c r="AC17" s="43">
        <f aca="true" t="shared" si="3" ref="AC17:AQ17">SUM(AC18,AC30)</f>
        <v>1024313251.34</v>
      </c>
      <c r="AD17" s="43">
        <f t="shared" si="3"/>
        <v>2560728</v>
      </c>
      <c r="AE17" s="43">
        <f t="shared" si="3"/>
        <v>33005511.92</v>
      </c>
      <c r="AF17" s="43">
        <f t="shared" si="3"/>
        <v>64266636.94</v>
      </c>
      <c r="AG17" s="43">
        <f t="shared" si="3"/>
        <v>107088787.47</v>
      </c>
      <c r="AH17" s="43">
        <f t="shared" si="3"/>
        <v>61834768.57000001</v>
      </c>
      <c r="AI17" s="43">
        <f t="shared" si="3"/>
        <v>60194331.2</v>
      </c>
      <c r="AJ17" s="43">
        <f t="shared" si="3"/>
        <v>66563825.82</v>
      </c>
      <c r="AK17" s="43">
        <f t="shared" si="3"/>
        <v>73207141.46</v>
      </c>
      <c r="AL17" s="43">
        <f t="shared" si="3"/>
        <v>82234206.58000001</v>
      </c>
      <c r="AM17" s="43">
        <f t="shared" si="3"/>
        <v>87595835.47</v>
      </c>
      <c r="AN17" s="43">
        <f t="shared" si="3"/>
        <v>67535373.16000001</v>
      </c>
      <c r="AO17" s="43">
        <f t="shared" si="3"/>
        <v>206047558.81999996</v>
      </c>
      <c r="AP17" s="43">
        <f t="shared" si="3"/>
        <v>912134705.4100001</v>
      </c>
      <c r="AQ17" s="24"/>
      <c r="AR17" s="24"/>
      <c r="AS17" s="24"/>
      <c r="AT17" s="24"/>
      <c r="AU17" s="24"/>
      <c r="AV17" s="24"/>
      <c r="AW17" s="24"/>
      <c r="AX17" s="24"/>
    </row>
    <row r="18" spans="1:50" s="12" customFormat="1" ht="15.75">
      <c r="A18" s="44" t="s">
        <v>96</v>
      </c>
      <c r="B18" s="122" t="s">
        <v>95</v>
      </c>
      <c r="C18" s="126">
        <f>SUM(C19:C29)</f>
        <v>966017430</v>
      </c>
      <c r="D18" s="126">
        <f>SUM(D21:D28)</f>
        <v>19259935</v>
      </c>
      <c r="E18" s="126">
        <f>SUM(E19:E28)</f>
        <v>59140631.85</v>
      </c>
      <c r="F18" s="126">
        <f>SUM(F21:F28)</f>
        <v>43635717.14</v>
      </c>
      <c r="G18" s="126">
        <f>SUM(G19:G29)</f>
        <v>68999873.89999999</v>
      </c>
      <c r="H18" s="126">
        <f>SUM(H19:H29)</f>
        <v>58280529.800000004</v>
      </c>
      <c r="I18" s="126">
        <f aca="true" t="shared" si="4" ref="I18:AP18">SUM(I19:I29)</f>
        <v>48914802.730000004</v>
      </c>
      <c r="J18" s="126">
        <f t="shared" si="4"/>
        <v>61920105.300000004</v>
      </c>
      <c r="K18" s="126">
        <f t="shared" si="4"/>
        <v>57628246.46</v>
      </c>
      <c r="L18" s="155">
        <f t="shared" si="4"/>
        <v>91266462.28999999</v>
      </c>
      <c r="M18" s="126">
        <f t="shared" si="4"/>
        <v>70051224.61</v>
      </c>
      <c r="N18" s="126">
        <f t="shared" si="4"/>
        <v>80965591.53</v>
      </c>
      <c r="O18" s="126">
        <f t="shared" si="4"/>
        <v>267829657.96999997</v>
      </c>
      <c r="P18" s="155">
        <f t="shared" si="4"/>
        <v>927892778.5799999</v>
      </c>
      <c r="Q18" s="126">
        <f t="shared" si="4"/>
        <v>2121919</v>
      </c>
      <c r="R18" s="126">
        <f t="shared" si="4"/>
        <v>31886821.92</v>
      </c>
      <c r="S18" s="126">
        <f t="shared" si="4"/>
        <v>40066165.07</v>
      </c>
      <c r="T18" s="126">
        <f t="shared" si="4"/>
        <v>54361704.89999999</v>
      </c>
      <c r="U18" s="126">
        <f>SUM(U19:U28)</f>
        <v>55986523.620000005</v>
      </c>
      <c r="V18" s="126">
        <f t="shared" si="4"/>
        <v>57943384.81</v>
      </c>
      <c r="W18" s="126">
        <f t="shared" si="4"/>
        <v>73453924.39999999</v>
      </c>
      <c r="X18" s="126">
        <f t="shared" si="4"/>
        <v>65578258.46</v>
      </c>
      <c r="Y18" s="155">
        <f t="shared" si="4"/>
        <v>79922272.29</v>
      </c>
      <c r="Z18" s="126">
        <f t="shared" si="4"/>
        <v>85242011.61</v>
      </c>
      <c r="AA18" s="126">
        <f t="shared" si="4"/>
        <v>66971946.150000006</v>
      </c>
      <c r="AB18" s="126">
        <f t="shared" si="4"/>
        <v>309642747.40000004</v>
      </c>
      <c r="AC18" s="126">
        <f t="shared" si="4"/>
        <v>923177679.63</v>
      </c>
      <c r="AD18" s="126">
        <f t="shared" si="4"/>
        <v>1966328</v>
      </c>
      <c r="AE18" s="126">
        <f t="shared" si="4"/>
        <v>17253270.92</v>
      </c>
      <c r="AF18" s="126">
        <f t="shared" si="4"/>
        <v>54779778.379999995</v>
      </c>
      <c r="AG18" s="126">
        <f t="shared" si="4"/>
        <v>51588430.59</v>
      </c>
      <c r="AH18" s="126">
        <f t="shared" si="4"/>
        <v>58580626.620000005</v>
      </c>
      <c r="AI18" s="126">
        <f t="shared" si="4"/>
        <v>58198084.81</v>
      </c>
      <c r="AJ18" s="126">
        <f t="shared" si="4"/>
        <v>64202664.4</v>
      </c>
      <c r="AK18" s="126">
        <f t="shared" si="4"/>
        <v>71619299.46</v>
      </c>
      <c r="AL18" s="126">
        <f t="shared" si="4"/>
        <v>80850501.29</v>
      </c>
      <c r="AM18" s="126">
        <f t="shared" si="4"/>
        <v>85242011.61</v>
      </c>
      <c r="AN18" s="126">
        <f t="shared" si="4"/>
        <v>66599346.150000006</v>
      </c>
      <c r="AO18" s="126">
        <f t="shared" si="4"/>
        <v>200118833.05999997</v>
      </c>
      <c r="AP18" s="126">
        <f t="shared" si="4"/>
        <v>810999175.2900001</v>
      </c>
      <c r="AQ18" s="24"/>
      <c r="AR18" s="24"/>
      <c r="AS18" s="24"/>
      <c r="AT18" s="24"/>
      <c r="AU18" s="24"/>
      <c r="AV18" s="24"/>
      <c r="AW18" s="24"/>
      <c r="AX18" s="24"/>
    </row>
    <row r="19" spans="1:50" s="12" customFormat="1" ht="15">
      <c r="A19" s="44" t="s">
        <v>135</v>
      </c>
      <c r="B19" s="25" t="s">
        <v>110</v>
      </c>
      <c r="C19" s="129">
        <f>200000+1600000+1500000+150000-400000+20160000</f>
        <v>23210000</v>
      </c>
      <c r="D19" s="26">
        <v>0</v>
      </c>
      <c r="E19" s="26">
        <v>0</v>
      </c>
      <c r="F19" s="26">
        <v>0</v>
      </c>
      <c r="G19" s="129">
        <v>0</v>
      </c>
      <c r="H19" s="26">
        <v>0</v>
      </c>
      <c r="I19" s="26">
        <v>0</v>
      </c>
      <c r="J19" s="26">
        <v>0</v>
      </c>
      <c r="K19" s="84">
        <v>768688</v>
      </c>
      <c r="L19" s="159">
        <v>0</v>
      </c>
      <c r="M19" s="26">
        <v>0</v>
      </c>
      <c r="N19" s="26">
        <v>1323074.75</v>
      </c>
      <c r="O19" s="26">
        <v>17243228</v>
      </c>
      <c r="P19" s="153">
        <f aca="true" t="shared" si="5" ref="P19:P28">SUM(D19:O19)</f>
        <v>19334990.75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768688</v>
      </c>
      <c r="Y19" s="159">
        <v>0</v>
      </c>
      <c r="Z19" s="26">
        <v>0</v>
      </c>
      <c r="AA19" s="26">
        <v>3074.75</v>
      </c>
      <c r="AB19" s="26">
        <v>18563228</v>
      </c>
      <c r="AC19" s="26">
        <f aca="true" t="shared" si="6" ref="AC19:AC31">SUM(Q19:AB19)</f>
        <v>19334990.75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768688</v>
      </c>
      <c r="AL19" s="26">
        <v>0</v>
      </c>
      <c r="AM19" s="26">
        <v>0</v>
      </c>
      <c r="AN19" s="26">
        <v>3074.75</v>
      </c>
      <c r="AO19" s="26">
        <v>1440000</v>
      </c>
      <c r="AP19" s="26">
        <f aca="true" t="shared" si="7" ref="AP19:AP31">SUM(AD19:AO19)</f>
        <v>2211762.75</v>
      </c>
      <c r="AQ19" s="24"/>
      <c r="AR19" s="24"/>
      <c r="AS19" s="24"/>
      <c r="AT19" s="24"/>
      <c r="AU19" s="24"/>
      <c r="AV19" s="24"/>
      <c r="AW19" s="24"/>
      <c r="AX19" s="24"/>
    </row>
    <row r="20" spans="1:50" s="12" customFormat="1" ht="15">
      <c r="A20" s="44" t="s">
        <v>123</v>
      </c>
      <c r="B20" s="25" t="s">
        <v>124</v>
      </c>
      <c r="C20" s="129">
        <f>36793000-26853000+2400000+2231421.03-86599+20495479</f>
        <v>34980301.03</v>
      </c>
      <c r="D20" s="26">
        <v>0</v>
      </c>
      <c r="E20" s="26">
        <v>0</v>
      </c>
      <c r="F20" s="26">
        <v>0</v>
      </c>
      <c r="G20" s="129">
        <v>2680000</v>
      </c>
      <c r="H20" s="26">
        <v>3460884</v>
      </c>
      <c r="I20" s="26">
        <v>0</v>
      </c>
      <c r="J20" s="26">
        <v>1133.92</v>
      </c>
      <c r="K20" s="84">
        <v>439713.03</v>
      </c>
      <c r="L20" s="159">
        <v>2537399</v>
      </c>
      <c r="M20" s="26">
        <v>1740000</v>
      </c>
      <c r="N20" s="26">
        <v>504686</v>
      </c>
      <c r="O20" s="26">
        <v>19658211.7</v>
      </c>
      <c r="P20" s="153">
        <f t="shared" si="5"/>
        <v>31022027.65</v>
      </c>
      <c r="Q20" s="26">
        <v>0</v>
      </c>
      <c r="R20" s="26">
        <v>0</v>
      </c>
      <c r="S20" s="26">
        <v>0</v>
      </c>
      <c r="T20" s="26">
        <v>0</v>
      </c>
      <c r="U20" s="26">
        <v>2680000</v>
      </c>
      <c r="V20" s="26">
        <v>3460884</v>
      </c>
      <c r="W20" s="26">
        <v>1133.92</v>
      </c>
      <c r="X20" s="26">
        <v>439713.03</v>
      </c>
      <c r="Y20" s="159">
        <v>0</v>
      </c>
      <c r="Z20" s="26">
        <v>2537399</v>
      </c>
      <c r="AA20" s="26">
        <v>1740000</v>
      </c>
      <c r="AB20" s="26">
        <v>20162897.7</v>
      </c>
      <c r="AC20" s="26">
        <f t="shared" si="6"/>
        <v>31022027.65</v>
      </c>
      <c r="AD20" s="26">
        <v>0</v>
      </c>
      <c r="AE20" s="26">
        <v>0</v>
      </c>
      <c r="AF20" s="26">
        <v>0</v>
      </c>
      <c r="AG20" s="26">
        <v>0</v>
      </c>
      <c r="AH20" s="26">
        <v>2680000</v>
      </c>
      <c r="AI20" s="26">
        <v>3460884</v>
      </c>
      <c r="AJ20" s="26">
        <v>1133.92</v>
      </c>
      <c r="AK20" s="26">
        <v>439713.03</v>
      </c>
      <c r="AL20" s="26">
        <v>0</v>
      </c>
      <c r="AM20" s="26">
        <v>2537399</v>
      </c>
      <c r="AN20" s="26">
        <v>1740000</v>
      </c>
      <c r="AO20" s="26">
        <v>513963.4</v>
      </c>
      <c r="AP20" s="26">
        <f t="shared" si="7"/>
        <v>11373093.35</v>
      </c>
      <c r="AQ20" s="24"/>
      <c r="AR20" s="24"/>
      <c r="AS20" s="24"/>
      <c r="AT20" s="24"/>
      <c r="AU20" s="24"/>
      <c r="AV20" s="24"/>
      <c r="AW20" s="24"/>
      <c r="AX20" s="24"/>
    </row>
    <row r="21" spans="1:50" s="12" customFormat="1" ht="15">
      <c r="A21" s="44" t="s">
        <v>136</v>
      </c>
      <c r="B21" s="25" t="s">
        <v>98</v>
      </c>
      <c r="C21" s="129">
        <f>64920000-1600000+68000+4000000+8271281.66+3234182+15337934.23+1333357</f>
        <v>95564754.89</v>
      </c>
      <c r="D21" s="26">
        <v>2380000</v>
      </c>
      <c r="E21" s="26">
        <v>12927990</v>
      </c>
      <c r="F21" s="26">
        <v>4805935.11</v>
      </c>
      <c r="G21" s="129">
        <v>21931221.27</v>
      </c>
      <c r="H21" s="26">
        <v>6980142.7</v>
      </c>
      <c r="I21" s="26">
        <v>64</v>
      </c>
      <c r="J21" s="26">
        <v>6627.07</v>
      </c>
      <c r="K21" s="84">
        <v>2859577.18</v>
      </c>
      <c r="L21" s="159">
        <v>-99437</v>
      </c>
      <c r="M21" s="26">
        <v>1748157</v>
      </c>
      <c r="N21" s="26">
        <v>8045849.3</v>
      </c>
      <c r="O21" s="26">
        <v>33219630.21</v>
      </c>
      <c r="P21" s="153">
        <f t="shared" si="5"/>
        <v>94805756.84</v>
      </c>
      <c r="Q21" s="26">
        <v>0</v>
      </c>
      <c r="R21" s="26">
        <v>8227955</v>
      </c>
      <c r="S21" s="26">
        <v>5555039.11</v>
      </c>
      <c r="T21" s="26">
        <v>11537944.27</v>
      </c>
      <c r="U21" s="26">
        <v>392978.76</v>
      </c>
      <c r="V21" s="26">
        <v>7575698</v>
      </c>
      <c r="W21" s="26">
        <v>9164800</v>
      </c>
      <c r="X21" s="26">
        <v>1587139.18</v>
      </c>
      <c r="Y21" s="159">
        <v>400000</v>
      </c>
      <c r="Z21" s="26">
        <v>5955405</v>
      </c>
      <c r="AA21" s="26">
        <v>761043.32</v>
      </c>
      <c r="AB21" s="26">
        <v>43530625.47</v>
      </c>
      <c r="AC21" s="26">
        <f t="shared" si="6"/>
        <v>94688628.11</v>
      </c>
      <c r="AD21" s="26">
        <v>0</v>
      </c>
      <c r="AE21" s="26">
        <v>1600000</v>
      </c>
      <c r="AF21" s="26">
        <v>12168539.12</v>
      </c>
      <c r="AG21" s="26">
        <v>9384883.26</v>
      </c>
      <c r="AH21" s="26">
        <v>2560494.76</v>
      </c>
      <c r="AI21" s="26">
        <v>7575698</v>
      </c>
      <c r="AJ21" s="26">
        <v>9164800</v>
      </c>
      <c r="AK21" s="26">
        <v>1587139.18</v>
      </c>
      <c r="AL21" s="26">
        <v>400000</v>
      </c>
      <c r="AM21" s="26">
        <v>5955405</v>
      </c>
      <c r="AN21" s="26">
        <v>761043.32</v>
      </c>
      <c r="AO21" s="26">
        <v>24550529.21</v>
      </c>
      <c r="AP21" s="26">
        <f t="shared" si="7"/>
        <v>75708531.85</v>
      </c>
      <c r="AQ21" s="24"/>
      <c r="AR21" s="24"/>
      <c r="AS21" s="24"/>
      <c r="AT21" s="24"/>
      <c r="AU21" s="24"/>
      <c r="AV21" s="24"/>
      <c r="AW21" s="24"/>
      <c r="AX21" s="24"/>
    </row>
    <row r="22" spans="1:50" s="12" customFormat="1" ht="15">
      <c r="A22" s="44" t="s">
        <v>104</v>
      </c>
      <c r="B22" s="25" t="s">
        <v>99</v>
      </c>
      <c r="C22" s="129">
        <f>187270000+25285000-2400000+3663292.6-13946727.23+4300000</f>
        <v>204171565.37</v>
      </c>
      <c r="D22" s="26">
        <v>14618016</v>
      </c>
      <c r="E22" s="26">
        <v>21808725</v>
      </c>
      <c r="F22" s="26">
        <v>10320899.03</v>
      </c>
      <c r="G22" s="26">
        <v>8401213.11</v>
      </c>
      <c r="H22" s="26">
        <v>8663831.87</v>
      </c>
      <c r="I22" s="26">
        <v>5399623.84</v>
      </c>
      <c r="J22" s="26">
        <v>65633.11</v>
      </c>
      <c r="K22" s="84">
        <v>996403.19</v>
      </c>
      <c r="L22" s="160">
        <v>19056149</v>
      </c>
      <c r="M22" s="26">
        <v>557108.26</v>
      </c>
      <c r="N22" s="26">
        <v>11691632.83</v>
      </c>
      <c r="O22" s="26">
        <v>90875780.37</v>
      </c>
      <c r="P22" s="153">
        <f t="shared" si="5"/>
        <v>192455015.61</v>
      </c>
      <c r="Q22" s="26">
        <v>0</v>
      </c>
      <c r="R22" s="26">
        <v>12081756</v>
      </c>
      <c r="S22" s="26">
        <v>6736340.03</v>
      </c>
      <c r="T22" s="26">
        <v>6449555.11</v>
      </c>
      <c r="U22" s="26">
        <v>9471958.1</v>
      </c>
      <c r="V22" s="26">
        <v>2716320.92</v>
      </c>
      <c r="W22" s="26">
        <v>1341194.11</v>
      </c>
      <c r="X22" s="26">
        <v>8526326.19</v>
      </c>
      <c r="Y22" s="159">
        <v>8767521</v>
      </c>
      <c r="Z22" s="26">
        <v>7065858.26</v>
      </c>
      <c r="AA22" s="26">
        <v>5185437.43</v>
      </c>
      <c r="AB22" s="26">
        <v>119993355.53</v>
      </c>
      <c r="AC22" s="26">
        <f>SUM(Q22:AB22)</f>
        <v>188335622.68</v>
      </c>
      <c r="AD22" s="26">
        <v>0</v>
      </c>
      <c r="AE22" s="26">
        <v>6600000</v>
      </c>
      <c r="AF22" s="26">
        <v>12218096.03</v>
      </c>
      <c r="AG22" s="26">
        <v>6337795.11</v>
      </c>
      <c r="AH22" s="26">
        <v>9583718.1</v>
      </c>
      <c r="AI22" s="26">
        <v>2716320.92</v>
      </c>
      <c r="AJ22" s="26">
        <v>1341194.11</v>
      </c>
      <c r="AK22" s="26">
        <v>8526326.19</v>
      </c>
      <c r="AL22" s="26">
        <v>8767521</v>
      </c>
      <c r="AM22" s="26">
        <v>7065858.26</v>
      </c>
      <c r="AN22" s="26">
        <v>4812837.43</v>
      </c>
      <c r="AO22" s="26">
        <v>66285794.65</v>
      </c>
      <c r="AP22" s="26">
        <f t="shared" si="7"/>
        <v>134255461.8</v>
      </c>
      <c r="AQ22" s="24"/>
      <c r="AR22" s="24"/>
      <c r="AS22" s="24"/>
      <c r="AT22" s="24"/>
      <c r="AU22" s="24"/>
      <c r="AV22" s="24"/>
      <c r="AW22" s="24"/>
      <c r="AX22" s="24"/>
    </row>
    <row r="23" spans="1:50" s="12" customFormat="1" ht="15">
      <c r="A23" s="44" t="s">
        <v>105</v>
      </c>
      <c r="B23" s="25" t="s">
        <v>102</v>
      </c>
      <c r="C23" s="129">
        <f>15500000-4000000-2200666.57</f>
        <v>9299333.43</v>
      </c>
      <c r="D23" s="26">
        <v>0</v>
      </c>
      <c r="E23" s="26">
        <v>6008781.93</v>
      </c>
      <c r="F23" s="26">
        <v>2320266.09</v>
      </c>
      <c r="G23" s="26">
        <v>720378</v>
      </c>
      <c r="H23" s="26">
        <v>204614.14</v>
      </c>
      <c r="I23" s="26">
        <v>2.4</v>
      </c>
      <c r="J23" s="26">
        <v>120</v>
      </c>
      <c r="K23" s="84">
        <v>5.28</v>
      </c>
      <c r="L23" s="159">
        <v>36000</v>
      </c>
      <c r="M23" s="26">
        <v>6.48</v>
      </c>
      <c r="N23" s="26">
        <v>0</v>
      </c>
      <c r="O23" s="26">
        <v>-335653.74</v>
      </c>
      <c r="P23" s="153">
        <f t="shared" si="5"/>
        <v>8954520.58</v>
      </c>
      <c r="Q23" s="26">
        <v>0</v>
      </c>
      <c r="R23" s="26">
        <v>3067000</v>
      </c>
      <c r="S23" s="26">
        <v>2680782.02</v>
      </c>
      <c r="T23" s="26">
        <v>1107144</v>
      </c>
      <c r="U23" s="26">
        <v>507677.6</v>
      </c>
      <c r="V23" s="26">
        <v>242002.4</v>
      </c>
      <c r="W23" s="26">
        <v>278000</v>
      </c>
      <c r="X23" s="26">
        <v>352005.28</v>
      </c>
      <c r="Y23" s="159">
        <v>276000</v>
      </c>
      <c r="Z23" s="26">
        <v>303506.48</v>
      </c>
      <c r="AA23" s="26">
        <v>190000</v>
      </c>
      <c r="AB23" s="26">
        <f>-48067.2-1530</f>
        <v>-49597.2</v>
      </c>
      <c r="AC23" s="26">
        <f t="shared" si="6"/>
        <v>8954520.580000002</v>
      </c>
      <c r="AD23" s="26">
        <v>0</v>
      </c>
      <c r="AE23" s="26">
        <v>3067000</v>
      </c>
      <c r="AF23" s="26">
        <v>2680514.02</v>
      </c>
      <c r="AG23" s="26">
        <v>1107412</v>
      </c>
      <c r="AH23" s="26">
        <v>507677.6</v>
      </c>
      <c r="AI23" s="26">
        <v>242002.4</v>
      </c>
      <c r="AJ23" s="26">
        <v>278000</v>
      </c>
      <c r="AK23" s="26">
        <v>352005.28</v>
      </c>
      <c r="AL23" s="26">
        <v>276000</v>
      </c>
      <c r="AM23" s="26">
        <v>303506.48</v>
      </c>
      <c r="AN23" s="26">
        <v>190000</v>
      </c>
      <c r="AO23" s="26">
        <f>-48074.16-1530</f>
        <v>-49604.16</v>
      </c>
      <c r="AP23" s="26">
        <f t="shared" si="7"/>
        <v>8954513.620000001</v>
      </c>
      <c r="AQ23" s="24"/>
      <c r="AR23" s="24"/>
      <c r="AS23" s="24"/>
      <c r="AT23" s="24"/>
      <c r="AU23" s="24"/>
      <c r="AV23" s="24"/>
      <c r="AW23" s="24"/>
      <c r="AX23" s="24"/>
    </row>
    <row r="24" spans="1:50" s="12" customFormat="1" ht="15">
      <c r="A24" s="44" t="s">
        <v>106</v>
      </c>
      <c r="B24" s="25" t="s">
        <v>103</v>
      </c>
      <c r="C24" s="129">
        <f>17000000-3975328.72-904608</f>
        <v>12120063.28</v>
      </c>
      <c r="D24" s="26">
        <v>0</v>
      </c>
      <c r="E24" s="26">
        <v>1681200</v>
      </c>
      <c r="F24" s="26">
        <v>2497846.4</v>
      </c>
      <c r="G24" s="26">
        <v>278.4</v>
      </c>
      <c r="H24" s="26">
        <v>256313.6</v>
      </c>
      <c r="I24" s="26">
        <v>901700</v>
      </c>
      <c r="J24" s="26">
        <v>571488</v>
      </c>
      <c r="K24" s="84">
        <v>1508614.58</v>
      </c>
      <c r="L24" s="159">
        <v>1197164.4</v>
      </c>
      <c r="M24" s="26">
        <v>838000</v>
      </c>
      <c r="N24" s="26">
        <v>2603392.64</v>
      </c>
      <c r="O24" s="26">
        <f>17601.25-56600</f>
        <v>-38998.75</v>
      </c>
      <c r="P24" s="153">
        <f t="shared" si="5"/>
        <v>12016999.27</v>
      </c>
      <c r="Q24" s="26">
        <v>0</v>
      </c>
      <c r="R24" s="26">
        <v>1681200</v>
      </c>
      <c r="S24" s="26">
        <v>403846.4</v>
      </c>
      <c r="T24" s="26">
        <v>278.4</v>
      </c>
      <c r="U24" s="26">
        <v>2348872.4</v>
      </c>
      <c r="V24" s="26">
        <v>372000</v>
      </c>
      <c r="W24" s="26">
        <v>531188</v>
      </c>
      <c r="X24" s="26">
        <v>2078614.58</v>
      </c>
      <c r="Y24" s="159">
        <v>446.4</v>
      </c>
      <c r="Z24" s="26">
        <v>1794718</v>
      </c>
      <c r="AA24" s="26">
        <v>2568392.64</v>
      </c>
      <c r="AB24" s="26">
        <f>280315.16-56600</f>
        <v>223715.15999999997</v>
      </c>
      <c r="AC24" s="26">
        <f t="shared" si="6"/>
        <v>12003271.98</v>
      </c>
      <c r="AD24" s="26">
        <v>0</v>
      </c>
      <c r="AE24" s="26">
        <v>1569600</v>
      </c>
      <c r="AF24" s="26">
        <v>472346.4</v>
      </c>
      <c r="AG24" s="26">
        <v>43378.4</v>
      </c>
      <c r="AH24" s="26">
        <v>2094172.4</v>
      </c>
      <c r="AI24" s="26">
        <v>626700</v>
      </c>
      <c r="AJ24" s="26">
        <v>531188</v>
      </c>
      <c r="AK24" s="26">
        <v>1534614.58</v>
      </c>
      <c r="AL24" s="26">
        <v>544446.4</v>
      </c>
      <c r="AM24" s="26">
        <v>1794718</v>
      </c>
      <c r="AN24" s="26">
        <v>2568392.64</v>
      </c>
      <c r="AO24" s="26">
        <f>280315.16-56600</f>
        <v>223715.15999999997</v>
      </c>
      <c r="AP24" s="26">
        <f t="shared" si="7"/>
        <v>12003271.98</v>
      </c>
      <c r="AQ24" s="24"/>
      <c r="AR24" s="24"/>
      <c r="AS24" s="24"/>
      <c r="AT24" s="24"/>
      <c r="AU24" s="24"/>
      <c r="AV24" s="24"/>
      <c r="AW24" s="24"/>
      <c r="AX24" s="24"/>
    </row>
    <row r="25" spans="1:50" s="12" customFormat="1" ht="15">
      <c r="A25" s="44" t="s">
        <v>107</v>
      </c>
      <c r="B25" s="25" t="s">
        <v>100</v>
      </c>
      <c r="C25" s="129">
        <f>554341988-7000000+16329424</f>
        <v>563671412</v>
      </c>
      <c r="D25" s="26">
        <v>2106895</v>
      </c>
      <c r="E25" s="26">
        <v>5699841.92</v>
      </c>
      <c r="F25" s="26">
        <v>23149630.51</v>
      </c>
      <c r="G25" s="26">
        <v>34708487.12</v>
      </c>
      <c r="H25" s="26">
        <v>37773538.93</v>
      </c>
      <c r="I25" s="26">
        <v>41682918.49</v>
      </c>
      <c r="J25" s="26">
        <v>61275103.2</v>
      </c>
      <c r="K25" s="84">
        <v>50476084.03</v>
      </c>
      <c r="L25" s="159">
        <v>68539186.89</v>
      </c>
      <c r="M25" s="26">
        <v>65167952.87</v>
      </c>
      <c r="N25" s="26">
        <v>56788875.13</v>
      </c>
      <c r="O25" s="26">
        <v>107387658.79</v>
      </c>
      <c r="P25" s="153">
        <f t="shared" si="5"/>
        <v>554756172.88</v>
      </c>
      <c r="Q25" s="26">
        <v>1966895</v>
      </c>
      <c r="R25" s="26">
        <v>5839841.92</v>
      </c>
      <c r="S25" s="26">
        <v>23149630.51</v>
      </c>
      <c r="T25" s="26">
        <v>34708487.12</v>
      </c>
      <c r="U25" s="26">
        <v>37606651.2</v>
      </c>
      <c r="V25" s="26">
        <v>41687998.49</v>
      </c>
      <c r="W25" s="26">
        <v>60882081.37</v>
      </c>
      <c r="X25" s="26">
        <v>51028500.03</v>
      </c>
      <c r="Y25" s="159">
        <v>68539186.89</v>
      </c>
      <c r="Z25" s="26">
        <v>65167952.87</v>
      </c>
      <c r="AA25" s="26">
        <v>56515917.13</v>
      </c>
      <c r="AB25" s="26">
        <v>107201233.57</v>
      </c>
      <c r="AC25" s="26">
        <f t="shared" si="6"/>
        <v>554294376.1</v>
      </c>
      <c r="AD25" s="26">
        <v>1811304</v>
      </c>
      <c r="AE25" s="26">
        <v>3570458.92</v>
      </c>
      <c r="AF25" s="26">
        <v>25556898.81</v>
      </c>
      <c r="AG25" s="26">
        <v>34156665.82</v>
      </c>
      <c r="AH25" s="26">
        <v>38176178.2</v>
      </c>
      <c r="AI25" s="26">
        <v>41687998.49</v>
      </c>
      <c r="AJ25" s="26">
        <v>51630821.37</v>
      </c>
      <c r="AK25" s="26">
        <v>57613541.03</v>
      </c>
      <c r="AL25" s="26">
        <v>68923415.89</v>
      </c>
      <c r="AM25" s="26">
        <v>65167952.87</v>
      </c>
      <c r="AN25" s="26">
        <v>56515917.13</v>
      </c>
      <c r="AO25" s="26">
        <v>107137145.63</v>
      </c>
      <c r="AP25" s="26">
        <f t="shared" si="7"/>
        <v>551948298.1600001</v>
      </c>
      <c r="AQ25" s="24"/>
      <c r="AR25" s="24"/>
      <c r="AS25" s="24"/>
      <c r="AT25" s="24"/>
      <c r="AU25" s="24"/>
      <c r="AV25" s="24"/>
      <c r="AW25" s="24"/>
      <c r="AX25" s="24"/>
    </row>
    <row r="26" spans="1:50" s="12" customFormat="1" ht="15">
      <c r="A26" s="44" t="s">
        <v>137</v>
      </c>
      <c r="B26" s="25" t="s">
        <v>101</v>
      </c>
      <c r="C26" s="129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/>
      <c r="K26" s="84"/>
      <c r="L26" s="159"/>
      <c r="M26" s="26">
        <v>0</v>
      </c>
      <c r="N26" s="26">
        <v>0</v>
      </c>
      <c r="O26" s="26">
        <v>0</v>
      </c>
      <c r="P26" s="153">
        <f t="shared" si="5"/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/>
      <c r="X26" s="26"/>
      <c r="Y26" s="159"/>
      <c r="Z26" s="26">
        <v>0</v>
      </c>
      <c r="AA26" s="26">
        <v>0</v>
      </c>
      <c r="AB26" s="26">
        <v>0</v>
      </c>
      <c r="AC26" s="26">
        <f t="shared" si="6"/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/>
      <c r="AK26" s="26"/>
      <c r="AL26" s="26"/>
      <c r="AM26" s="26">
        <v>0</v>
      </c>
      <c r="AN26" s="26">
        <v>0</v>
      </c>
      <c r="AO26" s="26">
        <v>0</v>
      </c>
      <c r="AP26" s="26">
        <f t="shared" si="7"/>
        <v>0</v>
      </c>
      <c r="AQ26" s="24"/>
      <c r="AR26" s="24"/>
      <c r="AS26" s="24"/>
      <c r="AT26" s="24"/>
      <c r="AU26" s="24"/>
      <c r="AV26" s="24"/>
      <c r="AW26" s="24"/>
      <c r="AX26" s="24"/>
    </row>
    <row r="27" spans="1:50" s="12" customFormat="1" ht="15">
      <c r="A27" s="44" t="s">
        <v>113</v>
      </c>
      <c r="B27" s="25" t="s">
        <v>97</v>
      </c>
      <c r="C27" s="121">
        <f>1140000-1140000</f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84"/>
      <c r="L27" s="159">
        <v>0</v>
      </c>
      <c r="M27" s="26">
        <v>0</v>
      </c>
      <c r="N27" s="26">
        <v>0</v>
      </c>
      <c r="O27" s="26">
        <v>0</v>
      </c>
      <c r="P27" s="153">
        <f t="shared" si="5"/>
        <v>0</v>
      </c>
      <c r="Q27" s="26">
        <v>0</v>
      </c>
      <c r="R27" s="26">
        <v>0</v>
      </c>
      <c r="S27" s="26"/>
      <c r="T27" s="26">
        <v>0</v>
      </c>
      <c r="U27" s="26">
        <v>0</v>
      </c>
      <c r="V27" s="26">
        <v>0</v>
      </c>
      <c r="W27" s="26"/>
      <c r="X27" s="26"/>
      <c r="Y27" s="159">
        <v>0</v>
      </c>
      <c r="Z27" s="26">
        <v>0</v>
      </c>
      <c r="AA27" s="26">
        <v>0</v>
      </c>
      <c r="AB27" s="26">
        <v>0</v>
      </c>
      <c r="AC27" s="26">
        <f t="shared" si="6"/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/>
      <c r="AK27" s="26"/>
      <c r="AL27" s="26">
        <v>0</v>
      </c>
      <c r="AM27" s="26">
        <v>0</v>
      </c>
      <c r="AN27" s="26">
        <v>0</v>
      </c>
      <c r="AO27" s="26">
        <v>0</v>
      </c>
      <c r="AP27" s="26">
        <f t="shared" si="7"/>
        <v>0</v>
      </c>
      <c r="AQ27" s="24"/>
      <c r="AR27" s="24"/>
      <c r="AS27" s="24"/>
      <c r="AT27" s="24"/>
      <c r="AU27" s="24"/>
      <c r="AV27" s="24"/>
      <c r="AW27" s="24"/>
      <c r="AX27" s="24"/>
    </row>
    <row r="28" spans="1:50" s="12" customFormat="1" ht="15">
      <c r="A28" s="44" t="s">
        <v>138</v>
      </c>
      <c r="B28" s="25" t="s">
        <v>114</v>
      </c>
      <c r="C28" s="121">
        <f>15000000+8000000</f>
        <v>23000000</v>
      </c>
      <c r="D28" s="26">
        <v>155024</v>
      </c>
      <c r="E28" s="26">
        <v>11014093</v>
      </c>
      <c r="F28" s="26">
        <v>541140</v>
      </c>
      <c r="G28" s="26">
        <v>558296</v>
      </c>
      <c r="H28" s="26">
        <v>941204.56</v>
      </c>
      <c r="I28" s="26">
        <v>930494</v>
      </c>
      <c r="J28" s="26">
        <v>0</v>
      </c>
      <c r="K28" s="84">
        <v>579161.17</v>
      </c>
      <c r="L28" s="159">
        <v>0</v>
      </c>
      <c r="M28" s="26"/>
      <c r="N28" s="26">
        <v>8080.88</v>
      </c>
      <c r="O28" s="26">
        <v>-180198.61</v>
      </c>
      <c r="P28" s="153">
        <f t="shared" si="5"/>
        <v>14547295.000000002</v>
      </c>
      <c r="Q28" s="26">
        <v>155024</v>
      </c>
      <c r="R28" s="26">
        <v>989069</v>
      </c>
      <c r="S28" s="26">
        <v>1540527</v>
      </c>
      <c r="T28" s="26">
        <v>558296</v>
      </c>
      <c r="U28" s="26">
        <v>2978385.56</v>
      </c>
      <c r="V28" s="26">
        <v>1888481</v>
      </c>
      <c r="W28" s="26">
        <v>1255527</v>
      </c>
      <c r="X28" s="26">
        <v>797272.17</v>
      </c>
      <c r="Y28" s="159">
        <v>1939118</v>
      </c>
      <c r="Z28" s="26">
        <v>2417172</v>
      </c>
      <c r="AA28" s="26">
        <v>8080.88</v>
      </c>
      <c r="AB28" s="26">
        <v>17289.17</v>
      </c>
      <c r="AC28" s="26">
        <f t="shared" si="6"/>
        <v>14544241.780000001</v>
      </c>
      <c r="AD28" s="26">
        <v>155024</v>
      </c>
      <c r="AE28" s="26">
        <v>846212</v>
      </c>
      <c r="AF28" s="26">
        <v>1683384</v>
      </c>
      <c r="AG28" s="26">
        <v>558296</v>
      </c>
      <c r="AH28" s="26">
        <v>2978385.56</v>
      </c>
      <c r="AI28" s="26">
        <v>1888481</v>
      </c>
      <c r="AJ28" s="26">
        <v>1255527</v>
      </c>
      <c r="AK28" s="26">
        <v>797272.17</v>
      </c>
      <c r="AL28" s="26">
        <v>1939118</v>
      </c>
      <c r="AM28" s="26">
        <v>2417172</v>
      </c>
      <c r="AN28" s="26">
        <v>8080.88</v>
      </c>
      <c r="AO28" s="26">
        <v>17289.17</v>
      </c>
      <c r="AP28" s="26">
        <f t="shared" si="7"/>
        <v>14544241.780000001</v>
      </c>
      <c r="AQ28" s="24"/>
      <c r="AR28" s="24"/>
      <c r="AS28" s="24"/>
      <c r="AT28" s="24"/>
      <c r="AU28" s="24"/>
      <c r="AV28" s="24"/>
      <c r="AW28" s="24"/>
      <c r="AX28" s="24"/>
    </row>
    <row r="29" spans="1:50" s="12" customFormat="1" ht="15" hidden="1">
      <c r="A29" s="44" t="s">
        <v>139</v>
      </c>
      <c r="B29" s="25" t="s">
        <v>130</v>
      </c>
      <c r="C29" s="121">
        <v>0</v>
      </c>
      <c r="D29" s="26">
        <v>0</v>
      </c>
      <c r="E29" s="26">
        <v>0</v>
      </c>
      <c r="F29" s="26"/>
      <c r="G29" s="26"/>
      <c r="H29" s="26"/>
      <c r="I29" s="26"/>
      <c r="J29" s="26"/>
      <c r="K29" s="84"/>
      <c r="L29" s="159"/>
      <c r="M29" s="26"/>
      <c r="N29" s="26"/>
      <c r="O29" s="26"/>
      <c r="P29" s="153">
        <f>SUM(D29:O29)</f>
        <v>0</v>
      </c>
      <c r="Q29" s="26">
        <v>0</v>
      </c>
      <c r="R29" s="26"/>
      <c r="S29" s="26"/>
      <c r="T29" s="26"/>
      <c r="U29" s="26"/>
      <c r="V29" s="26"/>
      <c r="W29" s="26"/>
      <c r="X29" s="26"/>
      <c r="Y29" s="159"/>
      <c r="Z29" s="26"/>
      <c r="AA29" s="26"/>
      <c r="AB29" s="26"/>
      <c r="AC29" s="26">
        <f>SUM(Q29:AB29)</f>
        <v>0</v>
      </c>
      <c r="AD29" s="26">
        <v>0</v>
      </c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>
        <f>SUM(AD29:AO29)</f>
        <v>0</v>
      </c>
      <c r="AQ29" s="24"/>
      <c r="AR29" s="24"/>
      <c r="AS29" s="24"/>
      <c r="AT29" s="24"/>
      <c r="AU29" s="24"/>
      <c r="AV29" s="24"/>
      <c r="AW29" s="24"/>
      <c r="AX29" s="24"/>
    </row>
    <row r="30" spans="1:50" s="12" customFormat="1" ht="15.75">
      <c r="A30" s="44" t="s">
        <v>140</v>
      </c>
      <c r="B30" s="123" t="s">
        <v>58</v>
      </c>
      <c r="C30" s="124">
        <f>C31</f>
        <v>105183834</v>
      </c>
      <c r="D30" s="124">
        <f aca="true" t="shared" si="8" ref="D30:AP30">D31</f>
        <v>9520400</v>
      </c>
      <c r="E30" s="124">
        <f t="shared" si="8"/>
        <v>15677891</v>
      </c>
      <c r="F30" s="124">
        <f t="shared" si="8"/>
        <v>635208.56</v>
      </c>
      <c r="G30" s="124">
        <f t="shared" si="8"/>
        <v>59322485.88</v>
      </c>
      <c r="H30" s="124">
        <f t="shared" si="8"/>
        <v>4973580.55</v>
      </c>
      <c r="I30" s="124">
        <f>I31</f>
        <v>493053.39</v>
      </c>
      <c r="J30" s="124">
        <f t="shared" si="8"/>
        <v>3498763.42</v>
      </c>
      <c r="K30" s="124">
        <f t="shared" si="8"/>
        <v>1587842.2</v>
      </c>
      <c r="L30" s="156">
        <f t="shared" si="8"/>
        <v>1383705.09</v>
      </c>
      <c r="M30" s="124">
        <f t="shared" si="8"/>
        <v>2353823.86</v>
      </c>
      <c r="N30" s="124">
        <f t="shared" si="8"/>
        <v>936165.01</v>
      </c>
      <c r="O30" s="128">
        <f t="shared" si="8"/>
        <v>1749711.4100000001</v>
      </c>
      <c r="P30" s="156">
        <f t="shared" si="8"/>
        <v>102132630.37</v>
      </c>
      <c r="Q30" s="124">
        <f t="shared" si="8"/>
        <v>9520400</v>
      </c>
      <c r="R30" s="124">
        <f t="shared" si="8"/>
        <v>6836241</v>
      </c>
      <c r="S30" s="124">
        <f t="shared" si="8"/>
        <v>9476858.56</v>
      </c>
      <c r="T30" s="124">
        <f t="shared" si="8"/>
        <v>57822817.88</v>
      </c>
      <c r="U30" s="124">
        <f t="shared" si="8"/>
        <v>4934680.95</v>
      </c>
      <c r="V30" s="124">
        <f t="shared" si="8"/>
        <v>1996246.39</v>
      </c>
      <c r="W30" s="124">
        <f t="shared" si="8"/>
        <v>3497161.42</v>
      </c>
      <c r="X30" s="124">
        <f t="shared" si="8"/>
        <v>1587842.2</v>
      </c>
      <c r="Y30" s="156">
        <f t="shared" si="8"/>
        <v>1383705.09</v>
      </c>
      <c r="Z30" s="124">
        <f t="shared" si="8"/>
        <v>2353823.86</v>
      </c>
      <c r="AA30" s="124">
        <f t="shared" si="8"/>
        <v>936027.01</v>
      </c>
      <c r="AB30" s="124">
        <f t="shared" si="8"/>
        <v>789767.3500000001</v>
      </c>
      <c r="AC30" s="124">
        <f t="shared" si="8"/>
        <v>101135571.71000001</v>
      </c>
      <c r="AD30" s="124">
        <f t="shared" si="8"/>
        <v>594400</v>
      </c>
      <c r="AE30" s="124">
        <f t="shared" si="8"/>
        <v>15752241</v>
      </c>
      <c r="AF30" s="124">
        <f t="shared" si="8"/>
        <v>9486858.56</v>
      </c>
      <c r="AG30" s="124">
        <f t="shared" si="8"/>
        <v>55500356.88</v>
      </c>
      <c r="AH30" s="124">
        <f t="shared" si="8"/>
        <v>3254141.95</v>
      </c>
      <c r="AI30" s="124">
        <f t="shared" si="8"/>
        <v>1996246.39</v>
      </c>
      <c r="AJ30" s="124">
        <f t="shared" si="8"/>
        <v>2361161.42</v>
      </c>
      <c r="AK30" s="124">
        <f t="shared" si="8"/>
        <v>1587842</v>
      </c>
      <c r="AL30" s="124">
        <f t="shared" si="8"/>
        <v>1383705.29</v>
      </c>
      <c r="AM30" s="124">
        <f t="shared" si="8"/>
        <v>2353823.86</v>
      </c>
      <c r="AN30" s="124">
        <f t="shared" si="8"/>
        <v>936027.01</v>
      </c>
      <c r="AO30" s="124">
        <f t="shared" si="8"/>
        <v>5928725.76</v>
      </c>
      <c r="AP30" s="125">
        <f t="shared" si="8"/>
        <v>101135530.12000002</v>
      </c>
      <c r="AQ30" s="24"/>
      <c r="AR30" s="24"/>
      <c r="AS30" s="24"/>
      <c r="AT30" s="24"/>
      <c r="AU30" s="24"/>
      <c r="AV30" s="24"/>
      <c r="AW30" s="24"/>
      <c r="AX30" s="24"/>
    </row>
    <row r="31" spans="1:50" s="12" customFormat="1" ht="15.75" thickBot="1">
      <c r="A31" s="44" t="s">
        <v>141</v>
      </c>
      <c r="B31" s="119" t="s">
        <v>108</v>
      </c>
      <c r="C31" s="21">
        <f>116418016-11234182</f>
        <v>105183834</v>
      </c>
      <c r="D31" s="21">
        <v>9520400</v>
      </c>
      <c r="E31" s="48">
        <v>15677891</v>
      </c>
      <c r="F31" s="48">
        <v>635208.56</v>
      </c>
      <c r="G31" s="120">
        <v>59322485.88</v>
      </c>
      <c r="H31" s="48">
        <v>4973580.55</v>
      </c>
      <c r="I31" s="121">
        <v>493053.39</v>
      </c>
      <c r="J31" s="48">
        <v>3498763.42</v>
      </c>
      <c r="K31" s="48">
        <v>1587842.2</v>
      </c>
      <c r="L31" s="158">
        <v>1383705.09</v>
      </c>
      <c r="M31" s="48">
        <v>2353823.86</v>
      </c>
      <c r="N31" s="48">
        <v>936165.01</v>
      </c>
      <c r="O31" s="48">
        <f>1796481.12-46769.71</f>
        <v>1749711.4100000001</v>
      </c>
      <c r="P31" s="153">
        <f>SUM(D31:O31)</f>
        <v>102132630.37</v>
      </c>
      <c r="Q31" s="21">
        <v>9520400</v>
      </c>
      <c r="R31" s="48">
        <v>6836241</v>
      </c>
      <c r="S31" s="48">
        <v>9476858.56</v>
      </c>
      <c r="T31" s="89">
        <v>57822817.88</v>
      </c>
      <c r="U31" s="48">
        <v>4934680.95</v>
      </c>
      <c r="V31" s="48">
        <v>1996246.39</v>
      </c>
      <c r="W31" s="48">
        <v>3497161.42</v>
      </c>
      <c r="X31" s="48">
        <v>1587842.2</v>
      </c>
      <c r="Y31" s="158">
        <v>1383705.09</v>
      </c>
      <c r="Z31" s="48">
        <v>2353823.86</v>
      </c>
      <c r="AA31" s="48">
        <v>936027.01</v>
      </c>
      <c r="AB31" s="48">
        <f>836537.06-46769.71</f>
        <v>789767.3500000001</v>
      </c>
      <c r="AC31" s="49">
        <f t="shared" si="6"/>
        <v>101135571.71000001</v>
      </c>
      <c r="AD31" s="21">
        <v>594400</v>
      </c>
      <c r="AE31" s="48">
        <v>15752241</v>
      </c>
      <c r="AF31" s="48">
        <v>9486858.56</v>
      </c>
      <c r="AG31" s="89">
        <v>55500356.88</v>
      </c>
      <c r="AH31" s="48">
        <v>3254141.95</v>
      </c>
      <c r="AI31" s="48">
        <v>1996246.39</v>
      </c>
      <c r="AJ31" s="48">
        <v>2361161.42</v>
      </c>
      <c r="AK31" s="48">
        <v>1587842</v>
      </c>
      <c r="AL31" s="26">
        <f>1383705.09+0.2</f>
        <v>1383705.29</v>
      </c>
      <c r="AM31" s="48">
        <v>2353823.86</v>
      </c>
      <c r="AN31" s="48">
        <v>936027.01</v>
      </c>
      <c r="AO31" s="48">
        <f>5975495.47-46769.71</f>
        <v>5928725.76</v>
      </c>
      <c r="AP31" s="75">
        <f t="shared" si="7"/>
        <v>101135530.12000002</v>
      </c>
      <c r="AQ31" s="24"/>
      <c r="AR31" s="24"/>
      <c r="AS31" s="24"/>
      <c r="AT31" s="24"/>
      <c r="AU31" s="24"/>
      <c r="AV31" s="24"/>
      <c r="AW31" s="24"/>
      <c r="AX31" s="24"/>
    </row>
    <row r="32" spans="1:50" s="46" customFormat="1" ht="16.5" thickBot="1">
      <c r="A32" s="36"/>
      <c r="B32" s="72" t="s">
        <v>84</v>
      </c>
      <c r="C32" s="33">
        <f>SUM(C33:C35)</f>
        <v>22934540</v>
      </c>
      <c r="D32" s="33">
        <f aca="true" t="shared" si="9" ref="D32:M32">SUM(D33:D35)</f>
        <v>0</v>
      </c>
      <c r="E32" s="33">
        <f t="shared" si="9"/>
        <v>0</v>
      </c>
      <c r="F32" s="33">
        <f t="shared" si="9"/>
        <v>0</v>
      </c>
      <c r="G32" s="33">
        <f t="shared" si="9"/>
        <v>0</v>
      </c>
      <c r="H32" s="33">
        <f t="shared" si="9"/>
        <v>0</v>
      </c>
      <c r="I32" s="33">
        <f t="shared" si="9"/>
        <v>0</v>
      </c>
      <c r="J32" s="33">
        <f t="shared" si="9"/>
        <v>5845356</v>
      </c>
      <c r="K32" s="33">
        <f t="shared" si="9"/>
        <v>0</v>
      </c>
      <c r="L32" s="152">
        <f t="shared" si="9"/>
        <v>0</v>
      </c>
      <c r="M32" s="33">
        <f t="shared" si="9"/>
        <v>1071200</v>
      </c>
      <c r="N32" s="33">
        <f aca="true" t="shared" si="10" ref="N32:AP32">SUM(N33:N35)</f>
        <v>1527902.42</v>
      </c>
      <c r="O32" s="33">
        <f t="shared" si="10"/>
        <v>4284.8</v>
      </c>
      <c r="P32" s="152">
        <f t="shared" si="10"/>
        <v>8448743.219999999</v>
      </c>
      <c r="Q32" s="33">
        <f t="shared" si="10"/>
        <v>0</v>
      </c>
      <c r="R32" s="33">
        <f t="shared" si="10"/>
        <v>0</v>
      </c>
      <c r="S32" s="33">
        <f t="shared" si="10"/>
        <v>0</v>
      </c>
      <c r="T32" s="33">
        <f t="shared" si="10"/>
        <v>0</v>
      </c>
      <c r="U32" s="33">
        <f t="shared" si="10"/>
        <v>0</v>
      </c>
      <c r="V32" s="33">
        <f t="shared" si="10"/>
        <v>0</v>
      </c>
      <c r="W32" s="33">
        <f t="shared" si="10"/>
        <v>5845356</v>
      </c>
      <c r="X32" s="33">
        <f t="shared" si="10"/>
        <v>0</v>
      </c>
      <c r="Y32" s="152">
        <f t="shared" si="10"/>
        <v>0</v>
      </c>
      <c r="Z32" s="33">
        <f t="shared" si="10"/>
        <v>1071200</v>
      </c>
      <c r="AA32" s="33">
        <f t="shared" si="10"/>
        <v>23381.42</v>
      </c>
      <c r="AB32" s="33">
        <f t="shared" si="10"/>
        <v>1508805.8</v>
      </c>
      <c r="AC32" s="33">
        <f t="shared" si="10"/>
        <v>8448743.219999999</v>
      </c>
      <c r="AD32" s="33">
        <f t="shared" si="10"/>
        <v>0</v>
      </c>
      <c r="AE32" s="33">
        <f t="shared" si="10"/>
        <v>0</v>
      </c>
      <c r="AF32" s="33">
        <f t="shared" si="10"/>
        <v>0</v>
      </c>
      <c r="AG32" s="33">
        <f t="shared" si="10"/>
        <v>0</v>
      </c>
      <c r="AH32" s="33">
        <f t="shared" si="10"/>
        <v>0</v>
      </c>
      <c r="AI32" s="33">
        <f t="shared" si="10"/>
        <v>0</v>
      </c>
      <c r="AJ32" s="33">
        <f t="shared" si="10"/>
        <v>5845356</v>
      </c>
      <c r="AK32" s="33">
        <f t="shared" si="10"/>
        <v>0</v>
      </c>
      <c r="AL32" s="33">
        <f t="shared" si="10"/>
        <v>0</v>
      </c>
      <c r="AM32" s="33">
        <f t="shared" si="10"/>
        <v>1071200</v>
      </c>
      <c r="AN32" s="33">
        <f t="shared" si="10"/>
        <v>23381.42</v>
      </c>
      <c r="AO32" s="33">
        <f t="shared" si="10"/>
        <v>1508805.8</v>
      </c>
      <c r="AP32" s="33">
        <f t="shared" si="10"/>
        <v>8448743.219999999</v>
      </c>
      <c r="AQ32" s="24"/>
      <c r="AR32" s="24"/>
      <c r="AS32" s="24"/>
      <c r="AT32" s="24"/>
      <c r="AU32" s="24"/>
      <c r="AV32" s="24"/>
      <c r="AW32" s="24"/>
      <c r="AX32" s="24"/>
    </row>
    <row r="33" spans="1:50" s="12" customFormat="1" ht="15">
      <c r="A33" s="81" t="s">
        <v>142</v>
      </c>
      <c r="B33" s="20" t="s">
        <v>83</v>
      </c>
      <c r="C33" s="21">
        <v>20352800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5845356</v>
      </c>
      <c r="K33" s="21">
        <v>0</v>
      </c>
      <c r="L33" s="161">
        <v>0</v>
      </c>
      <c r="M33" s="21"/>
      <c r="N33" s="21">
        <v>23381.42</v>
      </c>
      <c r="O33" s="21">
        <v>0</v>
      </c>
      <c r="P33" s="157">
        <f>SUM(D33:O33)</f>
        <v>5868737.42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5845356</v>
      </c>
      <c r="X33" s="48">
        <v>0</v>
      </c>
      <c r="Y33" s="161">
        <v>0</v>
      </c>
      <c r="Z33" s="21"/>
      <c r="AA33" s="21">
        <v>23381.42</v>
      </c>
      <c r="AB33" s="21">
        <v>0</v>
      </c>
      <c r="AC33" s="22">
        <f>SUM(Q33:AB33)</f>
        <v>5868737.42</v>
      </c>
      <c r="AD33" s="21"/>
      <c r="AE33" s="21">
        <v>0</v>
      </c>
      <c r="AF33" s="21"/>
      <c r="AG33" s="21"/>
      <c r="AH33" s="26">
        <v>0</v>
      </c>
      <c r="AI33" s="21">
        <v>0</v>
      </c>
      <c r="AJ33" s="21">
        <v>5845356</v>
      </c>
      <c r="AK33" s="21">
        <v>0</v>
      </c>
      <c r="AL33" s="21">
        <v>0</v>
      </c>
      <c r="AM33" s="21"/>
      <c r="AN33" s="21">
        <v>23381.42</v>
      </c>
      <c r="AO33" s="21">
        <v>0</v>
      </c>
      <c r="AP33" s="23">
        <f>SUM(AD33:AO33)</f>
        <v>5868737.42</v>
      </c>
      <c r="AQ33" s="24"/>
      <c r="AR33" s="24"/>
      <c r="AS33" s="24"/>
      <c r="AT33" s="24"/>
      <c r="AU33" s="24"/>
      <c r="AV33" s="24"/>
      <c r="AW33" s="24"/>
      <c r="AX33" s="24"/>
    </row>
    <row r="34" spans="1:50" s="12" customFormat="1" ht="15" hidden="1">
      <c r="A34" s="81" t="s">
        <v>93</v>
      </c>
      <c r="B34" s="20" t="s">
        <v>94</v>
      </c>
      <c r="C34" s="48"/>
      <c r="D34" s="48"/>
      <c r="E34" s="48"/>
      <c r="F34" s="48"/>
      <c r="G34" s="48"/>
      <c r="H34" s="48"/>
      <c r="I34" s="48"/>
      <c r="J34" s="48"/>
      <c r="K34" s="48"/>
      <c r="L34" s="158"/>
      <c r="M34" s="48"/>
      <c r="N34" s="48"/>
      <c r="O34" s="48"/>
      <c r="P34" s="157">
        <f>SUM(D34:O34)</f>
        <v>0</v>
      </c>
      <c r="Q34" s="48"/>
      <c r="R34" s="48"/>
      <c r="S34" s="48"/>
      <c r="T34" s="48"/>
      <c r="U34" s="48"/>
      <c r="V34" s="48"/>
      <c r="W34" s="48"/>
      <c r="X34" s="48">
        <v>0</v>
      </c>
      <c r="Y34" s="158"/>
      <c r="Z34" s="48"/>
      <c r="AA34" s="48"/>
      <c r="AB34" s="48"/>
      <c r="AC34" s="22">
        <f>SUM(Q34:AB34)</f>
        <v>0</v>
      </c>
      <c r="AD34" s="48"/>
      <c r="AE34" s="48"/>
      <c r="AF34" s="48"/>
      <c r="AG34" s="48"/>
      <c r="AH34" s="26">
        <v>0</v>
      </c>
      <c r="AI34" s="48"/>
      <c r="AJ34" s="48"/>
      <c r="AK34" s="48"/>
      <c r="AL34" s="48"/>
      <c r="AM34" s="48"/>
      <c r="AN34" s="48"/>
      <c r="AO34" s="48"/>
      <c r="AP34" s="23">
        <f>SUM(AD34:AO34)</f>
        <v>0</v>
      </c>
      <c r="AQ34" s="24"/>
      <c r="AR34" s="24"/>
      <c r="AS34" s="24"/>
      <c r="AT34" s="24"/>
      <c r="AU34" s="24"/>
      <c r="AV34" s="24"/>
      <c r="AW34" s="24"/>
      <c r="AX34" s="24"/>
    </row>
    <row r="35" spans="1:50" s="12" customFormat="1" ht="16.5" thickBot="1">
      <c r="A35" s="81" t="s">
        <v>143</v>
      </c>
      <c r="B35" s="119" t="s">
        <v>111</v>
      </c>
      <c r="C35" s="48">
        <f>65200000-62618260</f>
        <v>2581740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158">
        <v>0</v>
      </c>
      <c r="M35" s="48">
        <v>1071200</v>
      </c>
      <c r="N35" s="48">
        <v>1504521</v>
      </c>
      <c r="O35" s="48">
        <v>4284.8</v>
      </c>
      <c r="P35" s="153">
        <f>SUM(D35:O35)</f>
        <v>2580005.8</v>
      </c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124">
        <v>0</v>
      </c>
      <c r="Y35" s="158">
        <v>0</v>
      </c>
      <c r="Z35" s="48">
        <v>1071200</v>
      </c>
      <c r="AA35" s="48"/>
      <c r="AB35" s="48">
        <v>1508805.8</v>
      </c>
      <c r="AC35" s="22">
        <f>SUM(Q35:AB35)</f>
        <v>2580005.8</v>
      </c>
      <c r="AD35" s="48"/>
      <c r="AE35" s="48">
        <v>0</v>
      </c>
      <c r="AF35" s="48"/>
      <c r="AG35" s="48"/>
      <c r="AH35" s="26">
        <v>0</v>
      </c>
      <c r="AI35" s="48">
        <v>0</v>
      </c>
      <c r="AJ35" s="48"/>
      <c r="AK35" s="48">
        <v>0</v>
      </c>
      <c r="AL35" s="48">
        <v>0</v>
      </c>
      <c r="AM35" s="48">
        <v>1071200</v>
      </c>
      <c r="AN35" s="48"/>
      <c r="AO35" s="48">
        <v>1508805.8</v>
      </c>
      <c r="AP35" s="22">
        <f>SUM(AD35:AO35)</f>
        <v>2580005.8</v>
      </c>
      <c r="AQ35" s="24"/>
      <c r="AR35" s="24"/>
      <c r="AS35" s="24"/>
      <c r="AT35" s="24"/>
      <c r="AU35" s="24"/>
      <c r="AV35" s="24"/>
      <c r="AW35" s="24"/>
      <c r="AX35" s="24"/>
    </row>
    <row r="36" spans="1:50" s="29" customFormat="1" ht="16.5" thickBot="1">
      <c r="A36" s="82"/>
      <c r="B36" s="72" t="s">
        <v>61</v>
      </c>
      <c r="C36" s="33">
        <f aca="true" t="shared" si="11" ref="C36:AS36">SUM(C37:C38)</f>
        <v>9686000000</v>
      </c>
      <c r="D36" s="33">
        <f t="shared" si="11"/>
        <v>79701875</v>
      </c>
      <c r="E36" s="33">
        <f t="shared" si="11"/>
        <v>2051896500</v>
      </c>
      <c r="F36" s="33">
        <f t="shared" si="11"/>
        <v>26578282</v>
      </c>
      <c r="G36" s="33">
        <f t="shared" si="11"/>
        <v>39775345.99</v>
      </c>
      <c r="H36" s="33">
        <f t="shared" si="11"/>
        <v>113108577.44</v>
      </c>
      <c r="I36" s="33">
        <f t="shared" si="11"/>
        <v>97025672.14</v>
      </c>
      <c r="J36" s="33">
        <f t="shared" si="11"/>
        <v>761082788.97</v>
      </c>
      <c r="K36" s="33">
        <f t="shared" si="11"/>
        <v>671690906.09</v>
      </c>
      <c r="L36" s="152">
        <f t="shared" si="11"/>
        <v>350116306.63</v>
      </c>
      <c r="M36" s="33">
        <f t="shared" si="11"/>
        <v>1522368769.26</v>
      </c>
      <c r="N36" s="33">
        <f t="shared" si="11"/>
        <v>554258437.89</v>
      </c>
      <c r="O36" s="33">
        <f t="shared" si="11"/>
        <v>297450476.39</v>
      </c>
      <c r="P36" s="152">
        <f t="shared" si="11"/>
        <v>6565053937.800001</v>
      </c>
      <c r="Q36" s="33">
        <f t="shared" si="11"/>
        <v>0</v>
      </c>
      <c r="R36" s="33">
        <f t="shared" si="11"/>
        <v>265491848</v>
      </c>
      <c r="S36" s="33">
        <f t="shared" si="11"/>
        <v>655766590</v>
      </c>
      <c r="T36" s="33">
        <f t="shared" si="11"/>
        <v>347791134.98</v>
      </c>
      <c r="U36" s="33">
        <f t="shared" si="11"/>
        <v>758194400.44</v>
      </c>
      <c r="V36" s="33">
        <f t="shared" si="11"/>
        <v>94916051.15</v>
      </c>
      <c r="W36" s="33">
        <f t="shared" si="11"/>
        <v>112002056.97</v>
      </c>
      <c r="X36" s="33">
        <f t="shared" si="11"/>
        <v>340011656.09</v>
      </c>
      <c r="Y36" s="152">
        <f t="shared" si="11"/>
        <v>395237035.09</v>
      </c>
      <c r="Z36" s="33">
        <f t="shared" si="11"/>
        <v>598206251.26</v>
      </c>
      <c r="AA36" s="33">
        <f t="shared" si="11"/>
        <v>795375566.89</v>
      </c>
      <c r="AB36" s="33">
        <f t="shared" si="11"/>
        <v>2059662900.59</v>
      </c>
      <c r="AC36" s="33">
        <f t="shared" si="11"/>
        <v>6422655491.460001</v>
      </c>
      <c r="AD36" s="33">
        <f t="shared" si="11"/>
        <v>0</v>
      </c>
      <c r="AE36" s="33">
        <f t="shared" si="11"/>
        <v>16774068</v>
      </c>
      <c r="AF36" s="33">
        <f t="shared" si="11"/>
        <v>904484370</v>
      </c>
      <c r="AG36" s="33">
        <f t="shared" si="11"/>
        <v>341494734.98</v>
      </c>
      <c r="AH36" s="33">
        <f t="shared" si="11"/>
        <v>764490800.44</v>
      </c>
      <c r="AI36" s="33">
        <f t="shared" si="11"/>
        <v>94916051.15</v>
      </c>
      <c r="AJ36" s="33">
        <f t="shared" si="11"/>
        <v>112002056.97</v>
      </c>
      <c r="AK36" s="33">
        <f t="shared" si="11"/>
        <v>336471252.09</v>
      </c>
      <c r="AL36" s="33">
        <f t="shared" si="11"/>
        <v>398777439.09</v>
      </c>
      <c r="AM36" s="33">
        <f t="shared" si="11"/>
        <v>567437098.26</v>
      </c>
      <c r="AN36" s="33">
        <f t="shared" si="11"/>
        <v>817450229.89</v>
      </c>
      <c r="AO36" s="33">
        <f t="shared" si="11"/>
        <v>1291492112.88</v>
      </c>
      <c r="AP36" s="33">
        <f t="shared" si="11"/>
        <v>5645790213.750001</v>
      </c>
      <c r="AQ36" s="24"/>
      <c r="AR36" s="24"/>
      <c r="AS36" s="24"/>
      <c r="AT36" s="24"/>
      <c r="AU36" s="24"/>
      <c r="AV36" s="24"/>
      <c r="AW36" s="24"/>
      <c r="AX36" s="24"/>
    </row>
    <row r="37" spans="1:50" s="12" customFormat="1" ht="23.25" customHeight="1" thickBot="1">
      <c r="A37" s="47" t="s">
        <v>79</v>
      </c>
      <c r="B37" s="25" t="s">
        <v>59</v>
      </c>
      <c r="C37" s="26">
        <v>9686000000</v>
      </c>
      <c r="D37" s="27">
        <v>79701875</v>
      </c>
      <c r="E37" s="26">
        <v>2051896500</v>
      </c>
      <c r="F37" s="26">
        <v>26578282</v>
      </c>
      <c r="G37" s="26">
        <v>39775345.99</v>
      </c>
      <c r="H37" s="27">
        <v>113108577.44</v>
      </c>
      <c r="I37" s="26">
        <v>97025672.14</v>
      </c>
      <c r="J37" s="26">
        <v>761082788.97</v>
      </c>
      <c r="K37" s="127">
        <v>671690906.09</v>
      </c>
      <c r="L37" s="159">
        <v>350116306.63</v>
      </c>
      <c r="M37" s="26">
        <v>1522368769.26</v>
      </c>
      <c r="N37" s="26">
        <v>554258437.89</v>
      </c>
      <c r="O37" s="27">
        <v>297450476.39</v>
      </c>
      <c r="P37" s="157">
        <f>SUM(D37:O37)</f>
        <v>6565053937.800001</v>
      </c>
      <c r="Q37" s="27">
        <v>0</v>
      </c>
      <c r="R37" s="26">
        <v>265491848</v>
      </c>
      <c r="S37" s="26">
        <v>655766590</v>
      </c>
      <c r="T37" s="26">
        <v>347791134.98</v>
      </c>
      <c r="U37" s="26">
        <v>758194400.44</v>
      </c>
      <c r="V37" s="26">
        <v>94916051.15</v>
      </c>
      <c r="W37" s="26">
        <v>112002056.97</v>
      </c>
      <c r="X37" s="26">
        <v>340011656.09</v>
      </c>
      <c r="Y37" s="159">
        <v>395237035.09</v>
      </c>
      <c r="Z37" s="26">
        <v>598206251.26</v>
      </c>
      <c r="AA37" s="26">
        <v>795375566.89</v>
      </c>
      <c r="AB37" s="26">
        <v>2059662900.59</v>
      </c>
      <c r="AC37" s="49">
        <f>SUM(Q37:AB37)</f>
        <v>6422655491.460001</v>
      </c>
      <c r="AD37" s="27">
        <v>0</v>
      </c>
      <c r="AE37" s="26">
        <v>16774068</v>
      </c>
      <c r="AF37" s="26">
        <v>904484370</v>
      </c>
      <c r="AG37" s="26">
        <v>341494734.98</v>
      </c>
      <c r="AH37" s="26">
        <v>764490800.44</v>
      </c>
      <c r="AI37" s="26">
        <v>94916051.15</v>
      </c>
      <c r="AJ37" s="26">
        <v>112002056.97</v>
      </c>
      <c r="AK37" s="26">
        <v>336471252.09</v>
      </c>
      <c r="AL37" s="26">
        <v>398777439.09</v>
      </c>
      <c r="AM37" s="26">
        <v>567437098.26</v>
      </c>
      <c r="AN37" s="26">
        <v>817450229.89</v>
      </c>
      <c r="AO37" s="26">
        <v>1291492112.88</v>
      </c>
      <c r="AP37" s="22">
        <f>SUM(AD37:AO37)</f>
        <v>5645790213.750001</v>
      </c>
      <c r="AQ37" s="24"/>
      <c r="AR37" s="24"/>
      <c r="AS37" s="24"/>
      <c r="AT37" s="24"/>
      <c r="AU37" s="24"/>
      <c r="AV37" s="24"/>
      <c r="AW37" s="24"/>
      <c r="AX37" s="24"/>
    </row>
    <row r="38" spans="1:50" s="12" customFormat="1" ht="31.5" customHeight="1" hidden="1" thickBot="1">
      <c r="A38" s="47" t="s">
        <v>92</v>
      </c>
      <c r="B38" s="116" t="s">
        <v>91</v>
      </c>
      <c r="C38" s="48"/>
      <c r="D38" s="27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27"/>
      <c r="P38" s="150">
        <f>SUM(D38:O38)</f>
        <v>0</v>
      </c>
      <c r="Q38" s="27"/>
      <c r="R38" s="48"/>
      <c r="S38" s="48"/>
      <c r="T38" s="48"/>
      <c r="U38" s="49"/>
      <c r="V38" s="48"/>
      <c r="W38" s="48"/>
      <c r="X38" s="48"/>
      <c r="Y38" s="48"/>
      <c r="Z38" s="48"/>
      <c r="AA38" s="48"/>
      <c r="AB38" s="48"/>
      <c r="AC38" s="26">
        <f>SUM(Q38:AB38)</f>
        <v>0</v>
      </c>
      <c r="AD38" s="27"/>
      <c r="AE38" s="48"/>
      <c r="AF38" s="48"/>
      <c r="AG38" s="48"/>
      <c r="AH38" s="49"/>
      <c r="AI38" s="48"/>
      <c r="AJ38" s="48"/>
      <c r="AK38" s="48"/>
      <c r="AL38" s="48"/>
      <c r="AM38" s="48"/>
      <c r="AN38" s="48"/>
      <c r="AO38" s="48"/>
      <c r="AP38" s="28">
        <f>SUM(AD38:AO38)</f>
        <v>0</v>
      </c>
      <c r="AQ38" s="24"/>
      <c r="AR38" s="24"/>
      <c r="AS38" s="24"/>
      <c r="AT38" s="24"/>
      <c r="AU38" s="24"/>
      <c r="AV38" s="24"/>
      <c r="AW38" s="24"/>
      <c r="AX38" s="24"/>
    </row>
    <row r="39" spans="1:42" s="24" customFormat="1" ht="18.75" thickBot="1">
      <c r="A39" s="195" t="s">
        <v>50</v>
      </c>
      <c r="B39" s="196"/>
      <c r="C39" s="30">
        <f aca="true" t="shared" si="12" ref="C39:O39">SUM(C14+C36)</f>
        <v>10792865059</v>
      </c>
      <c r="D39" s="30">
        <f t="shared" si="12"/>
        <v>108482210</v>
      </c>
      <c r="E39" s="30">
        <f t="shared" si="12"/>
        <v>2126715022.85</v>
      </c>
      <c r="F39" s="30">
        <f t="shared" si="12"/>
        <v>70849207.7</v>
      </c>
      <c r="G39" s="30">
        <f t="shared" si="12"/>
        <v>168097705.77</v>
      </c>
      <c r="H39" s="30">
        <f t="shared" si="12"/>
        <v>181222687.79</v>
      </c>
      <c r="I39" s="30">
        <f t="shared" si="12"/>
        <v>146433528.26</v>
      </c>
      <c r="J39" s="30">
        <f t="shared" si="12"/>
        <v>832347013.69</v>
      </c>
      <c r="K39" s="30">
        <f t="shared" si="12"/>
        <v>730906994.75</v>
      </c>
      <c r="L39" s="30">
        <f t="shared" si="12"/>
        <v>442766474.01</v>
      </c>
      <c r="M39" s="30">
        <f t="shared" si="12"/>
        <v>1595845017.73</v>
      </c>
      <c r="N39" s="30">
        <f t="shared" si="12"/>
        <v>637699980.93</v>
      </c>
      <c r="O39" s="115">
        <f t="shared" si="12"/>
        <v>569208098.16</v>
      </c>
      <c r="P39" s="157">
        <f aca="true" t="shared" si="13" ref="P39:AP39">SUM(P14+P36)</f>
        <v>7610573941.640001</v>
      </c>
      <c r="Q39" s="115">
        <f t="shared" si="13"/>
        <v>11642319</v>
      </c>
      <c r="R39" s="115">
        <f t="shared" si="13"/>
        <v>304214910.92</v>
      </c>
      <c r="S39" s="115">
        <f t="shared" si="13"/>
        <v>705309613.63</v>
      </c>
      <c r="T39" s="115">
        <f t="shared" si="13"/>
        <v>459975657.76</v>
      </c>
      <c r="U39" s="115">
        <f t="shared" si="13"/>
        <v>819115605.0100001</v>
      </c>
      <c r="V39" s="115">
        <f t="shared" si="13"/>
        <v>154855682.35000002</v>
      </c>
      <c r="W39" s="115">
        <f t="shared" si="13"/>
        <v>198038498.79</v>
      </c>
      <c r="X39" s="115">
        <f t="shared" si="13"/>
        <v>407177756.75</v>
      </c>
      <c r="Y39" s="115">
        <f t="shared" si="13"/>
        <v>478163012.46999997</v>
      </c>
      <c r="Z39" s="115">
        <f t="shared" si="13"/>
        <v>686873286.73</v>
      </c>
      <c r="AA39" s="115">
        <f t="shared" si="13"/>
        <v>863318805.55</v>
      </c>
      <c r="AB39" s="115">
        <f t="shared" si="13"/>
        <v>2373769551.18</v>
      </c>
      <c r="AC39" s="115">
        <f t="shared" si="13"/>
        <v>7462454700.140001</v>
      </c>
      <c r="AD39" s="115">
        <f t="shared" si="13"/>
        <v>2560728</v>
      </c>
      <c r="AE39" s="115">
        <f t="shared" si="13"/>
        <v>49779579.92</v>
      </c>
      <c r="AF39" s="115">
        <f t="shared" si="13"/>
        <v>968751006.94</v>
      </c>
      <c r="AG39" s="115">
        <f t="shared" si="13"/>
        <v>448583522.45000005</v>
      </c>
      <c r="AH39" s="115">
        <f t="shared" si="13"/>
        <v>826325569.0100001</v>
      </c>
      <c r="AI39" s="115">
        <f t="shared" si="13"/>
        <v>155110382.35000002</v>
      </c>
      <c r="AJ39" s="115">
        <f t="shared" si="13"/>
        <v>187651238.79</v>
      </c>
      <c r="AK39" s="115">
        <f t="shared" si="13"/>
        <v>409678393.54999995</v>
      </c>
      <c r="AL39" s="115">
        <f t="shared" si="13"/>
        <v>482631645.66999996</v>
      </c>
      <c r="AM39" s="115">
        <f t="shared" si="13"/>
        <v>656104133.73</v>
      </c>
      <c r="AN39" s="115">
        <f t="shared" si="13"/>
        <v>885020868.55</v>
      </c>
      <c r="AO39" s="115">
        <f t="shared" si="13"/>
        <v>1500134113.54</v>
      </c>
      <c r="AP39" s="115">
        <f t="shared" si="13"/>
        <v>6572331182.500001</v>
      </c>
    </row>
    <row r="40" spans="1:50" ht="12.75">
      <c r="A40" s="111" t="s">
        <v>175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49"/>
      <c r="Y40" s="10"/>
      <c r="Z40" s="10"/>
      <c r="AA40" s="10"/>
      <c r="AB40" s="149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1"/>
      <c r="AQ40" s="24"/>
      <c r="AR40" s="24"/>
      <c r="AS40" s="24"/>
      <c r="AT40" s="24"/>
      <c r="AU40" s="24"/>
      <c r="AV40" s="24"/>
      <c r="AW40" s="24"/>
      <c r="AX40" s="24"/>
    </row>
    <row r="41" spans="1:50" ht="15" customHeight="1">
      <c r="A41" s="197" t="s">
        <v>180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9"/>
      <c r="AQ41" s="24"/>
      <c r="AR41" s="24"/>
      <c r="AS41" s="24"/>
      <c r="AT41" s="24"/>
      <c r="AU41" s="24"/>
      <c r="AV41" s="24"/>
      <c r="AW41" s="24"/>
      <c r="AX41" s="24"/>
    </row>
    <row r="42" spans="1:84" ht="27.75" customHeight="1">
      <c r="A42" s="200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9"/>
      <c r="AQ42" s="24"/>
      <c r="AR42" s="24"/>
      <c r="AS42" s="24"/>
      <c r="AT42" s="24"/>
      <c r="AU42" s="24"/>
      <c r="AV42" s="24"/>
      <c r="AW42" s="24"/>
      <c r="AX42" s="24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</row>
    <row r="43" spans="1:84" ht="15" customHeight="1" hidden="1">
      <c r="A43" s="200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9"/>
      <c r="AQ43" s="24"/>
      <c r="AR43" s="24"/>
      <c r="AS43" s="24"/>
      <c r="AT43" s="24"/>
      <c r="AU43" s="24"/>
      <c r="AV43" s="24"/>
      <c r="AW43" s="24"/>
      <c r="AX43" s="24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</row>
    <row r="44" spans="1:84" ht="15" customHeight="1" hidden="1">
      <c r="A44" s="200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9"/>
      <c r="AQ44" s="24"/>
      <c r="AR44" s="24"/>
      <c r="AS44" s="24"/>
      <c r="AT44" s="24"/>
      <c r="AU44" s="24"/>
      <c r="AV44" s="24"/>
      <c r="AW44" s="24"/>
      <c r="AX44" s="24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</row>
    <row r="45" spans="1:256" ht="15" customHeight="1">
      <c r="A45" s="200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9"/>
      <c r="AQ45" s="24"/>
      <c r="AR45" s="24"/>
      <c r="AS45" s="24"/>
      <c r="AT45" s="24"/>
      <c r="AU45" s="24"/>
      <c r="AV45" s="24"/>
      <c r="AW45" s="24"/>
      <c r="AX45" s="24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74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9"/>
      <c r="DW45" s="174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9"/>
      <c r="FM45" s="174"/>
      <c r="FN45" s="178"/>
      <c r="FO45" s="178"/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8"/>
      <c r="GC45" s="178"/>
      <c r="GD45" s="178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8"/>
      <c r="GP45" s="178"/>
      <c r="GQ45" s="178"/>
      <c r="GR45" s="178"/>
      <c r="GS45" s="178"/>
      <c r="GT45" s="178"/>
      <c r="GU45" s="178"/>
      <c r="GV45" s="178"/>
      <c r="GW45" s="178"/>
      <c r="GX45" s="178"/>
      <c r="GY45" s="178"/>
      <c r="GZ45" s="178"/>
      <c r="HA45" s="178"/>
      <c r="HB45" s="179"/>
      <c r="HC45" s="174"/>
      <c r="HD45" s="178"/>
      <c r="HE45" s="178"/>
      <c r="HF45" s="178"/>
      <c r="HG45" s="178"/>
      <c r="HH45" s="178"/>
      <c r="HI45" s="178"/>
      <c r="HJ45" s="178"/>
      <c r="HK45" s="178"/>
      <c r="HL45" s="178"/>
      <c r="HM45" s="178"/>
      <c r="HN45" s="178"/>
      <c r="HO45" s="178"/>
      <c r="HP45" s="178"/>
      <c r="HQ45" s="178"/>
      <c r="HR45" s="178"/>
      <c r="HS45" s="178"/>
      <c r="HT45" s="178"/>
      <c r="HU45" s="178"/>
      <c r="HV45" s="178"/>
      <c r="HW45" s="178"/>
      <c r="HX45" s="178"/>
      <c r="HY45" s="178"/>
      <c r="HZ45" s="178"/>
      <c r="IA45" s="178"/>
      <c r="IB45" s="178"/>
      <c r="IC45" s="178"/>
      <c r="ID45" s="178"/>
      <c r="IE45" s="178"/>
      <c r="IF45" s="178"/>
      <c r="IG45" s="178"/>
      <c r="IH45" s="178"/>
      <c r="II45" s="178"/>
      <c r="IJ45" s="178"/>
      <c r="IK45" s="178"/>
      <c r="IL45" s="178"/>
      <c r="IM45" s="178"/>
      <c r="IN45" s="178"/>
      <c r="IO45" s="178"/>
      <c r="IP45" s="178"/>
      <c r="IQ45" s="178"/>
      <c r="IR45" s="179"/>
      <c r="IS45" s="174"/>
      <c r="IT45" s="178"/>
      <c r="IU45" s="178"/>
      <c r="IV45" s="178"/>
    </row>
    <row r="46" spans="1:256" ht="15">
      <c r="A46" s="200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9"/>
      <c r="AQ46" s="24"/>
      <c r="AR46" s="24"/>
      <c r="AS46" s="24"/>
      <c r="AT46" s="24"/>
      <c r="AU46" s="24"/>
      <c r="AV46" s="24"/>
      <c r="AW46" s="24"/>
      <c r="AX46" s="24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74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9"/>
      <c r="DW46" s="174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9"/>
      <c r="FM46" s="174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79"/>
      <c r="HC46" s="174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8"/>
      <c r="HS46" s="178"/>
      <c r="HT46" s="178"/>
      <c r="HU46" s="178"/>
      <c r="HV46" s="178"/>
      <c r="HW46" s="178"/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  <c r="IR46" s="179"/>
      <c r="IS46" s="174"/>
      <c r="IT46" s="178"/>
      <c r="IU46" s="178"/>
      <c r="IV46" s="178"/>
    </row>
    <row r="47" spans="1:256" ht="15">
      <c r="A47" s="167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5"/>
      <c r="AQ47" s="24"/>
      <c r="AR47" s="24"/>
      <c r="AS47" s="24"/>
      <c r="AT47" s="24"/>
      <c r="AU47" s="24"/>
      <c r="AV47" s="24"/>
      <c r="AW47" s="24"/>
      <c r="AX47" s="24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66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3"/>
      <c r="DO47" s="163"/>
      <c r="DP47" s="163"/>
      <c r="DQ47" s="163"/>
      <c r="DR47" s="163"/>
      <c r="DS47" s="163"/>
      <c r="DT47" s="163"/>
      <c r="DU47" s="163"/>
      <c r="DV47" s="166"/>
      <c r="DW47" s="166"/>
      <c r="DX47" s="163"/>
      <c r="DY47" s="163"/>
      <c r="DZ47" s="163"/>
      <c r="EA47" s="163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3"/>
      <c r="EO47" s="163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3"/>
      <c r="FC47" s="163"/>
      <c r="FD47" s="163"/>
      <c r="FE47" s="163"/>
      <c r="FF47" s="163"/>
      <c r="FG47" s="163"/>
      <c r="FH47" s="163"/>
      <c r="FI47" s="163"/>
      <c r="FJ47" s="163"/>
      <c r="FK47" s="163"/>
      <c r="FL47" s="166"/>
      <c r="FM47" s="166"/>
      <c r="FN47" s="163"/>
      <c r="FO47" s="163"/>
      <c r="FP47" s="163"/>
      <c r="FQ47" s="163"/>
      <c r="FR47" s="163"/>
      <c r="FS47" s="163"/>
      <c r="FT47" s="163"/>
      <c r="FU47" s="163"/>
      <c r="FV47" s="163"/>
      <c r="FW47" s="163"/>
      <c r="FX47" s="163"/>
      <c r="FY47" s="163"/>
      <c r="FZ47" s="163"/>
      <c r="GA47" s="163"/>
      <c r="GB47" s="163"/>
      <c r="GC47" s="163"/>
      <c r="GD47" s="163"/>
      <c r="GE47" s="163"/>
      <c r="GF47" s="163"/>
      <c r="GG47" s="163"/>
      <c r="GH47" s="163"/>
      <c r="GI47" s="163"/>
      <c r="GJ47" s="163"/>
      <c r="GK47" s="163"/>
      <c r="GL47" s="163"/>
      <c r="GM47" s="163"/>
      <c r="GN47" s="163"/>
      <c r="GO47" s="163"/>
      <c r="GP47" s="163"/>
      <c r="GQ47" s="163"/>
      <c r="GR47" s="163"/>
      <c r="GS47" s="163"/>
      <c r="GT47" s="163"/>
      <c r="GU47" s="163"/>
      <c r="GV47" s="163"/>
      <c r="GW47" s="163"/>
      <c r="GX47" s="163"/>
      <c r="GY47" s="163"/>
      <c r="GZ47" s="163"/>
      <c r="HA47" s="163"/>
      <c r="HB47" s="166"/>
      <c r="HC47" s="166"/>
      <c r="HD47" s="163"/>
      <c r="HE47" s="163"/>
      <c r="HF47" s="163"/>
      <c r="HG47" s="163"/>
      <c r="HH47" s="163"/>
      <c r="HI47" s="163"/>
      <c r="HJ47" s="163"/>
      <c r="HK47" s="163"/>
      <c r="HL47" s="163"/>
      <c r="HM47" s="163"/>
      <c r="HN47" s="163"/>
      <c r="HO47" s="163"/>
      <c r="HP47" s="163"/>
      <c r="HQ47" s="163"/>
      <c r="HR47" s="163"/>
      <c r="HS47" s="163"/>
      <c r="HT47" s="163"/>
      <c r="HU47" s="163"/>
      <c r="HV47" s="163"/>
      <c r="HW47" s="163"/>
      <c r="HX47" s="163"/>
      <c r="HY47" s="163"/>
      <c r="HZ47" s="163"/>
      <c r="IA47" s="163"/>
      <c r="IB47" s="163"/>
      <c r="IC47" s="163"/>
      <c r="ID47" s="163"/>
      <c r="IE47" s="163"/>
      <c r="IF47" s="163"/>
      <c r="IG47" s="163"/>
      <c r="IH47" s="163"/>
      <c r="II47" s="163"/>
      <c r="IJ47" s="163"/>
      <c r="IK47" s="163"/>
      <c r="IL47" s="163"/>
      <c r="IM47" s="163"/>
      <c r="IN47" s="163"/>
      <c r="IO47" s="163"/>
      <c r="IP47" s="163"/>
      <c r="IQ47" s="163"/>
      <c r="IR47" s="166"/>
      <c r="IS47" s="166"/>
      <c r="IT47" s="163"/>
      <c r="IU47" s="163"/>
      <c r="IV47" s="163"/>
    </row>
    <row r="48" spans="1:256" ht="15">
      <c r="A48" s="167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9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5"/>
      <c r="AQ48" s="24"/>
      <c r="AR48" s="24"/>
      <c r="AS48" s="24"/>
      <c r="AT48" s="24"/>
      <c r="AU48" s="24"/>
      <c r="AV48" s="24"/>
      <c r="AW48" s="24"/>
      <c r="AX48" s="24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66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6"/>
      <c r="DW48" s="166"/>
      <c r="DX48" s="163"/>
      <c r="DY48" s="163"/>
      <c r="DZ48" s="163"/>
      <c r="EA48" s="163"/>
      <c r="EB48" s="163"/>
      <c r="EC48" s="163"/>
      <c r="ED48" s="163"/>
      <c r="EE48" s="163"/>
      <c r="EF48" s="163"/>
      <c r="EG48" s="163"/>
      <c r="EH48" s="163"/>
      <c r="EI48" s="163"/>
      <c r="EJ48" s="163"/>
      <c r="EK48" s="163"/>
      <c r="EL48" s="163"/>
      <c r="EM48" s="163"/>
      <c r="EN48" s="163"/>
      <c r="EO48" s="163"/>
      <c r="EP48" s="163"/>
      <c r="EQ48" s="163"/>
      <c r="ER48" s="163"/>
      <c r="ES48" s="163"/>
      <c r="ET48" s="163"/>
      <c r="EU48" s="163"/>
      <c r="EV48" s="163"/>
      <c r="EW48" s="163"/>
      <c r="EX48" s="163"/>
      <c r="EY48" s="163"/>
      <c r="EZ48" s="163"/>
      <c r="FA48" s="163"/>
      <c r="FB48" s="163"/>
      <c r="FC48" s="163"/>
      <c r="FD48" s="163"/>
      <c r="FE48" s="163"/>
      <c r="FF48" s="163"/>
      <c r="FG48" s="163"/>
      <c r="FH48" s="163"/>
      <c r="FI48" s="163"/>
      <c r="FJ48" s="163"/>
      <c r="FK48" s="163"/>
      <c r="FL48" s="166"/>
      <c r="FM48" s="166"/>
      <c r="FN48" s="163"/>
      <c r="FO48" s="163"/>
      <c r="FP48" s="163"/>
      <c r="FQ48" s="163"/>
      <c r="FR48" s="163"/>
      <c r="FS48" s="163"/>
      <c r="FT48" s="163"/>
      <c r="FU48" s="163"/>
      <c r="FV48" s="163"/>
      <c r="FW48" s="163"/>
      <c r="FX48" s="163"/>
      <c r="FY48" s="163"/>
      <c r="FZ48" s="163"/>
      <c r="GA48" s="163"/>
      <c r="GB48" s="163"/>
      <c r="GC48" s="163"/>
      <c r="GD48" s="163"/>
      <c r="GE48" s="163"/>
      <c r="GF48" s="163"/>
      <c r="GG48" s="163"/>
      <c r="GH48" s="163"/>
      <c r="GI48" s="163"/>
      <c r="GJ48" s="163"/>
      <c r="GK48" s="163"/>
      <c r="GL48" s="163"/>
      <c r="GM48" s="163"/>
      <c r="GN48" s="163"/>
      <c r="GO48" s="163"/>
      <c r="GP48" s="163"/>
      <c r="GQ48" s="163"/>
      <c r="GR48" s="163"/>
      <c r="GS48" s="163"/>
      <c r="GT48" s="163"/>
      <c r="GU48" s="163"/>
      <c r="GV48" s="163"/>
      <c r="GW48" s="163"/>
      <c r="GX48" s="163"/>
      <c r="GY48" s="163"/>
      <c r="GZ48" s="163"/>
      <c r="HA48" s="163"/>
      <c r="HB48" s="166"/>
      <c r="HC48" s="166"/>
      <c r="HD48" s="163"/>
      <c r="HE48" s="163"/>
      <c r="HF48" s="163"/>
      <c r="HG48" s="163"/>
      <c r="HH48" s="163"/>
      <c r="HI48" s="163"/>
      <c r="HJ48" s="163"/>
      <c r="HK48" s="163"/>
      <c r="HL48" s="163"/>
      <c r="HM48" s="163"/>
      <c r="HN48" s="163"/>
      <c r="HO48" s="163"/>
      <c r="HP48" s="163"/>
      <c r="HQ48" s="163"/>
      <c r="HR48" s="163"/>
      <c r="HS48" s="163"/>
      <c r="HT48" s="163"/>
      <c r="HU48" s="163"/>
      <c r="HV48" s="163"/>
      <c r="HW48" s="163"/>
      <c r="HX48" s="163"/>
      <c r="HY48" s="163"/>
      <c r="HZ48" s="163"/>
      <c r="IA48" s="163"/>
      <c r="IB48" s="163"/>
      <c r="IC48" s="163"/>
      <c r="ID48" s="163"/>
      <c r="IE48" s="163"/>
      <c r="IF48" s="163"/>
      <c r="IG48" s="163"/>
      <c r="IH48" s="163"/>
      <c r="II48" s="163"/>
      <c r="IJ48" s="163"/>
      <c r="IK48" s="163"/>
      <c r="IL48" s="163"/>
      <c r="IM48" s="163"/>
      <c r="IN48" s="163"/>
      <c r="IO48" s="163"/>
      <c r="IP48" s="163"/>
      <c r="IQ48" s="163"/>
      <c r="IR48" s="166"/>
      <c r="IS48" s="166"/>
      <c r="IT48" s="163"/>
      <c r="IU48" s="163"/>
      <c r="IV48" s="163"/>
    </row>
    <row r="49" spans="1:256" ht="15">
      <c r="A49" s="167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5"/>
      <c r="AQ49" s="24"/>
      <c r="AR49" s="24"/>
      <c r="AS49" s="24"/>
      <c r="AT49" s="24"/>
      <c r="AU49" s="24"/>
      <c r="AV49" s="24"/>
      <c r="AW49" s="24"/>
      <c r="AX49" s="24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66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6"/>
      <c r="DW49" s="166"/>
      <c r="DX49" s="163"/>
      <c r="DY49" s="163"/>
      <c r="DZ49" s="163"/>
      <c r="EA49" s="163"/>
      <c r="EB49" s="163"/>
      <c r="EC49" s="163"/>
      <c r="ED49" s="163"/>
      <c r="EE49" s="163"/>
      <c r="EF49" s="163"/>
      <c r="EG49" s="163"/>
      <c r="EH49" s="163"/>
      <c r="EI49" s="163"/>
      <c r="EJ49" s="163"/>
      <c r="EK49" s="163"/>
      <c r="EL49" s="163"/>
      <c r="EM49" s="163"/>
      <c r="EN49" s="163"/>
      <c r="EO49" s="163"/>
      <c r="EP49" s="163"/>
      <c r="EQ49" s="163"/>
      <c r="ER49" s="163"/>
      <c r="ES49" s="163"/>
      <c r="ET49" s="163"/>
      <c r="EU49" s="163"/>
      <c r="EV49" s="163"/>
      <c r="EW49" s="163"/>
      <c r="EX49" s="163"/>
      <c r="EY49" s="163"/>
      <c r="EZ49" s="163"/>
      <c r="FA49" s="163"/>
      <c r="FB49" s="163"/>
      <c r="FC49" s="163"/>
      <c r="FD49" s="163"/>
      <c r="FE49" s="163"/>
      <c r="FF49" s="163"/>
      <c r="FG49" s="163"/>
      <c r="FH49" s="163"/>
      <c r="FI49" s="163"/>
      <c r="FJ49" s="163"/>
      <c r="FK49" s="163"/>
      <c r="FL49" s="166"/>
      <c r="FM49" s="166"/>
      <c r="FN49" s="163"/>
      <c r="FO49" s="163"/>
      <c r="FP49" s="163"/>
      <c r="FQ49" s="163"/>
      <c r="FR49" s="163"/>
      <c r="FS49" s="163"/>
      <c r="FT49" s="163"/>
      <c r="FU49" s="163"/>
      <c r="FV49" s="163"/>
      <c r="FW49" s="163"/>
      <c r="FX49" s="163"/>
      <c r="FY49" s="163"/>
      <c r="FZ49" s="163"/>
      <c r="GA49" s="163"/>
      <c r="GB49" s="163"/>
      <c r="GC49" s="163"/>
      <c r="GD49" s="163"/>
      <c r="GE49" s="163"/>
      <c r="GF49" s="163"/>
      <c r="GG49" s="163"/>
      <c r="GH49" s="163"/>
      <c r="GI49" s="163"/>
      <c r="GJ49" s="163"/>
      <c r="GK49" s="163"/>
      <c r="GL49" s="163"/>
      <c r="GM49" s="163"/>
      <c r="GN49" s="163"/>
      <c r="GO49" s="163"/>
      <c r="GP49" s="163"/>
      <c r="GQ49" s="163"/>
      <c r="GR49" s="163"/>
      <c r="GS49" s="163"/>
      <c r="GT49" s="163"/>
      <c r="GU49" s="163"/>
      <c r="GV49" s="163"/>
      <c r="GW49" s="163"/>
      <c r="GX49" s="163"/>
      <c r="GY49" s="163"/>
      <c r="GZ49" s="163"/>
      <c r="HA49" s="163"/>
      <c r="HB49" s="166"/>
      <c r="HC49" s="166"/>
      <c r="HD49" s="163"/>
      <c r="HE49" s="163"/>
      <c r="HF49" s="163"/>
      <c r="HG49" s="163"/>
      <c r="HH49" s="163"/>
      <c r="HI49" s="163"/>
      <c r="HJ49" s="163"/>
      <c r="HK49" s="163"/>
      <c r="HL49" s="163"/>
      <c r="HM49" s="163"/>
      <c r="HN49" s="163"/>
      <c r="HO49" s="163"/>
      <c r="HP49" s="163"/>
      <c r="HQ49" s="163"/>
      <c r="HR49" s="163"/>
      <c r="HS49" s="163"/>
      <c r="HT49" s="163"/>
      <c r="HU49" s="163"/>
      <c r="HV49" s="163"/>
      <c r="HW49" s="163"/>
      <c r="HX49" s="163"/>
      <c r="HY49" s="163"/>
      <c r="HZ49" s="163"/>
      <c r="IA49" s="163"/>
      <c r="IB49" s="163"/>
      <c r="IC49" s="163"/>
      <c r="ID49" s="163"/>
      <c r="IE49" s="163"/>
      <c r="IF49" s="163"/>
      <c r="IG49" s="163"/>
      <c r="IH49" s="163"/>
      <c r="II49" s="163"/>
      <c r="IJ49" s="163"/>
      <c r="IK49" s="163"/>
      <c r="IL49" s="163"/>
      <c r="IM49" s="163"/>
      <c r="IN49" s="163"/>
      <c r="IO49" s="163"/>
      <c r="IP49" s="163"/>
      <c r="IQ49" s="163"/>
      <c r="IR49" s="166"/>
      <c r="IS49" s="166"/>
      <c r="IT49" s="163"/>
      <c r="IU49" s="163"/>
      <c r="IV49" s="163"/>
    </row>
    <row r="50" spans="1:84" ht="15.75" thickBot="1">
      <c r="A50" s="4"/>
      <c r="B50" s="76" t="s">
        <v>85</v>
      </c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 t="s">
        <v>86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  <c r="AQ50" s="24"/>
      <c r="AR50" s="24"/>
      <c r="AS50" s="24"/>
      <c r="AT50" s="24"/>
      <c r="AU50" s="24"/>
      <c r="AV50" s="24"/>
      <c r="AW50" s="24"/>
      <c r="AX50" s="24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</row>
    <row r="51" spans="1:84" ht="15.75">
      <c r="A51" s="4"/>
      <c r="B51" s="65"/>
      <c r="C51" s="192" t="s">
        <v>115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5"/>
      <c r="R51" s="5"/>
      <c r="S51" s="5"/>
      <c r="T51" s="5"/>
      <c r="U51" s="37"/>
      <c r="V51" s="5"/>
      <c r="W51" s="5"/>
      <c r="X51" s="5"/>
      <c r="Y51" s="5"/>
      <c r="Z51" s="5"/>
      <c r="AA51" s="5"/>
      <c r="AB51" s="5"/>
      <c r="AC51" s="137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</row>
    <row r="52" spans="1:84" ht="15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6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</row>
    <row r="53" spans="1:84" ht="15.75" thickBot="1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9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</row>
    <row r="54" spans="3:84" ht="1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</row>
    <row r="55" spans="3:84" ht="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O55" s="1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</row>
    <row r="56" spans="3:84" ht="1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</row>
    <row r="57" spans="3:45" ht="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>
        <f>67943238.66-AA14</f>
        <v>0</v>
      </c>
      <c r="AB57" s="12"/>
      <c r="AC57" s="12"/>
      <c r="AP57" s="12"/>
      <c r="AS57" s="132"/>
    </row>
    <row r="58" spans="3:45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v>34450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S58" s="132"/>
    </row>
    <row r="59" spans="3:29" ht="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v>2150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3:29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v>8502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3:29" ht="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v>8712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3:29" ht="1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 t="s">
        <v>181</v>
      </c>
      <c r="P62" s="12">
        <f>SUM(P58:P61)</f>
        <v>53814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3:29" ht="1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2:40" ht="1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v>46954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2:40" ht="1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v>45651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:40" ht="1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 t="s">
        <v>182</v>
      </c>
      <c r="P66" s="12">
        <v>10805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2:40" ht="1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2:40" ht="1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2:40" ht="1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:40" ht="1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2:40" ht="1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2:40" ht="1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2:40" ht="1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2:40" ht="1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t="15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1:40" ht="15">
      <c r="A76" s="168">
        <f>14854410.03-14901179.74</f>
        <v>-46769.710000000894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1:40" ht="15">
      <c r="A77" s="168">
        <f>43455063.28-43683063.28</f>
        <v>-228000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1:40" ht="1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1:40" ht="15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1:16" ht="15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</row>
    <row r="81" spans="1:16" ht="15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</row>
    <row r="82" spans="1:16" ht="15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</row>
    <row r="83" spans="1:16" ht="15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</row>
    <row r="84" spans="1:16" ht="15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</row>
    <row r="85" spans="1:16" ht="15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</row>
    <row r="86" spans="1:16" ht="1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</row>
    <row r="87" spans="1:16" ht="15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</row>
    <row r="88" spans="1:16" ht="15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</row>
    <row r="89" spans="1:16" ht="15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</row>
    <row r="90" spans="1:16" ht="15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</row>
    <row r="91" spans="1:16" ht="1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</row>
    <row r="92" spans="1:16" ht="15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</row>
    <row r="93" spans="1:16" ht="1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</row>
    <row r="94" spans="1:16" ht="15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</row>
    <row r="95" spans="1:16" ht="15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</row>
    <row r="96" spans="1:16" ht="15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</row>
    <row r="97" spans="1:16" ht="15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</row>
    <row r="98" spans="1:16" ht="15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</row>
    <row r="99" spans="1:16" ht="15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</row>
    <row r="100" spans="1:16" ht="15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</row>
    <row r="101" spans="1:16" ht="15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</row>
    <row r="102" spans="1:16" ht="15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</row>
  </sheetData>
  <sheetProtection/>
  <mergeCells count="15">
    <mergeCell ref="HC45:IR46"/>
    <mergeCell ref="IS45:IV46"/>
    <mergeCell ref="A41:AP46"/>
    <mergeCell ref="CG45:DV46"/>
    <mergeCell ref="DW45:FL46"/>
    <mergeCell ref="FM45:HB46"/>
    <mergeCell ref="A1:AP1"/>
    <mergeCell ref="A2:AP2"/>
    <mergeCell ref="A3:AP3"/>
    <mergeCell ref="A4:AP4"/>
    <mergeCell ref="C51:P51"/>
    <mergeCell ref="A5:AP5"/>
    <mergeCell ref="A7:B7"/>
    <mergeCell ref="A8:B8"/>
    <mergeCell ref="A39:B39"/>
  </mergeCells>
  <printOptions horizontalCentered="1" verticalCentered="1"/>
  <pageMargins left="1.28" right="0.15748031496062992" top="0.1968503937007874" bottom="0.1968503937007874" header="0" footer="0.1968503937007874"/>
  <pageSetup horizontalDpi="300" verticalDpi="300" orientation="landscape" paperSize="5" scale="75" r:id="rId1"/>
  <headerFooter alignWithMargins="0">
    <oddHeader>&amp;CPágina &amp;P&amp;RHACIENDA2011.xls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="75" zoomScaleNormal="75" zoomScalePageLayoutView="0" workbookViewId="0" topLeftCell="A1">
      <selection activeCell="R15" sqref="R15"/>
    </sheetView>
  </sheetViews>
  <sheetFormatPr defaultColWidth="11.421875" defaultRowHeight="12.75"/>
  <cols>
    <col min="1" max="1" width="13.28125" style="1" customWidth="1"/>
    <col min="2" max="2" width="54.00390625" style="1" customWidth="1"/>
    <col min="3" max="3" width="19.57421875" style="1" customWidth="1"/>
    <col min="4" max="4" width="19.7109375" style="1" hidden="1" customWidth="1"/>
    <col min="5" max="5" width="21.421875" style="1" hidden="1" customWidth="1"/>
    <col min="6" max="13" width="22.7109375" style="1" hidden="1" customWidth="1"/>
    <col min="14" max="14" width="21.7109375" style="1" hidden="1" customWidth="1"/>
    <col min="15" max="15" width="21.7109375" style="1" customWidth="1"/>
    <col min="16" max="16" width="20.421875" style="1" customWidth="1"/>
    <col min="17" max="17" width="11.8515625" style="1" bestFit="1" customWidth="1"/>
    <col min="18" max="18" width="18.57421875" style="1" customWidth="1"/>
    <col min="19" max="19" width="17.140625" style="1" customWidth="1"/>
    <col min="20" max="16384" width="11.421875" style="1" customWidth="1"/>
  </cols>
  <sheetData>
    <row r="1" spans="1:16" ht="18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2"/>
    </row>
    <row r="2" spans="1:16" ht="15.7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</row>
    <row r="3" spans="1:16" ht="18">
      <c r="A3" s="186" t="s">
        <v>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</row>
    <row r="4" spans="1:16" ht="15.75">
      <c r="A4" s="183" t="s">
        <v>56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20.25">
      <c r="A5" s="189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</row>
    <row r="6" spans="1:16" ht="12.7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2"/>
    </row>
    <row r="7" spans="1:16" ht="15.75">
      <c r="A7" s="193" t="s">
        <v>4</v>
      </c>
      <c r="B7" s="194"/>
      <c r="C7" s="67" t="s">
        <v>48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3" t="s">
        <v>179</v>
      </c>
    </row>
    <row r="8" spans="1:16" ht="15.75">
      <c r="A8" s="193" t="s">
        <v>5</v>
      </c>
      <c r="B8" s="194"/>
      <c r="C8" s="66" t="s">
        <v>57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69">
        <v>2011</v>
      </c>
    </row>
    <row r="9" spans="1:16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6"/>
    </row>
    <row r="10" spans="1:16" ht="12.75">
      <c r="A10" s="103"/>
      <c r="B10" s="104"/>
      <c r="C10" s="104" t="s">
        <v>89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1" spans="1:16" ht="12.75">
      <c r="A11" s="105" t="s">
        <v>40</v>
      </c>
      <c r="B11" s="105" t="s">
        <v>42</v>
      </c>
      <c r="C11" s="105" t="s">
        <v>55</v>
      </c>
      <c r="D11" s="105" t="s">
        <v>46</v>
      </c>
      <c r="E11" s="105" t="s">
        <v>46</v>
      </c>
      <c r="F11" s="105" t="s">
        <v>46</v>
      </c>
      <c r="G11" s="105" t="s">
        <v>46</v>
      </c>
      <c r="H11" s="105" t="s">
        <v>46</v>
      </c>
      <c r="I11" s="105" t="s">
        <v>46</v>
      </c>
      <c r="J11" s="105" t="s">
        <v>46</v>
      </c>
      <c r="K11" s="105" t="s">
        <v>46</v>
      </c>
      <c r="L11" s="105" t="s">
        <v>46</v>
      </c>
      <c r="M11" s="105" t="s">
        <v>46</v>
      </c>
      <c r="N11" s="105" t="s">
        <v>46</v>
      </c>
      <c r="O11" s="105" t="s">
        <v>46</v>
      </c>
      <c r="P11" s="105" t="s">
        <v>46</v>
      </c>
    </row>
    <row r="12" spans="1:16" ht="13.5" thickBot="1">
      <c r="A12" s="106" t="s">
        <v>41</v>
      </c>
      <c r="B12" s="106"/>
      <c r="C12" s="106" t="s">
        <v>88</v>
      </c>
      <c r="D12" s="106" t="s">
        <v>13</v>
      </c>
      <c r="E12" s="106" t="s">
        <v>14</v>
      </c>
      <c r="F12" s="106" t="s">
        <v>15</v>
      </c>
      <c r="G12" s="106" t="s">
        <v>16</v>
      </c>
      <c r="H12" s="106" t="s">
        <v>28</v>
      </c>
      <c r="I12" s="106" t="s">
        <v>29</v>
      </c>
      <c r="J12" s="106" t="s">
        <v>30</v>
      </c>
      <c r="K12" s="106" t="s">
        <v>20</v>
      </c>
      <c r="L12" s="106" t="s">
        <v>21</v>
      </c>
      <c r="M12" s="106" t="s">
        <v>31</v>
      </c>
      <c r="N12" s="106" t="s">
        <v>23</v>
      </c>
      <c r="O12" s="106" t="s">
        <v>24</v>
      </c>
      <c r="P12" s="106" t="s">
        <v>25</v>
      </c>
    </row>
    <row r="13" spans="1:16" ht="13.5" thickBot="1">
      <c r="A13" s="107">
        <v>1</v>
      </c>
      <c r="B13" s="108">
        <v>2</v>
      </c>
      <c r="C13" s="108"/>
      <c r="D13" s="108"/>
      <c r="E13" s="108"/>
      <c r="F13" s="108"/>
      <c r="G13" s="139">
        <v>7</v>
      </c>
      <c r="H13" s="139"/>
      <c r="I13" s="139"/>
      <c r="J13" s="139"/>
      <c r="K13" s="139"/>
      <c r="L13" s="139"/>
      <c r="M13" s="139"/>
      <c r="N13" s="139"/>
      <c r="O13" s="139"/>
      <c r="P13" s="109">
        <v>8</v>
      </c>
    </row>
    <row r="14" spans="1:16" ht="16.5" thickBot="1">
      <c r="A14" s="31"/>
      <c r="B14" s="71" t="s">
        <v>60</v>
      </c>
      <c r="C14" s="32">
        <f aca="true" t="shared" si="0" ref="C14:P14">C15</f>
        <v>41116155.379999995</v>
      </c>
      <c r="D14" s="32">
        <f t="shared" si="0"/>
        <v>0</v>
      </c>
      <c r="E14" s="32">
        <f t="shared" si="0"/>
        <v>40952346</v>
      </c>
      <c r="F14" s="32">
        <f t="shared" si="0"/>
        <v>0</v>
      </c>
      <c r="G14" s="32">
        <f t="shared" si="0"/>
        <v>0</v>
      </c>
      <c r="H14" s="32">
        <f t="shared" si="0"/>
        <v>76454</v>
      </c>
      <c r="I14" s="32">
        <f t="shared" si="0"/>
        <v>87355.38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41116155.379999995</v>
      </c>
    </row>
    <row r="15" spans="1:16" ht="16.5" thickBot="1">
      <c r="A15" s="74"/>
      <c r="B15" s="72" t="s">
        <v>63</v>
      </c>
      <c r="C15" s="43">
        <f aca="true" t="shared" si="1" ref="C15:P15">SUM(C16)</f>
        <v>41116155.379999995</v>
      </c>
      <c r="D15" s="43">
        <f t="shared" si="1"/>
        <v>0</v>
      </c>
      <c r="E15" s="43">
        <f t="shared" si="1"/>
        <v>40952346</v>
      </c>
      <c r="F15" s="43">
        <f t="shared" si="1"/>
        <v>0</v>
      </c>
      <c r="G15" s="43">
        <f t="shared" si="1"/>
        <v>0</v>
      </c>
      <c r="H15" s="43">
        <f t="shared" si="1"/>
        <v>76454</v>
      </c>
      <c r="I15" s="43">
        <f t="shared" si="1"/>
        <v>87355.38</v>
      </c>
      <c r="J15" s="43">
        <f t="shared" si="1"/>
        <v>0</v>
      </c>
      <c r="K15" s="43">
        <f t="shared" si="1"/>
        <v>0</v>
      </c>
      <c r="L15" s="43">
        <f t="shared" si="1"/>
        <v>0</v>
      </c>
      <c r="M15" s="43">
        <f t="shared" si="1"/>
        <v>0</v>
      </c>
      <c r="N15" s="43">
        <f t="shared" si="1"/>
        <v>0</v>
      </c>
      <c r="O15" s="43">
        <f t="shared" si="1"/>
        <v>0</v>
      </c>
      <c r="P15" s="43">
        <f t="shared" si="1"/>
        <v>41116155.379999995</v>
      </c>
    </row>
    <row r="16" spans="1:16" ht="15.75">
      <c r="A16" s="44" t="s">
        <v>126</v>
      </c>
      <c r="B16" s="122" t="s">
        <v>95</v>
      </c>
      <c r="C16" s="126">
        <f>C17+C19+C22</f>
        <v>41116155.379999995</v>
      </c>
      <c r="D16" s="126">
        <f aca="true" t="shared" si="2" ref="D16:P16">D17+D19+D22</f>
        <v>0</v>
      </c>
      <c r="E16" s="126">
        <f t="shared" si="2"/>
        <v>40952346</v>
      </c>
      <c r="F16" s="126">
        <f t="shared" si="2"/>
        <v>0</v>
      </c>
      <c r="G16" s="126">
        <f t="shared" si="2"/>
        <v>0</v>
      </c>
      <c r="H16" s="126">
        <f t="shared" si="2"/>
        <v>76454</v>
      </c>
      <c r="I16" s="126">
        <f t="shared" si="2"/>
        <v>87355.38</v>
      </c>
      <c r="J16" s="126">
        <f t="shared" si="2"/>
        <v>0</v>
      </c>
      <c r="K16" s="126">
        <f t="shared" si="2"/>
        <v>0</v>
      </c>
      <c r="L16" s="126">
        <f t="shared" si="2"/>
        <v>0</v>
      </c>
      <c r="M16" s="126">
        <f t="shared" si="2"/>
        <v>0</v>
      </c>
      <c r="N16" s="126">
        <f t="shared" si="2"/>
        <v>0</v>
      </c>
      <c r="O16" s="126">
        <f t="shared" si="2"/>
        <v>0</v>
      </c>
      <c r="P16" s="126">
        <f t="shared" si="2"/>
        <v>41116155.379999995</v>
      </c>
    </row>
    <row r="17" spans="1:16" ht="15.75">
      <c r="A17" s="44" t="s">
        <v>149</v>
      </c>
      <c r="B17" s="122" t="s">
        <v>150</v>
      </c>
      <c r="C17" s="126">
        <f>C18</f>
        <v>16512096.36</v>
      </c>
      <c r="D17" s="126">
        <f>D18</f>
        <v>0</v>
      </c>
      <c r="E17" s="126">
        <f aca="true" t="shared" si="3" ref="E17:P17">E18</f>
        <v>16446311.12</v>
      </c>
      <c r="F17" s="126">
        <f t="shared" si="3"/>
        <v>0</v>
      </c>
      <c r="G17" s="126">
        <f t="shared" si="3"/>
        <v>0</v>
      </c>
      <c r="H17" s="126">
        <f t="shared" si="3"/>
        <v>55506.36</v>
      </c>
      <c r="I17" s="126">
        <f t="shared" si="3"/>
        <v>10278.88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16512096.36</v>
      </c>
    </row>
    <row r="18" spans="1:16" ht="15.75">
      <c r="A18" s="44" t="s">
        <v>151</v>
      </c>
      <c r="B18" s="25" t="s">
        <v>152</v>
      </c>
      <c r="C18" s="26">
        <f>2580000+1000425.76+12931670.6</f>
        <v>16512096.36</v>
      </c>
      <c r="D18" s="26">
        <v>0</v>
      </c>
      <c r="E18" s="26">
        <v>16446311.12</v>
      </c>
      <c r="F18" s="126"/>
      <c r="G18" s="26">
        <v>0</v>
      </c>
      <c r="H18" s="26">
        <v>55506.36</v>
      </c>
      <c r="I18" s="126">
        <v>10278.88</v>
      </c>
      <c r="J18" s="126">
        <v>0</v>
      </c>
      <c r="K18" s="126">
        <v>0</v>
      </c>
      <c r="L18" s="126">
        <v>0</v>
      </c>
      <c r="M18" s="126"/>
      <c r="N18" s="126"/>
      <c r="O18" s="126">
        <v>0</v>
      </c>
      <c r="P18" s="23">
        <f>SUM(D18:L18)</f>
        <v>16512096.36</v>
      </c>
    </row>
    <row r="19" spans="1:16" ht="15.75">
      <c r="A19" s="44" t="s">
        <v>153</v>
      </c>
      <c r="B19" s="122" t="s">
        <v>98</v>
      </c>
      <c r="C19" s="126">
        <f>C20+C21</f>
        <v>11965422</v>
      </c>
      <c r="D19" s="126">
        <f>D20+D21</f>
        <v>0</v>
      </c>
      <c r="E19" s="126">
        <f aca="true" t="shared" si="4" ref="E19:P19">E20+E21</f>
        <v>11917751</v>
      </c>
      <c r="F19" s="126">
        <f t="shared" si="4"/>
        <v>0</v>
      </c>
      <c r="G19" s="126">
        <f t="shared" si="4"/>
        <v>0</v>
      </c>
      <c r="H19" s="126">
        <f t="shared" si="4"/>
        <v>0</v>
      </c>
      <c r="I19" s="126">
        <f t="shared" si="4"/>
        <v>47671</v>
      </c>
      <c r="J19" s="126">
        <f t="shared" si="4"/>
        <v>0</v>
      </c>
      <c r="K19" s="126">
        <f t="shared" si="4"/>
        <v>0</v>
      </c>
      <c r="L19" s="126">
        <f t="shared" si="4"/>
        <v>0</v>
      </c>
      <c r="M19" s="126">
        <f t="shared" si="4"/>
        <v>0</v>
      </c>
      <c r="N19" s="126">
        <f t="shared" si="4"/>
        <v>0</v>
      </c>
      <c r="O19" s="126">
        <f t="shared" si="4"/>
        <v>0</v>
      </c>
      <c r="P19" s="126">
        <f t="shared" si="4"/>
        <v>11965422</v>
      </c>
    </row>
    <row r="20" spans="1:16" ht="15.75">
      <c r="A20" s="44" t="s">
        <v>154</v>
      </c>
      <c r="B20" s="25" t="s">
        <v>155</v>
      </c>
      <c r="C20" s="159">
        <v>2375543.31</v>
      </c>
      <c r="D20" s="26">
        <v>0</v>
      </c>
      <c r="E20" s="26">
        <v>2366079</v>
      </c>
      <c r="F20" s="126"/>
      <c r="G20" s="26">
        <v>0</v>
      </c>
      <c r="H20" s="126">
        <v>0</v>
      </c>
      <c r="I20" s="126">
        <v>9464.31</v>
      </c>
      <c r="J20" s="126">
        <v>0</v>
      </c>
      <c r="K20" s="126">
        <v>0</v>
      </c>
      <c r="L20" s="126">
        <v>0</v>
      </c>
      <c r="M20" s="126"/>
      <c r="N20" s="126"/>
      <c r="O20" s="126">
        <v>0</v>
      </c>
      <c r="P20" s="23">
        <f>SUM(D20:O20)</f>
        <v>2375543.31</v>
      </c>
    </row>
    <row r="21" spans="1:16" ht="15.75">
      <c r="A21" s="44" t="s">
        <v>156</v>
      </c>
      <c r="B21" s="25" t="s">
        <v>157</v>
      </c>
      <c r="C21" s="26">
        <v>9589878.69</v>
      </c>
      <c r="D21" s="26">
        <v>0</v>
      </c>
      <c r="E21" s="26">
        <v>9551672</v>
      </c>
      <c r="F21" s="126"/>
      <c r="G21" s="26">
        <v>0</v>
      </c>
      <c r="H21" s="126">
        <v>0</v>
      </c>
      <c r="I21" s="126">
        <v>38206.69</v>
      </c>
      <c r="J21" s="126">
        <v>0</v>
      </c>
      <c r="K21" s="126">
        <v>0</v>
      </c>
      <c r="L21" s="126">
        <v>0</v>
      </c>
      <c r="M21" s="126"/>
      <c r="N21" s="126"/>
      <c r="O21" s="126">
        <v>0</v>
      </c>
      <c r="P21" s="23">
        <f>SUM(D21:I21)</f>
        <v>9589878.69</v>
      </c>
    </row>
    <row r="22" spans="1:16" ht="15.75">
      <c r="A22" s="44" t="s">
        <v>127</v>
      </c>
      <c r="B22" s="122" t="s">
        <v>99</v>
      </c>
      <c r="C22" s="126">
        <f>C23+C24</f>
        <v>12638637.02</v>
      </c>
      <c r="D22" s="126">
        <f aca="true" t="shared" si="5" ref="D22:P22">D23+D24</f>
        <v>0</v>
      </c>
      <c r="E22" s="126">
        <f t="shared" si="5"/>
        <v>12588283.879999999</v>
      </c>
      <c r="F22" s="126">
        <f t="shared" si="5"/>
        <v>0</v>
      </c>
      <c r="G22" s="126">
        <f t="shared" si="5"/>
        <v>0</v>
      </c>
      <c r="H22" s="126">
        <f t="shared" si="5"/>
        <v>20947.64</v>
      </c>
      <c r="I22" s="126">
        <f t="shared" si="5"/>
        <v>29405.5</v>
      </c>
      <c r="J22" s="126">
        <f t="shared" si="5"/>
        <v>0</v>
      </c>
      <c r="K22" s="126">
        <f t="shared" si="5"/>
        <v>0</v>
      </c>
      <c r="L22" s="126">
        <f t="shared" si="5"/>
        <v>0</v>
      </c>
      <c r="M22" s="126">
        <f t="shared" si="5"/>
        <v>0</v>
      </c>
      <c r="N22" s="126">
        <f t="shared" si="5"/>
        <v>0</v>
      </c>
      <c r="O22" s="126">
        <f t="shared" si="5"/>
        <v>0</v>
      </c>
      <c r="P22" s="126">
        <f t="shared" si="5"/>
        <v>12638637.02</v>
      </c>
    </row>
    <row r="23" spans="1:16" ht="15.75">
      <c r="A23" s="44" t="s">
        <v>159</v>
      </c>
      <c r="B23" s="25" t="s">
        <v>160</v>
      </c>
      <c r="C23" s="26">
        <v>4500686.02</v>
      </c>
      <c r="D23" s="26">
        <v>0</v>
      </c>
      <c r="E23" s="26">
        <v>4482755</v>
      </c>
      <c r="F23" s="126"/>
      <c r="G23" s="26">
        <v>0</v>
      </c>
      <c r="H23" s="26">
        <v>17931.02</v>
      </c>
      <c r="I23" s="126">
        <v>0</v>
      </c>
      <c r="J23" s="126">
        <v>0</v>
      </c>
      <c r="K23" s="126">
        <v>0</v>
      </c>
      <c r="L23" s="126">
        <v>0</v>
      </c>
      <c r="M23" s="126"/>
      <c r="N23" s="126"/>
      <c r="O23" s="126">
        <v>0</v>
      </c>
      <c r="P23" s="23">
        <f>SUM(D23:I23)</f>
        <v>4500686.02</v>
      </c>
    </row>
    <row r="24" spans="1:16" ht="16.5" thickBot="1">
      <c r="A24" s="44" t="s">
        <v>158</v>
      </c>
      <c r="B24" s="25" t="s">
        <v>145</v>
      </c>
      <c r="C24" s="26">
        <v>8137951</v>
      </c>
      <c r="D24" s="26">
        <v>0</v>
      </c>
      <c r="E24" s="26">
        <v>8105528.88</v>
      </c>
      <c r="F24" s="126"/>
      <c r="G24" s="26">
        <v>0</v>
      </c>
      <c r="H24" s="26">
        <v>3016.62</v>
      </c>
      <c r="I24" s="126">
        <v>29405.5</v>
      </c>
      <c r="J24" s="126">
        <v>0</v>
      </c>
      <c r="K24" s="126">
        <v>0</v>
      </c>
      <c r="L24" s="126">
        <v>0</v>
      </c>
      <c r="M24" s="126"/>
      <c r="N24" s="126"/>
      <c r="O24" s="126">
        <v>0</v>
      </c>
      <c r="P24" s="23">
        <f>SUM(D24:I24)</f>
        <v>8137951</v>
      </c>
    </row>
    <row r="25" spans="1:16" ht="16.5" thickBot="1">
      <c r="A25" s="82"/>
      <c r="B25" s="72" t="s">
        <v>61</v>
      </c>
      <c r="C25" s="33">
        <f aca="true" t="shared" si="6" ref="C25:P25">SUM(C26:C26)</f>
        <v>21405800.06</v>
      </c>
      <c r="D25" s="33">
        <f t="shared" si="6"/>
        <v>0</v>
      </c>
      <c r="E25" s="33">
        <f t="shared" si="6"/>
        <v>21320518</v>
      </c>
      <c r="F25" s="33">
        <f t="shared" si="6"/>
        <v>0</v>
      </c>
      <c r="G25" s="33">
        <f t="shared" si="6"/>
        <v>0</v>
      </c>
      <c r="H25" s="33">
        <f t="shared" si="6"/>
        <v>0</v>
      </c>
      <c r="I25" s="33">
        <f>I26</f>
        <v>85282.06</v>
      </c>
      <c r="J25" s="33">
        <f>SUM(J16:J24)</f>
        <v>0</v>
      </c>
      <c r="K25" s="33"/>
      <c r="L25" s="33">
        <f t="shared" si="6"/>
        <v>0</v>
      </c>
      <c r="M25" s="33"/>
      <c r="N25" s="33"/>
      <c r="O25" s="33">
        <f t="shared" si="6"/>
        <v>0</v>
      </c>
      <c r="P25" s="34">
        <f t="shared" si="6"/>
        <v>21405800.06</v>
      </c>
    </row>
    <row r="26" spans="1:18" ht="15.75" thickBot="1">
      <c r="A26" s="47" t="s">
        <v>79</v>
      </c>
      <c r="B26" s="25" t="s">
        <v>59</v>
      </c>
      <c r="C26" s="159">
        <v>21405800.06</v>
      </c>
      <c r="D26" s="27">
        <v>0</v>
      </c>
      <c r="E26" s="26">
        <v>21320518</v>
      </c>
      <c r="F26" s="26">
        <v>0</v>
      </c>
      <c r="G26" s="138">
        <v>0</v>
      </c>
      <c r="H26" s="138">
        <v>0</v>
      </c>
      <c r="I26" s="138">
        <v>85282.06</v>
      </c>
      <c r="J26" s="138">
        <v>0</v>
      </c>
      <c r="K26" s="138"/>
      <c r="L26" s="138">
        <v>0</v>
      </c>
      <c r="M26" s="138"/>
      <c r="N26" s="138"/>
      <c r="O26" s="138">
        <v>0</v>
      </c>
      <c r="P26" s="23">
        <f>SUM(D26:I26)</f>
        <v>21405800.06</v>
      </c>
      <c r="Q26" s="12"/>
      <c r="R26" s="12"/>
    </row>
    <row r="27" spans="1:16" ht="18.75" thickBot="1">
      <c r="A27" s="195" t="s">
        <v>50</v>
      </c>
      <c r="B27" s="196"/>
      <c r="C27" s="30">
        <f>SUM(C14+C25)</f>
        <v>62521955.44</v>
      </c>
      <c r="D27" s="30">
        <f aca="true" t="shared" si="7" ref="D27:P27">SUM(D14+D25)</f>
        <v>0</v>
      </c>
      <c r="E27" s="30">
        <f t="shared" si="7"/>
        <v>62272864</v>
      </c>
      <c r="F27" s="30">
        <f t="shared" si="7"/>
        <v>0</v>
      </c>
      <c r="G27" s="30">
        <f t="shared" si="7"/>
        <v>0</v>
      </c>
      <c r="H27" s="30">
        <f t="shared" si="7"/>
        <v>76454</v>
      </c>
      <c r="I27" s="30">
        <f t="shared" si="7"/>
        <v>172637.44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si="7"/>
        <v>0</v>
      </c>
      <c r="P27" s="30">
        <f t="shared" si="7"/>
        <v>62521955.44</v>
      </c>
    </row>
    <row r="28" spans="1:16" ht="12.75">
      <c r="A28" s="111" t="s">
        <v>175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.75">
      <c r="A29" s="11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" customHeight="1">
      <c r="A30" s="201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3"/>
    </row>
    <row r="31" spans="1:16" ht="12.75">
      <c r="A31" s="6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6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62">
        <f ca="1">TODAY()</f>
        <v>40939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3.5" thickBot="1">
      <c r="A34" s="4"/>
      <c r="B34" s="76" t="s">
        <v>85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77" t="s">
        <v>118</v>
      </c>
      <c r="C35" s="3"/>
      <c r="D35" s="6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3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3.5" thickBo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sheetProtection/>
  <mergeCells count="9">
    <mergeCell ref="A30:P30"/>
    <mergeCell ref="A5:P5"/>
    <mergeCell ref="A27:B27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48818897637796" right="0.6692913385826772" top="0.1968503937007874" bottom="0.1968503937007874" header="0" footer="0.1968503937007874"/>
  <pageSetup horizontalDpi="300" verticalDpi="300" orientation="landscape" paperSize="5" scale="9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37"/>
  <sheetViews>
    <sheetView zoomScale="75" zoomScaleNormal="75" zoomScalePageLayoutView="0" workbookViewId="0" topLeftCell="A4">
      <selection activeCell="AD11" sqref="AD11:AE42"/>
    </sheetView>
  </sheetViews>
  <sheetFormatPr defaultColWidth="11.421875" defaultRowHeight="12.75"/>
  <cols>
    <col min="1" max="1" width="15.8515625" style="1" customWidth="1"/>
    <col min="2" max="2" width="55.28125" style="1" customWidth="1"/>
    <col min="3" max="3" width="30.710937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2.140625" style="1" hidden="1" customWidth="1"/>
    <col min="8" max="8" width="0.13671875" style="1" customWidth="1"/>
    <col min="9" max="9" width="14.7109375" style="1" hidden="1" customWidth="1"/>
    <col min="10" max="10" width="14.8515625" style="1" hidden="1" customWidth="1"/>
    <col min="11" max="11" width="23.421875" style="1" hidden="1" customWidth="1"/>
    <col min="12" max="12" width="23.28125" style="1" hidden="1" customWidth="1"/>
    <col min="13" max="13" width="23.57421875" style="1" hidden="1" customWidth="1"/>
    <col min="14" max="14" width="18.8515625" style="1" hidden="1" customWidth="1"/>
    <col min="15" max="15" width="19.421875" style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hidden="1" customWidth="1"/>
    <col min="22" max="22" width="0.13671875" style="1" customWidth="1"/>
    <col min="23" max="23" width="20.7109375" style="1" hidden="1" customWidth="1"/>
    <col min="24" max="24" width="18.8515625" style="1" hidden="1" customWidth="1"/>
    <col min="25" max="25" width="19.00390625" style="1" hidden="1" customWidth="1"/>
    <col min="26" max="26" width="22.421875" style="1" hidden="1" customWidth="1"/>
    <col min="27" max="27" width="19.8515625" style="1" hidden="1" customWidth="1"/>
    <col min="28" max="28" width="20.57421875" style="1" customWidth="1"/>
    <col min="29" max="29" width="21.421875" style="1" customWidth="1"/>
    <col min="30" max="30" width="20.8515625" style="1" bestFit="1" customWidth="1"/>
    <col min="31" max="31" width="31.00390625" style="1" bestFit="1" customWidth="1"/>
    <col min="32" max="32" width="17.28125" style="1" customWidth="1"/>
    <col min="33" max="16384" width="11.421875" style="1" customWidth="1"/>
  </cols>
  <sheetData>
    <row r="1" spans="1:29" ht="18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2"/>
    </row>
    <row r="2" spans="1:29" ht="15.7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5"/>
    </row>
    <row r="3" spans="1:29" ht="18">
      <c r="A3" s="186" t="s">
        <v>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</row>
    <row r="4" spans="1:29" ht="15.75">
      <c r="A4" s="183" t="s">
        <v>53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5"/>
    </row>
    <row r="5" spans="1:29" ht="20.25">
      <c r="A5" s="189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1"/>
    </row>
    <row r="6" spans="1:30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7"/>
      <c r="V6" s="51"/>
      <c r="W6" s="51"/>
      <c r="X6" s="51"/>
      <c r="Y6" s="51"/>
      <c r="Z6" s="51"/>
      <c r="AA6" s="51"/>
      <c r="AB6" s="51"/>
      <c r="AC6" s="52"/>
      <c r="AD6" s="37"/>
    </row>
    <row r="7" spans="1:30" ht="15.75">
      <c r="A7" s="193" t="s">
        <v>4</v>
      </c>
      <c r="B7" s="194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68" t="s">
        <v>119</v>
      </c>
      <c r="Q7" s="70"/>
      <c r="R7" s="70"/>
      <c r="S7" s="70"/>
      <c r="T7" s="70"/>
      <c r="U7" s="57"/>
      <c r="V7" s="70"/>
      <c r="W7" s="70"/>
      <c r="X7" s="70"/>
      <c r="Y7" s="70"/>
      <c r="Z7" s="70"/>
      <c r="AA7" s="70"/>
      <c r="AB7" s="70"/>
      <c r="AC7" s="73" t="s">
        <v>179</v>
      </c>
      <c r="AD7" s="5"/>
    </row>
    <row r="8" spans="1:30" ht="15.75">
      <c r="A8" s="193" t="s">
        <v>5</v>
      </c>
      <c r="B8" s="194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8" t="s">
        <v>9</v>
      </c>
      <c r="Q8" s="70"/>
      <c r="R8" s="70"/>
      <c r="S8" s="70"/>
      <c r="T8" s="70"/>
      <c r="U8" s="57"/>
      <c r="V8" s="70"/>
      <c r="W8" s="70"/>
      <c r="X8" s="70"/>
      <c r="Y8" s="70"/>
      <c r="Z8" s="70"/>
      <c r="AA8" s="70"/>
      <c r="AB8" s="70"/>
      <c r="AC8" s="69">
        <v>2011</v>
      </c>
      <c r="AD8" s="40"/>
    </row>
    <row r="9" spans="1:29" ht="13.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29" ht="12.75">
      <c r="A10" s="103"/>
      <c r="B10" s="104"/>
      <c r="C10" s="104" t="s">
        <v>54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</row>
    <row r="11" spans="1:29" ht="12.75">
      <c r="A11" s="105" t="s">
        <v>40</v>
      </c>
      <c r="B11" s="105" t="s">
        <v>42</v>
      </c>
      <c r="C11" s="105" t="s">
        <v>55</v>
      </c>
      <c r="D11" s="105" t="s">
        <v>45</v>
      </c>
      <c r="E11" s="105" t="s">
        <v>45</v>
      </c>
      <c r="F11" s="105" t="s">
        <v>45</v>
      </c>
      <c r="G11" s="105" t="s">
        <v>45</v>
      </c>
      <c r="H11" s="105" t="s">
        <v>45</v>
      </c>
      <c r="I11" s="105" t="s">
        <v>45</v>
      </c>
      <c r="J11" s="105" t="s">
        <v>45</v>
      </c>
      <c r="K11" s="105" t="s">
        <v>45</v>
      </c>
      <c r="L11" s="105" t="s">
        <v>45</v>
      </c>
      <c r="M11" s="105" t="s">
        <v>45</v>
      </c>
      <c r="N11" s="105" t="s">
        <v>45</v>
      </c>
      <c r="O11" s="105" t="s">
        <v>45</v>
      </c>
      <c r="P11" s="105" t="s">
        <v>45</v>
      </c>
      <c r="Q11" s="105" t="s">
        <v>46</v>
      </c>
      <c r="R11" s="105" t="s">
        <v>46</v>
      </c>
      <c r="S11" s="105" t="s">
        <v>46</v>
      </c>
      <c r="T11" s="105" t="s">
        <v>46</v>
      </c>
      <c r="U11" s="105" t="s">
        <v>46</v>
      </c>
      <c r="V11" s="105" t="s">
        <v>46</v>
      </c>
      <c r="W11" s="105" t="s">
        <v>46</v>
      </c>
      <c r="X11" s="105" t="s">
        <v>46</v>
      </c>
      <c r="Y11" s="105" t="s">
        <v>46</v>
      </c>
      <c r="Z11" s="105" t="s">
        <v>46</v>
      </c>
      <c r="AA11" s="105" t="s">
        <v>46</v>
      </c>
      <c r="AB11" s="105" t="s">
        <v>46</v>
      </c>
      <c r="AC11" s="105" t="s">
        <v>46</v>
      </c>
    </row>
    <row r="12" spans="1:29" ht="13.5" thickBot="1">
      <c r="A12" s="106" t="s">
        <v>41</v>
      </c>
      <c r="B12" s="106"/>
      <c r="C12" s="106" t="s">
        <v>88</v>
      </c>
      <c r="D12" s="106" t="s">
        <v>13</v>
      </c>
      <c r="E12" s="106" t="s">
        <v>14</v>
      </c>
      <c r="F12" s="106" t="s">
        <v>15</v>
      </c>
      <c r="G12" s="106" t="s">
        <v>16</v>
      </c>
      <c r="H12" s="106" t="s">
        <v>28</v>
      </c>
      <c r="I12" s="106" t="s">
        <v>29</v>
      </c>
      <c r="J12" s="106" t="s">
        <v>30</v>
      </c>
      <c r="K12" s="106" t="s">
        <v>20</v>
      </c>
      <c r="L12" s="106" t="s">
        <v>90</v>
      </c>
      <c r="M12" s="106" t="s">
        <v>31</v>
      </c>
      <c r="N12" s="106" t="s">
        <v>23</v>
      </c>
      <c r="O12" s="106" t="s">
        <v>24</v>
      </c>
      <c r="P12" s="106" t="s">
        <v>47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90</v>
      </c>
      <c r="Z12" s="106" t="s">
        <v>31</v>
      </c>
      <c r="AA12" s="106" t="s">
        <v>23</v>
      </c>
      <c r="AB12" s="106" t="s">
        <v>24</v>
      </c>
      <c r="AC12" s="106" t="s">
        <v>25</v>
      </c>
    </row>
    <row r="13" spans="1:29" ht="13.5" thickBot="1">
      <c r="A13" s="107">
        <v>1</v>
      </c>
      <c r="B13" s="108">
        <v>2</v>
      </c>
      <c r="C13" s="108"/>
      <c r="D13" s="108"/>
      <c r="E13" s="108"/>
      <c r="F13" s="108">
        <v>5</v>
      </c>
      <c r="G13" s="108">
        <v>5</v>
      </c>
      <c r="H13" s="108">
        <v>5</v>
      </c>
      <c r="I13" s="108">
        <v>5</v>
      </c>
      <c r="J13" s="108">
        <v>5</v>
      </c>
      <c r="K13" s="108">
        <v>5</v>
      </c>
      <c r="L13" s="108">
        <v>5</v>
      </c>
      <c r="M13" s="108">
        <v>5</v>
      </c>
      <c r="N13" s="108">
        <v>5</v>
      </c>
      <c r="O13" s="108">
        <v>5</v>
      </c>
      <c r="P13" s="108">
        <v>6</v>
      </c>
      <c r="Q13" s="108"/>
      <c r="R13" s="108"/>
      <c r="S13" s="108">
        <v>7</v>
      </c>
      <c r="T13" s="108">
        <v>7</v>
      </c>
      <c r="U13" s="108">
        <v>7</v>
      </c>
      <c r="V13" s="108">
        <v>7</v>
      </c>
      <c r="W13" s="108">
        <v>7</v>
      </c>
      <c r="X13" s="108">
        <v>7</v>
      </c>
      <c r="Y13" s="108">
        <v>7</v>
      </c>
      <c r="Z13" s="108">
        <v>7</v>
      </c>
      <c r="AA13" s="108">
        <v>7</v>
      </c>
      <c r="AB13" s="108">
        <v>7</v>
      </c>
      <c r="AC13" s="109">
        <v>8</v>
      </c>
    </row>
    <row r="14" spans="1:30" s="29" customFormat="1" ht="16.5" thickBot="1">
      <c r="A14" s="31"/>
      <c r="B14" s="71" t="s">
        <v>60</v>
      </c>
      <c r="C14" s="32">
        <f>C15</f>
        <v>11562753.94</v>
      </c>
      <c r="D14" s="32">
        <f aca="true" t="shared" si="0" ref="D14:AB15">D15</f>
        <v>0</v>
      </c>
      <c r="E14" s="32">
        <f t="shared" si="0"/>
        <v>7046745.46</v>
      </c>
      <c r="F14" s="32">
        <f t="shared" si="0"/>
        <v>2284230</v>
      </c>
      <c r="G14" s="32">
        <f t="shared" si="0"/>
        <v>726373.54</v>
      </c>
      <c r="H14" s="32">
        <f t="shared" si="0"/>
        <v>531258</v>
      </c>
      <c r="I14" s="32">
        <f t="shared" si="0"/>
        <v>863107.9500000001</v>
      </c>
      <c r="J14" s="32">
        <f t="shared" si="0"/>
        <v>24384</v>
      </c>
      <c r="K14" s="32">
        <f t="shared" si="0"/>
        <v>79110.3</v>
      </c>
      <c r="L14" s="32">
        <f t="shared" si="0"/>
        <v>0</v>
      </c>
      <c r="M14" s="32">
        <f t="shared" si="0"/>
        <v>7544.69</v>
      </c>
      <c r="N14" s="32">
        <f t="shared" si="0"/>
        <v>0</v>
      </c>
      <c r="O14" s="32">
        <f t="shared" si="0"/>
        <v>0</v>
      </c>
      <c r="P14" s="32">
        <f>P15</f>
        <v>11562753.94</v>
      </c>
      <c r="Q14" s="32">
        <f t="shared" si="0"/>
        <v>0</v>
      </c>
      <c r="R14" s="32">
        <f t="shared" si="0"/>
        <v>5636142.46</v>
      </c>
      <c r="S14" s="32">
        <f t="shared" si="0"/>
        <v>3694833</v>
      </c>
      <c r="T14" s="32">
        <f t="shared" si="0"/>
        <v>378373.54</v>
      </c>
      <c r="U14" s="32">
        <f t="shared" si="0"/>
        <v>879258</v>
      </c>
      <c r="V14" s="32">
        <f t="shared" si="0"/>
        <v>863107.9500000001</v>
      </c>
      <c r="W14" s="32">
        <f t="shared" si="0"/>
        <v>24384</v>
      </c>
      <c r="X14" s="32">
        <f t="shared" si="0"/>
        <v>79110.3</v>
      </c>
      <c r="Y14" s="32">
        <f t="shared" si="0"/>
        <v>0</v>
      </c>
      <c r="Z14" s="32">
        <f t="shared" si="0"/>
        <v>7544.69</v>
      </c>
      <c r="AA14" s="32">
        <f t="shared" si="0"/>
        <v>0</v>
      </c>
      <c r="AB14" s="32">
        <f t="shared" si="0"/>
        <v>0</v>
      </c>
      <c r="AC14" s="32">
        <f>AC15</f>
        <v>11562753.94</v>
      </c>
      <c r="AD14" s="41"/>
    </row>
    <row r="15" spans="1:30" s="12" customFormat="1" ht="16.5" thickBot="1">
      <c r="A15" s="74"/>
      <c r="B15" s="72" t="s">
        <v>63</v>
      </c>
      <c r="C15" s="43">
        <f>SUM(C16)</f>
        <v>11562753.94</v>
      </c>
      <c r="D15" s="43">
        <f>SUM(D17:D18)</f>
        <v>0</v>
      </c>
      <c r="E15" s="43">
        <f>E16</f>
        <v>7046745.46</v>
      </c>
      <c r="F15" s="43">
        <f t="shared" si="0"/>
        <v>2284230</v>
      </c>
      <c r="G15" s="43">
        <f t="shared" si="0"/>
        <v>726373.54</v>
      </c>
      <c r="H15" s="43">
        <f t="shared" si="0"/>
        <v>531258</v>
      </c>
      <c r="I15" s="43">
        <f t="shared" si="0"/>
        <v>863107.9500000001</v>
      </c>
      <c r="J15" s="43">
        <f t="shared" si="0"/>
        <v>24384</v>
      </c>
      <c r="K15" s="43">
        <f t="shared" si="0"/>
        <v>79110.3</v>
      </c>
      <c r="L15" s="43">
        <f t="shared" si="0"/>
        <v>0</v>
      </c>
      <c r="M15" s="43">
        <f t="shared" si="0"/>
        <v>7544.69</v>
      </c>
      <c r="N15" s="43">
        <f t="shared" si="0"/>
        <v>0</v>
      </c>
      <c r="O15" s="43">
        <f t="shared" si="0"/>
        <v>0</v>
      </c>
      <c r="P15" s="43">
        <f t="shared" si="0"/>
        <v>11562753.94</v>
      </c>
      <c r="Q15" s="43">
        <f t="shared" si="0"/>
        <v>0</v>
      </c>
      <c r="R15" s="43">
        <f t="shared" si="0"/>
        <v>5636142.46</v>
      </c>
      <c r="S15" s="43">
        <f t="shared" si="0"/>
        <v>3694833</v>
      </c>
      <c r="T15" s="43">
        <f t="shared" si="0"/>
        <v>378373.54</v>
      </c>
      <c r="U15" s="43">
        <f t="shared" si="0"/>
        <v>879258</v>
      </c>
      <c r="V15" s="43">
        <f t="shared" si="0"/>
        <v>863107.9500000001</v>
      </c>
      <c r="W15" s="43">
        <f t="shared" si="0"/>
        <v>24384</v>
      </c>
      <c r="X15" s="43">
        <f t="shared" si="0"/>
        <v>79110.3</v>
      </c>
      <c r="Y15" s="43">
        <f t="shared" si="0"/>
        <v>0</v>
      </c>
      <c r="Z15" s="43">
        <f t="shared" si="0"/>
        <v>7544.69</v>
      </c>
      <c r="AA15" s="43">
        <f t="shared" si="0"/>
        <v>0</v>
      </c>
      <c r="AB15" s="43">
        <f t="shared" si="0"/>
        <v>0</v>
      </c>
      <c r="AC15" s="43">
        <f>AC16</f>
        <v>11562753.94</v>
      </c>
      <c r="AD15" s="41"/>
    </row>
    <row r="16" spans="1:30" s="12" customFormat="1" ht="15.75">
      <c r="A16" s="44" t="s">
        <v>126</v>
      </c>
      <c r="B16" s="122" t="s">
        <v>95</v>
      </c>
      <c r="C16" s="126">
        <f>C17+C20</f>
        <v>11562753.94</v>
      </c>
      <c r="D16" s="126">
        <f aca="true" t="shared" si="1" ref="D16:AC16">D17+D20</f>
        <v>0</v>
      </c>
      <c r="E16" s="126">
        <f t="shared" si="1"/>
        <v>7046745.46</v>
      </c>
      <c r="F16" s="126">
        <f t="shared" si="1"/>
        <v>2284230</v>
      </c>
      <c r="G16" s="126">
        <f t="shared" si="1"/>
        <v>726373.54</v>
      </c>
      <c r="H16" s="126">
        <f t="shared" si="1"/>
        <v>531258</v>
      </c>
      <c r="I16" s="126">
        <f t="shared" si="1"/>
        <v>863107.9500000001</v>
      </c>
      <c r="J16" s="126">
        <f t="shared" si="1"/>
        <v>24384</v>
      </c>
      <c r="K16" s="126">
        <f t="shared" si="1"/>
        <v>79110.3</v>
      </c>
      <c r="L16" s="126">
        <f t="shared" si="1"/>
        <v>0</v>
      </c>
      <c r="M16" s="126">
        <f t="shared" si="1"/>
        <v>7544.69</v>
      </c>
      <c r="N16" s="126">
        <f t="shared" si="1"/>
        <v>0</v>
      </c>
      <c r="O16" s="126">
        <f t="shared" si="1"/>
        <v>0</v>
      </c>
      <c r="P16" s="126">
        <f t="shared" si="1"/>
        <v>11562753.94</v>
      </c>
      <c r="Q16" s="126">
        <f t="shared" si="1"/>
        <v>0</v>
      </c>
      <c r="R16" s="126">
        <f t="shared" si="1"/>
        <v>5636142.46</v>
      </c>
      <c r="S16" s="126">
        <f t="shared" si="1"/>
        <v>3694833</v>
      </c>
      <c r="T16" s="126">
        <f t="shared" si="1"/>
        <v>378373.54</v>
      </c>
      <c r="U16" s="126">
        <f t="shared" si="1"/>
        <v>879258</v>
      </c>
      <c r="V16" s="126">
        <f t="shared" si="1"/>
        <v>863107.9500000001</v>
      </c>
      <c r="W16" s="126">
        <f t="shared" si="1"/>
        <v>24384</v>
      </c>
      <c r="X16" s="126">
        <f t="shared" si="1"/>
        <v>79110.3</v>
      </c>
      <c r="Y16" s="126">
        <f t="shared" si="1"/>
        <v>0</v>
      </c>
      <c r="Z16" s="126">
        <f t="shared" si="1"/>
        <v>7544.69</v>
      </c>
      <c r="AA16" s="126">
        <f t="shared" si="1"/>
        <v>0</v>
      </c>
      <c r="AB16" s="126">
        <f t="shared" si="1"/>
        <v>0</v>
      </c>
      <c r="AC16" s="126">
        <f t="shared" si="1"/>
        <v>11562753.94</v>
      </c>
      <c r="AD16" s="41"/>
    </row>
    <row r="17" spans="1:72" s="135" customFormat="1" ht="15.75">
      <c r="A17" s="44" t="s">
        <v>127</v>
      </c>
      <c r="B17" s="122" t="s">
        <v>99</v>
      </c>
      <c r="C17" s="126">
        <f>C19+C18</f>
        <v>9096091.78</v>
      </c>
      <c r="D17" s="124">
        <v>0</v>
      </c>
      <c r="E17" s="124">
        <f>SUM(E18:E19)</f>
        <v>6667622.46</v>
      </c>
      <c r="F17" s="124">
        <f>F18+F19</f>
        <v>206258</v>
      </c>
      <c r="G17" s="124">
        <f aca="true" t="shared" si="2" ref="G17:M17">SUM(G18+G19)</f>
        <v>726373.54</v>
      </c>
      <c r="H17" s="124">
        <f t="shared" si="2"/>
        <v>531258</v>
      </c>
      <c r="I17" s="124">
        <f t="shared" si="2"/>
        <v>853540.79</v>
      </c>
      <c r="J17" s="124">
        <f t="shared" si="2"/>
        <v>24384</v>
      </c>
      <c r="K17" s="124">
        <f t="shared" si="2"/>
        <v>79110.3</v>
      </c>
      <c r="L17" s="124">
        <f t="shared" si="2"/>
        <v>0</v>
      </c>
      <c r="M17" s="124">
        <f t="shared" si="2"/>
        <v>7544.69</v>
      </c>
      <c r="N17" s="124"/>
      <c r="O17" s="124">
        <v>0</v>
      </c>
      <c r="P17" s="136">
        <f>SUM(D18:O19)</f>
        <v>9096091.78</v>
      </c>
      <c r="Q17" s="124">
        <v>0</v>
      </c>
      <c r="R17" s="124">
        <f>SUM(R18:R19)</f>
        <v>5636142.46</v>
      </c>
      <c r="S17" s="124">
        <f>S18+S19</f>
        <v>1237738</v>
      </c>
      <c r="T17" s="124">
        <f>T18+T19</f>
        <v>378373.54</v>
      </c>
      <c r="U17" s="124">
        <f>U18+U19</f>
        <v>879258</v>
      </c>
      <c r="V17" s="124">
        <f>V18+V19</f>
        <v>853540.79</v>
      </c>
      <c r="W17" s="124">
        <f>SUM(W18+W19)</f>
        <v>24384</v>
      </c>
      <c r="X17" s="124">
        <f>SUM(X18+X19)</f>
        <v>79110.3</v>
      </c>
      <c r="Y17" s="124">
        <f>SUM(Y18+Y19)</f>
        <v>0</v>
      </c>
      <c r="Z17" s="124">
        <f>SUM(Z18+Z19)</f>
        <v>7544.69</v>
      </c>
      <c r="AA17" s="124">
        <v>0</v>
      </c>
      <c r="AB17" s="124">
        <v>0</v>
      </c>
      <c r="AC17" s="136">
        <f>SUM(Q18:AB19)</f>
        <v>9096091.78</v>
      </c>
      <c r="AD17" s="4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s="135" customFormat="1" ht="15.75">
      <c r="A18" s="44" t="s">
        <v>144</v>
      </c>
      <c r="B18" s="25" t="s">
        <v>145</v>
      </c>
      <c r="C18" s="26">
        <f>1567605.44-512.35</f>
        <v>1567093.0899999999</v>
      </c>
      <c r="D18" s="124">
        <v>0</v>
      </c>
      <c r="E18" s="21">
        <v>545200</v>
      </c>
      <c r="F18" s="21">
        <v>0</v>
      </c>
      <c r="G18" s="21">
        <v>348000</v>
      </c>
      <c r="H18" s="21">
        <v>174000</v>
      </c>
      <c r="I18" s="124">
        <v>496282.79</v>
      </c>
      <c r="J18" s="124">
        <v>0</v>
      </c>
      <c r="K18" s="21">
        <v>3610.3</v>
      </c>
      <c r="L18" s="21">
        <v>0</v>
      </c>
      <c r="M18" s="21"/>
      <c r="N18" s="124"/>
      <c r="O18" s="124">
        <v>0</v>
      </c>
      <c r="P18" s="136">
        <f>SUM(D18:O18)</f>
        <v>1567093.09</v>
      </c>
      <c r="Q18" s="124">
        <v>0</v>
      </c>
      <c r="R18" s="124">
        <v>0</v>
      </c>
      <c r="S18" s="21">
        <v>545200</v>
      </c>
      <c r="T18" s="21">
        <v>0</v>
      </c>
      <c r="U18" s="21">
        <v>522000</v>
      </c>
      <c r="V18" s="124">
        <v>496282.79</v>
      </c>
      <c r="W18" s="124">
        <v>0</v>
      </c>
      <c r="X18" s="21">
        <v>3610.3</v>
      </c>
      <c r="Y18" s="21">
        <v>0</v>
      </c>
      <c r="Z18" s="21"/>
      <c r="AA18" s="124"/>
      <c r="AB18" s="124">
        <v>0</v>
      </c>
      <c r="AC18" s="136">
        <f>SUM(Q18:AB18)</f>
        <v>1567093.09</v>
      </c>
      <c r="AD18" s="4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s="135" customFormat="1" ht="15.75">
      <c r="A19" s="44" t="s">
        <v>147</v>
      </c>
      <c r="B19" s="25" t="s">
        <v>125</v>
      </c>
      <c r="C19" s="26">
        <f>7530341.09-1.28-1341.12</f>
        <v>7528998.6899999995</v>
      </c>
      <c r="D19" s="124">
        <v>0</v>
      </c>
      <c r="E19" s="21">
        <v>6122422.46</v>
      </c>
      <c r="F19" s="21">
        <v>206258</v>
      </c>
      <c r="G19" s="21">
        <v>378373.54</v>
      </c>
      <c r="H19" s="21">
        <v>357258</v>
      </c>
      <c r="I19" s="21">
        <v>357258</v>
      </c>
      <c r="J19" s="124">
        <v>24384</v>
      </c>
      <c r="K19" s="124">
        <v>75500</v>
      </c>
      <c r="L19" s="21">
        <v>0</v>
      </c>
      <c r="M19" s="124">
        <v>7544.69</v>
      </c>
      <c r="N19" s="124"/>
      <c r="O19" s="124">
        <v>0</v>
      </c>
      <c r="P19" s="136">
        <f>SUM(D19:O19)</f>
        <v>7528998.69</v>
      </c>
      <c r="Q19" s="124">
        <v>0</v>
      </c>
      <c r="R19" s="21">
        <v>5636142.46</v>
      </c>
      <c r="S19" s="21">
        <v>692538</v>
      </c>
      <c r="T19" s="21">
        <v>378373.54</v>
      </c>
      <c r="U19" s="21">
        <v>357258</v>
      </c>
      <c r="V19" s="21">
        <v>357258</v>
      </c>
      <c r="W19" s="124">
        <v>24384</v>
      </c>
      <c r="X19" s="124">
        <v>75500</v>
      </c>
      <c r="Y19" s="21">
        <v>0</v>
      </c>
      <c r="Z19" s="124">
        <v>7544.69</v>
      </c>
      <c r="AA19" s="124"/>
      <c r="AB19" s="124">
        <v>0</v>
      </c>
      <c r="AC19" s="136">
        <f>SUM(Q19:AB19)</f>
        <v>7528998.69</v>
      </c>
      <c r="AD19" s="4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s="135" customFormat="1" ht="15.75">
      <c r="A20" s="44" t="s">
        <v>128</v>
      </c>
      <c r="B20" s="122" t="s">
        <v>148</v>
      </c>
      <c r="C20" s="126">
        <f>C21</f>
        <v>2466662.16</v>
      </c>
      <c r="D20" s="124">
        <f aca="true" t="shared" si="3" ref="D20:AC20">D21</f>
        <v>0</v>
      </c>
      <c r="E20" s="124">
        <f t="shared" si="3"/>
        <v>379123</v>
      </c>
      <c r="F20" s="124">
        <f t="shared" si="3"/>
        <v>2077972</v>
      </c>
      <c r="G20" s="124">
        <f t="shared" si="3"/>
        <v>0</v>
      </c>
      <c r="H20" s="124">
        <f t="shared" si="3"/>
        <v>0</v>
      </c>
      <c r="I20" s="124">
        <f t="shared" si="3"/>
        <v>9567.16</v>
      </c>
      <c r="J20" s="124">
        <f t="shared" si="3"/>
        <v>0</v>
      </c>
      <c r="K20" s="124">
        <f t="shared" si="3"/>
        <v>0</v>
      </c>
      <c r="L20" s="124">
        <f t="shared" si="3"/>
        <v>0</v>
      </c>
      <c r="M20" s="124">
        <f t="shared" si="3"/>
        <v>0</v>
      </c>
      <c r="N20" s="124">
        <f t="shared" si="3"/>
        <v>0</v>
      </c>
      <c r="O20" s="124">
        <f t="shared" si="3"/>
        <v>0</v>
      </c>
      <c r="P20" s="136">
        <f t="shared" si="3"/>
        <v>2466662.16</v>
      </c>
      <c r="Q20" s="124">
        <f t="shared" si="3"/>
        <v>0</v>
      </c>
      <c r="R20" s="124">
        <f t="shared" si="3"/>
        <v>0</v>
      </c>
      <c r="S20" s="124">
        <f t="shared" si="3"/>
        <v>2457095</v>
      </c>
      <c r="T20" s="124">
        <f t="shared" si="3"/>
        <v>0</v>
      </c>
      <c r="U20" s="124">
        <f t="shared" si="3"/>
        <v>0</v>
      </c>
      <c r="V20" s="124">
        <f t="shared" si="3"/>
        <v>9567.16</v>
      </c>
      <c r="W20" s="124">
        <f t="shared" si="3"/>
        <v>0</v>
      </c>
      <c r="X20" s="124">
        <f t="shared" si="3"/>
        <v>0</v>
      </c>
      <c r="Y20" s="124">
        <f t="shared" si="3"/>
        <v>0</v>
      </c>
      <c r="Z20" s="124">
        <f t="shared" si="3"/>
        <v>0</v>
      </c>
      <c r="AA20" s="124">
        <f t="shared" si="3"/>
        <v>0</v>
      </c>
      <c r="AB20" s="124">
        <f t="shared" si="3"/>
        <v>0</v>
      </c>
      <c r="AC20" s="136">
        <f t="shared" si="3"/>
        <v>2466662.16</v>
      </c>
      <c r="AD20" s="4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s="135" customFormat="1" ht="15.75">
      <c r="A21" s="44" t="s">
        <v>146</v>
      </c>
      <c r="B21" s="25" t="s">
        <v>172</v>
      </c>
      <c r="C21" s="26">
        <f>2685646.6-218984.44</f>
        <v>2466662.16</v>
      </c>
      <c r="D21" s="124">
        <v>0</v>
      </c>
      <c r="E21" s="21">
        <v>379123</v>
      </c>
      <c r="F21" s="21">
        <v>2077972</v>
      </c>
      <c r="G21" s="21">
        <v>0</v>
      </c>
      <c r="H21" s="21">
        <v>0</v>
      </c>
      <c r="I21" s="124">
        <v>9567.16</v>
      </c>
      <c r="J21" s="124">
        <v>0</v>
      </c>
      <c r="K21" s="21"/>
      <c r="L21" s="21">
        <v>0</v>
      </c>
      <c r="M21" s="124"/>
      <c r="N21" s="124"/>
      <c r="O21" s="124">
        <v>0</v>
      </c>
      <c r="P21" s="136">
        <f>SUM(D21:O21)</f>
        <v>2466662.16</v>
      </c>
      <c r="Q21" s="124">
        <v>0</v>
      </c>
      <c r="R21" s="124">
        <v>0</v>
      </c>
      <c r="S21" s="21">
        <v>2457095</v>
      </c>
      <c r="T21" s="21">
        <v>0</v>
      </c>
      <c r="U21" s="21">
        <v>0</v>
      </c>
      <c r="V21" s="124">
        <v>9567.16</v>
      </c>
      <c r="W21" s="124">
        <v>0</v>
      </c>
      <c r="X21" s="21"/>
      <c r="Y21" s="21">
        <v>0</v>
      </c>
      <c r="Z21" s="124"/>
      <c r="AA21" s="124"/>
      <c r="AB21" s="124"/>
      <c r="AC21" s="136">
        <f>SUM(Q21:AB21)</f>
        <v>2466662.16</v>
      </c>
      <c r="AD21" s="4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s="12" customFormat="1" ht="15.75" thickBot="1">
      <c r="A22" s="44"/>
      <c r="B22" s="25"/>
      <c r="C22" s="21"/>
      <c r="D22" s="48">
        <v>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23">
        <f>SUM(D22:O22)</f>
        <v>0</v>
      </c>
      <c r="Q22" s="21">
        <v>0</v>
      </c>
      <c r="R22" s="21"/>
      <c r="S22" s="21"/>
      <c r="T22" s="48"/>
      <c r="U22" s="21"/>
      <c r="V22" s="21"/>
      <c r="W22" s="21"/>
      <c r="X22" s="21"/>
      <c r="Y22" s="21"/>
      <c r="Z22" s="21"/>
      <c r="AA22" s="21"/>
      <c r="AB22" s="21"/>
      <c r="AC22" s="23">
        <f>SUM(Q22:AB22)</f>
        <v>0</v>
      </c>
      <c r="AD22" s="4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31" s="29" customFormat="1" ht="16.5" thickBot="1">
      <c r="A23" s="82"/>
      <c r="B23" s="72" t="s">
        <v>61</v>
      </c>
      <c r="C23" s="33">
        <f aca="true" t="shared" si="4" ref="C23:AC23">SUM(C24:C24)</f>
        <v>395629029.07</v>
      </c>
      <c r="D23" s="33">
        <f t="shared" si="4"/>
        <v>0</v>
      </c>
      <c r="E23" s="33">
        <f t="shared" si="4"/>
        <v>177152764</v>
      </c>
      <c r="F23" s="33">
        <f t="shared" si="4"/>
        <v>115105190.86</v>
      </c>
      <c r="G23" s="33">
        <f t="shared" si="4"/>
        <v>17650022.62</v>
      </c>
      <c r="H23" s="33">
        <f t="shared" si="4"/>
        <v>71785749.6</v>
      </c>
      <c r="I23" s="33">
        <f t="shared" si="4"/>
        <v>7452412.02</v>
      </c>
      <c r="J23" s="33">
        <f t="shared" si="4"/>
        <v>2704620</v>
      </c>
      <c r="K23" s="33">
        <f t="shared" si="4"/>
        <v>90816.48</v>
      </c>
      <c r="L23" s="33">
        <f t="shared" si="4"/>
        <v>2700000</v>
      </c>
      <c r="M23" s="33">
        <f t="shared" si="4"/>
        <v>977550.09</v>
      </c>
      <c r="N23" s="33">
        <f t="shared" si="4"/>
        <v>9903.4</v>
      </c>
      <c r="O23" s="33">
        <f t="shared" si="4"/>
        <v>0</v>
      </c>
      <c r="P23" s="33">
        <f t="shared" si="4"/>
        <v>395629029.07</v>
      </c>
      <c r="Q23" s="33">
        <f t="shared" si="4"/>
        <v>0</v>
      </c>
      <c r="R23" s="33">
        <f t="shared" si="4"/>
        <v>175830954</v>
      </c>
      <c r="S23" s="33">
        <f t="shared" si="4"/>
        <v>115312008.86</v>
      </c>
      <c r="T23" s="33">
        <f t="shared" si="4"/>
        <v>18765014.62</v>
      </c>
      <c r="U23" s="33">
        <f t="shared" si="4"/>
        <v>71785749.6</v>
      </c>
      <c r="V23" s="33">
        <f t="shared" si="4"/>
        <v>7452412.02</v>
      </c>
      <c r="W23" s="33">
        <f t="shared" si="4"/>
        <v>2704620</v>
      </c>
      <c r="X23" s="33">
        <f t="shared" si="4"/>
        <v>90816.48</v>
      </c>
      <c r="Y23" s="33">
        <f t="shared" si="4"/>
        <v>2700000</v>
      </c>
      <c r="Z23" s="33">
        <f t="shared" si="4"/>
        <v>977550.09</v>
      </c>
      <c r="AA23" s="33">
        <f t="shared" si="4"/>
        <v>9903.4</v>
      </c>
      <c r="AB23" s="33">
        <f t="shared" si="4"/>
        <v>0</v>
      </c>
      <c r="AC23" s="33">
        <f t="shared" si="4"/>
        <v>395629029.07</v>
      </c>
      <c r="AD23" s="41"/>
      <c r="AE23" s="1"/>
    </row>
    <row r="24" spans="1:32" s="29" customFormat="1" ht="39.75" customHeight="1" thickBot="1">
      <c r="A24" s="47" t="s">
        <v>79</v>
      </c>
      <c r="B24" s="25" t="s">
        <v>59</v>
      </c>
      <c r="C24" s="131">
        <f>401271551.65-5586127.49-56395.09</f>
        <v>395629029.07</v>
      </c>
      <c r="D24" s="131">
        <v>0</v>
      </c>
      <c r="E24" s="131">
        <v>177152764</v>
      </c>
      <c r="F24" s="131">
        <v>115105190.86</v>
      </c>
      <c r="G24" s="48">
        <v>17650022.62</v>
      </c>
      <c r="H24" s="48">
        <v>71785749.6</v>
      </c>
      <c r="I24" s="48">
        <v>7452412.02</v>
      </c>
      <c r="J24" s="48">
        <v>2704620</v>
      </c>
      <c r="K24" s="48">
        <v>90816.48</v>
      </c>
      <c r="L24" s="48">
        <v>2700000</v>
      </c>
      <c r="M24" s="48">
        <v>977550.09</v>
      </c>
      <c r="N24" s="48">
        <v>9903.4</v>
      </c>
      <c r="O24" s="48"/>
      <c r="P24" s="48">
        <f>SUM(D24:O24)</f>
        <v>395629029.07</v>
      </c>
      <c r="Q24" s="131">
        <v>0</v>
      </c>
      <c r="R24" s="131">
        <v>175830954</v>
      </c>
      <c r="S24" s="131">
        <v>115312008.86</v>
      </c>
      <c r="T24" s="48">
        <v>18765014.62</v>
      </c>
      <c r="U24" s="48">
        <v>71785749.6</v>
      </c>
      <c r="V24" s="48">
        <v>7452412.02</v>
      </c>
      <c r="W24" s="48">
        <v>2704620</v>
      </c>
      <c r="X24" s="131">
        <v>90816.48</v>
      </c>
      <c r="Y24" s="131">
        <v>2700000</v>
      </c>
      <c r="Z24" s="48">
        <v>977550.09</v>
      </c>
      <c r="AA24" s="48">
        <v>9903.4</v>
      </c>
      <c r="AB24" s="130"/>
      <c r="AC24" s="23">
        <f>SUM(Q24:AB24)</f>
        <v>395629029.07</v>
      </c>
      <c r="AD24" s="41"/>
      <c r="AE24" s="41"/>
      <c r="AF24" s="133"/>
    </row>
    <row r="25" spans="1:31" s="24" customFormat="1" ht="18.75" thickBot="1">
      <c r="A25" s="195" t="s">
        <v>50</v>
      </c>
      <c r="B25" s="196"/>
      <c r="C25" s="30">
        <f aca="true" t="shared" si="5" ref="C25:AB25">SUM(C14+C23)</f>
        <v>407191783.01</v>
      </c>
      <c r="D25" s="30">
        <f t="shared" si="5"/>
        <v>0</v>
      </c>
      <c r="E25" s="30">
        <f t="shared" si="5"/>
        <v>184199509.46</v>
      </c>
      <c r="F25" s="30">
        <f t="shared" si="5"/>
        <v>117389420.86</v>
      </c>
      <c r="G25" s="30">
        <f t="shared" si="5"/>
        <v>18376396.16</v>
      </c>
      <c r="H25" s="30">
        <f t="shared" si="5"/>
        <v>72317007.6</v>
      </c>
      <c r="I25" s="30">
        <f t="shared" si="5"/>
        <v>8315519.97</v>
      </c>
      <c r="J25" s="30">
        <f t="shared" si="5"/>
        <v>2729004</v>
      </c>
      <c r="K25" s="30">
        <f t="shared" si="5"/>
        <v>169926.78</v>
      </c>
      <c r="L25" s="30">
        <f t="shared" si="5"/>
        <v>2700000</v>
      </c>
      <c r="M25" s="30">
        <f t="shared" si="5"/>
        <v>985094.7799999999</v>
      </c>
      <c r="N25" s="30">
        <f t="shared" si="5"/>
        <v>9903.4</v>
      </c>
      <c r="O25" s="30">
        <f t="shared" si="5"/>
        <v>0</v>
      </c>
      <c r="P25" s="30">
        <f t="shared" si="5"/>
        <v>407191783.01</v>
      </c>
      <c r="Q25" s="30">
        <f t="shared" si="5"/>
        <v>0</v>
      </c>
      <c r="R25" s="30">
        <f t="shared" si="5"/>
        <v>181467096.46</v>
      </c>
      <c r="S25" s="30">
        <f t="shared" si="5"/>
        <v>119006841.86</v>
      </c>
      <c r="T25" s="30">
        <f t="shared" si="5"/>
        <v>19143388.16</v>
      </c>
      <c r="U25" s="30">
        <f t="shared" si="5"/>
        <v>72665007.6</v>
      </c>
      <c r="V25" s="30">
        <f t="shared" si="5"/>
        <v>8315519.97</v>
      </c>
      <c r="W25" s="30">
        <f t="shared" si="5"/>
        <v>2729004</v>
      </c>
      <c r="X25" s="30">
        <f t="shared" si="5"/>
        <v>169926.78</v>
      </c>
      <c r="Y25" s="30">
        <f t="shared" si="5"/>
        <v>2700000</v>
      </c>
      <c r="Z25" s="30">
        <f t="shared" si="5"/>
        <v>985094.7799999999</v>
      </c>
      <c r="AA25" s="30">
        <f t="shared" si="5"/>
        <v>9903.4</v>
      </c>
      <c r="AB25" s="30">
        <f t="shared" si="5"/>
        <v>0</v>
      </c>
      <c r="AC25" s="30">
        <f>SUM(AC14+AC23)</f>
        <v>407191783.01</v>
      </c>
      <c r="AD25" s="41"/>
      <c r="AE25" s="41"/>
    </row>
    <row r="26" spans="1:31" ht="15">
      <c r="A26" s="111" t="s">
        <v>175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4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1"/>
      <c r="AE26" s="41"/>
    </row>
    <row r="27" spans="1:31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37"/>
      <c r="M27" s="5"/>
      <c r="N27" s="5"/>
      <c r="O27" s="5"/>
      <c r="P27" s="3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48"/>
      <c r="AE27" s="41"/>
    </row>
    <row r="28" spans="1:29" ht="12.75">
      <c r="A28" s="201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4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3"/>
    </row>
    <row r="29" spans="1:30" ht="15">
      <c r="A29" s="4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37"/>
      <c r="Q29" s="5"/>
      <c r="R29" s="5"/>
      <c r="S29" s="5"/>
      <c r="T29" s="5"/>
      <c r="U29" s="5"/>
      <c r="V29" s="5"/>
      <c r="W29" s="5"/>
      <c r="X29" s="5"/>
      <c r="Y29" s="5"/>
      <c r="Z29" s="5"/>
      <c r="AA29" s="37"/>
      <c r="AB29" s="5"/>
      <c r="AC29" s="6"/>
      <c r="AD29" s="41"/>
    </row>
    <row r="30" spans="1:29" ht="12.75">
      <c r="A30" s="62">
        <f ca="1">TODAY()</f>
        <v>40939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37"/>
      <c r="M30" s="5"/>
      <c r="N30" s="5"/>
      <c r="O30" s="37"/>
      <c r="P30" s="3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2.7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37"/>
      <c r="AC31" s="6"/>
    </row>
    <row r="32" spans="1:29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37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t="13.5" thickBot="1">
      <c r="A33" s="4"/>
      <c r="B33" s="76" t="s">
        <v>85</v>
      </c>
      <c r="C33" s="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7"/>
      <c r="P33" s="162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4"/>
      <c r="B34" s="77" t="s">
        <v>117</v>
      </c>
      <c r="C34" s="3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205"/>
    </row>
    <row r="35" spans="1:29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 ht="12.75">
      <c r="A36" s="3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3.5" thickBo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9"/>
    </row>
  </sheetData>
  <sheetProtection/>
  <mergeCells count="11">
    <mergeCell ref="D34:P34"/>
    <mergeCell ref="A28:AC28"/>
    <mergeCell ref="Q34:AC34"/>
    <mergeCell ref="A5:AC5"/>
    <mergeCell ref="A7:B7"/>
    <mergeCell ref="A8:B8"/>
    <mergeCell ref="A1:AC1"/>
    <mergeCell ref="A2:AC2"/>
    <mergeCell ref="A3:AC3"/>
    <mergeCell ref="A4:AC4"/>
    <mergeCell ref="A25:B25"/>
  </mergeCells>
  <printOptions horizontalCentered="1" verticalCentered="1"/>
  <pageMargins left="0.91" right="0.29" top="0.15748031496062992" bottom="0.15748031496062992" header="0" footer="0.1968503937007874"/>
  <pageSetup horizontalDpi="300" verticalDpi="300" orientation="landscape" paperSize="5" scale="85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tabSelected="1" zoomScale="75" zoomScaleNormal="75" zoomScalePageLayoutView="0" workbookViewId="0" topLeftCell="A1">
      <selection activeCell="A22" sqref="A22:AP23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9" width="19.140625" style="1" hidden="1" customWidth="1"/>
    <col min="10" max="10" width="23.8515625" style="1" hidden="1" customWidth="1"/>
    <col min="11" max="11" width="21.8515625" style="1" hidden="1" customWidth="1"/>
    <col min="12" max="12" width="22.140625" style="1" hidden="1" customWidth="1"/>
    <col min="13" max="13" width="21.140625" style="1" hidden="1" customWidth="1"/>
    <col min="14" max="14" width="20.140625" style="1" hidden="1" customWidth="1"/>
    <col min="15" max="15" width="21.7109375" style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0.57421875" style="1" hidden="1" customWidth="1"/>
    <col min="22" max="22" width="21.7109375" style="1" hidden="1" customWidth="1"/>
    <col min="23" max="23" width="17.28125" style="1" hidden="1" customWidth="1"/>
    <col min="24" max="24" width="17.7109375" style="1" hidden="1" customWidth="1"/>
    <col min="25" max="25" width="17.140625" style="1" hidden="1" customWidth="1"/>
    <col min="26" max="26" width="16.57421875" style="1" hidden="1" customWidth="1"/>
    <col min="27" max="27" width="21.00390625" style="1" hidden="1" customWidth="1"/>
    <col min="28" max="28" width="20.7109375" style="1" customWidth="1"/>
    <col min="29" max="29" width="21.57421875" style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00390625" style="1" hidden="1" customWidth="1"/>
    <col min="37" max="37" width="21.00390625" style="1" hidden="1" customWidth="1"/>
    <col min="38" max="38" width="21.8515625" style="1" hidden="1" customWidth="1"/>
    <col min="39" max="39" width="24.57421875" style="1" hidden="1" customWidth="1"/>
    <col min="40" max="40" width="21.28125" style="1" hidden="1" customWidth="1"/>
    <col min="41" max="41" width="20.7109375" style="1" customWidth="1"/>
    <col min="42" max="42" width="21.28125" style="1" bestFit="1" customWidth="1"/>
    <col min="43" max="43" width="21.28125" style="112" bestFit="1" customWidth="1"/>
    <col min="44" max="44" width="19.57421875" style="112" customWidth="1"/>
    <col min="45" max="45" width="17.7109375" style="134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2"/>
    </row>
    <row r="2" spans="1:42" ht="15.75">
      <c r="A2" s="183" t="s">
        <v>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5"/>
    </row>
    <row r="3" spans="1:42" ht="18">
      <c r="A3" s="186" t="s">
        <v>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8"/>
    </row>
    <row r="4" spans="1:42" ht="15.75">
      <c r="A4" s="183" t="s">
        <v>52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5"/>
    </row>
    <row r="5" spans="1:42" ht="20.25">
      <c r="A5" s="189" t="s">
        <v>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</row>
    <row r="6" spans="1:43" ht="15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7"/>
      <c r="AI6" s="51"/>
      <c r="AJ6" s="51"/>
      <c r="AK6" s="51"/>
      <c r="AL6" s="51"/>
      <c r="AM6" s="51"/>
      <c r="AN6" s="51"/>
      <c r="AO6" s="51"/>
      <c r="AP6" s="52"/>
      <c r="AQ6" s="113"/>
    </row>
    <row r="7" spans="1:43" ht="15.75">
      <c r="A7" s="193" t="s">
        <v>4</v>
      </c>
      <c r="B7" s="194"/>
      <c r="C7" s="67" t="s">
        <v>48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68" t="s">
        <v>8</v>
      </c>
      <c r="AD7" s="70"/>
      <c r="AE7" s="70"/>
      <c r="AF7" s="70"/>
      <c r="AG7" s="70"/>
      <c r="AH7" s="57"/>
      <c r="AI7" s="70"/>
      <c r="AJ7" s="70"/>
      <c r="AK7" s="70"/>
      <c r="AL7" s="70"/>
      <c r="AM7" s="70"/>
      <c r="AN7" s="70"/>
      <c r="AO7" s="70"/>
      <c r="AP7" s="73" t="s">
        <v>179</v>
      </c>
      <c r="AQ7" s="114"/>
    </row>
    <row r="8" spans="1:43" ht="20.25">
      <c r="A8" s="193" t="s">
        <v>5</v>
      </c>
      <c r="B8" s="194"/>
      <c r="C8" s="66" t="s">
        <v>57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60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68" t="s">
        <v>9</v>
      </c>
      <c r="AD8" s="70"/>
      <c r="AE8" s="70"/>
      <c r="AF8" s="70"/>
      <c r="AG8" s="70"/>
      <c r="AH8" s="57"/>
      <c r="AI8" s="70"/>
      <c r="AJ8" s="70"/>
      <c r="AK8" s="70"/>
      <c r="AL8" s="70"/>
      <c r="AM8" s="70"/>
      <c r="AN8" s="70"/>
      <c r="AO8" s="70"/>
      <c r="AP8" s="69">
        <v>2011</v>
      </c>
      <c r="AQ8" s="40"/>
    </row>
    <row r="9" spans="1:42" ht="15.75" thickBot="1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6"/>
    </row>
    <row r="10" spans="1:42" ht="1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</row>
    <row r="11" spans="1:42" ht="15">
      <c r="A11" s="105" t="s">
        <v>40</v>
      </c>
      <c r="B11" s="105" t="s">
        <v>42</v>
      </c>
      <c r="C11" s="105" t="s">
        <v>43</v>
      </c>
      <c r="D11" s="105" t="s">
        <v>44</v>
      </c>
      <c r="E11" s="105" t="s">
        <v>44</v>
      </c>
      <c r="F11" s="105" t="s">
        <v>44</v>
      </c>
      <c r="G11" s="105" t="s">
        <v>44</v>
      </c>
      <c r="H11" s="105" t="s">
        <v>44</v>
      </c>
      <c r="I11" s="105" t="s">
        <v>44</v>
      </c>
      <c r="J11" s="105" t="s">
        <v>44</v>
      </c>
      <c r="K11" s="105" t="s">
        <v>44</v>
      </c>
      <c r="L11" s="105" t="s">
        <v>44</v>
      </c>
      <c r="M11" s="105" t="s">
        <v>44</v>
      </c>
      <c r="N11" s="105" t="s">
        <v>44</v>
      </c>
      <c r="O11" s="105" t="s">
        <v>44</v>
      </c>
      <c r="P11" s="105" t="s">
        <v>44</v>
      </c>
      <c r="Q11" s="105" t="s">
        <v>45</v>
      </c>
      <c r="R11" s="105" t="s">
        <v>45</v>
      </c>
      <c r="S11" s="105" t="s">
        <v>45</v>
      </c>
      <c r="T11" s="105" t="s">
        <v>45</v>
      </c>
      <c r="U11" s="105" t="s">
        <v>45</v>
      </c>
      <c r="V11" s="105" t="s">
        <v>45</v>
      </c>
      <c r="W11" s="105" t="s">
        <v>45</v>
      </c>
      <c r="X11" s="105" t="s">
        <v>45</v>
      </c>
      <c r="Y11" s="105" t="s">
        <v>45</v>
      </c>
      <c r="Z11" s="105" t="s">
        <v>45</v>
      </c>
      <c r="AA11" s="105" t="s">
        <v>45</v>
      </c>
      <c r="AB11" s="105" t="s">
        <v>45</v>
      </c>
      <c r="AC11" s="105" t="s">
        <v>45</v>
      </c>
      <c r="AD11" s="105" t="s">
        <v>46</v>
      </c>
      <c r="AE11" s="105" t="s">
        <v>46</v>
      </c>
      <c r="AF11" s="105" t="s">
        <v>46</v>
      </c>
      <c r="AG11" s="105" t="s">
        <v>46</v>
      </c>
      <c r="AH11" s="105" t="s">
        <v>46</v>
      </c>
      <c r="AI11" s="105" t="s">
        <v>46</v>
      </c>
      <c r="AJ11" s="105" t="s">
        <v>46</v>
      </c>
      <c r="AK11" s="105" t="s">
        <v>46</v>
      </c>
      <c r="AL11" s="105" t="s">
        <v>46</v>
      </c>
      <c r="AM11" s="105" t="s">
        <v>46</v>
      </c>
      <c r="AN11" s="105" t="s">
        <v>46</v>
      </c>
      <c r="AO11" s="105" t="s">
        <v>46</v>
      </c>
      <c r="AP11" s="105" t="s">
        <v>46</v>
      </c>
    </row>
    <row r="12" spans="1:49" ht="15.75" thickBot="1">
      <c r="A12" s="106" t="s">
        <v>41</v>
      </c>
      <c r="B12" s="106"/>
      <c r="C12" s="106" t="s">
        <v>12</v>
      </c>
      <c r="D12" s="106" t="s">
        <v>13</v>
      </c>
      <c r="E12" s="106" t="s">
        <v>14</v>
      </c>
      <c r="F12" s="106" t="s">
        <v>15</v>
      </c>
      <c r="G12" s="106" t="s">
        <v>82</v>
      </c>
      <c r="H12" s="106" t="s">
        <v>17</v>
      </c>
      <c r="I12" s="106" t="s">
        <v>18</v>
      </c>
      <c r="J12" s="106" t="s">
        <v>19</v>
      </c>
      <c r="K12" s="106" t="s">
        <v>20</v>
      </c>
      <c r="L12" s="106" t="s">
        <v>21</v>
      </c>
      <c r="M12" s="106" t="s">
        <v>22</v>
      </c>
      <c r="N12" s="106" t="s">
        <v>23</v>
      </c>
      <c r="O12" s="106" t="s">
        <v>24</v>
      </c>
      <c r="P12" s="106" t="s">
        <v>25</v>
      </c>
      <c r="Q12" s="106" t="s">
        <v>13</v>
      </c>
      <c r="R12" s="106" t="s">
        <v>14</v>
      </c>
      <c r="S12" s="106" t="s">
        <v>15</v>
      </c>
      <c r="T12" s="106" t="s">
        <v>16</v>
      </c>
      <c r="U12" s="106" t="s">
        <v>28</v>
      </c>
      <c r="V12" s="106" t="s">
        <v>29</v>
      </c>
      <c r="W12" s="106" t="s">
        <v>30</v>
      </c>
      <c r="X12" s="106" t="s">
        <v>20</v>
      </c>
      <c r="Y12" s="106" t="s">
        <v>21</v>
      </c>
      <c r="Z12" s="106" t="s">
        <v>31</v>
      </c>
      <c r="AA12" s="106" t="s">
        <v>23</v>
      </c>
      <c r="AB12" s="106" t="s">
        <v>24</v>
      </c>
      <c r="AC12" s="106" t="s">
        <v>47</v>
      </c>
      <c r="AD12" s="106" t="s">
        <v>13</v>
      </c>
      <c r="AE12" s="106" t="s">
        <v>14</v>
      </c>
      <c r="AF12" s="106" t="s">
        <v>15</v>
      </c>
      <c r="AG12" s="106" t="s">
        <v>16</v>
      </c>
      <c r="AH12" s="106" t="s">
        <v>28</v>
      </c>
      <c r="AI12" s="106" t="s">
        <v>29</v>
      </c>
      <c r="AJ12" s="106" t="s">
        <v>30</v>
      </c>
      <c r="AK12" s="106" t="s">
        <v>20</v>
      </c>
      <c r="AL12" s="106" t="s">
        <v>21</v>
      </c>
      <c r="AM12" s="106" t="s">
        <v>31</v>
      </c>
      <c r="AN12" s="106" t="s">
        <v>23</v>
      </c>
      <c r="AO12" s="106" t="s">
        <v>24</v>
      </c>
      <c r="AP12" s="106" t="s">
        <v>25</v>
      </c>
      <c r="AS12" s="112"/>
      <c r="AT12" s="112"/>
      <c r="AU12" s="112"/>
      <c r="AV12" s="112"/>
      <c r="AW12" s="112"/>
    </row>
    <row r="13" spans="1:49" ht="15.75" thickBot="1">
      <c r="A13" s="107">
        <v>1</v>
      </c>
      <c r="B13" s="108">
        <v>2</v>
      </c>
      <c r="C13" s="108"/>
      <c r="D13" s="108"/>
      <c r="E13" s="108"/>
      <c r="F13" s="108">
        <v>3</v>
      </c>
      <c r="G13" s="108">
        <v>3</v>
      </c>
      <c r="H13" s="108">
        <v>3</v>
      </c>
      <c r="I13" s="108">
        <v>3</v>
      </c>
      <c r="J13" s="108">
        <v>3</v>
      </c>
      <c r="K13" s="108">
        <v>3</v>
      </c>
      <c r="L13" s="108">
        <v>3</v>
      </c>
      <c r="M13" s="108">
        <v>3</v>
      </c>
      <c r="N13" s="108">
        <v>3</v>
      </c>
      <c r="O13" s="108">
        <v>3</v>
      </c>
      <c r="P13" s="108">
        <v>4</v>
      </c>
      <c r="Q13" s="108"/>
      <c r="R13" s="108"/>
      <c r="S13" s="108">
        <v>5</v>
      </c>
      <c r="T13" s="108">
        <v>5</v>
      </c>
      <c r="U13" s="108">
        <v>5</v>
      </c>
      <c r="V13" s="108">
        <v>5</v>
      </c>
      <c r="W13" s="108">
        <v>5</v>
      </c>
      <c r="X13" s="108">
        <v>5</v>
      </c>
      <c r="Y13" s="108">
        <v>5</v>
      </c>
      <c r="Z13" s="108">
        <v>5</v>
      </c>
      <c r="AA13" s="108">
        <v>5</v>
      </c>
      <c r="AB13" s="108">
        <v>5</v>
      </c>
      <c r="AC13" s="108">
        <v>6</v>
      </c>
      <c r="AD13" s="108"/>
      <c r="AE13" s="108"/>
      <c r="AF13" s="108">
        <v>7</v>
      </c>
      <c r="AG13" s="108">
        <v>7</v>
      </c>
      <c r="AH13" s="108">
        <v>7</v>
      </c>
      <c r="AI13" s="108">
        <v>7</v>
      </c>
      <c r="AJ13" s="108">
        <v>7</v>
      </c>
      <c r="AK13" s="108">
        <v>7</v>
      </c>
      <c r="AL13" s="108">
        <v>7</v>
      </c>
      <c r="AM13" s="108">
        <v>7</v>
      </c>
      <c r="AN13" s="108">
        <v>7</v>
      </c>
      <c r="AO13" s="108">
        <v>7</v>
      </c>
      <c r="AP13" s="109">
        <v>8</v>
      </c>
      <c r="AS13" s="112"/>
      <c r="AT13" s="112"/>
      <c r="AU13" s="112"/>
      <c r="AV13" s="112"/>
      <c r="AW13" s="112"/>
    </row>
    <row r="14" spans="1:49" s="29" customFormat="1" ht="16.5" thickBot="1">
      <c r="A14" s="31"/>
      <c r="B14" s="71" t="s">
        <v>121</v>
      </c>
      <c r="C14" s="32">
        <f>C16</f>
        <v>20149890</v>
      </c>
      <c r="D14" s="32">
        <f>D16</f>
        <v>0</v>
      </c>
      <c r="E14" s="32">
        <f aca="true" t="shared" si="0" ref="E14:AP14">E16</f>
        <v>0</v>
      </c>
      <c r="F14" s="32">
        <f t="shared" si="0"/>
        <v>0</v>
      </c>
      <c r="G14" s="32">
        <f t="shared" si="0"/>
        <v>0</v>
      </c>
      <c r="H14" s="32">
        <f t="shared" si="0"/>
        <v>0</v>
      </c>
      <c r="I14" s="32">
        <f t="shared" si="0"/>
        <v>0</v>
      </c>
      <c r="J14" s="32">
        <f t="shared" si="0"/>
        <v>698538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32">
        <f t="shared" si="0"/>
        <v>0</v>
      </c>
      <c r="P14" s="32">
        <f t="shared" si="0"/>
        <v>698538</v>
      </c>
      <c r="Q14" s="32">
        <f t="shared" si="0"/>
        <v>0</v>
      </c>
      <c r="R14" s="32">
        <f t="shared" si="0"/>
        <v>0</v>
      </c>
      <c r="S14" s="32">
        <f t="shared" si="0"/>
        <v>0</v>
      </c>
      <c r="T14" s="32">
        <f t="shared" si="0"/>
        <v>0</v>
      </c>
      <c r="U14" s="32">
        <f t="shared" si="0"/>
        <v>0</v>
      </c>
      <c r="V14" s="32">
        <f t="shared" si="0"/>
        <v>0</v>
      </c>
      <c r="W14" s="32">
        <f t="shared" si="0"/>
        <v>698538</v>
      </c>
      <c r="X14" s="32">
        <f t="shared" si="0"/>
        <v>0</v>
      </c>
      <c r="Y14" s="32">
        <f t="shared" si="0"/>
        <v>0</v>
      </c>
      <c r="Z14" s="32">
        <f t="shared" si="0"/>
        <v>0</v>
      </c>
      <c r="AA14" s="32">
        <f t="shared" si="0"/>
        <v>0</v>
      </c>
      <c r="AB14" s="32">
        <f t="shared" si="0"/>
        <v>0</v>
      </c>
      <c r="AC14" s="32">
        <f t="shared" si="0"/>
        <v>698538</v>
      </c>
      <c r="AD14" s="32">
        <f t="shared" si="0"/>
        <v>0</v>
      </c>
      <c r="AE14" s="32">
        <f t="shared" si="0"/>
        <v>0</v>
      </c>
      <c r="AF14" s="32">
        <f t="shared" si="0"/>
        <v>0</v>
      </c>
      <c r="AG14" s="32">
        <f t="shared" si="0"/>
        <v>0</v>
      </c>
      <c r="AH14" s="32">
        <f t="shared" si="0"/>
        <v>0</v>
      </c>
      <c r="AI14" s="32">
        <f t="shared" si="0"/>
        <v>0</v>
      </c>
      <c r="AJ14" s="32">
        <f t="shared" si="0"/>
        <v>698538</v>
      </c>
      <c r="AK14" s="32">
        <f t="shared" si="0"/>
        <v>0</v>
      </c>
      <c r="AL14" s="32">
        <f t="shared" si="0"/>
        <v>0</v>
      </c>
      <c r="AM14" s="32">
        <f t="shared" si="0"/>
        <v>0</v>
      </c>
      <c r="AN14" s="32">
        <f t="shared" si="0"/>
        <v>0</v>
      </c>
      <c r="AO14" s="32">
        <f t="shared" si="0"/>
        <v>0</v>
      </c>
      <c r="AP14" s="32">
        <f t="shared" si="0"/>
        <v>698538</v>
      </c>
      <c r="AQ14" s="112"/>
      <c r="AR14" s="112"/>
      <c r="AS14" s="112"/>
      <c r="AT14" s="112"/>
      <c r="AU14" s="112"/>
      <c r="AV14" s="112"/>
      <c r="AW14" s="112"/>
    </row>
    <row r="15" spans="1:49" s="46" customFormat="1" ht="16.5" thickBot="1">
      <c r="A15" s="36"/>
      <c r="B15" s="72" t="s">
        <v>84</v>
      </c>
      <c r="C15" s="33">
        <f aca="true" t="shared" si="1" ref="C15:AQ15">SUM(C16:C17)</f>
        <v>20149890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698538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33">
        <f t="shared" si="1"/>
        <v>0</v>
      </c>
      <c r="O15" s="33">
        <f t="shared" si="1"/>
        <v>0</v>
      </c>
      <c r="P15" s="33">
        <f t="shared" si="1"/>
        <v>698538</v>
      </c>
      <c r="Q15" s="33">
        <f t="shared" si="1"/>
        <v>0</v>
      </c>
      <c r="R15" s="33">
        <f t="shared" si="1"/>
        <v>0</v>
      </c>
      <c r="S15" s="33">
        <f t="shared" si="1"/>
        <v>0</v>
      </c>
      <c r="T15" s="33">
        <f t="shared" si="1"/>
        <v>0</v>
      </c>
      <c r="U15" s="33">
        <f t="shared" si="1"/>
        <v>0</v>
      </c>
      <c r="V15" s="33">
        <f t="shared" si="1"/>
        <v>0</v>
      </c>
      <c r="W15" s="33">
        <f t="shared" si="1"/>
        <v>698538</v>
      </c>
      <c r="X15" s="33">
        <f t="shared" si="1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698538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698538</v>
      </c>
      <c r="AK15" s="33">
        <f t="shared" si="1"/>
        <v>0</v>
      </c>
      <c r="AL15" s="33">
        <f t="shared" si="1"/>
        <v>0</v>
      </c>
      <c r="AM15" s="33">
        <f t="shared" si="1"/>
        <v>0</v>
      </c>
      <c r="AN15" s="33">
        <f t="shared" si="1"/>
        <v>0</v>
      </c>
      <c r="AO15" s="33">
        <f t="shared" si="1"/>
        <v>0</v>
      </c>
      <c r="AP15" s="33">
        <f t="shared" si="1"/>
        <v>698538</v>
      </c>
      <c r="AQ15" s="112"/>
      <c r="AR15" s="112"/>
      <c r="AS15" s="112"/>
      <c r="AT15" s="112"/>
      <c r="AU15" s="112"/>
      <c r="AV15" s="112"/>
      <c r="AW15" s="112"/>
    </row>
    <row r="16" spans="1:49" s="12" customFormat="1" ht="15.75" thickBot="1">
      <c r="A16" s="81" t="s">
        <v>133</v>
      </c>
      <c r="B16" s="20" t="s">
        <v>120</v>
      </c>
      <c r="C16" s="21">
        <v>20149890</v>
      </c>
      <c r="D16" s="21">
        <v>0</v>
      </c>
      <c r="E16" s="21"/>
      <c r="F16" s="21">
        <v>0</v>
      </c>
      <c r="G16" s="21">
        <v>0</v>
      </c>
      <c r="H16" s="21">
        <v>0</v>
      </c>
      <c r="I16" s="21">
        <v>0</v>
      </c>
      <c r="J16" s="21">
        <v>698538</v>
      </c>
      <c r="K16" s="21">
        <v>0</v>
      </c>
      <c r="L16" s="21">
        <v>0</v>
      </c>
      <c r="M16" s="21"/>
      <c r="N16" s="21"/>
      <c r="O16" s="21">
        <v>0</v>
      </c>
      <c r="P16" s="22">
        <f>SUM(D16:O16)</f>
        <v>698538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698538</v>
      </c>
      <c r="X16" s="48">
        <v>0</v>
      </c>
      <c r="Y16" s="21"/>
      <c r="Z16" s="21">
        <v>0</v>
      </c>
      <c r="AA16" s="21"/>
      <c r="AB16" s="21">
        <v>0</v>
      </c>
      <c r="AC16" s="22">
        <f>SUM(Q16:AB16)</f>
        <v>698538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698538</v>
      </c>
      <c r="AK16" s="21">
        <v>0</v>
      </c>
      <c r="AL16" s="21">
        <v>0</v>
      </c>
      <c r="AM16" s="21">
        <v>0</v>
      </c>
      <c r="AN16" s="21"/>
      <c r="AO16" s="21">
        <v>0</v>
      </c>
      <c r="AP16" s="23">
        <f>SUM(AD16:AO16)</f>
        <v>698538</v>
      </c>
      <c r="AQ16" s="112"/>
      <c r="AR16" s="112"/>
      <c r="AS16" s="112"/>
      <c r="AT16" s="112"/>
      <c r="AU16" s="112"/>
      <c r="AV16" s="112"/>
      <c r="AW16" s="112"/>
    </row>
    <row r="17" spans="1:49" s="12" customFormat="1" ht="15.75" hidden="1" thickBot="1">
      <c r="A17" s="81" t="s">
        <v>93</v>
      </c>
      <c r="B17" s="20" t="s">
        <v>94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2">
        <f>SUM(D17:O17)</f>
        <v>0</v>
      </c>
      <c r="Q17" s="48"/>
      <c r="R17" s="48"/>
      <c r="S17" s="48"/>
      <c r="T17" s="48"/>
      <c r="U17" s="48"/>
      <c r="V17" s="48"/>
      <c r="W17" s="48"/>
      <c r="X17" s="48">
        <v>0</v>
      </c>
      <c r="Y17" s="48"/>
      <c r="Z17" s="48"/>
      <c r="AA17" s="48"/>
      <c r="AB17" s="48"/>
      <c r="AC17" s="22">
        <f>SUM(Q17:AB17)</f>
        <v>0</v>
      </c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23">
        <f>SUM(AD17:AO17)</f>
        <v>0</v>
      </c>
      <c r="AQ17" s="112"/>
      <c r="AR17" s="112"/>
      <c r="AS17" s="112"/>
      <c r="AT17" s="112"/>
      <c r="AU17" s="112"/>
      <c r="AV17" s="112"/>
      <c r="AW17" s="112"/>
    </row>
    <row r="18" spans="1:49" s="12" customFormat="1" ht="31.5" customHeight="1" hidden="1" thickBot="1">
      <c r="A18" s="47" t="s">
        <v>92</v>
      </c>
      <c r="B18" s="116" t="s">
        <v>91</v>
      </c>
      <c r="C18" s="48"/>
      <c r="D18" s="27"/>
      <c r="E18" s="48"/>
      <c r="F18" s="48"/>
      <c r="G18" s="48"/>
      <c r="H18" s="49"/>
      <c r="I18" s="48"/>
      <c r="J18" s="48"/>
      <c r="K18" s="48"/>
      <c r="L18" s="48"/>
      <c r="M18" s="48"/>
      <c r="N18" s="48"/>
      <c r="O18" s="27"/>
      <c r="P18" s="27">
        <f>SUM(D18:O18)</f>
        <v>0</v>
      </c>
      <c r="Q18" s="27"/>
      <c r="R18" s="48"/>
      <c r="S18" s="48"/>
      <c r="T18" s="48"/>
      <c r="U18" s="49"/>
      <c r="V18" s="48"/>
      <c r="W18" s="48"/>
      <c r="X18" s="48"/>
      <c r="Y18" s="48"/>
      <c r="Z18" s="48"/>
      <c r="AA18" s="48"/>
      <c r="AB18" s="48"/>
      <c r="AC18" s="26">
        <f>SUM(Q18:AB18)</f>
        <v>0</v>
      </c>
      <c r="AD18" s="27"/>
      <c r="AE18" s="48"/>
      <c r="AF18" s="48"/>
      <c r="AG18" s="48"/>
      <c r="AH18" s="49"/>
      <c r="AI18" s="48"/>
      <c r="AJ18" s="48"/>
      <c r="AK18" s="48"/>
      <c r="AL18" s="48"/>
      <c r="AM18" s="48"/>
      <c r="AN18" s="48"/>
      <c r="AO18" s="48"/>
      <c r="AP18" s="28">
        <f>SUM(AD18:AO18)</f>
        <v>0</v>
      </c>
      <c r="AQ18" s="112"/>
      <c r="AR18" s="112"/>
      <c r="AS18" s="112"/>
      <c r="AT18" s="112"/>
      <c r="AU18" s="112"/>
      <c r="AV18" s="112"/>
      <c r="AW18" s="112"/>
    </row>
    <row r="19" spans="1:49" s="24" customFormat="1" ht="18.75" thickBot="1">
      <c r="A19" s="195" t="s">
        <v>50</v>
      </c>
      <c r="B19" s="196"/>
      <c r="C19" s="30">
        <f>C14</f>
        <v>20149890</v>
      </c>
      <c r="D19" s="30">
        <f aca="true" t="shared" si="2" ref="D19:AT19">D14</f>
        <v>0</v>
      </c>
      <c r="E19" s="30">
        <f t="shared" si="2"/>
        <v>0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698538</v>
      </c>
      <c r="K19" s="30">
        <f t="shared" si="2"/>
        <v>0</v>
      </c>
      <c r="L19" s="30">
        <f t="shared" si="2"/>
        <v>0</v>
      </c>
      <c r="M19" s="30">
        <f t="shared" si="2"/>
        <v>0</v>
      </c>
      <c r="N19" s="30">
        <f t="shared" si="2"/>
        <v>0</v>
      </c>
      <c r="O19" s="30">
        <f t="shared" si="2"/>
        <v>0</v>
      </c>
      <c r="P19" s="30">
        <f t="shared" si="2"/>
        <v>698538</v>
      </c>
      <c r="Q19" s="30">
        <f t="shared" si="2"/>
        <v>0</v>
      </c>
      <c r="R19" s="30">
        <f t="shared" si="2"/>
        <v>0</v>
      </c>
      <c r="S19" s="30">
        <f t="shared" si="2"/>
        <v>0</v>
      </c>
      <c r="T19" s="30">
        <f t="shared" si="2"/>
        <v>0</v>
      </c>
      <c r="U19" s="30">
        <f t="shared" si="2"/>
        <v>0</v>
      </c>
      <c r="V19" s="30">
        <f t="shared" si="2"/>
        <v>0</v>
      </c>
      <c r="W19" s="30">
        <f t="shared" si="2"/>
        <v>698538</v>
      </c>
      <c r="X19" s="30">
        <f t="shared" si="2"/>
        <v>0</v>
      </c>
      <c r="Y19" s="30">
        <f t="shared" si="2"/>
        <v>0</v>
      </c>
      <c r="Z19" s="30">
        <f t="shared" si="2"/>
        <v>0</v>
      </c>
      <c r="AA19" s="30">
        <f t="shared" si="2"/>
        <v>0</v>
      </c>
      <c r="AB19" s="30">
        <f t="shared" si="2"/>
        <v>0</v>
      </c>
      <c r="AC19" s="30">
        <f t="shared" si="2"/>
        <v>698538</v>
      </c>
      <c r="AD19" s="30">
        <f t="shared" si="2"/>
        <v>0</v>
      </c>
      <c r="AE19" s="30">
        <f t="shared" si="2"/>
        <v>0</v>
      </c>
      <c r="AF19" s="30">
        <f t="shared" si="2"/>
        <v>0</v>
      </c>
      <c r="AG19" s="30">
        <f t="shared" si="2"/>
        <v>0</v>
      </c>
      <c r="AH19" s="30">
        <f t="shared" si="2"/>
        <v>0</v>
      </c>
      <c r="AI19" s="30">
        <f t="shared" si="2"/>
        <v>0</v>
      </c>
      <c r="AJ19" s="30">
        <f t="shared" si="2"/>
        <v>698538</v>
      </c>
      <c r="AK19" s="30">
        <f t="shared" si="2"/>
        <v>0</v>
      </c>
      <c r="AL19" s="30">
        <f t="shared" si="2"/>
        <v>0</v>
      </c>
      <c r="AM19" s="30">
        <f t="shared" si="2"/>
        <v>0</v>
      </c>
      <c r="AN19" s="30">
        <f t="shared" si="2"/>
        <v>0</v>
      </c>
      <c r="AO19" s="30">
        <f t="shared" si="2"/>
        <v>0</v>
      </c>
      <c r="AP19" s="30">
        <f t="shared" si="2"/>
        <v>698538</v>
      </c>
      <c r="AQ19" s="112"/>
      <c r="AR19" s="112"/>
      <c r="AS19" s="112"/>
      <c r="AT19" s="112"/>
      <c r="AU19" s="112"/>
      <c r="AV19" s="112"/>
      <c r="AW19" s="112"/>
    </row>
    <row r="20" spans="1:49" ht="15">
      <c r="A20" s="111" t="s">
        <v>175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1"/>
      <c r="AS20" s="112"/>
      <c r="AT20" s="112"/>
      <c r="AU20" s="112"/>
      <c r="AV20" s="112"/>
      <c r="AW20" s="112"/>
    </row>
    <row r="21" spans="1:49" ht="15">
      <c r="A21" s="11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S21" s="112"/>
      <c r="AT21" s="112"/>
      <c r="AU21" s="112"/>
      <c r="AV21" s="112"/>
      <c r="AW21" s="112"/>
    </row>
    <row r="22" spans="1:49" ht="15">
      <c r="A22" s="174"/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9"/>
      <c r="AS22" s="112"/>
      <c r="AT22" s="112"/>
      <c r="AU22" s="112"/>
      <c r="AV22" s="112"/>
      <c r="AW22" s="112"/>
    </row>
    <row r="23" spans="1:49" ht="30.75" customHeight="1">
      <c r="A23" s="174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9"/>
      <c r="AS23" s="112"/>
      <c r="AT23" s="112"/>
      <c r="AU23" s="112"/>
      <c r="AV23" s="112"/>
      <c r="AW23" s="112"/>
    </row>
    <row r="24" spans="1:49" ht="15" hidden="1">
      <c r="A24" s="62">
        <f ca="1">TODAY()</f>
        <v>40939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S24" s="112"/>
      <c r="AT24" s="112"/>
      <c r="AU24" s="112"/>
      <c r="AV24" s="112"/>
      <c r="AW24" s="112"/>
    </row>
    <row r="25" spans="1:49" ht="15" hidden="1">
      <c r="A25" s="6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S25" s="112"/>
      <c r="AT25" s="112"/>
      <c r="AU25" s="112"/>
      <c r="AV25" s="112"/>
      <c r="AW25" s="112"/>
    </row>
    <row r="26" spans="1:49" ht="15" hidden="1">
      <c r="A26" s="6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S26" s="112"/>
      <c r="AT26" s="112"/>
      <c r="AU26" s="112"/>
      <c r="AV26" s="112"/>
      <c r="AW26" s="112"/>
    </row>
    <row r="27" spans="1:49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S27" s="112"/>
      <c r="AT27" s="112"/>
      <c r="AU27" s="112"/>
      <c r="AV27" s="112"/>
      <c r="AW27" s="112"/>
    </row>
    <row r="28" spans="1:49" ht="15.75" thickBot="1">
      <c r="A28" s="4"/>
      <c r="B28" s="76" t="s">
        <v>85</v>
      </c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 t="s">
        <v>86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S28" s="112"/>
      <c r="AT28" s="112"/>
      <c r="AU28" s="112"/>
      <c r="AV28" s="112"/>
      <c r="AW28" s="112"/>
    </row>
    <row r="29" spans="1:42" ht="15.75">
      <c r="A29" s="4"/>
      <c r="B29" s="65"/>
      <c r="C29" s="192" t="s">
        <v>115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5"/>
      <c r="R29" s="5"/>
      <c r="S29" s="5"/>
      <c r="T29" s="37"/>
      <c r="U29" s="5"/>
      <c r="V29" s="5"/>
      <c r="W29" s="5"/>
      <c r="X29" s="5"/>
      <c r="Y29" s="5"/>
      <c r="Z29" s="5"/>
      <c r="AA29" s="5"/>
      <c r="AB29" s="5"/>
      <c r="AC29" s="6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">
      <c r="A31" s="3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.75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</sheetData>
  <sheetProtection/>
  <mergeCells count="10">
    <mergeCell ref="A1:AP1"/>
    <mergeCell ref="A2:AP2"/>
    <mergeCell ref="A3:AP3"/>
    <mergeCell ref="A4:AP4"/>
    <mergeCell ref="C29:P29"/>
    <mergeCell ref="A5:AP5"/>
    <mergeCell ref="A7:B7"/>
    <mergeCell ref="A8:B8"/>
    <mergeCell ref="A19:B19"/>
    <mergeCell ref="A22:AP23"/>
  </mergeCells>
  <printOptions horizontalCentered="1" verticalCentered="1"/>
  <pageMargins left="0.68" right="0.1968503937007874" top="0.15748031496062992" bottom="0.1968503937007874" header="0" footer="0.1968503937007874"/>
  <pageSetup horizontalDpi="300" verticalDpi="300" orientation="landscape" paperSize="5" scale="80" r:id="rId1"/>
  <headerFooter alignWithMargins="0">
    <oddHeader>&amp;C&amp;F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RChaparroG</cp:lastModifiedBy>
  <cp:lastPrinted>2012-01-31T16:32:25Z</cp:lastPrinted>
  <dcterms:created xsi:type="dcterms:W3CDTF">1999-04-05T19:37:02Z</dcterms:created>
  <dcterms:modified xsi:type="dcterms:W3CDTF">2012-01-31T17:09:38Z</dcterms:modified>
  <cp:category/>
  <cp:version/>
  <cp:contentType/>
  <cp:contentStatus/>
</cp:coreProperties>
</file>