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0"/>
  </bookViews>
  <sheets>
    <sheet name="Ingresos Fond. " sheetId="1" r:id="rId1"/>
    <sheet name="Gastos Fond " sheetId="2" r:id="rId2"/>
    <sheet name="CXFONDANE" sheetId="3" r:id="rId3"/>
    <sheet name="RESERVA FONDANE" sheetId="4" r:id="rId4"/>
    <sheet name="Gastos Fond APN" sheetId="5" r:id="rId5"/>
  </sheets>
  <definedNames>
    <definedName name="_xlnm.Print_Area" localSheetId="1">'Gastos Fond '!$A$1:$AP$50</definedName>
    <definedName name="_xlnm.Print_Area" localSheetId="4">'Gastos Fond APN'!$A$1:$AP$32</definedName>
    <definedName name="_xlnm.Print_Area" localSheetId="0">'Ingresos Fond. '!$A$1:$CH$37</definedName>
    <definedName name="_xlnm.Print_Area" localSheetId="3">'RESERVA FONDANE'!$A$1:$AC$49</definedName>
  </definedNames>
  <calcPr fullCalcOnLoad="1"/>
</workbook>
</file>

<file path=xl/sharedStrings.xml><?xml version="1.0" encoding="utf-8"?>
<sst xmlns="http://schemas.openxmlformats.org/spreadsheetml/2006/main" count="751" uniqueCount="222">
  <si>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</si>
  <si>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</si>
  <si>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</si>
  <si>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</si>
  <si>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</si>
  <si>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</si>
  <si>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</si>
  <si>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</si>
  <si>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</si>
  <si>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</si>
  <si>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</si>
  <si>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</si>
  <si>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</si>
  <si>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</si>
  <si>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</si>
  <si>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</si>
  <si>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</si>
  <si>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</si>
  <si>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</si>
  <si>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</si>
  <si>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</si>
  <si>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</si>
  <si>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</si>
  <si>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</si>
  <si>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</si>
  <si>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</si>
  <si>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</si>
  <si>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</si>
  <si>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</si>
  <si>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</si>
  <si>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</si>
  <si>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</si>
  <si>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</si>
  <si>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</si>
  <si>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</si>
  <si>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</si>
  <si>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</si>
  <si>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</si>
  <si>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</si>
  <si>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</si>
  <si>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</si>
  <si>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</si>
  <si>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</si>
  <si>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</si>
  <si>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</si>
  <si>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</si>
  <si>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</si>
  <si>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</si>
  <si>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</si>
  <si>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</si>
  <si>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</si>
  <si>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</si>
  <si>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</si>
  <si>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</si>
  <si>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</si>
  <si>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</si>
  <si>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</si>
  <si>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</si>
  <si>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</si>
  <si>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</si>
  <si>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</si>
  <si>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</si>
  <si>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</si>
  <si>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</si>
  <si>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</si>
  <si>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</si>
  <si>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</si>
  <si>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</si>
  <si>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</si>
  <si>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</si>
  <si>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</si>
  <si>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</si>
  <si>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</si>
  <si>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</si>
  <si>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</si>
  <si>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</si>
  <si>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</si>
  <si>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</si>
  <si>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</si>
  <si>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</si>
  <si>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</si>
  <si>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</si>
  <si>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</si>
  <si>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</si>
  <si>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</si>
  <si>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</si>
  <si>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</si>
  <si>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</si>
  <si>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</si>
  <si>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</si>
  <si>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</si>
  <si>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</si>
  <si>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</si>
  <si>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</si>
  <si>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</si>
  <si>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</si>
  <si>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</si>
  <si>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</si>
  <si>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</si>
  <si>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</si>
  <si>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</si>
  <si>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</si>
  <si>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</si>
  <si>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</si>
  <si>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A|2|0|4|8|20</t>
  </si>
  <si>
    <t>IMPUESTOS Y CONTRIBUCIONES</t>
  </si>
  <si>
    <t>MES  1</t>
  </si>
  <si>
    <t>COMPRA DE EQUIPO</t>
  </si>
  <si>
    <t xml:space="preserve">SENTENCIAS Y CONCILIACIONES </t>
  </si>
  <si>
    <t>RECURSOS DE CAPITAL            1|3|2|0|0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</si>
  <si>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</si>
  <si>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</si>
  <si>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</si>
  <si>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</si>
  <si>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</si>
  <si>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 xml:space="preserve">CUOTA DE AUDITAJE - CONTRALORIA </t>
  </si>
  <si>
    <t>GASTOS DE FUNCIONAMIENTO APN</t>
  </si>
  <si>
    <t>MES 06</t>
  </si>
  <si>
    <t>ENSERES Y EQUIPOS DE OFICINA</t>
  </si>
  <si>
    <t>A|2|0|4|0|21</t>
  </si>
  <si>
    <t>A|2|0|4|5|21</t>
  </si>
  <si>
    <t>A|2|0|4|11|21</t>
  </si>
  <si>
    <t xml:space="preserve">MES </t>
  </si>
  <si>
    <t>OTROS GASTOS POR ADQUISICION DE SERVICIOS</t>
  </si>
  <si>
    <t>A|3|2|1|1|11</t>
  </si>
  <si>
    <t>A|1|0|2|14|20</t>
  </si>
  <si>
    <t>A|2|0|3|0|20</t>
  </si>
  <si>
    <t>A|2|0|3|50|20</t>
  </si>
  <si>
    <t>A|3|2|1|1|20</t>
  </si>
  <si>
    <t>A|3|6|1|1|20</t>
  </si>
  <si>
    <t>A|2|0|4|11|2|21</t>
  </si>
  <si>
    <t>VIATICOS Y GSTOS DE VIAJE</t>
  </si>
  <si>
    <t>A|2|0|4|2|21</t>
  </si>
  <si>
    <t>A|2|0|4|4|21</t>
  </si>
  <si>
    <t>LLANTAS Y ACCESORIOS</t>
  </si>
  <si>
    <t>REPUESTOS</t>
  </si>
  <si>
    <t>MANTENIMIENTO DE BIENES INMUEBLES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</si>
  <si>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</si>
  <si>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</si>
  <si>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</si>
  <si>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</si>
  <si>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</si>
  <si>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</si>
  <si>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</si>
  <si>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</si>
  <si>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</si>
  <si>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</si>
  <si>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</si>
  <si>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VIATICOS Y GASTOS DE VIAJE AL INTERIOR</t>
  </si>
  <si>
    <t>EFECTIVO CONVENIOS</t>
  </si>
  <si>
    <t>EFECTIVO PUBLICACIONES</t>
  </si>
  <si>
    <t>Elaboró : R.CH.G</t>
  </si>
  <si>
    <t>Elaboró :R.CH.G</t>
  </si>
  <si>
    <t>A|2|0|4|1|21</t>
  </si>
  <si>
    <t>A|2|0|4|6|21</t>
  </si>
  <si>
    <t>A|2|0|4|7|21</t>
  </si>
  <si>
    <t>A|2|0|4|8|21</t>
  </si>
  <si>
    <t>A|2|0|4|9|21</t>
  </si>
  <si>
    <t>A|2|0|4|10|21</t>
  </si>
  <si>
    <t>A|2|0|4|41|21</t>
  </si>
  <si>
    <t>C|112|1000|4|21</t>
  </si>
  <si>
    <t>ADQUISICION MEJORAMIENTO, DOTACION,CONSTRUCCION Y/O MTO DE LA ESTRUCTURA FISICA DEL DANE CTAL Y DE SUS SEDES Y SUBSEDES A NIVEL TERRITORIAL NACINAL</t>
  </si>
  <si>
    <t xml:space="preserve">IMPUESTOS Y MULTAS </t>
  </si>
  <si>
    <t>Otros impuestos</t>
  </si>
  <si>
    <t>A|2|0|3|50|90i20</t>
  </si>
  <si>
    <t>A|2|0|4|1|20</t>
  </si>
  <si>
    <t xml:space="preserve">EQUIPO DE CAFETERIA </t>
  </si>
  <si>
    <t xml:space="preserve">EQUIPO DE COMUNICACIÓN </t>
  </si>
  <si>
    <t>A|2|0|4|1|26l20</t>
  </si>
  <si>
    <t>A|2|0|4|1|9l20</t>
  </si>
  <si>
    <t xml:space="preserve">EQUIPOS Y MAQUINAS PARA OFICINA </t>
  </si>
  <si>
    <t>A|2|0|4|2|1l20</t>
  </si>
  <si>
    <t>A|2|0|4|4|20</t>
  </si>
  <si>
    <t xml:space="preserve">COMBUSTIBLES Y LUBRICANTES </t>
  </si>
  <si>
    <t>A|2|0|4|4|1|20</t>
  </si>
  <si>
    <t>A|2|0|4|4|6|20</t>
  </si>
  <si>
    <t>PRODUCTOS DE ASEO Y LIMPIEZA</t>
  </si>
  <si>
    <t>A|2|0|4|4|17|20</t>
  </si>
  <si>
    <t xml:space="preserve">PRODUCTOS DE CAFETERIA Y RESTAURANTE </t>
  </si>
  <si>
    <t>A|2|0|4|4|18|20</t>
  </si>
  <si>
    <t>A|2|0|4|4|20|20</t>
  </si>
  <si>
    <t>A|2|0|4|4|23|20</t>
  </si>
  <si>
    <t xml:space="preserve">OTROS MATERIALES Y SUMINISTROS </t>
  </si>
  <si>
    <t>A|2|0|4|5|20</t>
  </si>
  <si>
    <t>A|2|0|4|5|1|20</t>
  </si>
  <si>
    <t>MANTENIMIENTO DE BIENES MUEBLES EQUIPOS Y ENSERES</t>
  </si>
  <si>
    <t>A|2|0|4|5|2|20</t>
  </si>
  <si>
    <t xml:space="preserve">MANTENIMIENTO EQUIPO COMUNICACIONES Y COMPUTACION </t>
  </si>
  <si>
    <t>A|2|0|4|5|5|20</t>
  </si>
  <si>
    <t>MANTENIMIENTO EQUIPO NAVEGACION Y TRANSPORTE</t>
  </si>
  <si>
    <t xml:space="preserve">SERVICIO DE SEGURIDAD Y VIGILANCIA </t>
  </si>
  <si>
    <t>A|2|0|4|5|6|20</t>
  </si>
  <si>
    <t>A|2|0|4|5|10|20</t>
  </si>
  <si>
    <t xml:space="preserve">COMUNICACIONES Y TRANSPORTE </t>
  </si>
  <si>
    <t xml:space="preserve">TRANSPORTE </t>
  </si>
  <si>
    <t>A|2|0|4|6|7|20</t>
  </si>
  <si>
    <t>A|2|0|4|6||20</t>
  </si>
  <si>
    <t xml:space="preserve">SERVICIOS PUBLICOS </t>
  </si>
  <si>
    <t xml:space="preserve">ACUEDUCTO ALCANTARILLADO Y ASEO </t>
  </si>
  <si>
    <t xml:space="preserve">ENERGIA </t>
  </si>
  <si>
    <t xml:space="preserve">TELEFONIA MOVIL CELULAR </t>
  </si>
  <si>
    <t>A|2|0|4|8|1l20</t>
  </si>
  <si>
    <t>A|2|0|4|8|2l20</t>
  </si>
  <si>
    <t>A|2|0|4|8|5l20</t>
  </si>
  <si>
    <t xml:space="preserve">SUSCRIPCIONES </t>
  </si>
  <si>
    <t xml:space="preserve">OTROS GTOS POR IMPRESOS Y PUBLICACIONES </t>
  </si>
  <si>
    <t xml:space="preserve">IMPRESOS Y PUBLICACIONES </t>
  </si>
  <si>
    <t>A|2|0|4|7|5|20</t>
  </si>
  <si>
    <t>A|2|0|4|7|6|20</t>
  </si>
  <si>
    <t>A|2|0|4|7||20</t>
  </si>
  <si>
    <t>A|2|0|4|8|1|20</t>
  </si>
  <si>
    <t>ACUEDUCTO ALCANTARILLADO Y ASEO</t>
  </si>
  <si>
    <t>ENERGIA</t>
  </si>
  <si>
    <t>A|2|0|4|8|2|20</t>
  </si>
  <si>
    <t>A|2|0|4|8|5|20</t>
  </si>
  <si>
    <t>A  JUNIO</t>
  </si>
  <si>
    <t>A JUNIO</t>
  </si>
  <si>
    <t>MES: JUNIO</t>
  </si>
  <si>
    <t xml:space="preserve"> A JUNIO</t>
  </si>
  <si>
    <t xml:space="preserve">A  JUNIO </t>
  </si>
  <si>
    <t>NOTA:   Se realizo un traslado de compra de equipo a enseres y Equipos de oficina por valor de $ 8,000,000</t>
  </si>
  <si>
    <t>VIGENCIA FISCAL   2012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</si>
</sst>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[$-240A]dddd\,\ dd&quot; de &quot;mmmm&quot; de &quot;yyyy"/>
    <numFmt numFmtId="205" formatCode="#,##0.000"/>
    <numFmt numFmtId="206" formatCode="#,##0.0000"/>
    <numFmt numFmtId="207" formatCode="#,##0.00000"/>
    <numFmt numFmtId="208" formatCode="#,##0.000000"/>
    <numFmt numFmtId="209" formatCode="#,##0.0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9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" fontId="9" fillId="0" borderId="3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4" fontId="0" fillId="0" borderId="35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6" xfId="0" applyNumberFormat="1" applyFont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37" xfId="0" applyNumberFormat="1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33" borderId="38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185" fontId="13" fillId="33" borderId="39" xfId="5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1" xfId="0" applyFont="1" applyFill="1" applyBorder="1" applyAlignment="1" applyProtection="1">
      <alignment horizontal="center"/>
      <protection locked="0"/>
    </xf>
    <xf numFmtId="0" fontId="5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0" fontId="2" fillId="0" borderId="23" xfId="0" applyNumberFormat="1" applyFont="1" applyBorder="1" applyAlignment="1">
      <alignment horizontal="right"/>
    </xf>
    <xf numFmtId="4" fontId="8" fillId="0" borderId="21" xfId="0" applyNumberFormat="1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30" xfId="0" applyNumberFormat="1" applyFont="1" applyBorder="1" applyAlignment="1" applyProtection="1">
      <alignment horizontal="left"/>
      <protection locked="0"/>
    </xf>
    <xf numFmtId="40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203" fontId="9" fillId="0" borderId="21" xfId="0" applyNumberFormat="1" applyFont="1" applyBorder="1" applyAlignment="1" applyProtection="1">
      <alignment horizontal="right"/>
      <protection locked="0"/>
    </xf>
    <xf numFmtId="203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30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" fontId="0" fillId="0" borderId="42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9" fillId="0" borderId="43" xfId="0" applyNumberFormat="1" applyFont="1" applyBorder="1" applyAlignment="1" applyProtection="1">
      <alignment horizontal="right"/>
      <protection locked="0"/>
    </xf>
    <xf numFmtId="0" fontId="7" fillId="33" borderId="4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28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Border="1" applyAlignment="1">
      <alignment/>
    </xf>
    <xf numFmtId="4" fontId="2" fillId="34" borderId="25" xfId="0" applyNumberFormat="1" applyFont="1" applyFill="1" applyBorder="1" applyAlignment="1">
      <alignment horizontal="right"/>
    </xf>
    <xf numFmtId="4" fontId="2" fillId="34" borderId="23" xfId="0" applyNumberFormat="1" applyFont="1" applyFill="1" applyBorder="1" applyAlignment="1">
      <alignment horizontal="right"/>
    </xf>
    <xf numFmtId="4" fontId="9" fillId="34" borderId="21" xfId="0" applyNumberFormat="1" applyFont="1" applyFill="1" applyBorder="1" applyAlignment="1" applyProtection="1">
      <alignment horizontal="right"/>
      <protection/>
    </xf>
    <xf numFmtId="4" fontId="2" fillId="34" borderId="23" xfId="0" applyNumberFormat="1" applyFont="1" applyFill="1" applyBorder="1" applyAlignment="1" applyProtection="1">
      <alignment horizontal="right"/>
      <protection locked="0"/>
    </xf>
    <xf numFmtId="4" fontId="2" fillId="34" borderId="21" xfId="0" applyNumberFormat="1" applyFont="1" applyFill="1" applyBorder="1" applyAlignment="1" applyProtection="1">
      <alignment horizontal="right"/>
      <protection locked="0"/>
    </xf>
    <xf numFmtId="4" fontId="2" fillId="34" borderId="18" xfId="0" applyNumberFormat="1" applyFont="1" applyFill="1" applyBorder="1" applyAlignment="1" applyProtection="1">
      <alignment horizontal="right"/>
      <protection locked="0"/>
    </xf>
    <xf numFmtId="4" fontId="9" fillId="34" borderId="18" xfId="0" applyNumberFormat="1" applyFont="1" applyFill="1" applyBorder="1" applyAlignment="1" applyProtection="1">
      <alignment horizontal="right"/>
      <protection/>
    </xf>
    <xf numFmtId="4" fontId="9" fillId="34" borderId="30" xfId="0" applyNumberFormat="1" applyFont="1" applyFill="1" applyBorder="1" applyAlignment="1" applyProtection="1">
      <alignment horizontal="right"/>
      <protection locked="0"/>
    </xf>
    <xf numFmtId="4" fontId="9" fillId="34" borderId="21" xfId="0" applyNumberFormat="1" applyFont="1" applyFill="1" applyBorder="1" applyAlignment="1" applyProtection="1">
      <alignment horizontal="right"/>
      <protection locked="0"/>
    </xf>
    <xf numFmtId="203" fontId="9" fillId="34" borderId="21" xfId="0" applyNumberFormat="1" applyFont="1" applyFill="1" applyBorder="1" applyAlignment="1" applyProtection="1">
      <alignment horizontal="right"/>
      <protection locked="0"/>
    </xf>
    <xf numFmtId="4" fontId="9" fillId="34" borderId="18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43" fontId="0" fillId="0" borderId="0" xfId="48" applyFont="1" applyAlignment="1">
      <alignment/>
    </xf>
    <xf numFmtId="4" fontId="0" fillId="0" borderId="0" xfId="0" applyNumberFormat="1" applyAlignment="1">
      <alignment vertical="center"/>
    </xf>
    <xf numFmtId="4" fontId="0" fillId="33" borderId="0" xfId="0" applyNumberFormat="1" applyFont="1" applyFill="1" applyBorder="1" applyAlignment="1">
      <alignment/>
    </xf>
    <xf numFmtId="4" fontId="0" fillId="0" borderId="0" xfId="48" applyNumberFormat="1" applyFont="1" applyAlignment="1">
      <alignment/>
    </xf>
    <xf numFmtId="4" fontId="2" fillId="0" borderId="30" xfId="0" applyNumberFormat="1" applyFont="1" applyFill="1" applyBorder="1" applyAlignment="1" applyProtection="1">
      <alignment horizontal="right"/>
      <protection locked="0"/>
    </xf>
    <xf numFmtId="4" fontId="9" fillId="0" borderId="25" xfId="0" applyNumberFormat="1" applyFont="1" applyBorder="1" applyAlignment="1">
      <alignment horizontal="right"/>
    </xf>
    <xf numFmtId="4" fontId="2" fillId="0" borderId="30" xfId="0" applyNumberFormat="1" applyFont="1" applyBorder="1" applyAlignment="1" applyProtection="1">
      <alignment horizontal="right"/>
      <protection locked="0"/>
    </xf>
    <xf numFmtId="43" fontId="9" fillId="0" borderId="0" xfId="48" applyFont="1" applyAlignment="1">
      <alignment/>
    </xf>
    <xf numFmtId="43" fontId="9" fillId="0" borderId="0" xfId="48" applyFont="1" applyFill="1" applyAlignment="1">
      <alignment/>
    </xf>
    <xf numFmtId="43" fontId="1" fillId="0" borderId="0" xfId="48" applyFont="1" applyBorder="1" applyAlignment="1">
      <alignment/>
    </xf>
    <xf numFmtId="43" fontId="2" fillId="0" borderId="0" xfId="48" applyFont="1" applyFill="1" applyAlignment="1">
      <alignment/>
    </xf>
    <xf numFmtId="4" fontId="2" fillId="0" borderId="0" xfId="0" applyNumberFormat="1" applyFont="1" applyFill="1" applyAlignment="1">
      <alignment/>
    </xf>
    <xf numFmtId="43" fontId="1" fillId="0" borderId="0" xfId="48" applyFont="1" applyAlignment="1">
      <alignment/>
    </xf>
    <xf numFmtId="4" fontId="0" fillId="34" borderId="17" xfId="0" applyNumberFormat="1" applyFont="1" applyFill="1" applyBorder="1" applyAlignment="1" applyProtection="1">
      <alignment/>
      <protection locked="0"/>
    </xf>
    <xf numFmtId="4" fontId="0" fillId="34" borderId="18" xfId="0" applyNumberFormat="1" applyFont="1" applyFill="1" applyBorder="1" applyAlignment="1" applyProtection="1">
      <alignment/>
      <protection locked="0"/>
    </xf>
    <xf numFmtId="4" fontId="0" fillId="34" borderId="18" xfId="0" applyNumberFormat="1" applyFont="1" applyFill="1" applyBorder="1" applyAlignment="1" applyProtection="1">
      <alignment/>
      <protection/>
    </xf>
    <xf numFmtId="4" fontId="0" fillId="34" borderId="21" xfId="0" applyNumberFormat="1" applyFont="1" applyFill="1" applyBorder="1" applyAlignment="1" applyProtection="1">
      <alignment/>
      <protection/>
    </xf>
    <xf numFmtId="4" fontId="0" fillId="34" borderId="17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 horizontal="right"/>
      <protection locked="0"/>
    </xf>
    <xf numFmtId="0" fontId="2" fillId="33" borderId="15" xfId="0" applyFont="1" applyFill="1" applyBorder="1" applyAlignment="1" quotePrefix="1">
      <alignment horizontal="left"/>
    </xf>
    <xf numFmtId="0" fontId="0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4" fontId="9" fillId="33" borderId="15" xfId="0" applyNumberFormat="1" applyFont="1" applyFill="1" applyBorder="1" applyAlignment="1" applyProtection="1">
      <alignment horizontal="right"/>
      <protection locked="0"/>
    </xf>
    <xf numFmtId="0" fontId="9" fillId="33" borderId="16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4" fontId="2" fillId="0" borderId="45" xfId="0" applyNumberFormat="1" applyFont="1" applyBorder="1" applyAlignment="1">
      <alignment horizontal="right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2" fillId="0" borderId="33" xfId="0" applyNumberFormat="1" applyFont="1" applyBorder="1" applyAlignment="1" applyProtection="1">
      <alignment horizontal="right"/>
      <protection locked="0"/>
    </xf>
    <xf numFmtId="4" fontId="2" fillId="0" borderId="22" xfId="0" applyNumberFormat="1" applyFont="1" applyBorder="1" applyAlignment="1" applyProtection="1">
      <alignment horizontal="right"/>
      <protection locked="0"/>
    </xf>
    <xf numFmtId="4" fontId="2" fillId="0" borderId="26" xfId="0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>
      <alignment/>
    </xf>
    <xf numFmtId="0" fontId="1" fillId="0" borderId="4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3" fillId="33" borderId="3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4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2" fillId="33" borderId="3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60"/>
  <sheetViews>
    <sheetView tabSelected="1" zoomScale="85" zoomScaleNormal="85" zoomScalePageLayoutView="0" workbookViewId="0" topLeftCell="U1">
      <selection activeCell="BT34" sqref="BT3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22.00390625" style="1" bestFit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0" width="15.00390625" style="1" hidden="1" customWidth="1"/>
    <col min="11" max="11" width="16.00390625" style="1" hidden="1" customWidth="1"/>
    <col min="12" max="12" width="24.8515625" style="1" hidden="1" customWidth="1"/>
    <col min="13" max="14" width="16.57421875" style="1" hidden="1" customWidth="1"/>
    <col min="15" max="16" width="15.57421875" style="1" hidden="1" customWidth="1"/>
    <col min="17" max="17" width="15.421875" style="1" hidden="1" customWidth="1"/>
    <col min="18" max="18" width="16.8515625" style="1" hidden="1" customWidth="1"/>
    <col min="19" max="19" width="21.421875" style="1" hidden="1" customWidth="1"/>
    <col min="20" max="20" width="21.57421875" style="1" hidden="1" customWidth="1"/>
    <col min="21" max="21" width="15.8515625" style="1" customWidth="1"/>
    <col min="22" max="22" width="18.57421875" style="1" hidden="1" customWidth="1"/>
    <col min="23" max="24" width="16.57421875" style="1" hidden="1" customWidth="1"/>
    <col min="25" max="25" width="18.00390625" style="1" hidden="1" customWidth="1"/>
    <col min="26" max="26" width="17.7109375" style="1" hidden="1" customWidth="1"/>
    <col min="27" max="27" width="17.00390625" style="1" hidden="1" customWidth="1"/>
    <col min="28" max="28" width="22.00390625" style="1" customWidth="1"/>
    <col min="29" max="29" width="19.7109375" style="1" hidden="1" customWidth="1"/>
    <col min="30" max="30" width="17.57421875" style="1" hidden="1" customWidth="1"/>
    <col min="31" max="31" width="15.57421875" style="1" hidden="1" customWidth="1"/>
    <col min="32" max="32" width="16.7109375" style="1" hidden="1" customWidth="1"/>
    <col min="33" max="33" width="12.57421875" style="1" hidden="1" customWidth="1"/>
    <col min="34" max="36" width="16.7109375" style="1" hidden="1" customWidth="1"/>
    <col min="37" max="37" width="15.421875" style="1" hidden="1" customWidth="1"/>
    <col min="38" max="40" width="18.421875" style="1" hidden="1" customWidth="1"/>
    <col min="41" max="43" width="17.28125" style="1" hidden="1" customWidth="1"/>
    <col min="44" max="46" width="17.8515625" style="1" hidden="1" customWidth="1"/>
    <col min="47" max="47" width="16.57421875" style="1" hidden="1" customWidth="1"/>
    <col min="48" max="48" width="18.140625" style="1" hidden="1" customWidth="1"/>
    <col min="49" max="49" width="19.421875" style="1" hidden="1" customWidth="1"/>
    <col min="50" max="50" width="21.140625" style="1" hidden="1" customWidth="1"/>
    <col min="51" max="51" width="19.140625" style="1" hidden="1" customWidth="1"/>
    <col min="52" max="54" width="16.57421875" style="1" hidden="1" customWidth="1"/>
    <col min="55" max="55" width="15.28125" style="1" hidden="1" customWidth="1"/>
    <col min="56" max="56" width="17.28125" style="1" hidden="1" customWidth="1"/>
    <col min="57" max="57" width="14.28125" style="1" hidden="1" customWidth="1"/>
    <col min="58" max="58" width="17.140625" style="1" hidden="1" customWidth="1"/>
    <col min="59" max="59" width="16.57421875" style="1" customWidth="1"/>
    <col min="60" max="60" width="18.8515625" style="1" customWidth="1"/>
    <col min="61" max="61" width="17.8515625" style="1" hidden="1" customWidth="1"/>
    <col min="62" max="62" width="17.7109375" style="1" hidden="1" customWidth="1"/>
    <col min="63" max="63" width="16.421875" style="1" hidden="1" customWidth="1"/>
    <col min="64" max="64" width="11.8515625" style="1" hidden="1" customWidth="1"/>
    <col min="65" max="65" width="17.57421875" style="1" hidden="1" customWidth="1"/>
    <col min="66" max="66" width="16.57421875" style="1" hidden="1" customWidth="1"/>
    <col min="67" max="67" width="18.00390625" style="1" hidden="1" customWidth="1"/>
    <col min="68" max="68" width="11.8515625" style="1" hidden="1" customWidth="1"/>
    <col min="69" max="69" width="14.421875" style="1" hidden="1" customWidth="1"/>
    <col min="70" max="70" width="15.28125" style="1" hidden="1" customWidth="1"/>
    <col min="71" max="71" width="16.57421875" style="1" hidden="1" customWidth="1"/>
    <col min="72" max="72" width="15.8515625" style="1" customWidth="1"/>
    <col min="73" max="73" width="12.7109375" style="1" hidden="1" customWidth="1"/>
    <col min="74" max="74" width="14.140625" style="1" hidden="1" customWidth="1"/>
    <col min="75" max="75" width="13.421875" style="1" hidden="1" customWidth="1"/>
    <col min="76" max="76" width="15.00390625" style="1" hidden="1" customWidth="1"/>
    <col min="77" max="77" width="15.8515625" style="1" hidden="1" customWidth="1"/>
    <col min="78" max="78" width="16.8515625" style="1" customWidth="1"/>
    <col min="79" max="79" width="25.8515625" style="1" hidden="1" customWidth="1"/>
    <col min="80" max="80" width="15.8515625" style="1" hidden="1" customWidth="1"/>
    <col min="81" max="81" width="17.140625" style="1" hidden="1" customWidth="1"/>
    <col min="82" max="82" width="19.421875" style="1" hidden="1" customWidth="1"/>
    <col min="83" max="83" width="16.421875" style="1" hidden="1" customWidth="1"/>
    <col min="84" max="84" width="12.57421875" style="1" hidden="1" customWidth="1"/>
    <col min="85" max="85" width="12.28125" style="1" customWidth="1"/>
    <col min="86" max="86" width="15.00390625" style="1" customWidth="1"/>
    <col min="87" max="87" width="12.421875" style="1" bestFit="1" customWidth="1"/>
    <col min="88" max="88" width="15.421875" style="1" bestFit="1" customWidth="1"/>
    <col min="89" max="89" width="12.421875" style="1" bestFit="1" customWidth="1"/>
    <col min="90" max="16384" width="11.421875" style="1" customWidth="1"/>
  </cols>
  <sheetData>
    <row r="1" spans="1:86" ht="18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200"/>
    </row>
    <row r="2" spans="1:88" ht="15.75">
      <c r="A2" s="201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3"/>
      <c r="CJ2" s="12"/>
    </row>
    <row r="3" spans="1:88" ht="18">
      <c r="A3" s="204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6"/>
      <c r="CJ3" s="12"/>
    </row>
    <row r="4" spans="1:88" ht="20.25">
      <c r="A4" s="207" t="s">
        <v>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9"/>
      <c r="CJ4" s="12"/>
    </row>
    <row r="5" spans="1:88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1"/>
      <c r="CJ5" s="12"/>
    </row>
    <row r="6" spans="1:86" ht="12.75">
      <c r="A6" s="215" t="s">
        <v>4</v>
      </c>
      <c r="B6" s="216"/>
      <c r="C6" s="57"/>
      <c r="D6" s="57"/>
      <c r="E6" s="5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2" t="s">
        <v>6</v>
      </c>
      <c r="AC6" s="52"/>
      <c r="AD6" s="52"/>
      <c r="AE6" s="52"/>
      <c r="AF6" s="52"/>
      <c r="AG6" s="52"/>
      <c r="AH6" s="52"/>
      <c r="AI6" s="52"/>
      <c r="AJ6" s="52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8" t="s">
        <v>122</v>
      </c>
      <c r="BU6" s="50"/>
      <c r="BV6" s="50"/>
      <c r="BW6" s="50"/>
      <c r="BX6" s="50"/>
      <c r="BY6" s="85" t="s">
        <v>218</v>
      </c>
      <c r="BZ6" s="136" t="s">
        <v>219</v>
      </c>
      <c r="CA6" s="50"/>
      <c r="CB6" s="50"/>
      <c r="CC6" s="50"/>
      <c r="CD6" s="50"/>
      <c r="CE6" s="50"/>
      <c r="CF6" s="50"/>
      <c r="CG6" s="85"/>
      <c r="CH6" s="51"/>
    </row>
    <row r="7" spans="1:86" ht="12.75">
      <c r="A7" s="215" t="s">
        <v>5</v>
      </c>
      <c r="B7" s="216"/>
      <c r="C7" s="57"/>
      <c r="D7" s="57"/>
      <c r="E7" s="57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2" t="s">
        <v>7</v>
      </c>
      <c r="AC7" s="52"/>
      <c r="AD7" s="52"/>
      <c r="AE7" s="52"/>
      <c r="AF7" s="52"/>
      <c r="AG7" s="52"/>
      <c r="AH7" s="50"/>
      <c r="AI7" s="52"/>
      <c r="AJ7" s="52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8" t="s">
        <v>9</v>
      </c>
      <c r="BU7" s="50"/>
      <c r="BV7" s="50"/>
      <c r="BW7" s="50"/>
      <c r="BX7" s="50"/>
      <c r="BY7" s="57">
        <v>2012</v>
      </c>
      <c r="BZ7" s="58">
        <v>2012</v>
      </c>
      <c r="CA7" s="50"/>
      <c r="CB7" s="50"/>
      <c r="CC7" s="50"/>
      <c r="CD7" s="50"/>
      <c r="CE7" s="50"/>
      <c r="CF7" s="50"/>
      <c r="CG7" s="57"/>
      <c r="CH7" s="51"/>
    </row>
    <row r="8" spans="1:86" ht="13.5" thickBo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0"/>
      <c r="AF8" s="54"/>
      <c r="AG8" s="54"/>
      <c r="AH8" s="54"/>
      <c r="AI8" s="54"/>
      <c r="AJ8" s="54"/>
      <c r="AK8" s="50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5"/>
    </row>
    <row r="9" spans="1:86" ht="12.75">
      <c r="A9" s="97" t="s">
        <v>78</v>
      </c>
      <c r="B9" s="89"/>
      <c r="C9" s="90" t="s">
        <v>66</v>
      </c>
      <c r="D9" s="90"/>
      <c r="E9" s="90" t="s">
        <v>138</v>
      </c>
      <c r="F9" s="89" t="s">
        <v>64</v>
      </c>
      <c r="G9" s="89"/>
      <c r="H9" s="90" t="s">
        <v>138</v>
      </c>
      <c r="I9" s="89" t="s">
        <v>64</v>
      </c>
      <c r="J9" s="89"/>
      <c r="K9" s="90" t="s">
        <v>138</v>
      </c>
      <c r="L9" s="89" t="s">
        <v>64</v>
      </c>
      <c r="M9" s="89"/>
      <c r="N9" s="90" t="s">
        <v>138</v>
      </c>
      <c r="O9" s="89" t="s">
        <v>64</v>
      </c>
      <c r="P9" s="89"/>
      <c r="Q9" s="90" t="s">
        <v>138</v>
      </c>
      <c r="R9" s="89" t="s">
        <v>64</v>
      </c>
      <c r="S9" s="89"/>
      <c r="T9" s="90" t="s">
        <v>138</v>
      </c>
      <c r="U9" s="89" t="s">
        <v>64</v>
      </c>
      <c r="V9" s="89" t="s">
        <v>64</v>
      </c>
      <c r="W9" s="89" t="s">
        <v>64</v>
      </c>
      <c r="X9" s="89" t="s">
        <v>64</v>
      </c>
      <c r="Y9" s="89" t="s">
        <v>64</v>
      </c>
      <c r="Z9" s="89" t="s">
        <v>64</v>
      </c>
      <c r="AA9" s="89" t="s">
        <v>64</v>
      </c>
      <c r="AB9" s="89" t="s">
        <v>64</v>
      </c>
      <c r="AC9" s="90" t="s">
        <v>68</v>
      </c>
      <c r="AD9" s="90" t="s">
        <v>68</v>
      </c>
      <c r="AE9" s="89" t="s">
        <v>68</v>
      </c>
      <c r="AF9" s="90" t="s">
        <v>68</v>
      </c>
      <c r="AG9" s="90" t="s">
        <v>68</v>
      </c>
      <c r="AH9" s="90" t="s">
        <v>68</v>
      </c>
      <c r="AI9" s="90"/>
      <c r="AJ9" s="90" t="s">
        <v>138</v>
      </c>
      <c r="AK9" s="89" t="s">
        <v>26</v>
      </c>
      <c r="AL9" s="90" t="s">
        <v>138</v>
      </c>
      <c r="AM9" s="90"/>
      <c r="AN9" s="90"/>
      <c r="AO9" s="89" t="s">
        <v>26</v>
      </c>
      <c r="AP9" s="90" t="s">
        <v>68</v>
      </c>
      <c r="AQ9" s="90" t="s">
        <v>68</v>
      </c>
      <c r="AR9" s="89" t="s">
        <v>68</v>
      </c>
      <c r="AS9" s="90"/>
      <c r="AT9" s="90"/>
      <c r="AU9" s="89" t="s">
        <v>26</v>
      </c>
      <c r="AV9" s="89" t="s">
        <v>68</v>
      </c>
      <c r="AW9" s="89" t="s">
        <v>26</v>
      </c>
      <c r="AX9" s="89" t="s">
        <v>26</v>
      </c>
      <c r="AY9" s="89" t="s">
        <v>26</v>
      </c>
      <c r="AZ9" s="89" t="s">
        <v>68</v>
      </c>
      <c r="BA9" s="90"/>
      <c r="BB9" s="90" t="s">
        <v>138</v>
      </c>
      <c r="BC9" s="89" t="s">
        <v>26</v>
      </c>
      <c r="BD9" s="89" t="s">
        <v>68</v>
      </c>
      <c r="BE9" s="90"/>
      <c r="BF9" s="90" t="s">
        <v>138</v>
      </c>
      <c r="BG9" s="89" t="s">
        <v>26</v>
      </c>
      <c r="BH9" s="89" t="s">
        <v>68</v>
      </c>
      <c r="BI9" s="89" t="s">
        <v>26</v>
      </c>
      <c r="BJ9" s="89" t="s">
        <v>68</v>
      </c>
      <c r="BK9" s="89" t="s">
        <v>26</v>
      </c>
      <c r="BL9" s="90" t="s">
        <v>68</v>
      </c>
      <c r="BM9" s="89" t="s">
        <v>26</v>
      </c>
      <c r="BN9" s="89" t="s">
        <v>68</v>
      </c>
      <c r="BO9" s="89" t="s">
        <v>26</v>
      </c>
      <c r="BP9" s="89" t="s">
        <v>68</v>
      </c>
      <c r="BQ9" s="89" t="s">
        <v>26</v>
      </c>
      <c r="BR9" s="89" t="s">
        <v>68</v>
      </c>
      <c r="BS9" s="89" t="s">
        <v>26</v>
      </c>
      <c r="BT9" s="89" t="s">
        <v>32</v>
      </c>
      <c r="BU9" s="89" t="s">
        <v>34</v>
      </c>
      <c r="BV9" s="89" t="s">
        <v>34</v>
      </c>
      <c r="BW9" s="89" t="s">
        <v>34</v>
      </c>
      <c r="BX9" s="89" t="s">
        <v>34</v>
      </c>
      <c r="BY9" s="89" t="s">
        <v>34</v>
      </c>
      <c r="BZ9" s="89" t="s">
        <v>34</v>
      </c>
      <c r="CA9" s="89" t="s">
        <v>34</v>
      </c>
      <c r="CB9" s="89" t="s">
        <v>34</v>
      </c>
      <c r="CC9" s="89" t="s">
        <v>34</v>
      </c>
      <c r="CD9" s="89" t="s">
        <v>34</v>
      </c>
      <c r="CE9" s="89" t="s">
        <v>34</v>
      </c>
      <c r="CF9" s="89" t="s">
        <v>34</v>
      </c>
      <c r="CG9" s="89" t="s">
        <v>34</v>
      </c>
      <c r="CH9" s="89" t="s">
        <v>37</v>
      </c>
    </row>
    <row r="10" spans="1:86" ht="12.75">
      <c r="A10" s="98" t="s">
        <v>10</v>
      </c>
      <c r="B10" s="91" t="s">
        <v>11</v>
      </c>
      <c r="C10" s="92" t="s">
        <v>67</v>
      </c>
      <c r="D10" s="91" t="s">
        <v>137</v>
      </c>
      <c r="E10" s="91" t="s">
        <v>141</v>
      </c>
      <c r="F10" s="91" t="s">
        <v>65</v>
      </c>
      <c r="G10" s="92" t="s">
        <v>137</v>
      </c>
      <c r="H10" s="92" t="s">
        <v>141</v>
      </c>
      <c r="I10" s="91" t="s">
        <v>65</v>
      </c>
      <c r="J10" s="92" t="s">
        <v>137</v>
      </c>
      <c r="K10" s="92" t="s">
        <v>141</v>
      </c>
      <c r="L10" s="91" t="s">
        <v>65</v>
      </c>
      <c r="M10" s="92" t="s">
        <v>137</v>
      </c>
      <c r="N10" s="92" t="s">
        <v>141</v>
      </c>
      <c r="O10" s="91" t="s">
        <v>65</v>
      </c>
      <c r="P10" s="92" t="s">
        <v>137</v>
      </c>
      <c r="Q10" s="92" t="s">
        <v>141</v>
      </c>
      <c r="R10" s="91" t="s">
        <v>65</v>
      </c>
      <c r="S10" s="92" t="s">
        <v>137</v>
      </c>
      <c r="T10" s="92" t="s">
        <v>141</v>
      </c>
      <c r="U10" s="91" t="s">
        <v>65</v>
      </c>
      <c r="V10" s="91" t="s">
        <v>65</v>
      </c>
      <c r="W10" s="91" t="s">
        <v>65</v>
      </c>
      <c r="X10" s="91" t="s">
        <v>65</v>
      </c>
      <c r="Y10" s="91" t="s">
        <v>65</v>
      </c>
      <c r="Z10" s="91" t="s">
        <v>65</v>
      </c>
      <c r="AA10" s="91" t="s">
        <v>65</v>
      </c>
      <c r="AB10" s="91" t="s">
        <v>65</v>
      </c>
      <c r="AC10" s="92" t="s">
        <v>142</v>
      </c>
      <c r="AD10" s="92" t="s">
        <v>143</v>
      </c>
      <c r="AE10" s="92" t="s">
        <v>67</v>
      </c>
      <c r="AF10" s="92" t="s">
        <v>142</v>
      </c>
      <c r="AG10" s="92" t="s">
        <v>144</v>
      </c>
      <c r="AH10" s="92" t="s">
        <v>145</v>
      </c>
      <c r="AI10" s="91" t="s">
        <v>137</v>
      </c>
      <c r="AJ10" s="91" t="s">
        <v>141</v>
      </c>
      <c r="AK10" s="91" t="s">
        <v>27</v>
      </c>
      <c r="AL10" s="92" t="s">
        <v>139</v>
      </c>
      <c r="AM10" s="92" t="s">
        <v>147</v>
      </c>
      <c r="AN10" s="92" t="s">
        <v>141</v>
      </c>
      <c r="AO10" s="91" t="s">
        <v>27</v>
      </c>
      <c r="AP10" s="92" t="s">
        <v>142</v>
      </c>
      <c r="AQ10" s="92" t="s">
        <v>144</v>
      </c>
      <c r="AR10" s="91" t="s">
        <v>67</v>
      </c>
      <c r="AS10" s="92" t="s">
        <v>147</v>
      </c>
      <c r="AT10" s="92" t="s">
        <v>141</v>
      </c>
      <c r="AU10" s="91" t="s">
        <v>27</v>
      </c>
      <c r="AV10" s="91" t="s">
        <v>67</v>
      </c>
      <c r="AW10" s="91" t="s">
        <v>149</v>
      </c>
      <c r="AX10" s="91" t="s">
        <v>150</v>
      </c>
      <c r="AY10" s="91" t="s">
        <v>27</v>
      </c>
      <c r="AZ10" s="91" t="s">
        <v>67</v>
      </c>
      <c r="BA10" s="91" t="s">
        <v>137</v>
      </c>
      <c r="BB10" s="91" t="s">
        <v>141</v>
      </c>
      <c r="BC10" s="91" t="s">
        <v>27</v>
      </c>
      <c r="BD10" s="91" t="s">
        <v>67</v>
      </c>
      <c r="BE10" s="91" t="s">
        <v>137</v>
      </c>
      <c r="BF10" s="91" t="s">
        <v>141</v>
      </c>
      <c r="BG10" s="91" t="s">
        <v>27</v>
      </c>
      <c r="BH10" s="93" t="s">
        <v>67</v>
      </c>
      <c r="BI10" s="93" t="s">
        <v>27</v>
      </c>
      <c r="BJ10" s="91" t="s">
        <v>67</v>
      </c>
      <c r="BK10" s="91" t="s">
        <v>27</v>
      </c>
      <c r="BL10" s="92" t="s">
        <v>67</v>
      </c>
      <c r="BM10" s="91" t="s">
        <v>27</v>
      </c>
      <c r="BN10" s="91" t="s">
        <v>67</v>
      </c>
      <c r="BO10" s="91" t="s">
        <v>27</v>
      </c>
      <c r="BP10" s="91" t="s">
        <v>67</v>
      </c>
      <c r="BQ10" s="91" t="s">
        <v>27</v>
      </c>
      <c r="BR10" s="91" t="s">
        <v>67</v>
      </c>
      <c r="BS10" s="91" t="s">
        <v>27</v>
      </c>
      <c r="BT10" s="91" t="s">
        <v>27</v>
      </c>
      <c r="BU10" s="91" t="s">
        <v>35</v>
      </c>
      <c r="BV10" s="91" t="s">
        <v>35</v>
      </c>
      <c r="BW10" s="91" t="s">
        <v>35</v>
      </c>
      <c r="BX10" s="91" t="s">
        <v>35</v>
      </c>
      <c r="BY10" s="91" t="s">
        <v>35</v>
      </c>
      <c r="BZ10" s="91" t="s">
        <v>35</v>
      </c>
      <c r="CA10" s="91" t="s">
        <v>35</v>
      </c>
      <c r="CB10" s="91" t="s">
        <v>35</v>
      </c>
      <c r="CC10" s="91" t="s">
        <v>35</v>
      </c>
      <c r="CD10" s="91" t="s">
        <v>35</v>
      </c>
      <c r="CE10" s="91" t="s">
        <v>35</v>
      </c>
      <c r="CF10" s="91" t="s">
        <v>35</v>
      </c>
      <c r="CG10" s="91" t="s">
        <v>36</v>
      </c>
      <c r="CH10" s="91" t="s">
        <v>38</v>
      </c>
    </row>
    <row r="11" spans="1:86" ht="13.5" thickBot="1">
      <c r="A11" s="99"/>
      <c r="B11" s="94" t="s">
        <v>12</v>
      </c>
      <c r="C11" s="94" t="s">
        <v>24</v>
      </c>
      <c r="D11" s="94" t="s">
        <v>13</v>
      </c>
      <c r="E11" s="94" t="s">
        <v>13</v>
      </c>
      <c r="F11" s="94" t="s">
        <v>13</v>
      </c>
      <c r="G11" s="94" t="s">
        <v>14</v>
      </c>
      <c r="H11" s="94" t="s">
        <v>140</v>
      </c>
      <c r="I11" s="94" t="s">
        <v>14</v>
      </c>
      <c r="J11" s="94" t="s">
        <v>15</v>
      </c>
      <c r="K11" s="94" t="s">
        <v>122</v>
      </c>
      <c r="L11" s="94" t="s">
        <v>15</v>
      </c>
      <c r="M11" s="94" t="s">
        <v>16</v>
      </c>
      <c r="N11" s="94" t="s">
        <v>16</v>
      </c>
      <c r="O11" s="94" t="s">
        <v>16</v>
      </c>
      <c r="P11" s="94" t="s">
        <v>28</v>
      </c>
      <c r="Q11" s="94" t="s">
        <v>28</v>
      </c>
      <c r="R11" s="94" t="s">
        <v>17</v>
      </c>
      <c r="S11" s="94" t="s">
        <v>29</v>
      </c>
      <c r="T11" s="94" t="s">
        <v>29</v>
      </c>
      <c r="U11" s="94" t="s">
        <v>18</v>
      </c>
      <c r="V11" s="94" t="s">
        <v>19</v>
      </c>
      <c r="W11" s="94" t="s">
        <v>20</v>
      </c>
      <c r="X11" s="94" t="s">
        <v>21</v>
      </c>
      <c r="Y11" s="94" t="s">
        <v>22</v>
      </c>
      <c r="Z11" s="94" t="s">
        <v>23</v>
      </c>
      <c r="AA11" s="94" t="s">
        <v>24</v>
      </c>
      <c r="AB11" s="94" t="s">
        <v>25</v>
      </c>
      <c r="AC11" s="94" t="s">
        <v>106</v>
      </c>
      <c r="AD11" s="94" t="s">
        <v>106</v>
      </c>
      <c r="AE11" s="94" t="s">
        <v>106</v>
      </c>
      <c r="AF11" s="94" t="s">
        <v>77</v>
      </c>
      <c r="AG11" s="94" t="s">
        <v>77</v>
      </c>
      <c r="AH11" s="94" t="s">
        <v>146</v>
      </c>
      <c r="AI11" s="94" t="s">
        <v>13</v>
      </c>
      <c r="AJ11" s="94" t="s">
        <v>13</v>
      </c>
      <c r="AK11" s="94" t="s">
        <v>13</v>
      </c>
      <c r="AL11" s="94" t="s">
        <v>140</v>
      </c>
      <c r="AM11" s="94" t="s">
        <v>14</v>
      </c>
      <c r="AN11" s="94" t="s">
        <v>14</v>
      </c>
      <c r="AO11" s="94" t="s">
        <v>14</v>
      </c>
      <c r="AP11" s="94" t="s">
        <v>76</v>
      </c>
      <c r="AQ11" s="94" t="s">
        <v>76</v>
      </c>
      <c r="AR11" s="94" t="s">
        <v>76</v>
      </c>
      <c r="AS11" s="94" t="s">
        <v>15</v>
      </c>
      <c r="AT11" s="94" t="s">
        <v>15</v>
      </c>
      <c r="AU11" s="94" t="s">
        <v>15</v>
      </c>
      <c r="AV11" s="94" t="s">
        <v>75</v>
      </c>
      <c r="AW11" s="94" t="s">
        <v>16</v>
      </c>
      <c r="AX11" s="94" t="s">
        <v>16</v>
      </c>
      <c r="AY11" s="94" t="s">
        <v>16</v>
      </c>
      <c r="AZ11" s="94" t="s">
        <v>74</v>
      </c>
      <c r="BA11" s="94" t="s">
        <v>28</v>
      </c>
      <c r="BB11" s="94" t="s">
        <v>28</v>
      </c>
      <c r="BC11" s="94" t="s">
        <v>28</v>
      </c>
      <c r="BD11" s="94" t="s">
        <v>73</v>
      </c>
      <c r="BE11" s="94" t="s">
        <v>29</v>
      </c>
      <c r="BF11" s="94" t="s">
        <v>29</v>
      </c>
      <c r="BG11" s="94" t="s">
        <v>29</v>
      </c>
      <c r="BH11" s="94" t="s">
        <v>73</v>
      </c>
      <c r="BI11" s="94" t="s">
        <v>30</v>
      </c>
      <c r="BJ11" s="94" t="s">
        <v>72</v>
      </c>
      <c r="BK11" s="94" t="s">
        <v>20</v>
      </c>
      <c r="BL11" s="94" t="s">
        <v>71</v>
      </c>
      <c r="BM11" s="94" t="s">
        <v>21</v>
      </c>
      <c r="BN11" s="94" t="s">
        <v>22</v>
      </c>
      <c r="BO11" s="94" t="s">
        <v>31</v>
      </c>
      <c r="BP11" s="94" t="s">
        <v>70</v>
      </c>
      <c r="BQ11" s="94" t="s">
        <v>23</v>
      </c>
      <c r="BR11" s="94" t="s">
        <v>69</v>
      </c>
      <c r="BS11" s="94" t="s">
        <v>24</v>
      </c>
      <c r="BT11" s="94" t="s">
        <v>33</v>
      </c>
      <c r="BU11" s="94" t="s">
        <v>13</v>
      </c>
      <c r="BV11" s="94" t="s">
        <v>14</v>
      </c>
      <c r="BW11" s="94" t="s">
        <v>15</v>
      </c>
      <c r="BX11" s="94" t="s">
        <v>16</v>
      </c>
      <c r="BY11" s="94" t="s">
        <v>28</v>
      </c>
      <c r="BZ11" s="94" t="s">
        <v>117</v>
      </c>
      <c r="CA11" s="94" t="s">
        <v>30</v>
      </c>
      <c r="CB11" s="94" t="s">
        <v>20</v>
      </c>
      <c r="CC11" s="94" t="s">
        <v>21</v>
      </c>
      <c r="CD11" s="94" t="s">
        <v>31</v>
      </c>
      <c r="CE11" s="94" t="s">
        <v>23</v>
      </c>
      <c r="CF11" s="94" t="s">
        <v>24</v>
      </c>
      <c r="CG11" s="94" t="s">
        <v>33</v>
      </c>
      <c r="CH11" s="94" t="s">
        <v>39</v>
      </c>
    </row>
    <row r="12" spans="1:86" ht="13.5" thickBot="1">
      <c r="A12" s="95">
        <v>1</v>
      </c>
      <c r="B12" s="95">
        <v>2</v>
      </c>
      <c r="C12" s="95">
        <v>3</v>
      </c>
      <c r="D12" s="95"/>
      <c r="E12" s="95"/>
      <c r="F12" s="95">
        <v>3</v>
      </c>
      <c r="G12" s="95"/>
      <c r="H12" s="95"/>
      <c r="I12" s="96">
        <v>3</v>
      </c>
      <c r="J12" s="96"/>
      <c r="K12" s="96"/>
      <c r="L12" s="96">
        <v>3</v>
      </c>
      <c r="M12" s="96"/>
      <c r="N12" s="96"/>
      <c r="O12" s="96">
        <v>3</v>
      </c>
      <c r="P12" s="96"/>
      <c r="Q12" s="96"/>
      <c r="R12" s="96">
        <v>3</v>
      </c>
      <c r="S12" s="96"/>
      <c r="T12" s="96"/>
      <c r="U12" s="96">
        <v>3</v>
      </c>
      <c r="V12" s="96">
        <v>3</v>
      </c>
      <c r="W12" s="96">
        <v>3</v>
      </c>
      <c r="X12" s="96">
        <v>3</v>
      </c>
      <c r="Y12" s="96">
        <v>3</v>
      </c>
      <c r="Z12" s="96">
        <v>3</v>
      </c>
      <c r="AA12" s="96">
        <v>3</v>
      </c>
      <c r="AB12" s="95">
        <v>4</v>
      </c>
      <c r="AC12" s="95"/>
      <c r="AD12" s="95"/>
      <c r="AE12" s="95">
        <v>5</v>
      </c>
      <c r="AF12" s="95"/>
      <c r="AG12" s="95"/>
      <c r="AH12" s="95"/>
      <c r="AI12" s="95"/>
      <c r="AJ12" s="95"/>
      <c r="AK12" s="95">
        <v>5</v>
      </c>
      <c r="AL12" s="95"/>
      <c r="AM12" s="95"/>
      <c r="AN12" s="95"/>
      <c r="AO12" s="95">
        <v>5</v>
      </c>
      <c r="AP12" s="95"/>
      <c r="AQ12" s="95"/>
      <c r="AR12" s="95">
        <v>5</v>
      </c>
      <c r="AS12" s="95"/>
      <c r="AT12" s="95"/>
      <c r="AU12" s="95">
        <v>5</v>
      </c>
      <c r="AV12" s="95">
        <v>5</v>
      </c>
      <c r="AW12" s="95"/>
      <c r="AX12" s="95"/>
      <c r="AY12" s="95">
        <v>5</v>
      </c>
      <c r="AZ12" s="95">
        <v>5</v>
      </c>
      <c r="BA12" s="95"/>
      <c r="BB12" s="95"/>
      <c r="BC12" s="95">
        <v>5</v>
      </c>
      <c r="BD12" s="95">
        <v>5</v>
      </c>
      <c r="BE12" s="95"/>
      <c r="BF12" s="95"/>
      <c r="BG12" s="95">
        <v>5</v>
      </c>
      <c r="BH12" s="95">
        <v>5</v>
      </c>
      <c r="BI12" s="95">
        <v>5</v>
      </c>
      <c r="BJ12" s="95">
        <v>5</v>
      </c>
      <c r="BK12" s="95">
        <v>5</v>
      </c>
      <c r="BL12" s="95">
        <v>5</v>
      </c>
      <c r="BM12" s="95">
        <v>5</v>
      </c>
      <c r="BN12" s="95">
        <v>5</v>
      </c>
      <c r="BO12" s="95">
        <v>5</v>
      </c>
      <c r="BP12" s="95">
        <v>5</v>
      </c>
      <c r="BQ12" s="95">
        <v>5</v>
      </c>
      <c r="BR12" s="95">
        <v>5</v>
      </c>
      <c r="BS12" s="95">
        <v>5</v>
      </c>
      <c r="BT12" s="95">
        <v>6</v>
      </c>
      <c r="BU12" s="95">
        <v>7</v>
      </c>
      <c r="BV12" s="95">
        <v>7</v>
      </c>
      <c r="BW12" s="95">
        <v>7</v>
      </c>
      <c r="BX12" s="95">
        <v>7</v>
      </c>
      <c r="BY12" s="95">
        <v>7</v>
      </c>
      <c r="BZ12" s="95">
        <v>7</v>
      </c>
      <c r="CA12" s="95">
        <v>7</v>
      </c>
      <c r="CB12" s="95">
        <v>7</v>
      </c>
      <c r="CC12" s="95">
        <v>7</v>
      </c>
      <c r="CD12" s="95">
        <v>7</v>
      </c>
      <c r="CE12" s="95">
        <v>7</v>
      </c>
      <c r="CF12" s="95">
        <v>7</v>
      </c>
      <c r="CG12" s="95">
        <v>8</v>
      </c>
      <c r="CH12" s="95">
        <v>9</v>
      </c>
    </row>
    <row r="13" spans="1:87" ht="24.75" customHeight="1">
      <c r="A13" s="62" t="s">
        <v>80</v>
      </c>
      <c r="B13" s="18">
        <v>18543768007</v>
      </c>
      <c r="C13" s="17">
        <f>106250702.2+6896</f>
        <v>106257598.2</v>
      </c>
      <c r="D13" s="17"/>
      <c r="E13" s="17">
        <v>1908071.9</v>
      </c>
      <c r="F13" s="17">
        <f>D13+E13</f>
        <v>1908071.9</v>
      </c>
      <c r="G13" s="17">
        <v>95846520</v>
      </c>
      <c r="H13" s="17">
        <v>28176638.21</v>
      </c>
      <c r="I13" s="17">
        <f>G13+H13</f>
        <v>124023158.21000001</v>
      </c>
      <c r="J13" s="17"/>
      <c r="K13" s="17">
        <v>1818590010.51</v>
      </c>
      <c r="L13" s="17">
        <f>J13+K13</f>
        <v>1818590010.51</v>
      </c>
      <c r="M13" s="17">
        <v>114103000</v>
      </c>
      <c r="N13" s="17">
        <v>9779763.54</v>
      </c>
      <c r="O13" s="17">
        <f>M13+N13</f>
        <v>123882763.53999999</v>
      </c>
      <c r="P13" s="17">
        <v>871234773.5</v>
      </c>
      <c r="Q13" s="17">
        <v>2609312126.26</v>
      </c>
      <c r="R13" s="174">
        <f>P13+Q13</f>
        <v>3480546899.76</v>
      </c>
      <c r="S13" s="174">
        <v>397500000</v>
      </c>
      <c r="T13" s="174">
        <v>10480573.03</v>
      </c>
      <c r="U13" s="174">
        <f>+S13+T13</f>
        <v>407980573.03</v>
      </c>
      <c r="V13" s="175"/>
      <c r="W13" s="174"/>
      <c r="X13" s="174"/>
      <c r="Y13" s="174"/>
      <c r="Z13" s="174"/>
      <c r="AA13" s="174"/>
      <c r="AB13" s="176">
        <f>SUM(C13+F13+I13+L13+O13+R13+U13+V13+W13+X13+Y13+Z13+AA13)</f>
        <v>6063189075.150001</v>
      </c>
      <c r="AC13" s="177"/>
      <c r="AD13" s="177">
        <v>23214011.2</v>
      </c>
      <c r="AE13" s="178">
        <f>AC13+AD13</f>
        <v>23214011.2</v>
      </c>
      <c r="AF13" s="178">
        <v>10000000</v>
      </c>
      <c r="AG13" s="178">
        <v>72768708</v>
      </c>
      <c r="AH13" s="178">
        <f>AE13+AG13+AF13</f>
        <v>105982719.2</v>
      </c>
      <c r="AI13" s="139"/>
      <c r="AJ13" s="139">
        <v>1908071.9</v>
      </c>
      <c r="AK13" s="138">
        <f>AI13+AJ13</f>
        <v>1908071.9</v>
      </c>
      <c r="AL13" s="138"/>
      <c r="AM13" s="138">
        <v>95846520</v>
      </c>
      <c r="AN13" s="138">
        <v>26746297.21</v>
      </c>
      <c r="AO13" s="13">
        <f>AM13+AN13</f>
        <v>122592817.21000001</v>
      </c>
      <c r="AP13" s="140"/>
      <c r="AQ13" s="140"/>
      <c r="AR13" s="141"/>
      <c r="AS13" s="140"/>
      <c r="AT13" s="140">
        <v>4719554.51</v>
      </c>
      <c r="AU13" s="138">
        <f>AS13+AT13</f>
        <v>4719554.51</v>
      </c>
      <c r="AV13" s="138">
        <v>0</v>
      </c>
      <c r="AW13" s="138">
        <v>0</v>
      </c>
      <c r="AX13" s="138">
        <v>1820571737.54</v>
      </c>
      <c r="AY13" s="138">
        <f>AW13+AX13</f>
        <v>1820571737.54</v>
      </c>
      <c r="AZ13" s="138">
        <v>0</v>
      </c>
      <c r="BA13" s="138">
        <v>902879077</v>
      </c>
      <c r="BB13" s="138">
        <v>2608582439.26</v>
      </c>
      <c r="BC13" s="174">
        <f>BA13+BB13</f>
        <v>3511461516.26</v>
      </c>
      <c r="BD13" s="174">
        <v>0</v>
      </c>
      <c r="BE13" s="174"/>
      <c r="BF13" s="174">
        <v>216723929.03</v>
      </c>
      <c r="BG13" s="174">
        <f>BE13+BF13</f>
        <v>216723929.03</v>
      </c>
      <c r="BH13" s="174">
        <v>274879</v>
      </c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8">
        <f>AO13+AK13+AH13+AU13+AR13+AY13+BC13+BG13+BI13+BK13:BK14+BM13+BO13+BQ13+BS13+BH13+BD13</f>
        <v>5784235224.65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/>
      <c r="CC13" s="17">
        <v>0</v>
      </c>
      <c r="CD13" s="17">
        <v>0</v>
      </c>
      <c r="CE13" s="17">
        <v>0</v>
      </c>
      <c r="CF13" s="17">
        <v>0</v>
      </c>
      <c r="CG13" s="13">
        <f>SUM(BU13:CF13)</f>
        <v>0</v>
      </c>
      <c r="CH13" s="15">
        <f>SUM(AB13-BT13-CG13)</f>
        <v>278953850.50000095</v>
      </c>
      <c r="CI13" s="12"/>
    </row>
    <row r="14" spans="1:86" ht="24.75" customHeight="1">
      <c r="A14" s="63" t="s">
        <v>81</v>
      </c>
      <c r="B14" s="18"/>
      <c r="C14" s="18">
        <v>0</v>
      </c>
      <c r="D14" s="18"/>
      <c r="E14" s="18"/>
      <c r="F14" s="18">
        <v>298855</v>
      </c>
      <c r="G14" s="18"/>
      <c r="H14" s="18"/>
      <c r="I14" s="18">
        <v>280276</v>
      </c>
      <c r="J14" s="18"/>
      <c r="K14" s="18"/>
      <c r="L14" s="18">
        <v>361804</v>
      </c>
      <c r="M14" s="18"/>
      <c r="N14" s="18"/>
      <c r="O14" s="18">
        <v>393253</v>
      </c>
      <c r="P14" s="18"/>
      <c r="Q14" s="18"/>
      <c r="R14" s="175">
        <v>162316717</v>
      </c>
      <c r="S14" s="175"/>
      <c r="T14" s="175"/>
      <c r="U14" s="175">
        <v>382128</v>
      </c>
      <c r="V14" s="175"/>
      <c r="W14" s="175"/>
      <c r="X14" s="175"/>
      <c r="Y14" s="175"/>
      <c r="Z14" s="175"/>
      <c r="AA14" s="175"/>
      <c r="AB14" s="176">
        <f>SUM(C14+F14+I14+L14+O14+R14+U14+V14+W14+X14+Y14+Z14+AA14)</f>
        <v>164033033</v>
      </c>
      <c r="AC14" s="176"/>
      <c r="AD14" s="176">
        <v>0</v>
      </c>
      <c r="AE14" s="176">
        <v>0</v>
      </c>
      <c r="AF14" s="176"/>
      <c r="AG14" s="176"/>
      <c r="AH14" s="176">
        <f>4-4</f>
        <v>0</v>
      </c>
      <c r="AI14" s="16"/>
      <c r="AJ14" s="16"/>
      <c r="AK14" s="16">
        <v>298855</v>
      </c>
      <c r="AL14" s="16"/>
      <c r="AM14" s="16"/>
      <c r="AN14" s="16"/>
      <c r="AO14" s="16">
        <v>280272</v>
      </c>
      <c r="AP14" s="16"/>
      <c r="AQ14" s="16"/>
      <c r="AR14" s="16"/>
      <c r="AS14" s="16"/>
      <c r="AT14" s="16">
        <v>361804</v>
      </c>
      <c r="AU14" s="16">
        <f>AS14+AT14</f>
        <v>361804</v>
      </c>
      <c r="AV14" s="141">
        <v>0</v>
      </c>
      <c r="AW14" s="141"/>
      <c r="AX14" s="141"/>
      <c r="AY14" s="141">
        <f>393253+4</f>
        <v>393257</v>
      </c>
      <c r="AZ14" s="141">
        <v>0</v>
      </c>
      <c r="BA14" s="141"/>
      <c r="BB14" s="141"/>
      <c r="BC14" s="175">
        <v>162316717</v>
      </c>
      <c r="BD14" s="175">
        <v>0</v>
      </c>
      <c r="BE14" s="175"/>
      <c r="BF14" s="175"/>
      <c r="BG14" s="175">
        <v>382128</v>
      </c>
      <c r="BH14" s="175">
        <v>0</v>
      </c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8">
        <f>AO14+AK14+AH14+AU14+AR14+AY14+BC14+BG14+BI14+BK14:BK15+BM14+BO14+BQ14+BS14</f>
        <v>164033033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/>
      <c r="CC14" s="18">
        <v>0</v>
      </c>
      <c r="CD14" s="18">
        <v>0</v>
      </c>
      <c r="CE14" s="18">
        <v>0</v>
      </c>
      <c r="CF14" s="18">
        <v>0</v>
      </c>
      <c r="CG14" s="14">
        <f>SUM(BU14:CF14)</f>
        <v>0</v>
      </c>
      <c r="CH14" s="15">
        <f>SUM(AB14-BT14-CG14)</f>
        <v>0</v>
      </c>
    </row>
    <row r="15" spans="1:88" ht="25.5" customHeight="1">
      <c r="A15" s="63" t="s">
        <v>109</v>
      </c>
      <c r="B15" s="18"/>
      <c r="C15" s="18">
        <v>0</v>
      </c>
      <c r="D15" s="18"/>
      <c r="E15" s="18"/>
      <c r="F15" s="18">
        <v>17511609</v>
      </c>
      <c r="G15" s="18"/>
      <c r="H15" s="18"/>
      <c r="I15" s="18">
        <v>0</v>
      </c>
      <c r="J15" s="18"/>
      <c r="K15" s="18"/>
      <c r="L15" s="18"/>
      <c r="M15" s="18"/>
      <c r="N15" s="18"/>
      <c r="O15" s="87">
        <v>0</v>
      </c>
      <c r="P15" s="87"/>
      <c r="Q15" s="87"/>
      <c r="R15" s="175">
        <v>0</v>
      </c>
      <c r="S15" s="175">
        <v>0</v>
      </c>
      <c r="T15" s="175"/>
      <c r="U15" s="175">
        <v>601423750</v>
      </c>
      <c r="V15" s="175">
        <v>0</v>
      </c>
      <c r="W15" s="175"/>
      <c r="X15" s="175"/>
      <c r="Y15" s="175"/>
      <c r="Z15" s="175">
        <v>0</v>
      </c>
      <c r="AA15" s="175"/>
      <c r="AB15" s="176">
        <f>SUM(C15+F15+I15+L15+O15+R15+U15+V15+W15+X15+Y15+AA15)</f>
        <v>618935359</v>
      </c>
      <c r="AC15" s="176"/>
      <c r="AD15" s="176"/>
      <c r="AE15" s="176">
        <v>0</v>
      </c>
      <c r="AF15" s="176"/>
      <c r="AG15" s="176"/>
      <c r="AH15" s="176">
        <f>AE15+AG15+AF15</f>
        <v>0</v>
      </c>
      <c r="AI15" s="16"/>
      <c r="AJ15" s="16"/>
      <c r="AK15" s="16">
        <v>17511609</v>
      </c>
      <c r="AL15" s="16"/>
      <c r="AM15" s="16"/>
      <c r="AN15" s="16"/>
      <c r="AO15" s="16">
        <v>0</v>
      </c>
      <c r="AP15" s="16"/>
      <c r="AQ15" s="16"/>
      <c r="AR15" s="16"/>
      <c r="AS15" s="16"/>
      <c r="AT15" s="16"/>
      <c r="AU15" s="16">
        <f>AS15+AT15</f>
        <v>0</v>
      </c>
      <c r="AV15" s="141">
        <v>0</v>
      </c>
      <c r="AW15" s="141"/>
      <c r="AX15" s="141"/>
      <c r="AY15" s="141">
        <v>0</v>
      </c>
      <c r="AZ15" s="141">
        <v>0</v>
      </c>
      <c r="BA15" s="141"/>
      <c r="BB15" s="141"/>
      <c r="BC15" s="175">
        <v>0</v>
      </c>
      <c r="BD15" s="175">
        <v>0</v>
      </c>
      <c r="BE15" s="175"/>
      <c r="BF15" s="175"/>
      <c r="BG15" s="175">
        <v>601423750</v>
      </c>
      <c r="BH15" s="175">
        <v>0</v>
      </c>
      <c r="BI15" s="175">
        <v>0</v>
      </c>
      <c r="BJ15" s="175"/>
      <c r="BK15" s="175"/>
      <c r="BL15" s="175"/>
      <c r="BM15" s="175">
        <v>0</v>
      </c>
      <c r="BN15" s="175"/>
      <c r="BO15" s="175"/>
      <c r="BP15" s="175"/>
      <c r="BQ15" s="175">
        <v>0</v>
      </c>
      <c r="BR15" s="175"/>
      <c r="BS15" s="175"/>
      <c r="BT15" s="18">
        <f>AO15+AK15+AH15+AU15+AR15+AY15+BC15+BG15+BI15+BK15:BK16+BM15+BO15+BQ15+BS15</f>
        <v>618935359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/>
      <c r="CC15" s="18">
        <v>0</v>
      </c>
      <c r="CD15" s="18">
        <v>0</v>
      </c>
      <c r="CE15" s="18">
        <v>0</v>
      </c>
      <c r="CF15" s="18">
        <v>0</v>
      </c>
      <c r="CG15" s="14">
        <f>SUM(BU15:CF15)</f>
        <v>0</v>
      </c>
      <c r="CH15" s="15">
        <f>SUM(AB15-BT15-CG15)</f>
        <v>0</v>
      </c>
      <c r="CJ15" s="12"/>
    </row>
    <row r="16" spans="1:86" ht="18" customHeight="1">
      <c r="A16" s="11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6"/>
      <c r="AC16" s="176"/>
      <c r="AD16" s="176"/>
      <c r="AE16" s="176"/>
      <c r="AF16" s="176"/>
      <c r="AG16" s="176"/>
      <c r="AH16" s="176"/>
      <c r="AI16" s="16"/>
      <c r="AJ16" s="16"/>
      <c r="AK16" s="141"/>
      <c r="AL16" s="141"/>
      <c r="AM16" s="141"/>
      <c r="AN16" s="141"/>
      <c r="AO16" s="141"/>
      <c r="AP16" s="142"/>
      <c r="AQ16" s="142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4"/>
      <c r="CH16" s="15"/>
    </row>
    <row r="17" spans="1:86" ht="18" customHeight="1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6"/>
      <c r="AC17" s="16"/>
      <c r="AD17" s="16"/>
      <c r="AE17" s="16"/>
      <c r="AF17" s="16"/>
      <c r="AG17" s="16"/>
      <c r="AH17" s="16"/>
      <c r="AI17" s="16"/>
      <c r="AJ17" s="16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4"/>
      <c r="CH17" s="15"/>
    </row>
    <row r="18" spans="1:89" ht="18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6"/>
      <c r="AC18" s="16"/>
      <c r="AD18" s="16"/>
      <c r="AE18" s="16"/>
      <c r="AF18" s="16"/>
      <c r="AG18" s="16"/>
      <c r="AH18" s="16"/>
      <c r="AI18" s="16"/>
      <c r="AJ18" s="16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4"/>
      <c r="CH18" s="15"/>
      <c r="CJ18" s="12"/>
      <c r="CK18" s="12"/>
    </row>
    <row r="19" spans="1:86" ht="18" customHeight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6"/>
      <c r="AC19" s="16"/>
      <c r="AD19" s="16"/>
      <c r="AE19" s="16"/>
      <c r="AF19" s="16"/>
      <c r="AG19" s="16"/>
      <c r="AH19" s="16"/>
      <c r="AI19" s="16"/>
      <c r="AJ19" s="16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4"/>
      <c r="CH19" s="15"/>
    </row>
    <row r="20" spans="1:86" ht="18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4"/>
      <c r="CH20" s="15"/>
    </row>
    <row r="21" spans="1:86" ht="18" customHeight="1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  <c r="AE21" s="16"/>
      <c r="AF21" s="16"/>
      <c r="AG21" s="16"/>
      <c r="AH21" s="16"/>
      <c r="AI21" s="16"/>
      <c r="AJ21" s="16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4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4"/>
      <c r="CH21" s="15"/>
    </row>
    <row r="22" spans="1:86" ht="18" customHeight="1" thickBot="1">
      <c r="A22" s="82" t="s">
        <v>87</v>
      </c>
      <c r="B22" s="83">
        <f>SUM(B13:B21)</f>
        <v>18543768007</v>
      </c>
      <c r="C22" s="83">
        <f>SUM(C13:C21)</f>
        <v>106257598.2</v>
      </c>
      <c r="D22" s="83"/>
      <c r="E22" s="83"/>
      <c r="F22" s="83">
        <f>SUM(F13:F21)</f>
        <v>19718535.9</v>
      </c>
      <c r="G22" s="83"/>
      <c r="H22" s="83"/>
      <c r="I22" s="83">
        <f>SUM(I13:I21)</f>
        <v>124303434.21000001</v>
      </c>
      <c r="J22" s="83"/>
      <c r="K22" s="83"/>
      <c r="L22" s="83">
        <f>SUM(L13:L21)</f>
        <v>1818951814.51</v>
      </c>
      <c r="M22" s="83"/>
      <c r="N22" s="83"/>
      <c r="O22" s="83">
        <f>SUM(O13:O21)</f>
        <v>124276016.53999999</v>
      </c>
      <c r="P22" s="83"/>
      <c r="Q22" s="83"/>
      <c r="R22" s="83">
        <f>SUM(R13:R21)</f>
        <v>3642863616.76</v>
      </c>
      <c r="S22" s="83"/>
      <c r="T22" s="83"/>
      <c r="U22" s="83">
        <f aca="true" t="shared" si="0" ref="U22:AA22">SUM(U13:U21)</f>
        <v>1009786451.03</v>
      </c>
      <c r="V22" s="83">
        <f t="shared" si="0"/>
        <v>0</v>
      </c>
      <c r="W22" s="83">
        <f t="shared" si="0"/>
        <v>0</v>
      </c>
      <c r="X22" s="83">
        <f t="shared" si="0"/>
        <v>0</v>
      </c>
      <c r="Y22" s="83">
        <f t="shared" si="0"/>
        <v>0</v>
      </c>
      <c r="Z22" s="83">
        <f t="shared" si="0"/>
        <v>0</v>
      </c>
      <c r="AA22" s="83">
        <f t="shared" si="0"/>
        <v>0</v>
      </c>
      <c r="AB22" s="83">
        <f>SUM(AB13:AB21)</f>
        <v>6846157467.150001</v>
      </c>
      <c r="AC22" s="83"/>
      <c r="AD22" s="83"/>
      <c r="AE22" s="83">
        <f>SUM(AE13:AE21)</f>
        <v>23214011.2</v>
      </c>
      <c r="AF22" s="83"/>
      <c r="AG22" s="83"/>
      <c r="AH22" s="83">
        <f>SUM(AH13:AH21)</f>
        <v>105982719.2</v>
      </c>
      <c r="AI22" s="83"/>
      <c r="AJ22" s="83"/>
      <c r="AK22" s="83">
        <f>SUM(AK13:AK21)</f>
        <v>19718535.9</v>
      </c>
      <c r="AL22" s="83"/>
      <c r="AM22" s="83"/>
      <c r="AN22" s="83"/>
      <c r="AO22" s="83">
        <f>SUM(AO13:AO21)</f>
        <v>122873089.21000001</v>
      </c>
      <c r="AP22" s="83"/>
      <c r="AQ22" s="83"/>
      <c r="AR22" s="83">
        <f>SUM(AR13:AR21)</f>
        <v>0</v>
      </c>
      <c r="AS22" s="83"/>
      <c r="AT22" s="83"/>
      <c r="AU22" s="83">
        <f>SUM(AU13:AU21)</f>
        <v>5081358.51</v>
      </c>
      <c r="AV22" s="83">
        <f>SUM(AV13:AV21)</f>
        <v>0</v>
      </c>
      <c r="AW22" s="83"/>
      <c r="AX22" s="83"/>
      <c r="AY22" s="83">
        <f>SUM(AY13:AY21)</f>
        <v>1820964994.54</v>
      </c>
      <c r="AZ22" s="83">
        <f>SUM(AZ13:AZ21)</f>
        <v>0</v>
      </c>
      <c r="BA22" s="83"/>
      <c r="BB22" s="83"/>
      <c r="BC22" s="83">
        <f>SUM(BC13:BC21)</f>
        <v>3673778233.26</v>
      </c>
      <c r="BD22" s="83">
        <f>SUM(BD13:BD21)</f>
        <v>0</v>
      </c>
      <c r="BE22" s="83"/>
      <c r="BF22" s="83"/>
      <c r="BG22" s="83">
        <f aca="true" t="shared" si="1" ref="BG22:BL22">SUM(BG13:BG21)</f>
        <v>818529807.03</v>
      </c>
      <c r="BH22" s="83">
        <f t="shared" si="1"/>
        <v>274879</v>
      </c>
      <c r="BI22" s="83">
        <f t="shared" si="1"/>
        <v>0</v>
      </c>
      <c r="BJ22" s="83">
        <f t="shared" si="1"/>
        <v>0</v>
      </c>
      <c r="BK22" s="83">
        <f t="shared" si="1"/>
        <v>0</v>
      </c>
      <c r="BL22" s="83">
        <f t="shared" si="1"/>
        <v>0</v>
      </c>
      <c r="BM22" s="83">
        <f aca="true" t="shared" si="2" ref="BM22:CH22">SUM(BM13:BM21)</f>
        <v>0</v>
      </c>
      <c r="BN22" s="83">
        <f t="shared" si="2"/>
        <v>0</v>
      </c>
      <c r="BO22" s="83">
        <f t="shared" si="2"/>
        <v>0</v>
      </c>
      <c r="BP22" s="83">
        <f t="shared" si="2"/>
        <v>0</v>
      </c>
      <c r="BQ22" s="83">
        <f t="shared" si="2"/>
        <v>0</v>
      </c>
      <c r="BR22" s="83">
        <f t="shared" si="2"/>
        <v>0</v>
      </c>
      <c r="BS22" s="83">
        <f t="shared" si="2"/>
        <v>0</v>
      </c>
      <c r="BT22" s="83">
        <f>SUM(BT13:BT21)</f>
        <v>6567203616.65</v>
      </c>
      <c r="BU22" s="83">
        <f t="shared" si="2"/>
        <v>0</v>
      </c>
      <c r="BV22" s="83">
        <f t="shared" si="2"/>
        <v>0</v>
      </c>
      <c r="BW22" s="83">
        <f t="shared" si="2"/>
        <v>0</v>
      </c>
      <c r="BX22" s="83">
        <f t="shared" si="2"/>
        <v>0</v>
      </c>
      <c r="BY22" s="83">
        <f t="shared" si="2"/>
        <v>0</v>
      </c>
      <c r="BZ22" s="83">
        <f t="shared" si="2"/>
        <v>0</v>
      </c>
      <c r="CA22" s="83">
        <f t="shared" si="2"/>
        <v>0</v>
      </c>
      <c r="CB22" s="83">
        <f t="shared" si="2"/>
        <v>0</v>
      </c>
      <c r="CC22" s="83">
        <f t="shared" si="2"/>
        <v>0</v>
      </c>
      <c r="CD22" s="83">
        <f t="shared" si="2"/>
        <v>0</v>
      </c>
      <c r="CE22" s="83">
        <f t="shared" si="2"/>
        <v>0</v>
      </c>
      <c r="CF22" s="83">
        <f t="shared" si="2"/>
        <v>0</v>
      </c>
      <c r="CG22" s="83">
        <f t="shared" si="2"/>
        <v>0</v>
      </c>
      <c r="CH22" s="84">
        <f t="shared" si="2"/>
        <v>278953850.50000095</v>
      </c>
    </row>
    <row r="23" spans="1:86" ht="12.75">
      <c r="A23" s="78" t="s">
        <v>152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1"/>
    </row>
    <row r="24" spans="1:86" ht="12.75">
      <c r="A24" s="88"/>
      <c r="B24" s="5"/>
      <c r="C24" s="5"/>
      <c r="D24" s="5"/>
      <c r="E24" s="5"/>
      <c r="F24" s="3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9"/>
      <c r="AC24" s="39"/>
      <c r="AD24" s="39"/>
      <c r="AE24" s="5"/>
      <c r="AF24" s="5"/>
      <c r="AG24" s="5"/>
      <c r="AH24" s="37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6"/>
    </row>
    <row r="25" spans="1:86" ht="15.75" customHeight="1">
      <c r="A25" s="195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9"/>
    </row>
    <row r="26" spans="1:86" ht="19.5" customHeight="1" hidden="1">
      <c r="A26" s="220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9"/>
    </row>
    <row r="27" spans="1:86" ht="12.75" customHeigh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2"/>
    </row>
    <row r="28" spans="1:86" ht="8.25" customHeight="1">
      <c r="A28" s="213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2"/>
    </row>
    <row r="29" spans="1:8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37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6"/>
    </row>
    <row r="30" spans="1:86" ht="12.75">
      <c r="A30" s="4"/>
      <c r="B30" s="3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37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37">
        <f>+BT13+216723929.03</f>
        <v>6000959153.679999</v>
      </c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6"/>
    </row>
    <row r="31" spans="1:86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37">
        <f>+BT13-5784235224.65</f>
        <v>0</v>
      </c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6"/>
    </row>
    <row r="32" spans="1:86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37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6"/>
    </row>
    <row r="33" spans="1:86" ht="13.5" thickBot="1">
      <c r="A33" s="35"/>
      <c r="B33" s="42"/>
      <c r="C33" s="42"/>
      <c r="D33" s="42"/>
      <c r="E33" s="42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8"/>
      <c r="Z33" s="8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2"/>
      <c r="CH33" s="6"/>
    </row>
    <row r="34" spans="1:86" ht="12.75">
      <c r="A34" s="35"/>
      <c r="B34" s="217" t="s">
        <v>112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5"/>
      <c r="CG34" s="2"/>
      <c r="CH34" s="6"/>
    </row>
    <row r="35" spans="1:86" ht="12.75">
      <c r="A35" s="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17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5"/>
      <c r="CG35" s="5"/>
      <c r="CH35" s="6"/>
    </row>
    <row r="36" spans="1:86" ht="12.75">
      <c r="A36" s="7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37"/>
      <c r="AF36" s="37"/>
      <c r="AG36" s="37"/>
      <c r="AH36" s="37"/>
      <c r="AI36" s="37"/>
      <c r="AJ36" s="37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6"/>
    </row>
    <row r="37" spans="1:86" ht="13.5" thickBo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9"/>
    </row>
    <row r="39" ht="12.75">
      <c r="B39" s="2"/>
    </row>
    <row r="40" spans="3:27" ht="15"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3:28" ht="15"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37"/>
    </row>
    <row r="42" spans="3:96" ht="15"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BD42" s="195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7"/>
    </row>
    <row r="43" spans="2:96" ht="15">
      <c r="B43" s="161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H43" s="161"/>
      <c r="BD43" s="195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7"/>
    </row>
    <row r="44" spans="2:58" ht="15">
      <c r="B44" s="161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H44" s="161"/>
      <c r="BD44" s="108"/>
      <c r="BE44" s="41"/>
      <c r="BF44" s="130"/>
    </row>
    <row r="45" spans="2:58" ht="15">
      <c r="B45" s="161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69"/>
      <c r="AH45" s="161"/>
      <c r="BD45" s="108"/>
      <c r="BE45" s="41"/>
      <c r="BF45" s="130"/>
    </row>
    <row r="46" spans="2:58" ht="15">
      <c r="B46" s="161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69"/>
      <c r="AH46" s="173"/>
      <c r="BD46" s="108"/>
      <c r="BE46" s="41"/>
      <c r="BF46" s="130"/>
    </row>
    <row r="47" spans="2:58" ht="15">
      <c r="B47" s="161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69"/>
      <c r="AH47" s="161"/>
      <c r="BD47" s="108"/>
      <c r="BE47" s="108"/>
      <c r="BF47" s="130"/>
    </row>
    <row r="48" spans="2:72" ht="15.75">
      <c r="B48" s="161"/>
      <c r="C48" s="171">
        <v>2608180184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28"/>
      <c r="N48" s="128"/>
      <c r="O48" s="128"/>
      <c r="P48" s="128"/>
      <c r="Q48" s="172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69">
        <v>8278537729</v>
      </c>
      <c r="AH48" s="161"/>
      <c r="BO48" s="128"/>
      <c r="BP48" s="128"/>
      <c r="BQ48" s="128"/>
      <c r="BR48" s="128"/>
      <c r="BS48" s="128"/>
      <c r="BT48" s="128"/>
    </row>
    <row r="49" spans="2:28" ht="15">
      <c r="B49" s="161"/>
      <c r="C49" s="161">
        <v>402255.26</v>
      </c>
      <c r="D49" s="161"/>
      <c r="E49" s="161"/>
      <c r="F49" s="161"/>
      <c r="G49" s="161"/>
      <c r="H49" s="161"/>
      <c r="I49" s="161"/>
      <c r="J49" s="161"/>
      <c r="K49" s="161"/>
      <c r="L49" s="161"/>
      <c r="S49" s="137"/>
      <c r="T49" s="137"/>
      <c r="U49" s="137"/>
      <c r="V49" s="137"/>
      <c r="W49" s="137"/>
      <c r="X49" s="137"/>
      <c r="Y49" s="137"/>
      <c r="Z49" s="137"/>
      <c r="AB49" s="169">
        <v>8833069307</v>
      </c>
    </row>
    <row r="50" spans="2:28" ht="15">
      <c r="B50" s="161"/>
      <c r="C50" s="173">
        <f>SUM(C48:C49)</f>
        <v>2608582439.26</v>
      </c>
      <c r="D50" s="161"/>
      <c r="E50" s="161"/>
      <c r="F50" s="161"/>
      <c r="G50" s="161"/>
      <c r="H50" s="161"/>
      <c r="I50" s="161"/>
      <c r="J50" s="161"/>
      <c r="K50" s="161"/>
      <c r="L50" s="161"/>
      <c r="S50" s="137"/>
      <c r="T50" s="137"/>
      <c r="U50" s="137"/>
      <c r="V50" s="137"/>
      <c r="W50" s="137"/>
      <c r="X50" s="137"/>
      <c r="Y50" s="137"/>
      <c r="Z50" s="137"/>
      <c r="AB50" s="169">
        <f>+AB48-AB49</f>
        <v>-554531578</v>
      </c>
    </row>
    <row r="51" spans="2:28" ht="15">
      <c r="B51" s="161"/>
      <c r="C51" s="161">
        <v>2608582440.26</v>
      </c>
      <c r="D51" s="161"/>
      <c r="E51" s="161"/>
      <c r="F51" s="161"/>
      <c r="G51" s="161"/>
      <c r="H51" s="161"/>
      <c r="I51" s="161"/>
      <c r="J51" s="161"/>
      <c r="K51" s="161"/>
      <c r="L51" s="161"/>
      <c r="AB51" s="169"/>
    </row>
    <row r="52" spans="2:28" ht="15">
      <c r="B52" s="161"/>
      <c r="C52" s="161">
        <f>+C51-C50</f>
        <v>1</v>
      </c>
      <c r="D52" s="161"/>
      <c r="E52" s="161"/>
      <c r="F52" s="161"/>
      <c r="G52" s="161"/>
      <c r="H52" s="161"/>
      <c r="I52" s="161"/>
      <c r="J52" s="161"/>
      <c r="K52" s="161"/>
      <c r="L52" s="161"/>
      <c r="AB52" s="169"/>
    </row>
    <row r="53" spans="2:28" ht="15"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AB53" s="169"/>
    </row>
    <row r="54" ht="15">
      <c r="AB54" s="169"/>
    </row>
    <row r="55" spans="2:28" ht="15">
      <c r="B55" s="1">
        <v>123882763.54</v>
      </c>
      <c r="AB55" s="169"/>
    </row>
    <row r="56" ht="15">
      <c r="AB56" s="169"/>
    </row>
    <row r="57" ht="15">
      <c r="AB57" s="169"/>
    </row>
    <row r="58" ht="15">
      <c r="AB58" s="169"/>
    </row>
    <row r="59" ht="12.75">
      <c r="AB59" s="161"/>
    </row>
    <row r="60" ht="12.75">
      <c r="AB60" s="161"/>
    </row>
  </sheetData>
  <sheetProtection/>
  <mergeCells count="11">
    <mergeCell ref="A25:CH26"/>
    <mergeCell ref="BD42:CR43"/>
    <mergeCell ref="A1:CH1"/>
    <mergeCell ref="A2:CH2"/>
    <mergeCell ref="A3:CH3"/>
    <mergeCell ref="A4:CH4"/>
    <mergeCell ref="A27:CH28"/>
    <mergeCell ref="B35:Z35"/>
    <mergeCell ref="A6:B6"/>
    <mergeCell ref="A7:B7"/>
    <mergeCell ref="B34:Z34"/>
  </mergeCells>
  <printOptions horizontalCentered="1" verticalCentered="1"/>
  <pageMargins left="0.5511811023622047" right="0.15748031496062992" top="0.31496062992125984" bottom="0.5905511811023623" header="0" footer="0.1968503937007874"/>
  <pageSetup horizontalDpi="300" verticalDpi="300" orientation="landscape" paperSize="5" scale="7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zoomScale="75" zoomScaleNormal="75" zoomScalePageLayoutView="0" workbookViewId="0" topLeftCell="AI1">
      <selection activeCell="AS38" sqref="AS38"/>
    </sheetView>
  </sheetViews>
  <sheetFormatPr defaultColWidth="11.421875" defaultRowHeight="12.75"/>
  <cols>
    <col min="1" max="1" width="15.8515625" style="1" customWidth="1"/>
    <col min="2" max="2" width="42.28125" style="1" customWidth="1"/>
    <col min="3" max="3" width="26.7109375" style="1" customWidth="1"/>
    <col min="4" max="4" width="19.421875" style="1" hidden="1" customWidth="1"/>
    <col min="5" max="5" width="21.140625" style="1" hidden="1" customWidth="1"/>
    <col min="6" max="6" width="25.140625" style="1" hidden="1" customWidth="1"/>
    <col min="7" max="7" width="18.8515625" style="1" hidden="1" customWidth="1"/>
    <col min="8" max="8" width="20.28125" style="1" hidden="1" customWidth="1"/>
    <col min="9" max="9" width="19.140625" style="1" customWidth="1"/>
    <col min="10" max="10" width="18.28125" style="1" hidden="1" customWidth="1"/>
    <col min="11" max="11" width="20.7109375" style="1" hidden="1" customWidth="1"/>
    <col min="12" max="12" width="19.57421875" style="1" hidden="1" customWidth="1"/>
    <col min="13" max="13" width="20.421875" style="1" hidden="1" customWidth="1"/>
    <col min="14" max="14" width="17.8515625" style="1" hidden="1" customWidth="1"/>
    <col min="15" max="15" width="18.7109375" style="1" hidden="1" customWidth="1"/>
    <col min="16" max="16" width="19.7109375" style="1" bestFit="1" customWidth="1"/>
    <col min="17" max="17" width="18.57421875" style="1" hidden="1" customWidth="1"/>
    <col min="18" max="18" width="19.421875" style="1" hidden="1" customWidth="1"/>
    <col min="19" max="19" width="22.421875" style="1" hidden="1" customWidth="1"/>
    <col min="20" max="20" width="20.7109375" style="1" hidden="1" customWidth="1"/>
    <col min="21" max="21" width="21.8515625" style="1" hidden="1" customWidth="1"/>
    <col min="22" max="22" width="21.7109375" style="1" customWidth="1"/>
    <col min="23" max="23" width="19.57421875" style="1" hidden="1" customWidth="1"/>
    <col min="24" max="24" width="19.28125" style="1" hidden="1" customWidth="1"/>
    <col min="25" max="25" width="21.140625" style="1" hidden="1" customWidth="1"/>
    <col min="26" max="26" width="23.00390625" style="1" hidden="1" customWidth="1"/>
    <col min="27" max="27" width="18.57421875" style="1" hidden="1" customWidth="1"/>
    <col min="28" max="28" width="21.57421875" style="1" hidden="1" customWidth="1"/>
    <col min="29" max="29" width="21.57421875" style="1" bestFit="1" customWidth="1"/>
    <col min="30" max="30" width="18.140625" style="1" hidden="1" customWidth="1"/>
    <col min="31" max="31" width="19.00390625" style="1" hidden="1" customWidth="1"/>
    <col min="32" max="32" width="19.57421875" style="1" hidden="1" customWidth="1"/>
    <col min="33" max="33" width="20.421875" style="1" hidden="1" customWidth="1"/>
    <col min="34" max="34" width="21.8515625" style="1" hidden="1" customWidth="1"/>
    <col min="35" max="35" width="21.8515625" style="1" customWidth="1"/>
    <col min="36" max="37" width="18.57421875" style="1" hidden="1" customWidth="1"/>
    <col min="38" max="38" width="18.421875" style="1" hidden="1" customWidth="1"/>
    <col min="39" max="39" width="20.421875" style="1" hidden="1" customWidth="1"/>
    <col min="40" max="40" width="20.00390625" style="1" hidden="1" customWidth="1"/>
    <col min="41" max="41" width="20.7109375" style="1" hidden="1" customWidth="1"/>
    <col min="42" max="42" width="23.00390625" style="1" customWidth="1"/>
    <col min="43" max="43" width="21.28125" style="108" bestFit="1" customWidth="1"/>
    <col min="44" max="44" width="19.57421875" style="108" customWidth="1"/>
    <col min="45" max="45" width="20.00390625" style="130" customWidth="1"/>
    <col min="46" max="46" width="19.7109375" style="1" customWidth="1"/>
    <col min="47" max="47" width="14.140625" style="1" customWidth="1"/>
    <col min="48" max="48" width="24.7109375" style="1" customWidth="1"/>
    <col min="49" max="49" width="11.421875" style="1" customWidth="1"/>
    <col min="50" max="50" width="12.8515625" style="1" bestFit="1" customWidth="1"/>
    <col min="51" max="51" width="11.8515625" style="1" bestFit="1" customWidth="1"/>
    <col min="52" max="52" width="12.8515625" style="1" bestFit="1" customWidth="1"/>
    <col min="53" max="53" width="13.8515625" style="1" bestFit="1" customWidth="1"/>
    <col min="54" max="54" width="11.421875" style="1" customWidth="1"/>
    <col min="55" max="55" width="11.8515625" style="1" bestFit="1" customWidth="1"/>
    <col min="56" max="56" width="12.8515625" style="1" bestFit="1" customWidth="1"/>
    <col min="57" max="57" width="11.421875" style="1" customWidth="1"/>
    <col min="58" max="58" width="11.8515625" style="1" bestFit="1" customWidth="1"/>
    <col min="59" max="16384" width="11.421875" style="1" customWidth="1"/>
  </cols>
  <sheetData>
    <row r="1" spans="1:42" ht="18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200"/>
    </row>
    <row r="2" spans="1:42" ht="15.75">
      <c r="A2" s="201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3"/>
    </row>
    <row r="3" spans="1:42" ht="18">
      <c r="A3" s="204" t="s">
        <v>51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6"/>
    </row>
    <row r="4" spans="1:42" ht="15.75">
      <c r="A4" s="201" t="s">
        <v>52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3"/>
    </row>
    <row r="5" spans="1:43" ht="20.25">
      <c r="A5" s="207" t="s">
        <v>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9"/>
      <c r="AQ5" s="41"/>
    </row>
    <row r="6" spans="1:43" ht="15">
      <c r="A6" s="49"/>
      <c r="B6" s="50"/>
      <c r="C6" s="50"/>
      <c r="D6" s="50"/>
      <c r="E6" s="50"/>
      <c r="F6" s="163">
        <f>+C18-4259765059</f>
        <v>0</v>
      </c>
      <c r="G6" s="163">
        <f>+F6+3253800</f>
        <v>3253800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6"/>
      <c r="AI6" s="50"/>
      <c r="AJ6" s="50"/>
      <c r="AK6" s="50"/>
      <c r="AL6" s="50"/>
      <c r="AM6" s="50"/>
      <c r="AN6" s="50"/>
      <c r="AO6" s="50"/>
      <c r="AP6" s="51"/>
      <c r="AQ6" s="109"/>
    </row>
    <row r="7" spans="1:43" ht="15.75">
      <c r="A7" s="222" t="s">
        <v>4</v>
      </c>
      <c r="B7" s="223"/>
      <c r="C7" s="66" t="s">
        <v>48</v>
      </c>
      <c r="D7" s="50"/>
      <c r="E7" s="50"/>
      <c r="F7" s="50"/>
      <c r="G7" s="50"/>
      <c r="H7" s="50">
        <v>781621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67" t="s">
        <v>8</v>
      </c>
      <c r="AD7" s="69"/>
      <c r="AE7" s="69"/>
      <c r="AF7" s="69"/>
      <c r="AG7" s="69"/>
      <c r="AH7" s="56"/>
      <c r="AI7" s="69"/>
      <c r="AJ7" s="69"/>
      <c r="AK7" s="69"/>
      <c r="AL7" s="69"/>
      <c r="AM7" s="69"/>
      <c r="AN7" s="69"/>
      <c r="AO7" s="69"/>
      <c r="AP7" s="72" t="s">
        <v>215</v>
      </c>
      <c r="AQ7" s="110"/>
    </row>
    <row r="8" spans="1:44" ht="20.25">
      <c r="A8" s="222" t="s">
        <v>5</v>
      </c>
      <c r="B8" s="223"/>
      <c r="C8" s="65" t="s">
        <v>57</v>
      </c>
      <c r="D8" s="50"/>
      <c r="E8" s="50"/>
      <c r="F8" s="50"/>
      <c r="G8" s="163">
        <v>4035421</v>
      </c>
      <c r="H8" s="163">
        <f>+G8-3253800</f>
        <v>781621</v>
      </c>
      <c r="I8" s="163"/>
      <c r="J8" s="50"/>
      <c r="K8" s="50"/>
      <c r="L8" s="50"/>
      <c r="M8" s="50"/>
      <c r="N8" s="50"/>
      <c r="O8" s="50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7" t="s">
        <v>9</v>
      </c>
      <c r="AD8" s="69"/>
      <c r="AE8" s="69"/>
      <c r="AF8" s="69"/>
      <c r="AG8" s="69"/>
      <c r="AH8" s="56"/>
      <c r="AI8" s="69"/>
      <c r="AJ8" s="69"/>
      <c r="AK8" s="69"/>
      <c r="AL8" s="69"/>
      <c r="AM8" s="69"/>
      <c r="AN8" s="69"/>
      <c r="AO8" s="69"/>
      <c r="AP8" s="68">
        <v>2012</v>
      </c>
      <c r="AQ8" s="40"/>
      <c r="AR8" s="41"/>
    </row>
    <row r="9" spans="1:45" ht="15.7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41"/>
      <c r="AS9" s="128"/>
    </row>
    <row r="10" spans="1:42" ht="1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</row>
    <row r="11" spans="1:42" ht="14.25" customHeight="1">
      <c r="A11" s="102" t="s">
        <v>40</v>
      </c>
      <c r="B11" s="102" t="s">
        <v>42</v>
      </c>
      <c r="C11" s="102" t="s">
        <v>43</v>
      </c>
      <c r="D11" s="102" t="s">
        <v>44</v>
      </c>
      <c r="E11" s="102" t="s">
        <v>44</v>
      </c>
      <c r="F11" s="102" t="s">
        <v>44</v>
      </c>
      <c r="G11" s="102" t="s">
        <v>44</v>
      </c>
      <c r="H11" s="102" t="s">
        <v>44</v>
      </c>
      <c r="I11" s="102" t="s">
        <v>44</v>
      </c>
      <c r="J11" s="102" t="s">
        <v>44</v>
      </c>
      <c r="K11" s="102" t="s">
        <v>44</v>
      </c>
      <c r="L11" s="102" t="s">
        <v>44</v>
      </c>
      <c r="M11" s="102" t="s">
        <v>44</v>
      </c>
      <c r="N11" s="102" t="s">
        <v>44</v>
      </c>
      <c r="O11" s="102" t="s">
        <v>44</v>
      </c>
      <c r="P11" s="102" t="s">
        <v>44</v>
      </c>
      <c r="Q11" s="102" t="s">
        <v>45</v>
      </c>
      <c r="R11" s="102" t="s">
        <v>45</v>
      </c>
      <c r="S11" s="102" t="s">
        <v>45</v>
      </c>
      <c r="T11" s="102" t="s">
        <v>45</v>
      </c>
      <c r="U11" s="102" t="s">
        <v>45</v>
      </c>
      <c r="V11" s="102" t="s">
        <v>45</v>
      </c>
      <c r="W11" s="102" t="s">
        <v>45</v>
      </c>
      <c r="X11" s="102" t="s">
        <v>45</v>
      </c>
      <c r="Y11" s="102" t="s">
        <v>45</v>
      </c>
      <c r="Z11" s="102" t="s">
        <v>45</v>
      </c>
      <c r="AA11" s="102" t="s">
        <v>45</v>
      </c>
      <c r="AB11" s="102" t="s">
        <v>45</v>
      </c>
      <c r="AC11" s="102" t="s">
        <v>45</v>
      </c>
      <c r="AD11" s="102" t="s">
        <v>46</v>
      </c>
      <c r="AE11" s="102" t="s">
        <v>46</v>
      </c>
      <c r="AF11" s="102" t="s">
        <v>46</v>
      </c>
      <c r="AG11" s="102" t="s">
        <v>46</v>
      </c>
      <c r="AH11" s="102" t="s">
        <v>46</v>
      </c>
      <c r="AI11" s="102" t="s">
        <v>46</v>
      </c>
      <c r="AJ11" s="102" t="s">
        <v>46</v>
      </c>
      <c r="AK11" s="102" t="s">
        <v>46</v>
      </c>
      <c r="AL11" s="102" t="s">
        <v>46</v>
      </c>
      <c r="AM11" s="102" t="s">
        <v>46</v>
      </c>
      <c r="AN11" s="102" t="s">
        <v>46</v>
      </c>
      <c r="AO11" s="102" t="s">
        <v>46</v>
      </c>
      <c r="AP11" s="102" t="s">
        <v>46</v>
      </c>
    </row>
    <row r="12" spans="1:50" ht="13.5" thickBot="1">
      <c r="A12" s="103" t="s">
        <v>41</v>
      </c>
      <c r="B12" s="103"/>
      <c r="C12" s="103" t="s">
        <v>12</v>
      </c>
      <c r="D12" s="103" t="s">
        <v>13</v>
      </c>
      <c r="E12" s="103" t="s">
        <v>14</v>
      </c>
      <c r="F12" s="103" t="s">
        <v>15</v>
      </c>
      <c r="G12" s="103" t="s">
        <v>82</v>
      </c>
      <c r="H12" s="103" t="s">
        <v>17</v>
      </c>
      <c r="I12" s="103" t="s">
        <v>18</v>
      </c>
      <c r="J12" s="103" t="s">
        <v>19</v>
      </c>
      <c r="K12" s="103" t="s">
        <v>20</v>
      </c>
      <c r="L12" s="103" t="s">
        <v>21</v>
      </c>
      <c r="M12" s="103" t="s">
        <v>22</v>
      </c>
      <c r="N12" s="103" t="s">
        <v>23</v>
      </c>
      <c r="O12" s="103" t="s">
        <v>24</v>
      </c>
      <c r="P12" s="103" t="s">
        <v>25</v>
      </c>
      <c r="Q12" s="103" t="s">
        <v>13</v>
      </c>
      <c r="R12" s="103" t="s">
        <v>14</v>
      </c>
      <c r="S12" s="103" t="s">
        <v>15</v>
      </c>
      <c r="T12" s="103" t="s">
        <v>16</v>
      </c>
      <c r="U12" s="103" t="s">
        <v>28</v>
      </c>
      <c r="V12" s="103" t="s">
        <v>29</v>
      </c>
      <c r="W12" s="103" t="s">
        <v>30</v>
      </c>
      <c r="X12" s="103" t="s">
        <v>20</v>
      </c>
      <c r="Y12" s="103" t="s">
        <v>21</v>
      </c>
      <c r="Z12" s="103" t="s">
        <v>31</v>
      </c>
      <c r="AA12" s="103" t="s">
        <v>23</v>
      </c>
      <c r="AB12" s="103" t="s">
        <v>24</v>
      </c>
      <c r="AC12" s="103" t="s">
        <v>47</v>
      </c>
      <c r="AD12" s="103" t="s">
        <v>13</v>
      </c>
      <c r="AE12" s="103" t="s">
        <v>14</v>
      </c>
      <c r="AF12" s="103" t="s">
        <v>15</v>
      </c>
      <c r="AG12" s="103" t="s">
        <v>16</v>
      </c>
      <c r="AH12" s="103" t="s">
        <v>28</v>
      </c>
      <c r="AI12" s="103" t="s">
        <v>29</v>
      </c>
      <c r="AJ12" s="103" t="s">
        <v>30</v>
      </c>
      <c r="AK12" s="103" t="s">
        <v>20</v>
      </c>
      <c r="AL12" s="103" t="s">
        <v>21</v>
      </c>
      <c r="AM12" s="103" t="s">
        <v>31</v>
      </c>
      <c r="AN12" s="103" t="s">
        <v>23</v>
      </c>
      <c r="AO12" s="103" t="s">
        <v>24</v>
      </c>
      <c r="AP12" s="103" t="s">
        <v>25</v>
      </c>
      <c r="AQ12" s="24"/>
      <c r="AR12" s="24"/>
      <c r="AS12" s="24"/>
      <c r="AT12" s="24"/>
      <c r="AU12" s="24"/>
      <c r="AV12" s="24"/>
      <c r="AW12" s="24"/>
      <c r="AX12" s="24"/>
    </row>
    <row r="13" spans="1:50" ht="13.5" thickBot="1">
      <c r="A13" s="104">
        <v>1</v>
      </c>
      <c r="B13" s="105">
        <v>2</v>
      </c>
      <c r="C13" s="105"/>
      <c r="D13" s="105"/>
      <c r="E13" s="105"/>
      <c r="F13" s="105">
        <v>3</v>
      </c>
      <c r="G13" s="105">
        <v>3</v>
      </c>
      <c r="H13" s="105">
        <v>3</v>
      </c>
      <c r="I13" s="105">
        <v>3</v>
      </c>
      <c r="J13" s="105">
        <v>3</v>
      </c>
      <c r="K13" s="105">
        <v>3</v>
      </c>
      <c r="L13" s="105">
        <v>3</v>
      </c>
      <c r="M13" s="105">
        <v>3</v>
      </c>
      <c r="N13" s="105">
        <v>3</v>
      </c>
      <c r="O13" s="105">
        <v>3</v>
      </c>
      <c r="P13" s="105">
        <v>4</v>
      </c>
      <c r="Q13" s="105"/>
      <c r="R13" s="105"/>
      <c r="S13" s="105">
        <v>5</v>
      </c>
      <c r="T13" s="105">
        <v>5</v>
      </c>
      <c r="U13" s="105">
        <v>5</v>
      </c>
      <c r="V13" s="105">
        <v>5</v>
      </c>
      <c r="W13" s="105">
        <v>5</v>
      </c>
      <c r="X13" s="105">
        <v>5</v>
      </c>
      <c r="Y13" s="105">
        <v>5</v>
      </c>
      <c r="Z13" s="105">
        <v>5</v>
      </c>
      <c r="AA13" s="105">
        <v>5</v>
      </c>
      <c r="AB13" s="105">
        <v>5</v>
      </c>
      <c r="AC13" s="105">
        <v>6</v>
      </c>
      <c r="AD13" s="105"/>
      <c r="AE13" s="105"/>
      <c r="AF13" s="105">
        <v>7</v>
      </c>
      <c r="AG13" s="105">
        <v>7</v>
      </c>
      <c r="AH13" s="105">
        <v>7</v>
      </c>
      <c r="AI13" s="105">
        <v>7</v>
      </c>
      <c r="AJ13" s="105">
        <v>7</v>
      </c>
      <c r="AK13" s="105">
        <v>7</v>
      </c>
      <c r="AL13" s="105">
        <v>7</v>
      </c>
      <c r="AM13" s="105">
        <v>7</v>
      </c>
      <c r="AN13" s="105">
        <v>7</v>
      </c>
      <c r="AO13" s="105">
        <v>7</v>
      </c>
      <c r="AP13" s="106">
        <v>8</v>
      </c>
      <c r="AQ13" s="24"/>
      <c r="AR13" s="24"/>
      <c r="AS13" s="24"/>
      <c r="AT13" s="24"/>
      <c r="AU13" s="24"/>
      <c r="AV13" s="24"/>
      <c r="AW13" s="24"/>
      <c r="AX13" s="24"/>
    </row>
    <row r="14" spans="1:50" s="29" customFormat="1" ht="16.5" thickBot="1">
      <c r="A14" s="31"/>
      <c r="B14" s="70" t="s">
        <v>60</v>
      </c>
      <c r="C14" s="32">
        <f>SUM(C15,C17,C34,)</f>
        <v>4700894478</v>
      </c>
      <c r="D14" s="32">
        <f aca="true" t="shared" si="0" ref="D14:AS14">SUM(D15,D17,D34)</f>
        <v>46896397.2</v>
      </c>
      <c r="E14" s="32">
        <f t="shared" si="0"/>
        <v>457047751.71</v>
      </c>
      <c r="F14" s="32">
        <f t="shared" si="0"/>
        <v>450507943.81</v>
      </c>
      <c r="G14" s="32">
        <f t="shared" si="0"/>
        <v>206002932.58999997</v>
      </c>
      <c r="H14" s="32">
        <f>SUM(H15,H17,H34)</f>
        <v>158853893.42000002</v>
      </c>
      <c r="I14" s="32">
        <f>SUM(I15,I17,I34)</f>
        <v>169302762.81</v>
      </c>
      <c r="J14" s="32">
        <f t="shared" si="0"/>
        <v>0</v>
      </c>
      <c r="K14" s="32">
        <f t="shared" si="0"/>
        <v>0</v>
      </c>
      <c r="L14" s="144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144">
        <f>SUM(P15,P17,P34)</f>
        <v>1522963775.54</v>
      </c>
      <c r="Q14" s="32">
        <f t="shared" si="0"/>
        <v>32241168.2</v>
      </c>
      <c r="R14" s="32">
        <f t="shared" si="0"/>
        <v>122729886.71</v>
      </c>
      <c r="S14" s="32">
        <f t="shared" si="0"/>
        <v>135351052.53</v>
      </c>
      <c r="T14" s="32">
        <f t="shared" si="0"/>
        <v>210771107.51</v>
      </c>
      <c r="U14" s="32">
        <f t="shared" si="0"/>
        <v>201652564.84</v>
      </c>
      <c r="V14" s="32">
        <f>SUM(V15,V17,V34)</f>
        <v>219986032.69</v>
      </c>
      <c r="W14" s="32">
        <f t="shared" si="0"/>
        <v>0</v>
      </c>
      <c r="X14" s="32">
        <f t="shared" si="0"/>
        <v>0</v>
      </c>
      <c r="Y14" s="144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>SUM(AC15,AC17,AC34)</f>
        <v>922731812.48</v>
      </c>
      <c r="AD14" s="32">
        <f t="shared" si="0"/>
        <v>31310675.2</v>
      </c>
      <c r="AE14" s="32">
        <f t="shared" si="0"/>
        <v>122725603.08</v>
      </c>
      <c r="AF14" s="32">
        <f t="shared" si="0"/>
        <v>136215829.16</v>
      </c>
      <c r="AG14" s="32">
        <f t="shared" si="0"/>
        <v>210841107.51</v>
      </c>
      <c r="AH14" s="32">
        <f t="shared" si="0"/>
        <v>201652564.84</v>
      </c>
      <c r="AI14" s="32">
        <f>SUM(AI15,AI17,AI34)</f>
        <v>218008072.69</v>
      </c>
      <c r="AJ14" s="32">
        <f t="shared" si="0"/>
        <v>0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>SUM(AP15,AP17,AP34)</f>
        <v>920753852.48</v>
      </c>
      <c r="AQ14" s="24"/>
      <c r="AR14" s="24"/>
      <c r="AS14" s="24"/>
      <c r="AT14" s="24"/>
      <c r="AU14" s="24"/>
      <c r="AV14" s="24"/>
      <c r="AW14" s="24"/>
      <c r="AX14" s="24"/>
    </row>
    <row r="15" spans="1:50" s="29" customFormat="1" ht="16.5" thickBot="1">
      <c r="A15" s="73"/>
      <c r="B15" s="71" t="s">
        <v>62</v>
      </c>
      <c r="C15" s="33">
        <f aca="true" t="shared" si="1" ref="C15:AS15">SUM(C16)</f>
        <v>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145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145">
        <f t="shared" si="1"/>
        <v>0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145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4">
        <f t="shared" si="1"/>
        <v>0</v>
      </c>
      <c r="AQ15" s="24"/>
      <c r="AR15" s="24"/>
      <c r="AS15" s="24"/>
      <c r="AT15" s="24"/>
      <c r="AU15" s="24"/>
      <c r="AV15" s="24"/>
      <c r="AW15" s="24"/>
      <c r="AX15" s="24"/>
    </row>
    <row r="16" spans="1:50" s="12" customFormat="1" ht="15.75" thickBot="1">
      <c r="A16" s="44" t="s">
        <v>125</v>
      </c>
      <c r="B16" s="38" t="s">
        <v>49</v>
      </c>
      <c r="C16" s="47">
        <v>0</v>
      </c>
      <c r="D16" s="47">
        <v>0</v>
      </c>
      <c r="E16" s="47">
        <v>0</v>
      </c>
      <c r="F16" s="47"/>
      <c r="G16" s="47"/>
      <c r="H16" s="47"/>
      <c r="I16" s="47"/>
      <c r="J16" s="47"/>
      <c r="K16" s="47"/>
      <c r="L16" s="151"/>
      <c r="M16" s="47"/>
      <c r="N16" s="47"/>
      <c r="O16" s="47"/>
      <c r="P16" s="146">
        <f>SUM(D16:O16)</f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/>
      <c r="X16" s="47"/>
      <c r="Y16" s="151"/>
      <c r="Z16" s="47">
        <v>0</v>
      </c>
      <c r="AA16" s="47"/>
      <c r="AB16" s="47"/>
      <c r="AC16" s="48">
        <f>SUM(Q16:AB16)</f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/>
      <c r="AJ16" s="47"/>
      <c r="AK16" s="47">
        <v>0</v>
      </c>
      <c r="AL16" s="47"/>
      <c r="AM16" s="47">
        <v>0</v>
      </c>
      <c r="AN16" s="47"/>
      <c r="AO16" s="47"/>
      <c r="AP16" s="74">
        <f>SUM(AD16:AO16)</f>
        <v>0</v>
      </c>
      <c r="AQ16" s="24"/>
      <c r="AR16" s="24"/>
      <c r="AS16" s="24"/>
      <c r="AT16" s="24"/>
      <c r="AU16" s="24"/>
      <c r="AV16" s="24"/>
      <c r="AW16" s="24"/>
      <c r="AX16" s="24"/>
    </row>
    <row r="17" spans="1:50" s="12" customFormat="1" ht="16.5" thickBot="1">
      <c r="A17" s="44"/>
      <c r="B17" s="71" t="s">
        <v>63</v>
      </c>
      <c r="C17" s="43">
        <f>SUM(C18,C32,C30)</f>
        <v>4612740494</v>
      </c>
      <c r="D17" s="43">
        <f>SUM(D18,D32)</f>
        <v>46896397.2</v>
      </c>
      <c r="E17" s="43">
        <f>SUM(E18,E32)+E30</f>
        <v>457047751.71</v>
      </c>
      <c r="F17" s="43">
        <f>SUM(F18,F32)+F30</f>
        <v>450507943.81</v>
      </c>
      <c r="G17" s="43">
        <f>SUM(G18,G32)+G30</f>
        <v>206002932.58999997</v>
      </c>
      <c r="H17" s="43">
        <f>SUM(H18,H32)</f>
        <v>158853893.42000002</v>
      </c>
      <c r="I17" s="43">
        <f>SUM(I18,I32)+I30</f>
        <v>169302762.81</v>
      </c>
      <c r="J17" s="43">
        <f aca="true" t="shared" si="2" ref="J17:O17">SUM(J18,J32)+J30</f>
        <v>0</v>
      </c>
      <c r="K17" s="43">
        <f t="shared" si="2"/>
        <v>0</v>
      </c>
      <c r="L17" s="43">
        <f t="shared" si="2"/>
        <v>0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147">
        <f>SUM(P18,P32)+P30</f>
        <v>1522963775.54</v>
      </c>
      <c r="Q17" s="43">
        <f>SUM(Q18,Q32)</f>
        <v>32241168.2</v>
      </c>
      <c r="R17" s="43">
        <f>SUM(R18,R32)+R30</f>
        <v>122729886.71</v>
      </c>
      <c r="S17" s="43">
        <f>SUM(S18,S32)+S30</f>
        <v>135351052.53</v>
      </c>
      <c r="T17" s="43">
        <f>SUM(T18,T32)+T30</f>
        <v>210771107.51</v>
      </c>
      <c r="U17" s="43">
        <f>SUM(U18,U32)+U30</f>
        <v>201652564.84</v>
      </c>
      <c r="V17" s="43">
        <f>SUM(V18,V32)+V30</f>
        <v>219986032.69</v>
      </c>
      <c r="W17" s="43">
        <f aca="true" t="shared" si="3" ref="W17:AB17">SUM(W18,W32)</f>
        <v>0</v>
      </c>
      <c r="X17" s="43">
        <f t="shared" si="3"/>
        <v>0</v>
      </c>
      <c r="Y17" s="147">
        <f t="shared" si="3"/>
        <v>0</v>
      </c>
      <c r="Z17" s="43">
        <f t="shared" si="3"/>
        <v>0</v>
      </c>
      <c r="AA17" s="43">
        <f t="shared" si="3"/>
        <v>0</v>
      </c>
      <c r="AB17" s="43">
        <f t="shared" si="3"/>
        <v>0</v>
      </c>
      <c r="AC17" s="43">
        <f>SUM(AC18,AC32)+AC30</f>
        <v>922731812.48</v>
      </c>
      <c r="AD17" s="43">
        <f>SUM(AD18,AD32)</f>
        <v>31310675.2</v>
      </c>
      <c r="AE17" s="43">
        <f>SUM(AE18,AE32)+AE30</f>
        <v>122725603.08</v>
      </c>
      <c r="AF17" s="43">
        <f>SUM(AF18,AF32)+AF30</f>
        <v>136215829.16</v>
      </c>
      <c r="AG17" s="43">
        <f>SUM(AG18,AG32)+AG30</f>
        <v>210841107.51</v>
      </c>
      <c r="AH17" s="43">
        <f>SUM(AH18,AH32)+AH30</f>
        <v>201652564.84</v>
      </c>
      <c r="AI17" s="43">
        <f>SUM(AI18,AI32)+AI30</f>
        <v>218008072.69</v>
      </c>
      <c r="AJ17" s="43">
        <f aca="true" t="shared" si="4" ref="AJ17:AO17">SUM(AJ18,AJ32)</f>
        <v>0</v>
      </c>
      <c r="AK17" s="43">
        <f t="shared" si="4"/>
        <v>0</v>
      </c>
      <c r="AL17" s="43">
        <f t="shared" si="4"/>
        <v>0</v>
      </c>
      <c r="AM17" s="43">
        <f t="shared" si="4"/>
        <v>0</v>
      </c>
      <c r="AN17" s="43">
        <f t="shared" si="4"/>
        <v>0</v>
      </c>
      <c r="AO17" s="43">
        <f t="shared" si="4"/>
        <v>0</v>
      </c>
      <c r="AP17" s="43">
        <f>SUM(AP18,AP32)+AP30</f>
        <v>920753852.48</v>
      </c>
      <c r="AQ17" s="24"/>
      <c r="AR17" s="24"/>
      <c r="AS17" s="24"/>
      <c r="AT17" s="24"/>
      <c r="AU17" s="24"/>
      <c r="AV17" s="24"/>
      <c r="AW17" s="24"/>
      <c r="AX17" s="24"/>
    </row>
    <row r="18" spans="1:50" s="12" customFormat="1" ht="15.75">
      <c r="A18" s="44" t="s">
        <v>119</v>
      </c>
      <c r="B18" s="118" t="s">
        <v>95</v>
      </c>
      <c r="C18" s="122">
        <f>SUM(C19:C29)</f>
        <v>4259765059</v>
      </c>
      <c r="D18" s="122">
        <f>SUM(D21:D28)</f>
        <v>45577427.2</v>
      </c>
      <c r="E18" s="122">
        <f>SUM(E19:E28)</f>
        <v>408201171.88</v>
      </c>
      <c r="F18" s="122">
        <f>SUM(F19:F28)</f>
        <v>397481648.81</v>
      </c>
      <c r="G18" s="122">
        <f>SUM(G19:G29)</f>
        <v>109853195.21999998</v>
      </c>
      <c r="H18" s="122">
        <f>SUM(H19:H29)</f>
        <v>140196382.37</v>
      </c>
      <c r="I18" s="122">
        <f>SUM(I19:I29)</f>
        <v>134807681.92000002</v>
      </c>
      <c r="J18" s="122">
        <f aca="true" t="shared" si="5" ref="J18:AO18">SUM(J19:J29)</f>
        <v>0</v>
      </c>
      <c r="K18" s="122">
        <f t="shared" si="5"/>
        <v>0</v>
      </c>
      <c r="L18" s="148">
        <f t="shared" si="5"/>
        <v>0</v>
      </c>
      <c r="M18" s="122">
        <f t="shared" si="5"/>
        <v>0</v>
      </c>
      <c r="N18" s="122">
        <f t="shared" si="5"/>
        <v>0</v>
      </c>
      <c r="O18" s="122">
        <f t="shared" si="5"/>
        <v>0</v>
      </c>
      <c r="P18" s="148">
        <f t="shared" si="5"/>
        <v>1236744351.4</v>
      </c>
      <c r="Q18" s="122">
        <f t="shared" si="5"/>
        <v>30922198.2</v>
      </c>
      <c r="R18" s="122">
        <f t="shared" si="5"/>
        <v>73884662.88</v>
      </c>
      <c r="S18" s="122">
        <f>SUM(S19:S29)</f>
        <v>82717967.53</v>
      </c>
      <c r="T18" s="122">
        <f t="shared" si="5"/>
        <v>114228160.13999999</v>
      </c>
      <c r="U18" s="122">
        <f>SUM(U19:U28)</f>
        <v>149269803.79</v>
      </c>
      <c r="V18" s="122">
        <f t="shared" si="5"/>
        <v>185490951.8</v>
      </c>
      <c r="W18" s="122">
        <f t="shared" si="5"/>
        <v>0</v>
      </c>
      <c r="X18" s="122">
        <f t="shared" si="5"/>
        <v>0</v>
      </c>
      <c r="Y18" s="148">
        <f t="shared" si="5"/>
        <v>0</v>
      </c>
      <c r="Z18" s="122">
        <f t="shared" si="5"/>
        <v>0</v>
      </c>
      <c r="AA18" s="122">
        <f t="shared" si="5"/>
        <v>0</v>
      </c>
      <c r="AB18" s="122">
        <f t="shared" si="5"/>
        <v>0</v>
      </c>
      <c r="AC18" s="122">
        <f>SUM(AC19:AC29)</f>
        <v>636513744.34</v>
      </c>
      <c r="AD18" s="122">
        <f t="shared" si="5"/>
        <v>29991705.2</v>
      </c>
      <c r="AE18" s="122">
        <f t="shared" si="5"/>
        <v>74815155.88</v>
      </c>
      <c r="AF18" s="122">
        <f>SUM(AF19:AF29)</f>
        <v>82647967.53</v>
      </c>
      <c r="AG18" s="122">
        <f t="shared" si="5"/>
        <v>114298160.13999999</v>
      </c>
      <c r="AH18" s="122">
        <f>SUM(AH19:AH29)</f>
        <v>149269803.79</v>
      </c>
      <c r="AI18" s="122">
        <f>SUM(AI19:AI29)</f>
        <v>183512991.8</v>
      </c>
      <c r="AJ18" s="122">
        <f t="shared" si="5"/>
        <v>0</v>
      </c>
      <c r="AK18" s="122">
        <f t="shared" si="5"/>
        <v>0</v>
      </c>
      <c r="AL18" s="122">
        <f t="shared" si="5"/>
        <v>0</v>
      </c>
      <c r="AM18" s="122">
        <f t="shared" si="5"/>
        <v>0</v>
      </c>
      <c r="AN18" s="122">
        <f t="shared" si="5"/>
        <v>0</v>
      </c>
      <c r="AO18" s="122">
        <f t="shared" si="5"/>
        <v>0</v>
      </c>
      <c r="AP18" s="122">
        <f>SUM(AP19:AP29)</f>
        <v>634535784.34</v>
      </c>
      <c r="AQ18" s="24"/>
      <c r="AR18" s="24"/>
      <c r="AS18" s="24"/>
      <c r="AT18" s="24"/>
      <c r="AU18" s="24"/>
      <c r="AV18" s="24"/>
      <c r="AW18" s="24"/>
      <c r="AX18" s="24"/>
    </row>
    <row r="19" spans="1:50" s="12" customFormat="1" ht="15">
      <c r="A19" s="44" t="s">
        <v>153</v>
      </c>
      <c r="B19" s="25" t="s">
        <v>107</v>
      </c>
      <c r="C19" s="125">
        <f>800390880-8000000</f>
        <v>792390880</v>
      </c>
      <c r="D19" s="26">
        <v>626844</v>
      </c>
      <c r="E19" s="26">
        <v>0</v>
      </c>
      <c r="F19" s="26">
        <v>785160</v>
      </c>
      <c r="G19" s="125">
        <v>712411</v>
      </c>
      <c r="H19" s="26">
        <v>8636548</v>
      </c>
      <c r="I19" s="26">
        <v>719611.08</v>
      </c>
      <c r="J19" s="26">
        <v>0</v>
      </c>
      <c r="K19" s="81"/>
      <c r="L19" s="152">
        <v>0</v>
      </c>
      <c r="M19" s="26">
        <v>0</v>
      </c>
      <c r="N19" s="26"/>
      <c r="O19" s="26"/>
      <c r="P19" s="146">
        <f aca="true" t="shared" si="6" ref="P19:P30">SUM(D19:O19)</f>
        <v>11480574.08</v>
      </c>
      <c r="Q19" s="26">
        <v>0</v>
      </c>
      <c r="R19" s="26">
        <v>0</v>
      </c>
      <c r="S19" s="26">
        <v>626844</v>
      </c>
      <c r="T19" s="26">
        <v>785160</v>
      </c>
      <c r="U19" s="26">
        <v>5525947</v>
      </c>
      <c r="V19" s="26">
        <v>3823223.08</v>
      </c>
      <c r="W19" s="26">
        <v>0</v>
      </c>
      <c r="X19" s="26"/>
      <c r="Y19" s="152">
        <v>0</v>
      </c>
      <c r="Z19" s="26">
        <v>0</v>
      </c>
      <c r="AA19" s="26"/>
      <c r="AB19" s="26"/>
      <c r="AC19" s="26">
        <f aca="true" t="shared" si="7" ref="AC19:AC33">SUM(Q19:AB19)</f>
        <v>10761174.08</v>
      </c>
      <c r="AD19" s="26">
        <v>0</v>
      </c>
      <c r="AE19" s="26">
        <v>0</v>
      </c>
      <c r="AF19" s="26">
        <v>626844</v>
      </c>
      <c r="AG19" s="26">
        <v>785160</v>
      </c>
      <c r="AH19" s="26">
        <v>5525947</v>
      </c>
      <c r="AI19" s="26">
        <v>3823223.08</v>
      </c>
      <c r="AJ19" s="26">
        <v>0</v>
      </c>
      <c r="AK19" s="26"/>
      <c r="AL19" s="26">
        <v>0</v>
      </c>
      <c r="AM19" s="26">
        <v>0</v>
      </c>
      <c r="AN19" s="26"/>
      <c r="AO19" s="26"/>
      <c r="AP19" s="26">
        <f aca="true" t="shared" si="8" ref="AP19:AP33">SUM(AD19:AO19)</f>
        <v>10761174.08</v>
      </c>
      <c r="AQ19" s="24"/>
      <c r="AR19" s="24"/>
      <c r="AS19" s="24"/>
      <c r="AT19" s="24"/>
      <c r="AU19" s="24"/>
      <c r="AV19" s="24"/>
      <c r="AW19" s="24"/>
      <c r="AX19" s="24"/>
    </row>
    <row r="20" spans="1:50" s="12" customFormat="1" ht="15">
      <c r="A20" s="44" t="s">
        <v>132</v>
      </c>
      <c r="B20" s="25" t="s">
        <v>118</v>
      </c>
      <c r="C20" s="125">
        <f>41612000+8000000</f>
        <v>49612000</v>
      </c>
      <c r="D20" s="26">
        <v>0</v>
      </c>
      <c r="E20" s="26">
        <v>0</v>
      </c>
      <c r="F20" s="26">
        <v>0</v>
      </c>
      <c r="G20" s="125">
        <v>1880000</v>
      </c>
      <c r="H20" s="26">
        <v>0</v>
      </c>
      <c r="I20" s="26">
        <v>777.94</v>
      </c>
      <c r="J20" s="26"/>
      <c r="K20" s="81"/>
      <c r="L20" s="152"/>
      <c r="M20" s="26"/>
      <c r="N20" s="26"/>
      <c r="O20" s="26"/>
      <c r="P20" s="146">
        <f t="shared" si="6"/>
        <v>1880777.94</v>
      </c>
      <c r="Q20" s="26">
        <v>0</v>
      </c>
      <c r="R20" s="26">
        <v>0</v>
      </c>
      <c r="S20" s="26">
        <v>0</v>
      </c>
      <c r="T20" s="26">
        <v>0</v>
      </c>
      <c r="U20" s="26">
        <v>1880000</v>
      </c>
      <c r="V20" s="26">
        <v>777.94</v>
      </c>
      <c r="W20" s="26"/>
      <c r="X20" s="26"/>
      <c r="Y20" s="152">
        <v>0</v>
      </c>
      <c r="Z20" s="26"/>
      <c r="AA20" s="26"/>
      <c r="AB20" s="26"/>
      <c r="AC20" s="26">
        <f t="shared" si="7"/>
        <v>1880777.94</v>
      </c>
      <c r="AD20" s="26">
        <v>0</v>
      </c>
      <c r="AE20" s="26">
        <v>0</v>
      </c>
      <c r="AF20" s="26">
        <v>0</v>
      </c>
      <c r="AG20" s="26">
        <v>0</v>
      </c>
      <c r="AH20" s="26">
        <v>1880000</v>
      </c>
      <c r="AI20" s="26">
        <v>777.94</v>
      </c>
      <c r="AJ20" s="26"/>
      <c r="AK20" s="26"/>
      <c r="AL20" s="26">
        <v>0</v>
      </c>
      <c r="AM20" s="26"/>
      <c r="AN20" s="26"/>
      <c r="AO20" s="26"/>
      <c r="AP20" s="26">
        <f t="shared" si="8"/>
        <v>1880777.94</v>
      </c>
      <c r="AQ20" s="24"/>
      <c r="AR20" s="24"/>
      <c r="AS20" s="24"/>
      <c r="AT20" s="24"/>
      <c r="AU20" s="24"/>
      <c r="AV20" s="24"/>
      <c r="AW20" s="24"/>
      <c r="AX20" s="24"/>
    </row>
    <row r="21" spans="1:50" s="12" customFormat="1" ht="15">
      <c r="A21" s="44" t="s">
        <v>133</v>
      </c>
      <c r="B21" s="25" t="s">
        <v>98</v>
      </c>
      <c r="C21" s="125">
        <v>388021400</v>
      </c>
      <c r="D21" s="26">
        <v>2400000</v>
      </c>
      <c r="E21" s="26">
        <v>30358068.94</v>
      </c>
      <c r="F21" s="26">
        <v>53790069.64</v>
      </c>
      <c r="G21" s="125">
        <v>27931892.95</v>
      </c>
      <c r="H21" s="26">
        <v>8533453.57</v>
      </c>
      <c r="I21" s="26">
        <v>26262069.77</v>
      </c>
      <c r="J21" s="26"/>
      <c r="K21" s="81"/>
      <c r="L21" s="152"/>
      <c r="M21" s="26"/>
      <c r="N21" s="26"/>
      <c r="O21" s="26"/>
      <c r="P21" s="146">
        <f t="shared" si="6"/>
        <v>149275554.87</v>
      </c>
      <c r="Q21" s="26">
        <v>0</v>
      </c>
      <c r="R21" s="26">
        <v>28280594.94</v>
      </c>
      <c r="S21" s="26">
        <v>3352522.64</v>
      </c>
      <c r="T21" s="26">
        <v>21871111.95</v>
      </c>
      <c r="U21" s="26">
        <v>28072009.57</v>
      </c>
      <c r="V21" s="26">
        <v>30924372.77</v>
      </c>
      <c r="W21" s="26"/>
      <c r="X21" s="26"/>
      <c r="Y21" s="152"/>
      <c r="Z21" s="26"/>
      <c r="AA21" s="26"/>
      <c r="AB21" s="26"/>
      <c r="AC21" s="26">
        <f t="shared" si="7"/>
        <v>112500611.86999999</v>
      </c>
      <c r="AD21" s="26">
        <v>0</v>
      </c>
      <c r="AE21" s="26">
        <v>28280594.94</v>
      </c>
      <c r="AF21" s="26">
        <v>3352522.64</v>
      </c>
      <c r="AG21" s="26">
        <v>21871111.95</v>
      </c>
      <c r="AH21" s="26">
        <v>28072009.57</v>
      </c>
      <c r="AI21" s="26">
        <v>30924372.77</v>
      </c>
      <c r="AJ21" s="26"/>
      <c r="AK21" s="26"/>
      <c r="AL21" s="26"/>
      <c r="AM21" s="26"/>
      <c r="AN21" s="26"/>
      <c r="AO21" s="26"/>
      <c r="AP21" s="26">
        <f t="shared" si="8"/>
        <v>112500611.86999999</v>
      </c>
      <c r="AQ21" s="24"/>
      <c r="AR21" s="24"/>
      <c r="AS21" s="24"/>
      <c r="AT21" s="24"/>
      <c r="AU21" s="24"/>
      <c r="AV21" s="24"/>
      <c r="AW21" s="24"/>
      <c r="AX21" s="24"/>
    </row>
    <row r="22" spans="1:50" s="12" customFormat="1" ht="15">
      <c r="A22" s="44" t="s">
        <v>120</v>
      </c>
      <c r="B22" s="25" t="s">
        <v>99</v>
      </c>
      <c r="C22" s="125">
        <f>1888985852-81710632-22432000</f>
        <v>1784843220</v>
      </c>
      <c r="D22" s="26">
        <v>11574848</v>
      </c>
      <c r="E22" s="26">
        <v>274964293.54</v>
      </c>
      <c r="F22" s="26">
        <v>80647320.11</v>
      </c>
      <c r="G22" s="26">
        <v>36692493.15</v>
      </c>
      <c r="H22" s="26">
        <v>78949506.75</v>
      </c>
      <c r="I22" s="26">
        <v>75601776.12</v>
      </c>
      <c r="J22" s="26"/>
      <c r="K22" s="81"/>
      <c r="L22" s="153"/>
      <c r="M22" s="26"/>
      <c r="N22" s="26"/>
      <c r="O22" s="26"/>
      <c r="P22" s="146">
        <f t="shared" si="6"/>
        <v>558430237.6700001</v>
      </c>
      <c r="Q22" s="26">
        <v>0</v>
      </c>
      <c r="R22" s="26">
        <v>2281606.54</v>
      </c>
      <c r="S22" s="26">
        <v>24002682.83</v>
      </c>
      <c r="T22" s="26">
        <v>53057258.07</v>
      </c>
      <c r="U22" s="26">
        <v>46208674.67</v>
      </c>
      <c r="V22" s="26">
        <v>95750654.04</v>
      </c>
      <c r="W22" s="26"/>
      <c r="X22" s="26"/>
      <c r="Y22" s="152"/>
      <c r="Z22" s="26"/>
      <c r="AA22" s="26"/>
      <c r="AB22" s="26"/>
      <c r="AC22" s="26">
        <f>SUM(Q22:AB22)</f>
        <v>221300876.15</v>
      </c>
      <c r="AD22" s="26">
        <v>0</v>
      </c>
      <c r="AE22" s="26">
        <v>2281606.54</v>
      </c>
      <c r="AF22" s="26">
        <v>24002682.83</v>
      </c>
      <c r="AG22" s="26">
        <v>53057258.07</v>
      </c>
      <c r="AH22" s="26">
        <v>46208674.67</v>
      </c>
      <c r="AI22" s="26">
        <v>95750654.04</v>
      </c>
      <c r="AJ22" s="26"/>
      <c r="AK22" s="26"/>
      <c r="AL22" s="26"/>
      <c r="AM22" s="26"/>
      <c r="AN22" s="26"/>
      <c r="AO22" s="26"/>
      <c r="AP22" s="26">
        <f t="shared" si="8"/>
        <v>221300876.15</v>
      </c>
      <c r="AQ22" s="24"/>
      <c r="AR22" s="24"/>
      <c r="AS22" s="24"/>
      <c r="AT22" s="24"/>
      <c r="AU22" s="24"/>
      <c r="AV22" s="24"/>
      <c r="AW22" s="24"/>
      <c r="AX22" s="24"/>
    </row>
    <row r="23" spans="1:50" s="12" customFormat="1" ht="15">
      <c r="A23" s="44" t="s">
        <v>154</v>
      </c>
      <c r="B23" s="25" t="s">
        <v>102</v>
      </c>
      <c r="C23" s="125">
        <f>260700000+1000000</f>
        <v>261700000</v>
      </c>
      <c r="D23" s="26">
        <v>126500</v>
      </c>
      <c r="E23" s="26">
        <v>4826316</v>
      </c>
      <c r="F23" s="26">
        <v>209425406</v>
      </c>
      <c r="G23" s="26">
        <v>818207.35</v>
      </c>
      <c r="H23" s="26">
        <v>369737.04</v>
      </c>
      <c r="I23" s="26">
        <v>380922.6</v>
      </c>
      <c r="J23" s="26"/>
      <c r="K23" s="81"/>
      <c r="L23" s="152"/>
      <c r="M23" s="26"/>
      <c r="N23" s="26">
        <v>0</v>
      </c>
      <c r="O23" s="26"/>
      <c r="P23" s="146">
        <f t="shared" si="6"/>
        <v>215947088.98999998</v>
      </c>
      <c r="Q23" s="26">
        <v>126500</v>
      </c>
      <c r="R23" s="26">
        <v>876316</v>
      </c>
      <c r="S23" s="26">
        <v>1835506</v>
      </c>
      <c r="T23" s="26">
        <v>938007.35</v>
      </c>
      <c r="U23" s="26">
        <v>28546129.04</v>
      </c>
      <c r="V23" s="26">
        <v>13251870.6</v>
      </c>
      <c r="W23" s="26"/>
      <c r="X23" s="26"/>
      <c r="Y23" s="152"/>
      <c r="Z23" s="26"/>
      <c r="AA23" s="26"/>
      <c r="AB23" s="26"/>
      <c r="AC23" s="26">
        <f t="shared" si="7"/>
        <v>45574328.99</v>
      </c>
      <c r="AD23" s="26">
        <v>126500</v>
      </c>
      <c r="AE23" s="26">
        <v>876316</v>
      </c>
      <c r="AF23" s="26">
        <v>1835506</v>
      </c>
      <c r="AG23" s="26">
        <v>938007.35</v>
      </c>
      <c r="AH23" s="26">
        <v>28546129.04</v>
      </c>
      <c r="AI23" s="26">
        <v>13251870.6</v>
      </c>
      <c r="AJ23" s="26"/>
      <c r="AK23" s="26"/>
      <c r="AL23" s="26"/>
      <c r="AM23" s="26"/>
      <c r="AN23" s="26"/>
      <c r="AO23" s="26"/>
      <c r="AP23" s="26">
        <f t="shared" si="8"/>
        <v>45574328.99</v>
      </c>
      <c r="AQ23" s="24"/>
      <c r="AR23" s="24"/>
      <c r="AS23" s="24"/>
      <c r="AT23" s="24"/>
      <c r="AU23" s="24"/>
      <c r="AV23" s="24"/>
      <c r="AW23" s="24"/>
      <c r="AX23" s="24"/>
    </row>
    <row r="24" spans="1:50" s="12" customFormat="1" ht="15">
      <c r="A24" s="44" t="s">
        <v>155</v>
      </c>
      <c r="B24" s="25" t="s">
        <v>103</v>
      </c>
      <c r="C24" s="125">
        <f>18900000+2000000</f>
        <v>20900000</v>
      </c>
      <c r="D24" s="26">
        <v>111600</v>
      </c>
      <c r="E24" s="26">
        <v>1689447.4</v>
      </c>
      <c r="F24" s="26">
        <v>1017000</v>
      </c>
      <c r="G24" s="26">
        <v>342740</v>
      </c>
      <c r="H24" s="26">
        <v>453450.84</v>
      </c>
      <c r="I24" s="26">
        <v>1883283.09</v>
      </c>
      <c r="J24" s="26"/>
      <c r="K24" s="81"/>
      <c r="L24" s="152"/>
      <c r="M24" s="26"/>
      <c r="N24" s="26"/>
      <c r="O24" s="26"/>
      <c r="P24" s="146">
        <f t="shared" si="6"/>
        <v>5497521.33</v>
      </c>
      <c r="Q24" s="26">
        <v>111600</v>
      </c>
      <c r="R24" s="26">
        <v>38946.4</v>
      </c>
      <c r="S24" s="26">
        <v>300000</v>
      </c>
      <c r="T24" s="26">
        <v>777240</v>
      </c>
      <c r="U24" s="26">
        <v>735950.84</v>
      </c>
      <c r="V24" s="26">
        <v>548043.09</v>
      </c>
      <c r="W24" s="26"/>
      <c r="X24" s="26"/>
      <c r="Y24" s="152"/>
      <c r="Z24" s="26"/>
      <c r="AA24" s="26"/>
      <c r="AB24" s="26"/>
      <c r="AC24" s="26">
        <f t="shared" si="7"/>
        <v>2511780.3299999996</v>
      </c>
      <c r="AD24" s="26">
        <v>111600</v>
      </c>
      <c r="AE24" s="26">
        <v>38946.4</v>
      </c>
      <c r="AF24" s="26">
        <v>300000</v>
      </c>
      <c r="AG24" s="26">
        <v>777240</v>
      </c>
      <c r="AH24" s="26">
        <v>735950.84</v>
      </c>
      <c r="AI24" s="26">
        <v>548043.09</v>
      </c>
      <c r="AJ24" s="26"/>
      <c r="AK24" s="26"/>
      <c r="AL24" s="26"/>
      <c r="AM24" s="26"/>
      <c r="AN24" s="26"/>
      <c r="AO24" s="26"/>
      <c r="AP24" s="26">
        <f t="shared" si="8"/>
        <v>2511780.3299999996</v>
      </c>
      <c r="AQ24" s="24"/>
      <c r="AR24" s="24"/>
      <c r="AS24" s="24"/>
      <c r="AT24" s="24"/>
      <c r="AU24" s="24"/>
      <c r="AV24" s="24"/>
      <c r="AW24" s="24"/>
      <c r="AX24" s="24"/>
    </row>
    <row r="25" spans="1:50" s="12" customFormat="1" ht="15">
      <c r="A25" s="44" t="s">
        <v>156</v>
      </c>
      <c r="B25" s="25" t="s">
        <v>100</v>
      </c>
      <c r="C25" s="125">
        <v>749401127</v>
      </c>
      <c r="D25" s="26">
        <v>30433986.2</v>
      </c>
      <c r="E25" s="26">
        <v>41821453</v>
      </c>
      <c r="F25" s="26">
        <v>43675265.06</v>
      </c>
      <c r="G25" s="26">
        <v>29611491.83</v>
      </c>
      <c r="H25" s="26">
        <v>39392129.38</v>
      </c>
      <c r="I25" s="26">
        <v>24341466.59</v>
      </c>
      <c r="J25" s="26"/>
      <c r="K25" s="81"/>
      <c r="L25" s="152"/>
      <c r="M25" s="26"/>
      <c r="N25" s="26"/>
      <c r="O25" s="26"/>
      <c r="P25" s="146">
        <f t="shared" si="6"/>
        <v>209275792.06</v>
      </c>
      <c r="Q25" s="26">
        <v>29753605.2</v>
      </c>
      <c r="R25" s="26">
        <v>42239834</v>
      </c>
      <c r="S25" s="26">
        <v>43445488.06</v>
      </c>
      <c r="T25" s="26">
        <v>29825192.83</v>
      </c>
      <c r="U25" s="26">
        <v>30945048.88</v>
      </c>
      <c r="V25" s="26">
        <v>32856189.55</v>
      </c>
      <c r="W25" s="26"/>
      <c r="X25" s="26"/>
      <c r="Y25" s="152"/>
      <c r="Z25" s="26"/>
      <c r="AA25" s="26"/>
      <c r="AB25" s="26"/>
      <c r="AC25" s="26">
        <f t="shared" si="7"/>
        <v>209065358.52</v>
      </c>
      <c r="AD25" s="26">
        <v>29753605.2</v>
      </c>
      <c r="AE25" s="26">
        <v>42239834</v>
      </c>
      <c r="AF25" s="26">
        <v>43375488.06</v>
      </c>
      <c r="AG25" s="26">
        <v>29895192.83</v>
      </c>
      <c r="AH25" s="26">
        <v>30945048.88</v>
      </c>
      <c r="AI25" s="26">
        <v>32763649.55</v>
      </c>
      <c r="AJ25" s="26"/>
      <c r="AK25" s="26"/>
      <c r="AL25" s="26"/>
      <c r="AM25" s="26"/>
      <c r="AN25" s="26"/>
      <c r="AO25" s="26"/>
      <c r="AP25" s="26">
        <f t="shared" si="8"/>
        <v>208972818.52</v>
      </c>
      <c r="AQ25" s="24"/>
      <c r="AR25" s="24"/>
      <c r="AS25" s="24"/>
      <c r="AT25" s="24"/>
      <c r="AU25" s="24"/>
      <c r="AV25" s="24"/>
      <c r="AW25" s="24"/>
      <c r="AX25" s="24"/>
    </row>
    <row r="26" spans="1:50" s="12" customFormat="1" ht="15">
      <c r="A26" s="44" t="s">
        <v>157</v>
      </c>
      <c r="B26" s="25" t="s">
        <v>101</v>
      </c>
      <c r="C26" s="125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/>
      <c r="K26" s="81"/>
      <c r="L26" s="152"/>
      <c r="M26" s="26">
        <v>0</v>
      </c>
      <c r="N26" s="26">
        <v>0</v>
      </c>
      <c r="O26" s="26">
        <v>0</v>
      </c>
      <c r="P26" s="146">
        <f t="shared" si="6"/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/>
      <c r="X26" s="26"/>
      <c r="Y26" s="152"/>
      <c r="Z26" s="26">
        <v>0</v>
      </c>
      <c r="AA26" s="26">
        <v>0</v>
      </c>
      <c r="AB26" s="26">
        <v>0</v>
      </c>
      <c r="AC26" s="26">
        <f t="shared" si="7"/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/>
      <c r="AK26" s="26"/>
      <c r="AL26" s="26"/>
      <c r="AM26" s="26">
        <v>0</v>
      </c>
      <c r="AN26" s="26">
        <v>0</v>
      </c>
      <c r="AO26" s="26">
        <v>0</v>
      </c>
      <c r="AP26" s="26">
        <f t="shared" si="8"/>
        <v>0</v>
      </c>
      <c r="AQ26" s="24"/>
      <c r="AR26" s="24"/>
      <c r="AS26" s="24"/>
      <c r="AT26" s="24"/>
      <c r="AU26" s="24"/>
      <c r="AV26" s="24"/>
      <c r="AW26" s="24"/>
      <c r="AX26" s="24"/>
    </row>
    <row r="27" spans="1:50" s="12" customFormat="1" ht="15">
      <c r="A27" s="44" t="s">
        <v>158</v>
      </c>
      <c r="B27" s="25" t="s">
        <v>97</v>
      </c>
      <c r="C27" s="117">
        <f>20500000+81710632+19432000</f>
        <v>121642632</v>
      </c>
      <c r="D27" s="26">
        <v>0</v>
      </c>
      <c r="E27" s="26">
        <v>54374228</v>
      </c>
      <c r="F27" s="26">
        <v>7250000</v>
      </c>
      <c r="G27" s="26">
        <v>9604549.94</v>
      </c>
      <c r="H27" s="26">
        <v>17224.79</v>
      </c>
      <c r="I27" s="26">
        <v>17962.73</v>
      </c>
      <c r="J27" s="26">
        <v>0</v>
      </c>
      <c r="K27" s="81"/>
      <c r="L27" s="152">
        <v>0</v>
      </c>
      <c r="M27" s="26">
        <v>0</v>
      </c>
      <c r="N27" s="26">
        <v>0</v>
      </c>
      <c r="O27" s="26">
        <v>0</v>
      </c>
      <c r="P27" s="146">
        <f t="shared" si="6"/>
        <v>71263965.46000001</v>
      </c>
      <c r="Q27" s="26">
        <v>0</v>
      </c>
      <c r="R27" s="26">
        <v>0</v>
      </c>
      <c r="S27" s="26">
        <v>8263496</v>
      </c>
      <c r="T27" s="26">
        <v>4729780.94</v>
      </c>
      <c r="U27" s="26">
        <v>5134029.79</v>
      </c>
      <c r="V27" s="26">
        <v>4812950.73</v>
      </c>
      <c r="W27" s="26"/>
      <c r="X27" s="26"/>
      <c r="Y27" s="152">
        <v>0</v>
      </c>
      <c r="Z27" s="26">
        <v>0</v>
      </c>
      <c r="AA27" s="26">
        <v>0</v>
      </c>
      <c r="AB27" s="26">
        <v>0</v>
      </c>
      <c r="AC27" s="26">
        <f t="shared" si="7"/>
        <v>22940257.46</v>
      </c>
      <c r="AD27" s="26">
        <v>0</v>
      </c>
      <c r="AE27" s="26">
        <v>0</v>
      </c>
      <c r="AF27" s="26">
        <v>8263496</v>
      </c>
      <c r="AG27" s="26">
        <v>4729780.94</v>
      </c>
      <c r="AH27" s="26">
        <v>5134029.79</v>
      </c>
      <c r="AI27" s="26">
        <v>4812950.73</v>
      </c>
      <c r="AJ27" s="26"/>
      <c r="AK27" s="26"/>
      <c r="AL27" s="26">
        <v>0</v>
      </c>
      <c r="AM27" s="26">
        <v>0</v>
      </c>
      <c r="AN27" s="26">
        <v>0</v>
      </c>
      <c r="AO27" s="26">
        <v>0</v>
      </c>
      <c r="AP27" s="26">
        <f t="shared" si="8"/>
        <v>22940257.46</v>
      </c>
      <c r="AQ27" s="24"/>
      <c r="AR27" s="24"/>
      <c r="AS27" s="24"/>
      <c r="AT27" s="24"/>
      <c r="AU27" s="24"/>
      <c r="AV27" s="24"/>
      <c r="AW27" s="24"/>
      <c r="AX27" s="24"/>
    </row>
    <row r="28" spans="1:50" s="12" customFormat="1" ht="15">
      <c r="A28" s="44" t="s">
        <v>121</v>
      </c>
      <c r="B28" s="25" t="s">
        <v>110</v>
      </c>
      <c r="C28" s="117">
        <v>88000000</v>
      </c>
      <c r="D28" s="26">
        <v>930493</v>
      </c>
      <c r="E28" s="26">
        <v>167365</v>
      </c>
      <c r="F28" s="26">
        <v>891428</v>
      </c>
      <c r="G28" s="26">
        <v>2259409</v>
      </c>
      <c r="H28" s="26">
        <v>3844332</v>
      </c>
      <c r="I28" s="26">
        <v>5599812</v>
      </c>
      <c r="J28" s="26">
        <v>0</v>
      </c>
      <c r="K28" s="81"/>
      <c r="L28" s="152">
        <v>0</v>
      </c>
      <c r="M28" s="26"/>
      <c r="N28" s="26"/>
      <c r="O28" s="26"/>
      <c r="P28" s="146">
        <f t="shared" si="6"/>
        <v>13692839</v>
      </c>
      <c r="Q28" s="26">
        <v>930493</v>
      </c>
      <c r="R28" s="26">
        <v>167365</v>
      </c>
      <c r="S28" s="26">
        <v>891428</v>
      </c>
      <c r="T28" s="26">
        <v>2244409</v>
      </c>
      <c r="U28" s="26">
        <v>2222014</v>
      </c>
      <c r="V28" s="26">
        <v>3522870</v>
      </c>
      <c r="W28" s="26"/>
      <c r="X28" s="26"/>
      <c r="Y28" s="152"/>
      <c r="Z28" s="26"/>
      <c r="AA28" s="26"/>
      <c r="AB28" s="26"/>
      <c r="AC28" s="26">
        <f t="shared" si="7"/>
        <v>9978579</v>
      </c>
      <c r="AD28" s="26"/>
      <c r="AE28" s="26">
        <v>1097858</v>
      </c>
      <c r="AF28" s="26">
        <v>891428</v>
      </c>
      <c r="AG28" s="26">
        <v>2244409</v>
      </c>
      <c r="AH28" s="26">
        <v>2222014</v>
      </c>
      <c r="AI28" s="26">
        <v>1637450</v>
      </c>
      <c r="AJ28" s="26"/>
      <c r="AK28" s="26"/>
      <c r="AL28" s="26"/>
      <c r="AM28" s="26"/>
      <c r="AN28" s="26"/>
      <c r="AO28" s="26"/>
      <c r="AP28" s="26">
        <f t="shared" si="8"/>
        <v>8093159</v>
      </c>
      <c r="AQ28" s="24"/>
      <c r="AR28" s="24"/>
      <c r="AS28" s="24"/>
      <c r="AT28" s="24"/>
      <c r="AU28" s="24"/>
      <c r="AV28" s="24"/>
      <c r="AW28" s="24"/>
      <c r="AX28" s="24"/>
    </row>
    <row r="29" spans="1:50" s="12" customFormat="1" ht="15">
      <c r="A29" s="44" t="s">
        <v>159</v>
      </c>
      <c r="B29" s="25" t="s">
        <v>123</v>
      </c>
      <c r="C29" s="117">
        <v>3253800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/>
      <c r="K29" s="81"/>
      <c r="L29" s="152"/>
      <c r="M29" s="26"/>
      <c r="N29" s="26"/>
      <c r="O29" s="26"/>
      <c r="P29" s="146">
        <f>SUM(D29:O29)</f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/>
      <c r="X29" s="26"/>
      <c r="Y29" s="152"/>
      <c r="Z29" s="26"/>
      <c r="AA29" s="26"/>
      <c r="AB29" s="26"/>
      <c r="AC29" s="26">
        <f>SUM(Q29:AB29)</f>
        <v>0</v>
      </c>
      <c r="AD29" s="26">
        <v>0</v>
      </c>
      <c r="AE29" s="26">
        <v>0</v>
      </c>
      <c r="AF29" s="26">
        <v>0</v>
      </c>
      <c r="AG29" s="26"/>
      <c r="AH29" s="26">
        <v>0</v>
      </c>
      <c r="AI29" s="26">
        <v>0</v>
      </c>
      <c r="AJ29" s="26"/>
      <c r="AK29" s="26"/>
      <c r="AL29" s="26"/>
      <c r="AM29" s="26"/>
      <c r="AN29" s="26"/>
      <c r="AO29" s="26"/>
      <c r="AP29" s="26">
        <f>SUM(AD29:AO29)</f>
        <v>0</v>
      </c>
      <c r="AQ29" s="24"/>
      <c r="AR29" s="24"/>
      <c r="AS29" s="24"/>
      <c r="AT29" s="24"/>
      <c r="AU29" s="24"/>
      <c r="AV29" s="24"/>
      <c r="AW29" s="24"/>
      <c r="AX29" s="24"/>
    </row>
    <row r="30" spans="1:50" s="12" customFormat="1" ht="15.75">
      <c r="A30" s="44" t="s">
        <v>96</v>
      </c>
      <c r="B30" s="118" t="s">
        <v>95</v>
      </c>
      <c r="C30" s="165">
        <f aca="true" t="shared" si="9" ref="C30:H30">+C31</f>
        <v>216733815</v>
      </c>
      <c r="D30" s="26">
        <f t="shared" si="9"/>
        <v>0</v>
      </c>
      <c r="E30" s="26">
        <f t="shared" si="9"/>
        <v>29542750</v>
      </c>
      <c r="F30" s="26">
        <f t="shared" si="9"/>
        <v>37386330</v>
      </c>
      <c r="G30" s="26">
        <f t="shared" si="9"/>
        <v>32302590</v>
      </c>
      <c r="H30" s="26">
        <f t="shared" si="9"/>
        <v>33725250</v>
      </c>
      <c r="I30" s="26">
        <f>+I31</f>
        <v>34444870</v>
      </c>
      <c r="J30" s="26"/>
      <c r="K30" s="81"/>
      <c r="L30" s="152"/>
      <c r="M30" s="26"/>
      <c r="N30" s="26"/>
      <c r="O30" s="26"/>
      <c r="P30" s="146">
        <f t="shared" si="6"/>
        <v>167401790</v>
      </c>
      <c r="Q30" s="26">
        <v>0</v>
      </c>
      <c r="R30" s="26">
        <f>+R31</f>
        <v>29542750</v>
      </c>
      <c r="S30" s="26">
        <f>+S31</f>
        <v>36993120</v>
      </c>
      <c r="T30" s="26">
        <f>+T31</f>
        <v>32695800</v>
      </c>
      <c r="U30" s="26">
        <f>+U31</f>
        <v>33725250</v>
      </c>
      <c r="V30" s="26">
        <f>+V31</f>
        <v>34444870</v>
      </c>
      <c r="W30" s="26"/>
      <c r="X30" s="26"/>
      <c r="Y30" s="152"/>
      <c r="Z30" s="26"/>
      <c r="AA30" s="26"/>
      <c r="AB30" s="26"/>
      <c r="AC30" s="26">
        <f>SUM(Q30:AB30)</f>
        <v>167401790</v>
      </c>
      <c r="AD30" s="26">
        <v>0</v>
      </c>
      <c r="AE30" s="26">
        <f>+AE31</f>
        <v>29542750</v>
      </c>
      <c r="AF30" s="26">
        <f>+AF31</f>
        <v>36993120</v>
      </c>
      <c r="AG30" s="26">
        <f>+AG31</f>
        <v>32695800</v>
      </c>
      <c r="AH30" s="26">
        <f>+AH31</f>
        <v>33725250</v>
      </c>
      <c r="AI30" s="26">
        <f>+AI31</f>
        <v>34444870</v>
      </c>
      <c r="AJ30" s="26"/>
      <c r="AK30" s="26"/>
      <c r="AL30" s="26"/>
      <c r="AM30" s="26"/>
      <c r="AN30" s="26"/>
      <c r="AO30" s="26"/>
      <c r="AP30" s="26">
        <f>SUM(AD30:AO30)</f>
        <v>167401790</v>
      </c>
      <c r="AQ30" s="24"/>
      <c r="AR30" s="24"/>
      <c r="AS30" s="24"/>
      <c r="AT30" s="24"/>
      <c r="AU30" s="24"/>
      <c r="AV30" s="24"/>
      <c r="AW30" s="24"/>
      <c r="AX30" s="24"/>
    </row>
    <row r="31" spans="1:50" s="12" customFormat="1" ht="15">
      <c r="A31" s="44" t="s">
        <v>104</v>
      </c>
      <c r="B31" s="25" t="s">
        <v>100</v>
      </c>
      <c r="C31" s="117">
        <f>233064879-16331064</f>
        <v>216733815</v>
      </c>
      <c r="D31" s="26">
        <v>0</v>
      </c>
      <c r="E31" s="26">
        <v>29542750</v>
      </c>
      <c r="F31" s="26">
        <v>37386330</v>
      </c>
      <c r="G31" s="26">
        <v>32302590</v>
      </c>
      <c r="H31" s="26">
        <v>33725250</v>
      </c>
      <c r="I31" s="26">
        <v>34444870</v>
      </c>
      <c r="J31" s="26"/>
      <c r="K31" s="81"/>
      <c r="L31" s="152"/>
      <c r="M31" s="26"/>
      <c r="N31" s="26"/>
      <c r="O31" s="26"/>
      <c r="P31" s="146">
        <f>SUM(D31:O31)</f>
        <v>167401790</v>
      </c>
      <c r="Q31" s="26"/>
      <c r="R31" s="26">
        <v>29542750</v>
      </c>
      <c r="S31" s="26">
        <v>36993120</v>
      </c>
      <c r="T31" s="26">
        <v>32695800</v>
      </c>
      <c r="U31" s="26">
        <v>33725250</v>
      </c>
      <c r="V31" s="26">
        <v>34444870</v>
      </c>
      <c r="W31" s="26"/>
      <c r="X31" s="26"/>
      <c r="Y31" s="152"/>
      <c r="Z31" s="26"/>
      <c r="AA31" s="26"/>
      <c r="AB31" s="26"/>
      <c r="AC31" s="26">
        <f>SUM(Q31:AB31)</f>
        <v>167401790</v>
      </c>
      <c r="AD31" s="26"/>
      <c r="AE31" s="26">
        <v>29542750</v>
      </c>
      <c r="AF31" s="26">
        <v>36993120</v>
      </c>
      <c r="AG31" s="26">
        <v>32695800</v>
      </c>
      <c r="AH31" s="26">
        <v>33725250</v>
      </c>
      <c r="AI31" s="26">
        <v>34444870</v>
      </c>
      <c r="AJ31" s="26"/>
      <c r="AK31" s="26"/>
      <c r="AL31" s="26"/>
      <c r="AM31" s="26"/>
      <c r="AN31" s="26"/>
      <c r="AO31" s="26"/>
      <c r="AP31" s="26">
        <f t="shared" si="8"/>
        <v>167401790</v>
      </c>
      <c r="AQ31" s="24"/>
      <c r="AR31" s="24"/>
      <c r="AS31" s="24"/>
      <c r="AT31" s="24"/>
      <c r="AU31" s="24"/>
      <c r="AV31" s="24"/>
      <c r="AW31" s="24"/>
      <c r="AX31" s="24"/>
    </row>
    <row r="32" spans="1:50" s="12" customFormat="1" ht="15.75">
      <c r="A32" s="44" t="s">
        <v>126</v>
      </c>
      <c r="B32" s="119" t="s">
        <v>58</v>
      </c>
      <c r="C32" s="120">
        <f>C33</f>
        <v>136241620</v>
      </c>
      <c r="D32" s="120">
        <f aca="true" t="shared" si="10" ref="D32:AP32">D33</f>
        <v>1318970</v>
      </c>
      <c r="E32" s="120">
        <f t="shared" si="10"/>
        <v>19303829.83</v>
      </c>
      <c r="F32" s="120">
        <f t="shared" si="10"/>
        <v>15639965</v>
      </c>
      <c r="G32" s="120">
        <f t="shared" si="10"/>
        <v>63847147.37</v>
      </c>
      <c r="H32" s="120">
        <f t="shared" si="10"/>
        <v>18657511.05</v>
      </c>
      <c r="I32" s="120">
        <f>I33</f>
        <v>50210.89</v>
      </c>
      <c r="J32" s="120">
        <f t="shared" si="10"/>
        <v>0</v>
      </c>
      <c r="K32" s="120">
        <f t="shared" si="10"/>
        <v>0</v>
      </c>
      <c r="L32" s="149">
        <f t="shared" si="10"/>
        <v>0</v>
      </c>
      <c r="M32" s="120">
        <f t="shared" si="10"/>
        <v>0</v>
      </c>
      <c r="N32" s="120">
        <f t="shared" si="10"/>
        <v>0</v>
      </c>
      <c r="O32" s="124">
        <f t="shared" si="10"/>
        <v>0</v>
      </c>
      <c r="P32" s="149">
        <f t="shared" si="10"/>
        <v>118817634.13999999</v>
      </c>
      <c r="Q32" s="120">
        <f t="shared" si="10"/>
        <v>1318970</v>
      </c>
      <c r="R32" s="120">
        <f t="shared" si="10"/>
        <v>19302473.83</v>
      </c>
      <c r="S32" s="120">
        <f t="shared" si="10"/>
        <v>15639965</v>
      </c>
      <c r="T32" s="120">
        <f t="shared" si="10"/>
        <v>63847147.37</v>
      </c>
      <c r="U32" s="120">
        <f t="shared" si="10"/>
        <v>18657511.05</v>
      </c>
      <c r="V32" s="120">
        <f t="shared" si="10"/>
        <v>50210.89</v>
      </c>
      <c r="W32" s="120">
        <f t="shared" si="10"/>
        <v>0</v>
      </c>
      <c r="X32" s="120">
        <f t="shared" si="10"/>
        <v>0</v>
      </c>
      <c r="Y32" s="149">
        <f t="shared" si="10"/>
        <v>0</v>
      </c>
      <c r="Z32" s="120">
        <f t="shared" si="10"/>
        <v>0</v>
      </c>
      <c r="AA32" s="120">
        <f t="shared" si="10"/>
        <v>0</v>
      </c>
      <c r="AB32" s="120">
        <f t="shared" si="10"/>
        <v>0</v>
      </c>
      <c r="AC32" s="120">
        <f t="shared" si="10"/>
        <v>118816278.13999999</v>
      </c>
      <c r="AD32" s="120">
        <f t="shared" si="10"/>
        <v>1318970</v>
      </c>
      <c r="AE32" s="120">
        <f t="shared" si="10"/>
        <v>18367697.2</v>
      </c>
      <c r="AF32" s="120">
        <f t="shared" si="10"/>
        <v>16574741.63</v>
      </c>
      <c r="AG32" s="120">
        <f t="shared" si="10"/>
        <v>63847147.37</v>
      </c>
      <c r="AH32" s="120">
        <f t="shared" si="10"/>
        <v>18657511.05</v>
      </c>
      <c r="AI32" s="120">
        <f t="shared" si="10"/>
        <v>50210.89</v>
      </c>
      <c r="AJ32" s="120">
        <f t="shared" si="10"/>
        <v>0</v>
      </c>
      <c r="AK32" s="120">
        <f t="shared" si="10"/>
        <v>0</v>
      </c>
      <c r="AL32" s="120">
        <f t="shared" si="10"/>
        <v>0</v>
      </c>
      <c r="AM32" s="120">
        <f t="shared" si="10"/>
        <v>0</v>
      </c>
      <c r="AN32" s="120">
        <f t="shared" si="10"/>
        <v>0</v>
      </c>
      <c r="AO32" s="120">
        <f t="shared" si="10"/>
        <v>0</v>
      </c>
      <c r="AP32" s="121">
        <f t="shared" si="10"/>
        <v>118816278.13999999</v>
      </c>
      <c r="AQ32" s="24"/>
      <c r="AR32" s="24"/>
      <c r="AS32" s="24"/>
      <c r="AT32" s="24"/>
      <c r="AU32" s="24"/>
      <c r="AV32" s="24"/>
      <c r="AW32" s="24"/>
      <c r="AX32" s="24"/>
    </row>
    <row r="33" spans="1:50" s="12" customFormat="1" ht="15.75" thickBot="1">
      <c r="A33" s="44" t="s">
        <v>127</v>
      </c>
      <c r="B33" s="115" t="s">
        <v>105</v>
      </c>
      <c r="C33" s="21">
        <f>119910556+16331064</f>
        <v>136241620</v>
      </c>
      <c r="D33" s="21">
        <v>1318970</v>
      </c>
      <c r="E33" s="47">
        <v>19303829.83</v>
      </c>
      <c r="F33" s="47">
        <v>15639965</v>
      </c>
      <c r="G33" s="116">
        <v>63847147.37</v>
      </c>
      <c r="H33" s="47">
        <v>18657511.05</v>
      </c>
      <c r="I33" s="117">
        <v>50210.89</v>
      </c>
      <c r="J33" s="47"/>
      <c r="K33" s="47"/>
      <c r="L33" s="151"/>
      <c r="M33" s="47"/>
      <c r="N33" s="47"/>
      <c r="O33" s="47"/>
      <c r="P33" s="146">
        <f>SUM(D33:O33)</f>
        <v>118817634.13999999</v>
      </c>
      <c r="Q33" s="21">
        <v>1318970</v>
      </c>
      <c r="R33" s="47">
        <v>19302473.83</v>
      </c>
      <c r="S33" s="47">
        <v>15639965</v>
      </c>
      <c r="T33" s="86">
        <v>63847147.37</v>
      </c>
      <c r="U33" s="47">
        <v>18657511.05</v>
      </c>
      <c r="V33" s="117">
        <v>50210.89</v>
      </c>
      <c r="W33" s="47"/>
      <c r="X33" s="47"/>
      <c r="Y33" s="151"/>
      <c r="Z33" s="47"/>
      <c r="AA33" s="47"/>
      <c r="AB33" s="47"/>
      <c r="AC33" s="48">
        <f t="shared" si="7"/>
        <v>118816278.13999999</v>
      </c>
      <c r="AD33" s="21">
        <v>1318970</v>
      </c>
      <c r="AE33" s="47">
        <v>18367697.2</v>
      </c>
      <c r="AF33" s="47">
        <v>16574741.63</v>
      </c>
      <c r="AG33" s="86">
        <v>63847147.37</v>
      </c>
      <c r="AH33" s="47">
        <v>18657511.05</v>
      </c>
      <c r="AI33" s="117">
        <v>50210.89</v>
      </c>
      <c r="AJ33" s="47"/>
      <c r="AK33" s="47"/>
      <c r="AL33" s="26"/>
      <c r="AM33" s="47"/>
      <c r="AN33" s="47"/>
      <c r="AO33" s="47"/>
      <c r="AP33" s="74">
        <f t="shared" si="8"/>
        <v>118816278.13999999</v>
      </c>
      <c r="AQ33" s="24"/>
      <c r="AR33" s="24"/>
      <c r="AS33" s="24"/>
      <c r="AT33" s="24"/>
      <c r="AU33" s="24"/>
      <c r="AV33" s="24"/>
      <c r="AW33" s="24"/>
      <c r="AX33" s="24"/>
    </row>
    <row r="34" spans="1:50" s="45" customFormat="1" ht="16.5" thickBot="1">
      <c r="A34" s="36"/>
      <c r="B34" s="71" t="s">
        <v>84</v>
      </c>
      <c r="C34" s="33">
        <f>SUM(C35:C37)</f>
        <v>88153984</v>
      </c>
      <c r="D34" s="33">
        <f aca="true" t="shared" si="11" ref="D34:M34">SUM(D35:D37)</f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145">
        <f t="shared" si="11"/>
        <v>0</v>
      </c>
      <c r="M34" s="33">
        <f t="shared" si="11"/>
        <v>0</v>
      </c>
      <c r="N34" s="33">
        <f aca="true" t="shared" si="12" ref="N34:AP34">SUM(N35:N37)</f>
        <v>0</v>
      </c>
      <c r="O34" s="33">
        <f t="shared" si="12"/>
        <v>0</v>
      </c>
      <c r="P34" s="145">
        <f t="shared" si="12"/>
        <v>0</v>
      </c>
      <c r="Q34" s="33">
        <f t="shared" si="12"/>
        <v>0</v>
      </c>
      <c r="R34" s="33">
        <f t="shared" si="12"/>
        <v>0</v>
      </c>
      <c r="S34" s="33">
        <f t="shared" si="12"/>
        <v>0</v>
      </c>
      <c r="T34" s="33">
        <f t="shared" si="12"/>
        <v>0</v>
      </c>
      <c r="U34" s="33">
        <f t="shared" si="12"/>
        <v>0</v>
      </c>
      <c r="V34" s="33">
        <f t="shared" si="12"/>
        <v>0</v>
      </c>
      <c r="W34" s="33">
        <f t="shared" si="12"/>
        <v>0</v>
      </c>
      <c r="X34" s="33">
        <f t="shared" si="12"/>
        <v>0</v>
      </c>
      <c r="Y34" s="145">
        <f t="shared" si="12"/>
        <v>0</v>
      </c>
      <c r="Z34" s="33">
        <f t="shared" si="12"/>
        <v>0</v>
      </c>
      <c r="AA34" s="33">
        <f t="shared" si="12"/>
        <v>0</v>
      </c>
      <c r="AB34" s="33">
        <f t="shared" si="12"/>
        <v>0</v>
      </c>
      <c r="AC34" s="33">
        <f t="shared" si="12"/>
        <v>0</v>
      </c>
      <c r="AD34" s="33">
        <f t="shared" si="12"/>
        <v>0</v>
      </c>
      <c r="AE34" s="33">
        <f t="shared" si="12"/>
        <v>0</v>
      </c>
      <c r="AF34" s="33">
        <f t="shared" si="12"/>
        <v>0</v>
      </c>
      <c r="AG34" s="33">
        <f t="shared" si="12"/>
        <v>0</v>
      </c>
      <c r="AH34" s="33">
        <f t="shared" si="12"/>
        <v>0</v>
      </c>
      <c r="AI34" s="33">
        <f t="shared" si="12"/>
        <v>0</v>
      </c>
      <c r="AJ34" s="33">
        <f t="shared" si="12"/>
        <v>0</v>
      </c>
      <c r="AK34" s="33">
        <f t="shared" si="12"/>
        <v>0</v>
      </c>
      <c r="AL34" s="33">
        <f t="shared" si="12"/>
        <v>0</v>
      </c>
      <c r="AM34" s="33">
        <f t="shared" si="12"/>
        <v>0</v>
      </c>
      <c r="AN34" s="33">
        <f t="shared" si="12"/>
        <v>0</v>
      </c>
      <c r="AO34" s="33">
        <f t="shared" si="12"/>
        <v>0</v>
      </c>
      <c r="AP34" s="33">
        <f t="shared" si="12"/>
        <v>0</v>
      </c>
      <c r="AQ34" s="24"/>
      <c r="AR34" s="24"/>
      <c r="AS34" s="24"/>
      <c r="AT34" s="24"/>
      <c r="AU34" s="24"/>
      <c r="AV34" s="24"/>
      <c r="AW34" s="24"/>
      <c r="AX34" s="24"/>
    </row>
    <row r="35" spans="1:50" s="12" customFormat="1" ht="15">
      <c r="A35" s="79" t="s">
        <v>128</v>
      </c>
      <c r="B35" s="20" t="s">
        <v>83</v>
      </c>
      <c r="C35" s="21">
        <v>20997984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/>
      <c r="K35" s="21">
        <v>0</v>
      </c>
      <c r="L35" s="154">
        <v>0</v>
      </c>
      <c r="M35" s="21"/>
      <c r="N35" s="21"/>
      <c r="O35" s="21">
        <v>0</v>
      </c>
      <c r="P35" s="150">
        <f>SUM(D35:O35)</f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/>
      <c r="X35" s="47">
        <v>0</v>
      </c>
      <c r="Y35" s="154">
        <v>0</v>
      </c>
      <c r="Z35" s="21"/>
      <c r="AA35" s="21"/>
      <c r="AB35" s="21">
        <v>0</v>
      </c>
      <c r="AC35" s="22">
        <f>SUM(Q35:AB35)</f>
        <v>0</v>
      </c>
      <c r="AD35" s="21"/>
      <c r="AE35" s="21">
        <v>0</v>
      </c>
      <c r="AF35" s="21"/>
      <c r="AG35" s="21"/>
      <c r="AH35" s="26">
        <v>0</v>
      </c>
      <c r="AI35" s="21">
        <v>0</v>
      </c>
      <c r="AJ35" s="21"/>
      <c r="AK35" s="21">
        <v>0</v>
      </c>
      <c r="AL35" s="21">
        <v>0</v>
      </c>
      <c r="AM35" s="21"/>
      <c r="AN35" s="21"/>
      <c r="AO35" s="21">
        <v>0</v>
      </c>
      <c r="AP35" s="23">
        <f>SUM(AD35:AO35)</f>
        <v>0</v>
      </c>
      <c r="AQ35" s="24"/>
      <c r="AR35" s="24"/>
      <c r="AS35" s="24"/>
      <c r="AT35" s="24"/>
      <c r="AU35" s="24"/>
      <c r="AV35" s="24"/>
      <c r="AW35" s="24"/>
      <c r="AX35" s="24"/>
    </row>
    <row r="36" spans="1:50" s="12" customFormat="1" ht="15" hidden="1">
      <c r="A36" s="79" t="s">
        <v>93</v>
      </c>
      <c r="B36" s="20" t="s">
        <v>94</v>
      </c>
      <c r="C36" s="47"/>
      <c r="D36" s="47"/>
      <c r="E36" s="47"/>
      <c r="F36" s="47"/>
      <c r="G36" s="47"/>
      <c r="H36" s="47"/>
      <c r="I36" s="47"/>
      <c r="J36" s="47"/>
      <c r="K36" s="47"/>
      <c r="L36" s="151"/>
      <c r="M36" s="47"/>
      <c r="N36" s="47"/>
      <c r="O36" s="47"/>
      <c r="P36" s="150">
        <f>SUM(D36:O36)</f>
        <v>0</v>
      </c>
      <c r="Q36" s="47"/>
      <c r="R36" s="47"/>
      <c r="S36" s="47"/>
      <c r="T36" s="47"/>
      <c r="U36" s="47"/>
      <c r="V36" s="47"/>
      <c r="W36" s="47"/>
      <c r="X36" s="47">
        <v>0</v>
      </c>
      <c r="Y36" s="151"/>
      <c r="Z36" s="47"/>
      <c r="AA36" s="47"/>
      <c r="AB36" s="47"/>
      <c r="AC36" s="22">
        <f>SUM(Q36:AB36)</f>
        <v>0</v>
      </c>
      <c r="AD36" s="47"/>
      <c r="AE36" s="47"/>
      <c r="AF36" s="47"/>
      <c r="AG36" s="47"/>
      <c r="AH36" s="26">
        <v>0</v>
      </c>
      <c r="AI36" s="47"/>
      <c r="AJ36" s="47"/>
      <c r="AK36" s="47"/>
      <c r="AL36" s="47"/>
      <c r="AM36" s="47"/>
      <c r="AN36" s="47"/>
      <c r="AO36" s="47"/>
      <c r="AP36" s="23">
        <f>SUM(AD36:AO36)</f>
        <v>0</v>
      </c>
      <c r="AQ36" s="24"/>
      <c r="AR36" s="24"/>
      <c r="AS36" s="24"/>
      <c r="AT36" s="24"/>
      <c r="AU36" s="24"/>
      <c r="AV36" s="24"/>
      <c r="AW36" s="24"/>
      <c r="AX36" s="24"/>
    </row>
    <row r="37" spans="1:50" s="12" customFormat="1" ht="16.5" thickBot="1">
      <c r="A37" s="79" t="s">
        <v>129</v>
      </c>
      <c r="B37" s="115" t="s">
        <v>108</v>
      </c>
      <c r="C37" s="47">
        <v>67156000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151">
        <v>0</v>
      </c>
      <c r="M37" s="47"/>
      <c r="N37" s="47"/>
      <c r="O37" s="47"/>
      <c r="P37" s="146">
        <f>SUM(D37:O37)</f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120">
        <v>0</v>
      </c>
      <c r="Y37" s="151">
        <v>0</v>
      </c>
      <c r="Z37" s="47"/>
      <c r="AA37" s="47"/>
      <c r="AB37" s="47"/>
      <c r="AC37" s="22">
        <f>SUM(Q37:AB37)</f>
        <v>0</v>
      </c>
      <c r="AD37" s="47"/>
      <c r="AE37" s="47">
        <v>0</v>
      </c>
      <c r="AF37" s="47"/>
      <c r="AG37" s="47"/>
      <c r="AH37" s="26">
        <v>0</v>
      </c>
      <c r="AI37" s="47">
        <v>0</v>
      </c>
      <c r="AJ37" s="47"/>
      <c r="AK37" s="47">
        <v>0</v>
      </c>
      <c r="AL37" s="47">
        <v>0</v>
      </c>
      <c r="AM37" s="47"/>
      <c r="AN37" s="47"/>
      <c r="AO37" s="47"/>
      <c r="AP37" s="22">
        <f>SUM(AD37:AO37)</f>
        <v>0</v>
      </c>
      <c r="AQ37" s="24"/>
      <c r="AR37" s="24"/>
      <c r="AS37" s="24"/>
      <c r="AT37" s="24"/>
      <c r="AU37" s="24"/>
      <c r="AV37" s="24"/>
      <c r="AW37" s="24"/>
      <c r="AX37" s="24"/>
    </row>
    <row r="38" spans="1:50" s="29" customFormat="1" ht="16.5" thickBot="1">
      <c r="A38" s="80"/>
      <c r="B38" s="71" t="s">
        <v>61</v>
      </c>
      <c r="C38" s="33">
        <f aca="true" t="shared" si="13" ref="C38:AS38">SUM(C39:C40)</f>
        <v>13842873529</v>
      </c>
      <c r="D38" s="33">
        <f t="shared" si="13"/>
        <v>87114972</v>
      </c>
      <c r="E38" s="33">
        <f t="shared" si="13"/>
        <v>218507052</v>
      </c>
      <c r="F38" s="33">
        <f t="shared" si="13"/>
        <v>338116484</v>
      </c>
      <c r="G38" s="33">
        <f t="shared" si="13"/>
        <v>699427542.36</v>
      </c>
      <c r="H38" s="33">
        <f t="shared" si="13"/>
        <v>583025842.33</v>
      </c>
      <c r="I38" s="33">
        <f t="shared" si="13"/>
        <v>577720041.43</v>
      </c>
      <c r="J38" s="33">
        <f t="shared" si="13"/>
        <v>0</v>
      </c>
      <c r="K38" s="33">
        <f t="shared" si="13"/>
        <v>0</v>
      </c>
      <c r="L38" s="145">
        <f t="shared" si="13"/>
        <v>0</v>
      </c>
      <c r="M38" s="33">
        <f t="shared" si="13"/>
        <v>0</v>
      </c>
      <c r="N38" s="33">
        <f t="shared" si="13"/>
        <v>0</v>
      </c>
      <c r="O38" s="33">
        <f t="shared" si="13"/>
        <v>0</v>
      </c>
      <c r="P38" s="145">
        <f t="shared" si="13"/>
        <v>2503911934.12</v>
      </c>
      <c r="Q38" s="33">
        <f t="shared" si="13"/>
        <v>0</v>
      </c>
      <c r="R38" s="33">
        <f t="shared" si="13"/>
        <v>2311839</v>
      </c>
      <c r="S38" s="33">
        <f t="shared" si="13"/>
        <v>35026573.3</v>
      </c>
      <c r="T38" s="33">
        <f t="shared" si="13"/>
        <v>78862089.56</v>
      </c>
      <c r="U38" s="33">
        <f t="shared" si="13"/>
        <v>182912801.92</v>
      </c>
      <c r="V38" s="33">
        <f t="shared" si="13"/>
        <v>309905105.14</v>
      </c>
      <c r="W38" s="33">
        <f t="shared" si="13"/>
        <v>0</v>
      </c>
      <c r="X38" s="33">
        <f t="shared" si="13"/>
        <v>0</v>
      </c>
      <c r="Y38" s="145">
        <f t="shared" si="13"/>
        <v>0</v>
      </c>
      <c r="Z38" s="33">
        <f t="shared" si="13"/>
        <v>0</v>
      </c>
      <c r="AA38" s="33">
        <f t="shared" si="13"/>
        <v>0</v>
      </c>
      <c r="AB38" s="33">
        <f t="shared" si="13"/>
        <v>0</v>
      </c>
      <c r="AC38" s="33">
        <f t="shared" si="13"/>
        <v>609018408.92</v>
      </c>
      <c r="AD38" s="33">
        <f t="shared" si="13"/>
        <v>0</v>
      </c>
      <c r="AE38" s="33">
        <f t="shared" si="13"/>
        <v>2311839</v>
      </c>
      <c r="AF38" s="33">
        <f t="shared" si="13"/>
        <v>35026573.3</v>
      </c>
      <c r="AG38" s="33">
        <f t="shared" si="13"/>
        <v>78862089.56</v>
      </c>
      <c r="AH38" s="33">
        <f t="shared" si="13"/>
        <v>182783604.92</v>
      </c>
      <c r="AI38" s="33">
        <f t="shared" si="13"/>
        <v>307252365.14</v>
      </c>
      <c r="AJ38" s="33">
        <f t="shared" si="13"/>
        <v>0</v>
      </c>
      <c r="AK38" s="33">
        <f t="shared" si="13"/>
        <v>0</v>
      </c>
      <c r="AL38" s="33">
        <f t="shared" si="13"/>
        <v>0</v>
      </c>
      <c r="AM38" s="33">
        <f t="shared" si="13"/>
        <v>0</v>
      </c>
      <c r="AN38" s="33">
        <f t="shared" si="13"/>
        <v>0</v>
      </c>
      <c r="AO38" s="33">
        <f t="shared" si="13"/>
        <v>0</v>
      </c>
      <c r="AP38" s="33">
        <f t="shared" si="13"/>
        <v>606236471.92</v>
      </c>
      <c r="AQ38" s="24"/>
      <c r="AR38" s="24"/>
      <c r="AS38" s="24"/>
      <c r="AT38" s="24"/>
      <c r="AU38" s="24"/>
      <c r="AV38" s="24"/>
      <c r="AW38" s="24"/>
      <c r="AX38" s="24"/>
    </row>
    <row r="39" spans="1:50" s="12" customFormat="1" ht="18" customHeight="1">
      <c r="A39" s="46" t="s">
        <v>79</v>
      </c>
      <c r="B39" s="25" t="s">
        <v>59</v>
      </c>
      <c r="C39" s="26">
        <f>6455005522+5387868007</f>
        <v>11842873529</v>
      </c>
      <c r="D39" s="27">
        <v>87114972</v>
      </c>
      <c r="E39" s="26">
        <v>218507052</v>
      </c>
      <c r="F39" s="26">
        <v>338116484</v>
      </c>
      <c r="G39" s="26">
        <v>699427542.36</v>
      </c>
      <c r="H39" s="27">
        <v>568018292.33</v>
      </c>
      <c r="I39" s="26">
        <v>577720041.43</v>
      </c>
      <c r="J39" s="26"/>
      <c r="K39" s="123"/>
      <c r="L39" s="152"/>
      <c r="M39" s="26"/>
      <c r="N39" s="26"/>
      <c r="O39" s="27"/>
      <c r="P39" s="150">
        <f>SUM(D39:O39)</f>
        <v>2488904384.12</v>
      </c>
      <c r="Q39" s="27">
        <v>0</v>
      </c>
      <c r="R39" s="26">
        <v>2311839</v>
      </c>
      <c r="S39" s="26">
        <v>35026573.3</v>
      </c>
      <c r="T39" s="26">
        <v>78862089.56</v>
      </c>
      <c r="U39" s="26">
        <v>182912801.92</v>
      </c>
      <c r="V39" s="26">
        <v>304038355.14</v>
      </c>
      <c r="W39" s="26"/>
      <c r="X39" s="26"/>
      <c r="Y39" s="152"/>
      <c r="Z39" s="26"/>
      <c r="AA39" s="26"/>
      <c r="AB39" s="26"/>
      <c r="AC39" s="26">
        <f>SUM(Q39:AB39)</f>
        <v>603151658.92</v>
      </c>
      <c r="AD39" s="27">
        <v>0</v>
      </c>
      <c r="AE39" s="26">
        <v>2311839</v>
      </c>
      <c r="AF39" s="26">
        <v>35026573.3</v>
      </c>
      <c r="AG39" s="26">
        <v>78862089.56</v>
      </c>
      <c r="AH39" s="26">
        <v>182783604.92</v>
      </c>
      <c r="AI39" s="26">
        <v>301385615.14</v>
      </c>
      <c r="AJ39" s="26"/>
      <c r="AK39" s="26"/>
      <c r="AL39" s="26"/>
      <c r="AM39" s="26"/>
      <c r="AN39" s="26"/>
      <c r="AO39" s="26"/>
      <c r="AP39" s="22">
        <f>SUM(AD39:AO39)</f>
        <v>600369721.92</v>
      </c>
      <c r="AQ39" s="24"/>
      <c r="AR39" s="24"/>
      <c r="AS39" s="24"/>
      <c r="AT39" s="24"/>
      <c r="AU39" s="24"/>
      <c r="AV39" s="24"/>
      <c r="AW39" s="24"/>
      <c r="AX39" s="24"/>
    </row>
    <row r="40" spans="1:50" s="12" customFormat="1" ht="64.5" customHeight="1" thickBot="1">
      <c r="A40" s="46" t="s">
        <v>160</v>
      </c>
      <c r="B40" s="112" t="s">
        <v>161</v>
      </c>
      <c r="C40" s="47">
        <v>2000000000</v>
      </c>
      <c r="D40" s="27">
        <v>0</v>
      </c>
      <c r="E40" s="47">
        <v>0</v>
      </c>
      <c r="F40" s="47">
        <v>0</v>
      </c>
      <c r="G40" s="47">
        <v>0</v>
      </c>
      <c r="H40" s="48">
        <v>15007550</v>
      </c>
      <c r="I40" s="47">
        <v>0</v>
      </c>
      <c r="J40" s="47"/>
      <c r="K40" s="47"/>
      <c r="L40" s="47"/>
      <c r="M40" s="47"/>
      <c r="N40" s="47"/>
      <c r="O40" s="27"/>
      <c r="P40" s="27">
        <f>SUM(D40:O40)</f>
        <v>15007550</v>
      </c>
      <c r="Q40" s="27">
        <v>0</v>
      </c>
      <c r="R40" s="47">
        <v>0</v>
      </c>
      <c r="S40" s="47">
        <v>0</v>
      </c>
      <c r="T40" s="47">
        <v>0</v>
      </c>
      <c r="U40" s="48">
        <v>0</v>
      </c>
      <c r="V40" s="47">
        <v>5866750</v>
      </c>
      <c r="W40" s="47"/>
      <c r="X40" s="47"/>
      <c r="Y40" s="47"/>
      <c r="Z40" s="47"/>
      <c r="AA40" s="47"/>
      <c r="AB40" s="47"/>
      <c r="AC40" s="26">
        <f>SUM(Q40:AB40)</f>
        <v>5866750</v>
      </c>
      <c r="AD40" s="27">
        <v>0</v>
      </c>
      <c r="AE40" s="47">
        <v>0</v>
      </c>
      <c r="AF40" s="47">
        <v>0</v>
      </c>
      <c r="AG40" s="47">
        <v>0</v>
      </c>
      <c r="AH40" s="48">
        <v>0</v>
      </c>
      <c r="AI40" s="47">
        <v>5866750</v>
      </c>
      <c r="AJ40" s="47"/>
      <c r="AK40" s="47"/>
      <c r="AL40" s="47"/>
      <c r="AM40" s="47"/>
      <c r="AN40" s="47"/>
      <c r="AO40" s="47"/>
      <c r="AP40" s="28">
        <f>SUM(AD40:AO40)</f>
        <v>5866750</v>
      </c>
      <c r="AQ40" s="24"/>
      <c r="AR40" s="24"/>
      <c r="AS40" s="24"/>
      <c r="AT40" s="24"/>
      <c r="AU40" s="24"/>
      <c r="AV40" s="24"/>
      <c r="AW40" s="24"/>
      <c r="AX40" s="24"/>
    </row>
    <row r="41" spans="1:42" s="24" customFormat="1" ht="18.75" thickBot="1">
      <c r="A41" s="224" t="s">
        <v>50</v>
      </c>
      <c r="B41" s="225"/>
      <c r="C41" s="30">
        <f>SUM(C14+C38)</f>
        <v>18543768007</v>
      </c>
      <c r="D41" s="30">
        <f aca="true" t="shared" si="14" ref="D41:AO41">SUM(D14+D38)</f>
        <v>134011369.2</v>
      </c>
      <c r="E41" s="30">
        <f t="shared" si="14"/>
        <v>675554803.71</v>
      </c>
      <c r="F41" s="30">
        <f t="shared" si="14"/>
        <v>788624427.81</v>
      </c>
      <c r="G41" s="30">
        <f t="shared" si="14"/>
        <v>905430474.95</v>
      </c>
      <c r="H41" s="30">
        <f>SUM(H14+H38)</f>
        <v>741879735.75</v>
      </c>
      <c r="I41" s="30">
        <f t="shared" si="14"/>
        <v>747022804.24</v>
      </c>
      <c r="J41" s="30">
        <f t="shared" si="14"/>
        <v>0</v>
      </c>
      <c r="K41" s="30">
        <f t="shared" si="14"/>
        <v>0</v>
      </c>
      <c r="L41" s="30">
        <f t="shared" si="14"/>
        <v>0</v>
      </c>
      <c r="M41" s="30">
        <f t="shared" si="14"/>
        <v>0</v>
      </c>
      <c r="N41" s="30">
        <f t="shared" si="14"/>
        <v>0</v>
      </c>
      <c r="O41" s="111">
        <f t="shared" si="14"/>
        <v>0</v>
      </c>
      <c r="P41" s="30">
        <f t="shared" si="14"/>
        <v>4026875709.66</v>
      </c>
      <c r="Q41" s="111">
        <f t="shared" si="14"/>
        <v>32241168.2</v>
      </c>
      <c r="R41" s="111">
        <f t="shared" si="14"/>
        <v>125041725.71</v>
      </c>
      <c r="S41" s="111">
        <f t="shared" si="14"/>
        <v>170377625.82999998</v>
      </c>
      <c r="T41" s="111">
        <f t="shared" si="14"/>
        <v>289633197.07</v>
      </c>
      <c r="U41" s="111">
        <f>SUM(U14+U38)</f>
        <v>384565366.76</v>
      </c>
      <c r="V41" s="111">
        <f t="shared" si="14"/>
        <v>529891137.83</v>
      </c>
      <c r="W41" s="111">
        <f t="shared" si="14"/>
        <v>0</v>
      </c>
      <c r="X41" s="111">
        <f t="shared" si="14"/>
        <v>0</v>
      </c>
      <c r="Y41" s="111">
        <f t="shared" si="14"/>
        <v>0</v>
      </c>
      <c r="Z41" s="111">
        <f t="shared" si="14"/>
        <v>0</v>
      </c>
      <c r="AA41" s="111">
        <f t="shared" si="14"/>
        <v>0</v>
      </c>
      <c r="AB41" s="111">
        <f t="shared" si="14"/>
        <v>0</v>
      </c>
      <c r="AC41" s="111">
        <f t="shared" si="14"/>
        <v>1531750221.4</v>
      </c>
      <c r="AD41" s="111">
        <f t="shared" si="14"/>
        <v>31310675.2</v>
      </c>
      <c r="AE41" s="111">
        <f t="shared" si="14"/>
        <v>125037442.08</v>
      </c>
      <c r="AF41" s="111">
        <f t="shared" si="14"/>
        <v>171242402.45999998</v>
      </c>
      <c r="AG41" s="111">
        <f t="shared" si="14"/>
        <v>289703197.07</v>
      </c>
      <c r="AH41" s="111">
        <f t="shared" si="14"/>
        <v>384436169.76</v>
      </c>
      <c r="AI41" s="111">
        <f t="shared" si="14"/>
        <v>525260437.83</v>
      </c>
      <c r="AJ41" s="111">
        <f t="shared" si="14"/>
        <v>0</v>
      </c>
      <c r="AK41" s="111">
        <f t="shared" si="14"/>
        <v>0</v>
      </c>
      <c r="AL41" s="111">
        <f t="shared" si="14"/>
        <v>0</v>
      </c>
      <c r="AM41" s="111">
        <f t="shared" si="14"/>
        <v>0</v>
      </c>
      <c r="AN41" s="111">
        <f t="shared" si="14"/>
        <v>0</v>
      </c>
      <c r="AO41" s="111">
        <f t="shared" si="14"/>
        <v>0</v>
      </c>
      <c r="AP41" s="111">
        <f>SUM(AP14+AP38)</f>
        <v>1526990324.4</v>
      </c>
    </row>
    <row r="42" spans="1:50" ht="12.75">
      <c r="A42" s="107" t="s">
        <v>151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43"/>
      <c r="T42" s="10"/>
      <c r="U42" s="10"/>
      <c r="V42" s="10"/>
      <c r="W42" s="10"/>
      <c r="X42" s="143"/>
      <c r="Y42" s="10"/>
      <c r="Z42" s="10"/>
      <c r="AA42" s="10"/>
      <c r="AB42" s="143"/>
      <c r="AC42" s="10"/>
      <c r="AD42" s="10"/>
      <c r="AE42" s="10"/>
      <c r="AF42" s="143"/>
      <c r="AG42" s="10"/>
      <c r="AH42" s="10"/>
      <c r="AI42" s="10"/>
      <c r="AJ42" s="10"/>
      <c r="AK42" s="10"/>
      <c r="AL42" s="10"/>
      <c r="AM42" s="10"/>
      <c r="AN42" s="10"/>
      <c r="AO42" s="10"/>
      <c r="AP42" s="11"/>
      <c r="AQ42" s="24"/>
      <c r="AR42" s="24"/>
      <c r="AS42" s="24"/>
      <c r="AT42" s="24"/>
      <c r="AU42" s="24"/>
      <c r="AV42" s="24"/>
      <c r="AW42" s="24"/>
      <c r="AX42" s="24"/>
    </row>
    <row r="43" spans="1:50" ht="15" customHeight="1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8"/>
      <c r="AQ43" s="24"/>
      <c r="AR43" s="24"/>
      <c r="AS43" s="24"/>
      <c r="AT43" s="24"/>
      <c r="AU43" s="24"/>
      <c r="AV43" s="24"/>
      <c r="AW43" s="24"/>
      <c r="AX43" s="24"/>
    </row>
    <row r="44" spans="1:84" ht="15" customHeight="1" hidden="1">
      <c r="A44" s="229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8"/>
      <c r="AQ44" s="24"/>
      <c r="AR44" s="24"/>
      <c r="AS44" s="24"/>
      <c r="AT44" s="24"/>
      <c r="AU44" s="24"/>
      <c r="AV44" s="24"/>
      <c r="AW44" s="24"/>
      <c r="AX44" s="24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</row>
    <row r="45" spans="1:84" ht="15" customHeight="1" hidden="1">
      <c r="A45" s="229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8"/>
      <c r="AQ45" s="24"/>
      <c r="AR45" s="24"/>
      <c r="AS45" s="24"/>
      <c r="AT45" s="24"/>
      <c r="AU45" s="24"/>
      <c r="AV45" s="24"/>
      <c r="AW45" s="24"/>
      <c r="AX45" s="24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</row>
    <row r="46" spans="1:256" ht="15">
      <c r="A46" s="160" t="s">
        <v>220</v>
      </c>
      <c r="B46" s="157"/>
      <c r="C46" s="162"/>
      <c r="D46" s="157"/>
      <c r="E46" s="162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62"/>
      <c r="V46" s="157"/>
      <c r="W46" s="157"/>
      <c r="X46" s="157"/>
      <c r="Y46" s="157"/>
      <c r="Z46" s="157"/>
      <c r="AA46" s="157"/>
      <c r="AB46" s="162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8"/>
      <c r="AQ46" s="24"/>
      <c r="AR46" s="24"/>
      <c r="AS46" s="24"/>
      <c r="AT46" s="24"/>
      <c r="AU46" s="24"/>
      <c r="AV46" s="24"/>
      <c r="AW46" s="24"/>
      <c r="AX46" s="24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59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9"/>
      <c r="DW46" s="159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9"/>
      <c r="FM46" s="159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9"/>
      <c r="HC46" s="159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  <c r="IR46" s="159"/>
      <c r="IS46" s="159"/>
      <c r="IT46" s="156"/>
      <c r="IU46" s="156"/>
      <c r="IV46" s="156"/>
    </row>
    <row r="47" spans="1:256" ht="15">
      <c r="A47" s="160"/>
      <c r="B47" s="157"/>
      <c r="C47" s="162"/>
      <c r="D47" s="157"/>
      <c r="E47" s="157"/>
      <c r="F47" s="162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62"/>
      <c r="T47" s="162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62"/>
      <c r="AG47" s="157"/>
      <c r="AH47" s="157"/>
      <c r="AI47" s="157"/>
      <c r="AJ47" s="157"/>
      <c r="AK47" s="157"/>
      <c r="AL47" s="157"/>
      <c r="AM47" s="157"/>
      <c r="AN47" s="157"/>
      <c r="AO47" s="157"/>
      <c r="AP47" s="158"/>
      <c r="AQ47" s="24"/>
      <c r="AR47" s="24"/>
      <c r="AS47" s="24"/>
      <c r="AT47" s="24"/>
      <c r="AU47" s="24"/>
      <c r="AV47" s="24"/>
      <c r="AW47" s="24"/>
      <c r="AX47" s="24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59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9"/>
      <c r="DW47" s="159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9"/>
      <c r="FM47" s="159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9"/>
      <c r="HC47" s="159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  <c r="IR47" s="159"/>
      <c r="IS47" s="159"/>
      <c r="IT47" s="156"/>
      <c r="IU47" s="156"/>
      <c r="IV47" s="156"/>
    </row>
    <row r="48" spans="1:84" ht="15.75" thickBot="1">
      <c r="A48" s="4"/>
      <c r="B48" s="75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24"/>
      <c r="AR48" s="24"/>
      <c r="AS48" s="24"/>
      <c r="AT48" s="24"/>
      <c r="AU48" s="24"/>
      <c r="AV48" s="24"/>
      <c r="AW48" s="24"/>
      <c r="AX48" s="24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1:84" ht="15.75">
      <c r="A49" s="4"/>
      <c r="B49" s="64"/>
      <c r="C49" s="221" t="s">
        <v>111</v>
      </c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5"/>
      <c r="R49" s="5"/>
      <c r="S49" s="5"/>
      <c r="T49" s="5"/>
      <c r="U49" s="37"/>
      <c r="V49" s="5"/>
      <c r="W49" s="5"/>
      <c r="X49" s="5"/>
      <c r="Y49" s="5"/>
      <c r="Z49" s="5"/>
      <c r="AA49" s="5"/>
      <c r="AB49" s="5"/>
      <c r="AC49" s="133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</row>
    <row r="50" spans="1:84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</row>
    <row r="51" spans="3:84" ht="1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</row>
    <row r="52" spans="3:84" ht="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O52" s="12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</row>
    <row r="53" spans="1:8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</row>
    <row r="54" spans="1:45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P54" s="12"/>
      <c r="AS54" s="128"/>
    </row>
    <row r="55" spans="1:45" ht="15">
      <c r="A55" s="12"/>
      <c r="B55" s="12"/>
      <c r="C55" s="17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S55" s="128"/>
    </row>
    <row r="56" spans="1:29" ht="15">
      <c r="A56" s="12"/>
      <c r="B56" s="12"/>
      <c r="C56" s="17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">
      <c r="A57" s="12"/>
      <c r="B57" s="12"/>
      <c r="C57" s="17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">
      <c r="A58" s="12"/>
      <c r="B58" s="12"/>
      <c r="C58" s="17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5">
      <c r="A59" s="12"/>
      <c r="B59" s="12"/>
      <c r="C59" s="17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5">
      <c r="A60" s="12"/>
      <c r="B60" s="12"/>
      <c r="C60" s="3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4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15">
      <c r="A72" s="164"/>
      <c r="B72" s="164"/>
      <c r="C72" s="164"/>
      <c r="D72" s="164"/>
      <c r="E72" s="164"/>
      <c r="F72" s="164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5">
      <c r="A73" s="164"/>
      <c r="B73" s="164"/>
      <c r="C73" s="164"/>
      <c r="D73" s="164"/>
      <c r="E73" s="164"/>
      <c r="F73" s="164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5">
      <c r="A74" s="164"/>
      <c r="B74" s="164"/>
      <c r="C74" s="164"/>
      <c r="D74" s="164"/>
      <c r="E74" s="164"/>
      <c r="F74" s="164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5">
      <c r="A75" s="164"/>
      <c r="B75" s="164"/>
      <c r="C75" s="164"/>
      <c r="D75" s="164"/>
      <c r="E75" s="164"/>
      <c r="F75" s="164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5">
      <c r="A76" s="164"/>
      <c r="B76" s="164"/>
      <c r="C76" s="164"/>
      <c r="D76" s="164"/>
      <c r="E76" s="164"/>
      <c r="F76" s="164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16" ht="15">
      <c r="A77" s="164"/>
      <c r="B77" s="164"/>
      <c r="C77" s="164"/>
      <c r="D77" s="164"/>
      <c r="E77" s="164"/>
      <c r="F77" s="164"/>
      <c r="G77" s="161"/>
      <c r="H77" s="161"/>
      <c r="I77" s="161"/>
      <c r="J77" s="161"/>
      <c r="K77" s="161"/>
      <c r="L77" s="161"/>
      <c r="M77" s="161"/>
      <c r="N77" s="161"/>
      <c r="O77" s="161"/>
      <c r="P77" s="161"/>
    </row>
    <row r="78" spans="1:16" ht="15">
      <c r="A78" s="164"/>
      <c r="B78" s="164"/>
      <c r="C78" s="164"/>
      <c r="D78" s="164"/>
      <c r="E78" s="164"/>
      <c r="F78" s="164"/>
      <c r="G78" s="161"/>
      <c r="H78" s="161"/>
      <c r="I78" s="161"/>
      <c r="J78" s="161"/>
      <c r="K78" s="161"/>
      <c r="L78" s="161"/>
      <c r="M78" s="161"/>
      <c r="N78" s="161"/>
      <c r="O78" s="161"/>
      <c r="P78" s="161"/>
    </row>
    <row r="79" spans="1:16" ht="15">
      <c r="A79" s="164"/>
      <c r="B79" s="164"/>
      <c r="C79" s="164"/>
      <c r="D79" s="164"/>
      <c r="E79" s="164"/>
      <c r="F79" s="164"/>
      <c r="G79" s="161"/>
      <c r="H79" s="161"/>
      <c r="I79" s="161"/>
      <c r="J79" s="161"/>
      <c r="K79" s="161"/>
      <c r="L79" s="161"/>
      <c r="M79" s="161"/>
      <c r="N79" s="161"/>
      <c r="O79" s="161"/>
      <c r="P79" s="161"/>
    </row>
    <row r="80" spans="1:16" ht="15">
      <c r="A80" s="164"/>
      <c r="B80" s="164"/>
      <c r="C80" s="164"/>
      <c r="D80" s="164"/>
      <c r="E80" s="164"/>
      <c r="F80" s="164"/>
      <c r="G80" s="161"/>
      <c r="H80" s="161"/>
      <c r="I80" s="161"/>
      <c r="J80" s="161"/>
      <c r="K80" s="161"/>
      <c r="L80" s="161"/>
      <c r="M80" s="161"/>
      <c r="N80" s="161"/>
      <c r="O80" s="161"/>
      <c r="P80" s="161"/>
    </row>
    <row r="81" spans="1:16" ht="15">
      <c r="A81" s="164"/>
      <c r="B81" s="164"/>
      <c r="C81" s="164"/>
      <c r="D81" s="164"/>
      <c r="E81" s="164"/>
      <c r="F81" s="164"/>
      <c r="G81" s="161"/>
      <c r="H81" s="161"/>
      <c r="I81" s="161"/>
      <c r="J81" s="161"/>
      <c r="K81" s="161"/>
      <c r="L81" s="161"/>
      <c r="M81" s="161"/>
      <c r="N81" s="161"/>
      <c r="O81" s="161"/>
      <c r="P81" s="161"/>
    </row>
    <row r="82" spans="1:16" ht="15">
      <c r="A82" s="164"/>
      <c r="B82" s="164"/>
      <c r="C82" s="164"/>
      <c r="D82" s="164"/>
      <c r="E82" s="164"/>
      <c r="F82" s="164"/>
      <c r="G82" s="161"/>
      <c r="H82" s="161"/>
      <c r="I82" s="161"/>
      <c r="J82" s="161"/>
      <c r="K82" s="161"/>
      <c r="L82" s="161"/>
      <c r="M82" s="161"/>
      <c r="N82" s="161"/>
      <c r="O82" s="161"/>
      <c r="P82" s="161"/>
    </row>
    <row r="83" spans="1:16" ht="15">
      <c r="A83" s="164"/>
      <c r="B83" s="164"/>
      <c r="C83" s="164"/>
      <c r="D83" s="164"/>
      <c r="E83" s="164"/>
      <c r="F83" s="164"/>
      <c r="G83" s="161"/>
      <c r="H83" s="161"/>
      <c r="I83" s="161"/>
      <c r="J83" s="161"/>
      <c r="K83" s="161"/>
      <c r="L83" s="161"/>
      <c r="M83" s="161"/>
      <c r="N83" s="161"/>
      <c r="O83" s="161"/>
      <c r="P83" s="161"/>
    </row>
    <row r="84" spans="1:16" ht="15">
      <c r="A84" s="164"/>
      <c r="B84" s="164"/>
      <c r="C84" s="164"/>
      <c r="D84" s="164"/>
      <c r="E84" s="164"/>
      <c r="F84" s="164"/>
      <c r="G84" s="161"/>
      <c r="H84" s="161"/>
      <c r="I84" s="161"/>
      <c r="J84" s="161"/>
      <c r="K84" s="161"/>
      <c r="L84" s="161"/>
      <c r="M84" s="161"/>
      <c r="N84" s="161"/>
      <c r="O84" s="161"/>
      <c r="P84" s="161"/>
    </row>
    <row r="85" spans="1:16" ht="15">
      <c r="A85" s="164"/>
      <c r="B85" s="164"/>
      <c r="C85" s="164"/>
      <c r="D85" s="164"/>
      <c r="E85" s="164"/>
      <c r="F85" s="164"/>
      <c r="G85" s="161"/>
      <c r="H85" s="161"/>
      <c r="I85" s="161"/>
      <c r="J85" s="161"/>
      <c r="K85" s="161"/>
      <c r="L85" s="161"/>
      <c r="M85" s="161"/>
      <c r="N85" s="161"/>
      <c r="O85" s="161"/>
      <c r="P85" s="161"/>
    </row>
    <row r="86" spans="1:16" ht="15">
      <c r="A86" s="164"/>
      <c r="B86" s="164"/>
      <c r="C86" s="164"/>
      <c r="D86" s="164"/>
      <c r="E86" s="164"/>
      <c r="F86" s="164"/>
      <c r="G86" s="161"/>
      <c r="H86" s="161"/>
      <c r="I86" s="161"/>
      <c r="J86" s="161"/>
      <c r="K86" s="161"/>
      <c r="L86" s="161"/>
      <c r="M86" s="161"/>
      <c r="N86" s="161"/>
      <c r="O86" s="161"/>
      <c r="P86" s="161"/>
    </row>
    <row r="87" spans="1:16" ht="15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</row>
    <row r="88" spans="1:16" ht="15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</row>
    <row r="89" spans="1:16" ht="15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</row>
    <row r="90" spans="1:16" ht="15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</row>
    <row r="91" spans="1:16" ht="15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</row>
    <row r="92" spans="1:16" ht="15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</row>
    <row r="93" spans="1:16" ht="15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</row>
    <row r="94" spans="1:16" ht="15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</row>
    <row r="95" spans="1:16" ht="15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</row>
    <row r="96" spans="1:16" ht="15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</row>
    <row r="97" spans="1:16" ht="15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</row>
    <row r="98" spans="1:16" ht="15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</row>
    <row r="99" spans="1:16" ht="15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</row>
  </sheetData>
  <sheetProtection/>
  <mergeCells count="10">
    <mergeCell ref="A1:AP1"/>
    <mergeCell ref="A2:AP2"/>
    <mergeCell ref="A3:AP3"/>
    <mergeCell ref="A4:AP4"/>
    <mergeCell ref="C49:P49"/>
    <mergeCell ref="A5:AP5"/>
    <mergeCell ref="A7:B7"/>
    <mergeCell ref="A8:B8"/>
    <mergeCell ref="A41:B41"/>
    <mergeCell ref="A43:AP45"/>
  </mergeCells>
  <printOptions horizontalCentered="1" verticalCentered="1"/>
  <pageMargins left="1.19" right="0.15748031496062992" top="0.1968503937007874" bottom="0.1968503937007874" header="0" footer="0.1968503937007874"/>
  <pageSetup horizontalDpi="300" verticalDpi="300" orientation="landscape" paperSize="5" scale="75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PageLayoutView="0" workbookViewId="0" topLeftCell="A4">
      <selection activeCell="B44" sqref="B44"/>
    </sheetView>
  </sheetViews>
  <sheetFormatPr defaultColWidth="11.421875" defaultRowHeight="12.75"/>
  <cols>
    <col min="1" max="1" width="13.28125" style="1" customWidth="1"/>
    <col min="2" max="2" width="78.8515625" style="1" customWidth="1"/>
    <col min="3" max="3" width="26.8515625" style="1" customWidth="1"/>
    <col min="4" max="4" width="27.00390625" style="1" hidden="1" customWidth="1"/>
    <col min="5" max="5" width="21.421875" style="1" hidden="1" customWidth="1"/>
    <col min="6" max="6" width="14.7109375" style="1" hidden="1" customWidth="1"/>
    <col min="7" max="8" width="22.7109375" style="1" hidden="1" customWidth="1"/>
    <col min="9" max="9" width="22.7109375" style="1" customWidth="1"/>
    <col min="10" max="13" width="22.7109375" style="1" hidden="1" customWidth="1"/>
    <col min="14" max="14" width="21.7109375" style="1" hidden="1" customWidth="1"/>
    <col min="15" max="15" width="31.8515625" style="1" hidden="1" customWidth="1"/>
    <col min="16" max="16" width="33.7109375" style="1" customWidth="1"/>
    <col min="17" max="17" width="11.8515625" style="1" bestFit="1" customWidth="1"/>
    <col min="18" max="18" width="18.57421875" style="1" customWidth="1"/>
    <col min="19" max="19" width="17.140625" style="1" customWidth="1"/>
    <col min="20" max="16384" width="11.421875" style="1" customWidth="1"/>
  </cols>
  <sheetData>
    <row r="1" spans="1:16" ht="18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0"/>
    </row>
    <row r="2" spans="1:16" ht="15.75">
      <c r="A2" s="201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3"/>
    </row>
    <row r="3" spans="1:16" ht="18">
      <c r="A3" s="204" t="s">
        <v>51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1:16" ht="15.75">
      <c r="A4" s="201" t="s">
        <v>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</row>
    <row r="5" spans="1:16" ht="20.25">
      <c r="A5" s="207" t="s">
        <v>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</row>
    <row r="6" spans="1:16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15.75">
      <c r="A7" s="222" t="s">
        <v>4</v>
      </c>
      <c r="B7" s="223"/>
      <c r="C7" s="66" t="s">
        <v>48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2" t="s">
        <v>216</v>
      </c>
    </row>
    <row r="8" spans="1:16" ht="15.75">
      <c r="A8" s="222" t="s">
        <v>5</v>
      </c>
      <c r="B8" s="223"/>
      <c r="C8" s="65" t="s">
        <v>57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8">
        <v>2012</v>
      </c>
    </row>
    <row r="9" spans="1:16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ht="12.75">
      <c r="A10" s="100"/>
      <c r="B10" s="101"/>
      <c r="C10" s="101" t="s">
        <v>89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ht="12.75">
      <c r="A11" s="102" t="s">
        <v>40</v>
      </c>
      <c r="B11" s="102" t="s">
        <v>42</v>
      </c>
      <c r="C11" s="102" t="s">
        <v>55</v>
      </c>
      <c r="D11" s="102" t="s">
        <v>46</v>
      </c>
      <c r="E11" s="102" t="s">
        <v>46</v>
      </c>
      <c r="F11" s="102" t="s">
        <v>46</v>
      </c>
      <c r="G11" s="102" t="s">
        <v>46</v>
      </c>
      <c r="H11" s="102" t="s">
        <v>46</v>
      </c>
      <c r="I11" s="102" t="s">
        <v>46</v>
      </c>
      <c r="J11" s="102" t="s">
        <v>46</v>
      </c>
      <c r="K11" s="102" t="s">
        <v>46</v>
      </c>
      <c r="L11" s="102" t="s">
        <v>46</v>
      </c>
      <c r="M11" s="102" t="s">
        <v>46</v>
      </c>
      <c r="N11" s="102" t="s">
        <v>46</v>
      </c>
      <c r="O11" s="102" t="s">
        <v>46</v>
      </c>
      <c r="P11" s="102" t="s">
        <v>46</v>
      </c>
    </row>
    <row r="12" spans="1:16" ht="13.5" thickBot="1">
      <c r="A12" s="103" t="s">
        <v>41</v>
      </c>
      <c r="B12" s="103"/>
      <c r="C12" s="103" t="s">
        <v>88</v>
      </c>
      <c r="D12" s="103" t="s">
        <v>13</v>
      </c>
      <c r="E12" s="103" t="s">
        <v>14</v>
      </c>
      <c r="F12" s="103" t="s">
        <v>15</v>
      </c>
      <c r="G12" s="103" t="s">
        <v>16</v>
      </c>
      <c r="H12" s="103" t="s">
        <v>28</v>
      </c>
      <c r="I12" s="103" t="s">
        <v>29</v>
      </c>
      <c r="J12" s="103" t="s">
        <v>30</v>
      </c>
      <c r="K12" s="103" t="s">
        <v>20</v>
      </c>
      <c r="L12" s="103" t="s">
        <v>21</v>
      </c>
      <c r="M12" s="103" t="s">
        <v>31</v>
      </c>
      <c r="N12" s="103" t="s">
        <v>23</v>
      </c>
      <c r="O12" s="103" t="s">
        <v>24</v>
      </c>
      <c r="P12" s="103" t="s">
        <v>25</v>
      </c>
    </row>
    <row r="13" spans="1:16" ht="13.5" thickBot="1">
      <c r="A13" s="104">
        <v>1</v>
      </c>
      <c r="B13" s="105">
        <v>2</v>
      </c>
      <c r="C13" s="105"/>
      <c r="D13" s="105"/>
      <c r="E13" s="105"/>
      <c r="F13" s="105"/>
      <c r="G13" s="135">
        <v>7</v>
      </c>
      <c r="H13" s="135"/>
      <c r="I13" s="135"/>
      <c r="J13" s="135"/>
      <c r="K13" s="135"/>
      <c r="L13" s="135"/>
      <c r="M13" s="135"/>
      <c r="N13" s="135"/>
      <c r="O13" s="135"/>
      <c r="P13" s="106">
        <v>8</v>
      </c>
    </row>
    <row r="14" spans="1:16" ht="16.5" thickBot="1">
      <c r="A14" s="73"/>
      <c r="B14" s="7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8" ht="16.5" thickBot="1">
      <c r="A15" s="73"/>
      <c r="B15" s="71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R15" s="12"/>
    </row>
    <row r="16" spans="1:18" ht="16.5" thickBot="1">
      <c r="A16" s="31"/>
      <c r="B16" s="70" t="s">
        <v>60</v>
      </c>
      <c r="C16" s="32">
        <f>+C17+C19</f>
        <v>113258239.92999999</v>
      </c>
      <c r="D16" s="32">
        <f aca="true" t="shared" si="0" ref="D16:O16">+D17+D19</f>
        <v>81039191.30000001</v>
      </c>
      <c r="E16" s="32">
        <f t="shared" si="0"/>
        <v>32212319.82</v>
      </c>
      <c r="F16" s="32">
        <f t="shared" si="0"/>
        <v>6728.8099999999995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  <c r="O16" s="32">
        <f t="shared" si="0"/>
        <v>0</v>
      </c>
      <c r="P16" s="32">
        <f>+P17+P19</f>
        <v>113258239.92999999</v>
      </c>
      <c r="Q16" s="12"/>
      <c r="R16" s="12"/>
    </row>
    <row r="17" spans="1:18" ht="16.5" thickBot="1">
      <c r="A17" s="73"/>
      <c r="B17" s="71" t="s">
        <v>62</v>
      </c>
      <c r="C17" s="32">
        <f>+C18</f>
        <v>1079694</v>
      </c>
      <c r="D17" s="32">
        <f>+D18</f>
        <v>1079694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f>+P18</f>
        <v>1079694</v>
      </c>
      <c r="Q17" s="12"/>
      <c r="R17" s="12"/>
    </row>
    <row r="18" spans="1:18" ht="16.5" thickBot="1">
      <c r="A18" s="44" t="s">
        <v>125</v>
      </c>
      <c r="B18" s="38" t="s">
        <v>49</v>
      </c>
      <c r="C18" s="166">
        <v>1079694</v>
      </c>
      <c r="D18" s="32">
        <v>1079694</v>
      </c>
      <c r="E18" s="32"/>
      <c r="F18" s="32"/>
      <c r="G18" s="32">
        <v>0</v>
      </c>
      <c r="H18" s="32"/>
      <c r="I18" s="32"/>
      <c r="J18" s="32"/>
      <c r="K18" s="32"/>
      <c r="L18" s="32"/>
      <c r="M18" s="32"/>
      <c r="N18" s="32"/>
      <c r="O18" s="32"/>
      <c r="P18" s="23">
        <f>SUM(D18:L18)</f>
        <v>1079694</v>
      </c>
      <c r="Q18" s="12"/>
      <c r="R18" s="12"/>
    </row>
    <row r="19" spans="1:18" ht="16.5" thickBot="1">
      <c r="A19" s="73"/>
      <c r="B19" s="71" t="s">
        <v>63</v>
      </c>
      <c r="C19" s="43">
        <f>+C20+C22</f>
        <v>112178545.92999999</v>
      </c>
      <c r="D19" s="43">
        <f aca="true" t="shared" si="1" ref="D19:O19">+D20+D22</f>
        <v>79959497.30000001</v>
      </c>
      <c r="E19" s="43">
        <f>+E20+E22</f>
        <v>32212319.82</v>
      </c>
      <c r="F19" s="43">
        <f t="shared" si="1"/>
        <v>6728.8099999999995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43">
        <f t="shared" si="1"/>
        <v>0</v>
      </c>
      <c r="O19" s="43">
        <f t="shared" si="1"/>
        <v>0</v>
      </c>
      <c r="P19" s="43">
        <f>+P20+P22</f>
        <v>112178545.92999999</v>
      </c>
      <c r="Q19" s="12"/>
      <c r="R19" s="12"/>
    </row>
    <row r="20" spans="1:18" ht="15.75">
      <c r="A20" s="44" t="s">
        <v>126</v>
      </c>
      <c r="B20" s="118" t="s">
        <v>162</v>
      </c>
      <c r="C20" s="167">
        <f>+C21</f>
        <v>41.59</v>
      </c>
      <c r="D20" s="167">
        <f>+D21</f>
        <v>0</v>
      </c>
      <c r="E20" s="167">
        <f>+E21</f>
        <v>41.59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>
        <f>+P21</f>
        <v>41.59</v>
      </c>
      <c r="Q20" s="12"/>
      <c r="R20" s="12"/>
    </row>
    <row r="21" spans="1:18" ht="15">
      <c r="A21" s="44" t="s">
        <v>164</v>
      </c>
      <c r="B21" s="25" t="s">
        <v>163</v>
      </c>
      <c r="C21" s="26">
        <v>41.59</v>
      </c>
      <c r="D21" s="26">
        <v>0</v>
      </c>
      <c r="E21" s="26">
        <v>41.59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3">
        <f>SUM(D21:L21)</f>
        <v>41.59</v>
      </c>
      <c r="Q21" s="12"/>
      <c r="R21" s="12"/>
    </row>
    <row r="22" spans="1:18" ht="15.75">
      <c r="A22" s="44" t="s">
        <v>119</v>
      </c>
      <c r="B22" s="118" t="s">
        <v>95</v>
      </c>
      <c r="C22" s="122">
        <f>+C23+C26+C28+C35+C41+C43</f>
        <v>112178504.33999999</v>
      </c>
      <c r="D22" s="122">
        <f aca="true" t="shared" si="2" ref="D22:O22">+D23+D26+D28+D35+D41+D43</f>
        <v>79959497.30000001</v>
      </c>
      <c r="E22" s="122">
        <f t="shared" si="2"/>
        <v>32212278.23</v>
      </c>
      <c r="F22" s="122">
        <f t="shared" si="2"/>
        <v>6728.8099999999995</v>
      </c>
      <c r="G22" s="122">
        <f t="shared" si="2"/>
        <v>0</v>
      </c>
      <c r="H22" s="122">
        <f t="shared" si="2"/>
        <v>0</v>
      </c>
      <c r="I22" s="122">
        <f t="shared" si="2"/>
        <v>0</v>
      </c>
      <c r="J22" s="122">
        <f t="shared" si="2"/>
        <v>0</v>
      </c>
      <c r="K22" s="122">
        <f t="shared" si="2"/>
        <v>0</v>
      </c>
      <c r="L22" s="122">
        <f t="shared" si="2"/>
        <v>0</v>
      </c>
      <c r="M22" s="122">
        <f t="shared" si="2"/>
        <v>0</v>
      </c>
      <c r="N22" s="122">
        <f t="shared" si="2"/>
        <v>0</v>
      </c>
      <c r="O22" s="122">
        <f t="shared" si="2"/>
        <v>0</v>
      </c>
      <c r="P22" s="122">
        <f>+P23+P26+P28+P35+P41+P43</f>
        <v>112178504.33999999</v>
      </c>
      <c r="Q22" s="12"/>
      <c r="R22" s="12"/>
    </row>
    <row r="23" spans="1:18" ht="15.75">
      <c r="A23" s="44" t="s">
        <v>165</v>
      </c>
      <c r="B23" s="118" t="s">
        <v>107</v>
      </c>
      <c r="C23" s="122">
        <f>SUM(C24:C25)</f>
        <v>17123228</v>
      </c>
      <c r="D23" s="122">
        <f>SUM(D24:D25)</f>
        <v>17123228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>
        <f>SUM(P24:P25)</f>
        <v>17123228</v>
      </c>
      <c r="Q23" s="12"/>
      <c r="R23" s="12"/>
    </row>
    <row r="24" spans="1:18" ht="15.75">
      <c r="A24" s="44" t="s">
        <v>169</v>
      </c>
      <c r="B24" s="25" t="s">
        <v>166</v>
      </c>
      <c r="C24" s="26">
        <v>2325188</v>
      </c>
      <c r="D24" s="26">
        <v>2325188</v>
      </c>
      <c r="E24" s="26"/>
      <c r="F24" s="122"/>
      <c r="G24" s="26">
        <v>0</v>
      </c>
      <c r="H24" s="26"/>
      <c r="I24" s="122">
        <v>0</v>
      </c>
      <c r="J24" s="122"/>
      <c r="K24" s="122"/>
      <c r="L24" s="122"/>
      <c r="M24" s="122"/>
      <c r="N24" s="122"/>
      <c r="O24" s="122"/>
      <c r="P24" s="23">
        <f aca="true" t="shared" si="3" ref="P24:P32">SUM(D24:L24)</f>
        <v>2325188</v>
      </c>
      <c r="Q24" s="12"/>
      <c r="R24" s="12"/>
    </row>
    <row r="25" spans="1:18" ht="15.75">
      <c r="A25" s="44" t="s">
        <v>168</v>
      </c>
      <c r="B25" s="25" t="s">
        <v>167</v>
      </c>
      <c r="C25" s="26">
        <v>14798040</v>
      </c>
      <c r="D25" s="26">
        <v>14798040</v>
      </c>
      <c r="E25" s="26"/>
      <c r="F25" s="122"/>
      <c r="G25" s="26">
        <v>0</v>
      </c>
      <c r="H25" s="26"/>
      <c r="I25" s="122">
        <v>0</v>
      </c>
      <c r="J25" s="122"/>
      <c r="K25" s="122"/>
      <c r="L25" s="122"/>
      <c r="M25" s="122"/>
      <c r="N25" s="122"/>
      <c r="O25" s="122"/>
      <c r="P25" s="23">
        <f t="shared" si="3"/>
        <v>14798040</v>
      </c>
      <c r="Q25" s="12"/>
      <c r="R25" s="12"/>
    </row>
    <row r="26" spans="1:18" ht="15.75">
      <c r="A26" s="44"/>
      <c r="B26" s="118" t="s">
        <v>118</v>
      </c>
      <c r="C26" s="122">
        <f>+C27</f>
        <v>19648934.3</v>
      </c>
      <c r="D26" s="122">
        <f aca="true" t="shared" si="4" ref="D26:P26">+D27</f>
        <v>10820755</v>
      </c>
      <c r="E26" s="122">
        <f t="shared" si="4"/>
        <v>8824445.76</v>
      </c>
      <c r="F26" s="122">
        <f t="shared" si="4"/>
        <v>3733.54</v>
      </c>
      <c r="G26" s="122">
        <f t="shared" si="4"/>
        <v>0</v>
      </c>
      <c r="H26" s="122">
        <f t="shared" si="4"/>
        <v>0</v>
      </c>
      <c r="I26" s="122">
        <f t="shared" si="4"/>
        <v>0</v>
      </c>
      <c r="J26" s="122">
        <f t="shared" si="4"/>
        <v>0</v>
      </c>
      <c r="K26" s="122">
        <f t="shared" si="4"/>
        <v>0</v>
      </c>
      <c r="L26" s="122">
        <f t="shared" si="4"/>
        <v>0</v>
      </c>
      <c r="M26" s="122">
        <f t="shared" si="4"/>
        <v>0</v>
      </c>
      <c r="N26" s="122">
        <f t="shared" si="4"/>
        <v>0</v>
      </c>
      <c r="O26" s="122">
        <f t="shared" si="4"/>
        <v>0</v>
      </c>
      <c r="P26" s="122">
        <f t="shared" si="4"/>
        <v>19648934.299999997</v>
      </c>
      <c r="Q26" s="12"/>
      <c r="R26" s="12"/>
    </row>
    <row r="27" spans="1:18" ht="15.75">
      <c r="A27" s="44" t="s">
        <v>171</v>
      </c>
      <c r="B27" s="25" t="s">
        <v>170</v>
      </c>
      <c r="C27" s="26">
        <v>19648934.3</v>
      </c>
      <c r="D27" s="26">
        <v>10820755</v>
      </c>
      <c r="E27" s="26">
        <v>8824445.76</v>
      </c>
      <c r="F27" s="122">
        <v>3733.54</v>
      </c>
      <c r="G27" s="26">
        <v>0</v>
      </c>
      <c r="H27" s="26"/>
      <c r="I27" s="122">
        <v>0</v>
      </c>
      <c r="J27" s="122"/>
      <c r="K27" s="122"/>
      <c r="L27" s="122"/>
      <c r="M27" s="122"/>
      <c r="N27" s="122"/>
      <c r="O27" s="122"/>
      <c r="P27" s="23">
        <f t="shared" si="3"/>
        <v>19648934.299999997</v>
      </c>
      <c r="Q27" s="12"/>
      <c r="R27" s="12"/>
    </row>
    <row r="28" spans="1:18" ht="15.75">
      <c r="A28" s="44" t="s">
        <v>172</v>
      </c>
      <c r="B28" s="118" t="s">
        <v>98</v>
      </c>
      <c r="C28" s="122">
        <f>SUM(C29:C34)</f>
        <v>18980096.259999998</v>
      </c>
      <c r="D28" s="122">
        <f aca="true" t="shared" si="5" ref="D28:P28">SUM(D29:D34)</f>
        <v>8133359.98</v>
      </c>
      <c r="E28" s="122">
        <f t="shared" si="5"/>
        <v>10846736.28</v>
      </c>
      <c r="F28" s="122">
        <f t="shared" si="5"/>
        <v>0</v>
      </c>
      <c r="G28" s="122">
        <f t="shared" si="5"/>
        <v>0</v>
      </c>
      <c r="H28" s="122">
        <f t="shared" si="5"/>
        <v>0</v>
      </c>
      <c r="I28" s="122">
        <f t="shared" si="5"/>
        <v>0</v>
      </c>
      <c r="J28" s="122">
        <f t="shared" si="5"/>
        <v>0</v>
      </c>
      <c r="K28" s="122">
        <f t="shared" si="5"/>
        <v>0</v>
      </c>
      <c r="L28" s="122">
        <f t="shared" si="5"/>
        <v>0</v>
      </c>
      <c r="M28" s="122">
        <f t="shared" si="5"/>
        <v>0</v>
      </c>
      <c r="N28" s="122">
        <f t="shared" si="5"/>
        <v>0</v>
      </c>
      <c r="O28" s="122">
        <f t="shared" si="5"/>
        <v>0</v>
      </c>
      <c r="P28" s="122">
        <f t="shared" si="5"/>
        <v>18980096.259999998</v>
      </c>
      <c r="Q28" s="12"/>
      <c r="R28" s="12"/>
    </row>
    <row r="29" spans="1:18" ht="15.75">
      <c r="A29" s="44" t="s">
        <v>174</v>
      </c>
      <c r="B29" s="25" t="s">
        <v>173</v>
      </c>
      <c r="C29" s="152">
        <v>600000</v>
      </c>
      <c r="D29" s="26">
        <v>600000</v>
      </c>
      <c r="E29" s="26"/>
      <c r="F29" s="122"/>
      <c r="G29" s="26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/>
      <c r="N29" s="122"/>
      <c r="O29" s="122">
        <v>0</v>
      </c>
      <c r="P29" s="23">
        <f t="shared" si="3"/>
        <v>600000</v>
      </c>
      <c r="Q29" s="12"/>
      <c r="R29" s="12"/>
    </row>
    <row r="30" spans="1:18" ht="15.75">
      <c r="A30" s="44" t="s">
        <v>175</v>
      </c>
      <c r="B30" s="25" t="s">
        <v>134</v>
      </c>
      <c r="C30" s="152">
        <v>152192</v>
      </c>
      <c r="D30" s="26">
        <v>0</v>
      </c>
      <c r="E30" s="26">
        <v>152192</v>
      </c>
      <c r="F30" s="122"/>
      <c r="G30" s="26">
        <v>0</v>
      </c>
      <c r="H30" s="122"/>
      <c r="I30" s="122">
        <v>0</v>
      </c>
      <c r="J30" s="122"/>
      <c r="K30" s="122"/>
      <c r="L30" s="122"/>
      <c r="M30" s="122"/>
      <c r="N30" s="122"/>
      <c r="O30" s="122"/>
      <c r="P30" s="23">
        <f t="shared" si="3"/>
        <v>152192</v>
      </c>
      <c r="Q30" s="12"/>
      <c r="R30" s="12"/>
    </row>
    <row r="31" spans="1:18" ht="15.75">
      <c r="A31" s="44" t="s">
        <v>177</v>
      </c>
      <c r="B31" s="25" t="s">
        <v>176</v>
      </c>
      <c r="C31" s="152">
        <v>1615352.76</v>
      </c>
      <c r="D31" s="26">
        <v>1615174.98</v>
      </c>
      <c r="E31" s="26">
        <v>177.78</v>
      </c>
      <c r="F31" s="122"/>
      <c r="G31" s="26">
        <v>0</v>
      </c>
      <c r="H31" s="122"/>
      <c r="I31" s="122">
        <v>0</v>
      </c>
      <c r="J31" s="122"/>
      <c r="K31" s="122"/>
      <c r="L31" s="122"/>
      <c r="M31" s="122"/>
      <c r="N31" s="122"/>
      <c r="O31" s="122"/>
      <c r="P31" s="23">
        <f t="shared" si="3"/>
        <v>1615352.76</v>
      </c>
      <c r="Q31" s="12"/>
      <c r="R31" s="12"/>
    </row>
    <row r="32" spans="1:18" ht="15.75">
      <c r="A32" s="44" t="s">
        <v>179</v>
      </c>
      <c r="B32" s="25" t="s">
        <v>178</v>
      </c>
      <c r="C32" s="152">
        <v>12194167.5</v>
      </c>
      <c r="D32" s="26">
        <v>1499801</v>
      </c>
      <c r="E32" s="26">
        <v>10694366.5</v>
      </c>
      <c r="F32" s="122"/>
      <c r="G32" s="26">
        <v>0</v>
      </c>
      <c r="H32" s="122"/>
      <c r="I32" s="122">
        <v>0</v>
      </c>
      <c r="J32" s="122"/>
      <c r="K32" s="122"/>
      <c r="L32" s="122"/>
      <c r="M32" s="122"/>
      <c r="N32" s="122"/>
      <c r="O32" s="122"/>
      <c r="P32" s="23">
        <f t="shared" si="3"/>
        <v>12194167.5</v>
      </c>
      <c r="Q32" s="12"/>
      <c r="R32" s="12"/>
    </row>
    <row r="33" spans="1:18" ht="15.75">
      <c r="A33" s="44" t="s">
        <v>180</v>
      </c>
      <c r="B33" s="25" t="s">
        <v>135</v>
      </c>
      <c r="C33" s="26">
        <v>973400</v>
      </c>
      <c r="D33" s="26">
        <v>973400</v>
      </c>
      <c r="E33" s="26"/>
      <c r="F33" s="122"/>
      <c r="G33" s="26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/>
      <c r="N33" s="122"/>
      <c r="O33" s="122">
        <v>0</v>
      </c>
      <c r="P33" s="23">
        <f>SUM(D33:I33)</f>
        <v>973400</v>
      </c>
      <c r="Q33" s="12"/>
      <c r="R33" s="12"/>
    </row>
    <row r="34" spans="1:18" ht="15.75">
      <c r="A34" s="44" t="s">
        <v>181</v>
      </c>
      <c r="B34" s="25" t="s">
        <v>182</v>
      </c>
      <c r="C34" s="26">
        <v>3444984</v>
      </c>
      <c r="D34" s="26">
        <v>3444984</v>
      </c>
      <c r="E34" s="26"/>
      <c r="F34" s="122"/>
      <c r="G34" s="26">
        <v>0</v>
      </c>
      <c r="H34" s="122"/>
      <c r="I34" s="122">
        <v>0</v>
      </c>
      <c r="J34" s="122"/>
      <c r="K34" s="122"/>
      <c r="L34" s="122"/>
      <c r="M34" s="122"/>
      <c r="N34" s="122"/>
      <c r="O34" s="122"/>
      <c r="P34" s="23">
        <f>SUM(D34:I34)</f>
        <v>3444984</v>
      </c>
      <c r="Q34" s="12"/>
      <c r="R34" s="12"/>
    </row>
    <row r="35" spans="1:18" ht="15.75">
      <c r="A35" s="44" t="s">
        <v>183</v>
      </c>
      <c r="B35" s="118" t="s">
        <v>99</v>
      </c>
      <c r="C35" s="122">
        <f>SUM(C36:C40)</f>
        <v>54080160.88</v>
      </c>
      <c r="D35" s="122">
        <f>SUM(D36:D40)</f>
        <v>43882154.32</v>
      </c>
      <c r="E35" s="122">
        <f aca="true" t="shared" si="6" ref="E35:O35">SUM(E36:E40)</f>
        <v>10195011.29</v>
      </c>
      <c r="F35" s="122">
        <f>SUM(F36:F40)</f>
        <v>2995.27</v>
      </c>
      <c r="G35" s="122">
        <f t="shared" si="6"/>
        <v>0</v>
      </c>
      <c r="H35" s="122">
        <f t="shared" si="6"/>
        <v>0</v>
      </c>
      <c r="I35" s="122">
        <f t="shared" si="6"/>
        <v>0</v>
      </c>
      <c r="J35" s="122">
        <f t="shared" si="6"/>
        <v>0</v>
      </c>
      <c r="K35" s="122">
        <f t="shared" si="6"/>
        <v>0</v>
      </c>
      <c r="L35" s="122">
        <f t="shared" si="6"/>
        <v>0</v>
      </c>
      <c r="M35" s="122">
        <f t="shared" si="6"/>
        <v>0</v>
      </c>
      <c r="N35" s="122">
        <f t="shared" si="6"/>
        <v>0</v>
      </c>
      <c r="O35" s="122">
        <f t="shared" si="6"/>
        <v>0</v>
      </c>
      <c r="P35" s="122">
        <f>SUM(P36:P40)</f>
        <v>54080160.88</v>
      </c>
      <c r="Q35" s="12"/>
      <c r="R35" s="12"/>
    </row>
    <row r="36" spans="1:18" ht="15.75">
      <c r="A36" s="44" t="s">
        <v>184</v>
      </c>
      <c r="B36" s="25" t="s">
        <v>136</v>
      </c>
      <c r="C36" s="26">
        <v>33419485.16</v>
      </c>
      <c r="D36" s="26">
        <v>27746814</v>
      </c>
      <c r="E36" s="26">
        <v>5670110.91</v>
      </c>
      <c r="F36" s="122">
        <v>2560.25</v>
      </c>
      <c r="G36" s="26">
        <v>0</v>
      </c>
      <c r="H36" s="26"/>
      <c r="I36" s="122">
        <v>0</v>
      </c>
      <c r="J36" s="122">
        <v>0</v>
      </c>
      <c r="K36" s="122">
        <v>0</v>
      </c>
      <c r="L36" s="122">
        <v>0</v>
      </c>
      <c r="M36" s="122"/>
      <c r="N36" s="122"/>
      <c r="O36" s="122">
        <v>0</v>
      </c>
      <c r="P36" s="23">
        <f>SUM(D36:I36)</f>
        <v>33419485.16</v>
      </c>
      <c r="Q36" s="12"/>
      <c r="R36" s="12"/>
    </row>
    <row r="37" spans="1:18" ht="15.75">
      <c r="A37" s="44" t="s">
        <v>186</v>
      </c>
      <c r="B37" s="25" t="s">
        <v>185</v>
      </c>
      <c r="C37" s="26">
        <v>12500641.26</v>
      </c>
      <c r="D37" s="26">
        <v>8248029</v>
      </c>
      <c r="E37" s="26">
        <v>4252300.38</v>
      </c>
      <c r="F37" s="122">
        <v>311.88</v>
      </c>
      <c r="G37" s="26">
        <v>0</v>
      </c>
      <c r="H37" s="26"/>
      <c r="I37" s="122">
        <v>0</v>
      </c>
      <c r="J37" s="122"/>
      <c r="K37" s="122"/>
      <c r="L37" s="122"/>
      <c r="M37" s="122"/>
      <c r="N37" s="122"/>
      <c r="O37" s="122"/>
      <c r="P37" s="23">
        <f aca="true" t="shared" si="7" ref="P37:P46">SUM(D37:I37)</f>
        <v>12500641.26</v>
      </c>
      <c r="Q37" s="12"/>
      <c r="R37" s="12"/>
    </row>
    <row r="38" spans="1:18" ht="15.75">
      <c r="A38" s="44" t="s">
        <v>188</v>
      </c>
      <c r="B38" s="25" t="s">
        <v>187</v>
      </c>
      <c r="C38" s="26">
        <v>525896.4</v>
      </c>
      <c r="D38" s="26">
        <v>525896.4</v>
      </c>
      <c r="E38" s="26"/>
      <c r="F38" s="122"/>
      <c r="G38" s="26">
        <v>0</v>
      </c>
      <c r="H38" s="26"/>
      <c r="I38" s="122">
        <v>0</v>
      </c>
      <c r="J38" s="122"/>
      <c r="K38" s="122"/>
      <c r="L38" s="122"/>
      <c r="M38" s="122"/>
      <c r="N38" s="122"/>
      <c r="O38" s="122"/>
      <c r="P38" s="23">
        <f t="shared" si="7"/>
        <v>525896.4</v>
      </c>
      <c r="Q38" s="12"/>
      <c r="R38" s="12"/>
    </row>
    <row r="39" spans="1:18" ht="15.75">
      <c r="A39" s="44" t="s">
        <v>191</v>
      </c>
      <c r="B39" s="25" t="s">
        <v>189</v>
      </c>
      <c r="C39" s="26">
        <v>4846832.14</v>
      </c>
      <c r="D39" s="26">
        <v>4574109</v>
      </c>
      <c r="E39" s="26">
        <v>272600</v>
      </c>
      <c r="F39" s="122">
        <v>123.14</v>
      </c>
      <c r="G39" s="26">
        <v>0</v>
      </c>
      <c r="H39" s="26"/>
      <c r="I39" s="122">
        <v>0</v>
      </c>
      <c r="J39" s="122"/>
      <c r="K39" s="122"/>
      <c r="L39" s="122"/>
      <c r="M39" s="122"/>
      <c r="N39" s="122"/>
      <c r="O39" s="122"/>
      <c r="P39" s="23">
        <f t="shared" si="7"/>
        <v>4846832.14</v>
      </c>
      <c r="Q39" s="12"/>
      <c r="R39" s="12"/>
    </row>
    <row r="40" spans="1:18" ht="15.75">
      <c r="A40" s="44" t="s">
        <v>192</v>
      </c>
      <c r="B40" s="25" t="s">
        <v>190</v>
      </c>
      <c r="C40" s="26">
        <v>2787305.92</v>
      </c>
      <c r="D40" s="26">
        <v>2787305.92</v>
      </c>
      <c r="E40" s="26"/>
      <c r="F40" s="122"/>
      <c r="G40" s="26">
        <v>0</v>
      </c>
      <c r="H40" s="26"/>
      <c r="I40" s="122">
        <v>0</v>
      </c>
      <c r="J40" s="122"/>
      <c r="K40" s="122"/>
      <c r="L40" s="122"/>
      <c r="M40" s="122"/>
      <c r="N40" s="122"/>
      <c r="O40" s="122"/>
      <c r="P40" s="23">
        <f t="shared" si="7"/>
        <v>2787305.92</v>
      </c>
      <c r="Q40" s="12"/>
      <c r="R40" s="12"/>
    </row>
    <row r="41" spans="1:18" ht="15.75">
      <c r="A41" s="44" t="s">
        <v>196</v>
      </c>
      <c r="B41" s="118" t="s">
        <v>193</v>
      </c>
      <c r="C41" s="122">
        <f>+C42</f>
        <v>6.96</v>
      </c>
      <c r="D41" s="122">
        <f>+D42</f>
        <v>0</v>
      </c>
      <c r="E41" s="122">
        <f>+E42</f>
        <v>6.96</v>
      </c>
      <c r="F41" s="122"/>
      <c r="G41" s="122">
        <f>+G42</f>
        <v>0</v>
      </c>
      <c r="H41" s="122"/>
      <c r="I41" s="122">
        <f>+I42</f>
        <v>0</v>
      </c>
      <c r="J41" s="122"/>
      <c r="K41" s="122"/>
      <c r="L41" s="122"/>
      <c r="M41" s="122"/>
      <c r="N41" s="122"/>
      <c r="O41" s="122"/>
      <c r="P41" s="122">
        <f>+P42</f>
        <v>6.96</v>
      </c>
      <c r="Q41" s="12"/>
      <c r="R41" s="12"/>
    </row>
    <row r="42" spans="1:18" ht="15.75">
      <c r="A42" s="44" t="s">
        <v>195</v>
      </c>
      <c r="B42" s="25" t="s">
        <v>194</v>
      </c>
      <c r="C42" s="26">
        <v>6.96</v>
      </c>
      <c r="D42" s="26">
        <v>0</v>
      </c>
      <c r="E42" s="26">
        <v>6.96</v>
      </c>
      <c r="F42" s="122"/>
      <c r="G42" s="26">
        <v>0</v>
      </c>
      <c r="H42" s="26"/>
      <c r="I42" s="122">
        <v>0</v>
      </c>
      <c r="J42" s="122"/>
      <c r="K42" s="122"/>
      <c r="L42" s="122"/>
      <c r="M42" s="122"/>
      <c r="N42" s="122"/>
      <c r="O42" s="122"/>
      <c r="P42" s="23">
        <f>SUM(D42:I42)</f>
        <v>6.96</v>
      </c>
      <c r="Q42" s="12"/>
      <c r="R42" s="12"/>
    </row>
    <row r="43" spans="1:18" ht="15">
      <c r="A43" s="44" t="s">
        <v>104</v>
      </c>
      <c r="B43" s="118" t="s">
        <v>197</v>
      </c>
      <c r="C43" s="26">
        <f>SUM(C44:C46)</f>
        <v>2346077.94</v>
      </c>
      <c r="D43" s="26">
        <f aca="true" t="shared" si="8" ref="D43:P43">SUM(D44:D46)</f>
        <v>0</v>
      </c>
      <c r="E43" s="26">
        <f t="shared" si="8"/>
        <v>2346077.94</v>
      </c>
      <c r="F43" s="26">
        <f t="shared" si="8"/>
        <v>0</v>
      </c>
      <c r="G43" s="26">
        <f t="shared" si="8"/>
        <v>0</v>
      </c>
      <c r="H43" s="26">
        <f t="shared" si="8"/>
        <v>0</v>
      </c>
      <c r="I43" s="26">
        <f t="shared" si="8"/>
        <v>0</v>
      </c>
      <c r="J43" s="26">
        <f t="shared" si="8"/>
        <v>0</v>
      </c>
      <c r="K43" s="26">
        <f t="shared" si="8"/>
        <v>0</v>
      </c>
      <c r="L43" s="26">
        <f t="shared" si="8"/>
        <v>0</v>
      </c>
      <c r="M43" s="26">
        <f t="shared" si="8"/>
        <v>0</v>
      </c>
      <c r="N43" s="26">
        <f t="shared" si="8"/>
        <v>0</v>
      </c>
      <c r="O43" s="26">
        <f t="shared" si="8"/>
        <v>0</v>
      </c>
      <c r="P43" s="26">
        <f t="shared" si="8"/>
        <v>2346077.94</v>
      </c>
      <c r="Q43" s="12"/>
      <c r="R43" s="12"/>
    </row>
    <row r="44" spans="1:18" ht="15.75">
      <c r="A44" s="44" t="s">
        <v>201</v>
      </c>
      <c r="B44" s="25" t="s">
        <v>198</v>
      </c>
      <c r="C44" s="26">
        <v>2283935.94</v>
      </c>
      <c r="D44" s="26">
        <v>0</v>
      </c>
      <c r="E44" s="26">
        <v>2283935.94</v>
      </c>
      <c r="F44" s="122"/>
      <c r="G44" s="26">
        <v>0</v>
      </c>
      <c r="H44" s="26"/>
      <c r="I44" s="122">
        <v>0</v>
      </c>
      <c r="J44" s="122"/>
      <c r="K44" s="122"/>
      <c r="L44" s="122"/>
      <c r="M44" s="122"/>
      <c r="N44" s="122"/>
      <c r="O44" s="122"/>
      <c r="P44" s="23">
        <f t="shared" si="7"/>
        <v>2283935.94</v>
      </c>
      <c r="Q44" s="12"/>
      <c r="R44" s="12"/>
    </row>
    <row r="45" spans="1:18" ht="15.75">
      <c r="A45" s="44" t="s">
        <v>202</v>
      </c>
      <c r="B45" s="25" t="s">
        <v>199</v>
      </c>
      <c r="C45" s="26">
        <v>61051.97</v>
      </c>
      <c r="D45" s="26">
        <v>0</v>
      </c>
      <c r="E45" s="26">
        <v>61051.97</v>
      </c>
      <c r="F45" s="122"/>
      <c r="G45" s="26">
        <v>0</v>
      </c>
      <c r="H45" s="26"/>
      <c r="I45" s="122">
        <v>0</v>
      </c>
      <c r="J45" s="122"/>
      <c r="K45" s="122"/>
      <c r="L45" s="122"/>
      <c r="M45" s="122"/>
      <c r="N45" s="122"/>
      <c r="O45" s="122"/>
      <c r="P45" s="23">
        <f t="shared" si="7"/>
        <v>61051.97</v>
      </c>
      <c r="Q45" s="12"/>
      <c r="R45" s="12"/>
    </row>
    <row r="46" spans="1:18" ht="16.5" thickBot="1">
      <c r="A46" s="44" t="s">
        <v>203</v>
      </c>
      <c r="B46" s="25" t="s">
        <v>200</v>
      </c>
      <c r="C46" s="26">
        <v>1090.03</v>
      </c>
      <c r="D46" s="26">
        <v>0</v>
      </c>
      <c r="E46" s="26">
        <v>1090.03</v>
      </c>
      <c r="F46" s="122"/>
      <c r="G46" s="26">
        <v>0</v>
      </c>
      <c r="H46" s="26"/>
      <c r="I46" s="122">
        <v>0</v>
      </c>
      <c r="J46" s="122"/>
      <c r="K46" s="122"/>
      <c r="L46" s="122"/>
      <c r="M46" s="122"/>
      <c r="N46" s="122"/>
      <c r="O46" s="122"/>
      <c r="P46" s="23">
        <f t="shared" si="7"/>
        <v>1090.03</v>
      </c>
      <c r="Q46" s="12"/>
      <c r="R46" s="12"/>
    </row>
    <row r="47" spans="1:18" ht="16.5" thickBot="1">
      <c r="A47" s="80"/>
      <c r="B47" s="71" t="s">
        <v>61</v>
      </c>
      <c r="C47" s="33">
        <f aca="true" t="shared" si="9" ref="C47:P47">SUM(C48:C48)</f>
        <v>776865277.71</v>
      </c>
      <c r="D47" s="33">
        <f t="shared" si="9"/>
        <v>485293598</v>
      </c>
      <c r="E47" s="33">
        <f t="shared" si="9"/>
        <v>291420479.71</v>
      </c>
      <c r="F47" s="33">
        <f t="shared" si="9"/>
        <v>0</v>
      </c>
      <c r="G47" s="33">
        <f t="shared" si="9"/>
        <v>0</v>
      </c>
      <c r="H47" s="33">
        <f t="shared" si="9"/>
        <v>151200</v>
      </c>
      <c r="I47" s="33">
        <f>I48</f>
        <v>0</v>
      </c>
      <c r="J47" s="33">
        <f>SUM(J22:J46)</f>
        <v>0</v>
      </c>
      <c r="K47" s="33"/>
      <c r="L47" s="33">
        <f t="shared" si="9"/>
        <v>0</v>
      </c>
      <c r="M47" s="33"/>
      <c r="N47" s="33"/>
      <c r="O47" s="33">
        <f t="shared" si="9"/>
        <v>0</v>
      </c>
      <c r="P47" s="34">
        <f t="shared" si="9"/>
        <v>776865277.71</v>
      </c>
      <c r="Q47" s="12"/>
      <c r="R47" s="12"/>
    </row>
    <row r="48" spans="1:18" ht="15.75" thickBot="1">
      <c r="A48" s="46" t="s">
        <v>79</v>
      </c>
      <c r="B48" s="25" t="s">
        <v>59</v>
      </c>
      <c r="C48" s="152">
        <v>776865277.71</v>
      </c>
      <c r="D48" s="27">
        <v>485293598</v>
      </c>
      <c r="E48" s="26">
        <v>291420479.71</v>
      </c>
      <c r="F48" s="26">
        <v>0</v>
      </c>
      <c r="G48" s="134"/>
      <c r="H48" s="134">
        <v>151200</v>
      </c>
      <c r="I48" s="134">
        <v>0</v>
      </c>
      <c r="J48" s="134">
        <v>0</v>
      </c>
      <c r="K48" s="134"/>
      <c r="L48" s="134">
        <v>0</v>
      </c>
      <c r="M48" s="134"/>
      <c r="N48" s="134"/>
      <c r="O48" s="134">
        <v>0</v>
      </c>
      <c r="P48" s="23">
        <f>SUM(D48:I48)</f>
        <v>776865277.71</v>
      </c>
      <c r="Q48" s="12"/>
      <c r="R48" s="12"/>
    </row>
    <row r="49" spans="1:18" ht="18.75" thickBot="1">
      <c r="A49" s="224" t="s">
        <v>50</v>
      </c>
      <c r="B49" s="225"/>
      <c r="C49" s="30">
        <f aca="true" t="shared" si="10" ref="C49:P49">SUM(C16+C47)</f>
        <v>890123517.64</v>
      </c>
      <c r="D49" s="30">
        <f t="shared" si="10"/>
        <v>566332789.3</v>
      </c>
      <c r="E49" s="30">
        <f t="shared" si="10"/>
        <v>323632799.53</v>
      </c>
      <c r="F49" s="30">
        <f t="shared" si="10"/>
        <v>6728.8099999999995</v>
      </c>
      <c r="G49" s="30">
        <f t="shared" si="10"/>
        <v>0</v>
      </c>
      <c r="H49" s="30">
        <f t="shared" si="10"/>
        <v>151200</v>
      </c>
      <c r="I49" s="30">
        <f t="shared" si="10"/>
        <v>0</v>
      </c>
      <c r="J49" s="30">
        <f t="shared" si="10"/>
        <v>0</v>
      </c>
      <c r="K49" s="30">
        <f t="shared" si="10"/>
        <v>0</v>
      </c>
      <c r="L49" s="30">
        <f t="shared" si="10"/>
        <v>0</v>
      </c>
      <c r="M49" s="30">
        <f t="shared" si="10"/>
        <v>0</v>
      </c>
      <c r="N49" s="30">
        <f t="shared" si="10"/>
        <v>0</v>
      </c>
      <c r="O49" s="30">
        <f t="shared" si="10"/>
        <v>0</v>
      </c>
      <c r="P49" s="30">
        <f t="shared" si="10"/>
        <v>890123517.64</v>
      </c>
      <c r="Q49" s="12"/>
      <c r="R49" s="12"/>
    </row>
    <row r="50" spans="1:16" ht="12.75">
      <c r="A50" s="107" t="s">
        <v>151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1:16" ht="12.75">
      <c r="A51" s="113"/>
      <c r="B51" s="5"/>
      <c r="C51" s="5"/>
      <c r="D51" s="5"/>
      <c r="E51" s="37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</row>
    <row r="53" spans="1:16" ht="12.75">
      <c r="A53" s="6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6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ht="12.75">
      <c r="A55" s="61">
        <f ca="1">TODAY()</f>
        <v>41107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3.5" thickBot="1">
      <c r="A56" s="4"/>
      <c r="B56" s="75" t="s">
        <v>85</v>
      </c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4"/>
      <c r="B57" s="76" t="s">
        <v>114</v>
      </c>
      <c r="C57" s="3"/>
      <c r="D57" s="6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1:16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</row>
    <row r="59" spans="1:16" ht="12.75">
      <c r="A59" s="3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3.5" thickBo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</row>
  </sheetData>
  <sheetProtection/>
  <mergeCells count="9">
    <mergeCell ref="A52:P52"/>
    <mergeCell ref="A5:P5"/>
    <mergeCell ref="A49:B49"/>
    <mergeCell ref="A1:P1"/>
    <mergeCell ref="A2:P2"/>
    <mergeCell ref="A3:P3"/>
    <mergeCell ref="A4:P4"/>
    <mergeCell ref="A7:B7"/>
    <mergeCell ref="A8:B8"/>
  </mergeCells>
  <printOptions horizontalCentered="1" verticalCentered="1"/>
  <pageMargins left="0.2755905511811024" right="0.6692913385826772" top="0.1968503937007874" bottom="0.1968503937007874" header="0.31496062992125984" footer="0.1968503937007874"/>
  <pageSetup horizontalDpi="300" verticalDpi="300" orientation="landscape" paperSize="5" scale="6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225"/>
  <sheetViews>
    <sheetView zoomScalePageLayoutView="0" workbookViewId="0" topLeftCell="AL1">
      <selection activeCell="A44" sqref="A44"/>
    </sheetView>
  </sheetViews>
  <sheetFormatPr defaultColWidth="11.421875" defaultRowHeight="12.75"/>
  <cols>
    <col min="1" max="1" width="15.8515625" style="1" customWidth="1"/>
    <col min="2" max="2" width="55.28125" style="1" customWidth="1"/>
    <col min="3" max="3" width="30.710937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5.00390625" style="1" hidden="1" customWidth="1"/>
    <col min="8" max="8" width="27.57421875" style="1" hidden="1" customWidth="1"/>
    <col min="9" max="9" width="14.7109375" style="1" customWidth="1"/>
    <col min="10" max="10" width="14.8515625" style="1" hidden="1" customWidth="1"/>
    <col min="11" max="11" width="28.57421875" style="1" hidden="1" customWidth="1"/>
    <col min="12" max="12" width="23.28125" style="1" hidden="1" customWidth="1"/>
    <col min="13" max="13" width="23.57421875" style="1" hidden="1" customWidth="1"/>
    <col min="14" max="14" width="18.8515625" style="1" hidden="1" customWidth="1"/>
    <col min="15" max="15" width="23.71093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18.57421875" style="1" hidden="1" customWidth="1"/>
    <col min="22" max="22" width="14.57421875" style="1" customWidth="1"/>
    <col min="23" max="23" width="20.7109375" style="1" hidden="1" customWidth="1"/>
    <col min="24" max="24" width="18.8515625" style="1" hidden="1" customWidth="1"/>
    <col min="25" max="25" width="19.00390625" style="1" hidden="1" customWidth="1"/>
    <col min="26" max="26" width="22.421875" style="1" hidden="1" customWidth="1"/>
    <col min="27" max="27" width="19.8515625" style="1" hidden="1" customWidth="1"/>
    <col min="28" max="28" width="15.421875" style="1" hidden="1" customWidth="1"/>
    <col min="29" max="29" width="17.57421875" style="1" customWidth="1"/>
    <col min="30" max="30" width="20.8515625" style="1" bestFit="1" customWidth="1"/>
    <col min="31" max="31" width="31.00390625" style="1" bestFit="1" customWidth="1"/>
    <col min="32" max="32" width="17.28125" style="1" customWidth="1"/>
    <col min="33" max="16384" width="11.421875" style="1" customWidth="1"/>
  </cols>
  <sheetData>
    <row r="1" spans="1:29" ht="18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</row>
    <row r="2" spans="1:29" ht="15.75">
      <c r="A2" s="201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</row>
    <row r="3" spans="1:29" ht="18">
      <c r="A3" s="204" t="s">
        <v>51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15.75">
      <c r="A4" s="201" t="s">
        <v>53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</row>
    <row r="5" spans="1:29" ht="20.25">
      <c r="A5" s="207" t="s">
        <v>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</row>
    <row r="6" spans="1:30" ht="15.75" thickBo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6"/>
      <c r="V6" s="50"/>
      <c r="W6" s="50"/>
      <c r="X6" s="50"/>
      <c r="Y6" s="50"/>
      <c r="Z6" s="50"/>
      <c r="AA6" s="50"/>
      <c r="AB6" s="50"/>
      <c r="AC6" s="50"/>
      <c r="AD6" s="37"/>
    </row>
    <row r="7" spans="1:30" ht="15.75">
      <c r="A7" s="233" t="s">
        <v>4</v>
      </c>
      <c r="B7" s="234"/>
      <c r="C7" s="180" t="s">
        <v>48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2" t="s">
        <v>217</v>
      </c>
      <c r="Q7" s="183"/>
      <c r="R7" s="183"/>
      <c r="S7" s="183"/>
      <c r="T7" s="183"/>
      <c r="U7" s="184"/>
      <c r="V7" s="183"/>
      <c r="W7" s="183"/>
      <c r="X7" s="183"/>
      <c r="Y7" s="183"/>
      <c r="Z7" s="183"/>
      <c r="AA7" s="183"/>
      <c r="AB7" s="183"/>
      <c r="AC7" s="185"/>
      <c r="AD7" s="5"/>
    </row>
    <row r="8" spans="1:30" ht="15.75">
      <c r="A8" s="222" t="s">
        <v>5</v>
      </c>
      <c r="B8" s="223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67" t="s">
        <v>221</v>
      </c>
      <c r="Q8" s="69"/>
      <c r="R8" s="65">
        <v>2012</v>
      </c>
      <c r="S8" s="69"/>
      <c r="T8" s="69"/>
      <c r="U8" s="56"/>
      <c r="V8" s="69"/>
      <c r="W8" s="69"/>
      <c r="X8" s="69"/>
      <c r="Y8" s="69"/>
      <c r="Z8" s="69"/>
      <c r="AA8" s="69"/>
      <c r="AB8" s="69"/>
      <c r="AC8" s="186"/>
      <c r="AD8" s="40"/>
    </row>
    <row r="9" spans="1:29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5"/>
    </row>
    <row r="10" spans="1:29" ht="12.75">
      <c r="A10" s="100"/>
      <c r="B10" s="101"/>
      <c r="C10" s="101" t="s">
        <v>54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ht="12.75">
      <c r="A11" s="102" t="s">
        <v>40</v>
      </c>
      <c r="B11" s="102" t="s">
        <v>42</v>
      </c>
      <c r="C11" s="102" t="s">
        <v>55</v>
      </c>
      <c r="D11" s="102" t="s">
        <v>45</v>
      </c>
      <c r="E11" s="102" t="s">
        <v>45</v>
      </c>
      <c r="F11" s="102" t="s">
        <v>45</v>
      </c>
      <c r="G11" s="102" t="s">
        <v>45</v>
      </c>
      <c r="H11" s="102" t="s">
        <v>45</v>
      </c>
      <c r="I11" s="102" t="s">
        <v>45</v>
      </c>
      <c r="J11" s="102" t="s">
        <v>45</v>
      </c>
      <c r="K11" s="102" t="s">
        <v>45</v>
      </c>
      <c r="L11" s="102" t="s">
        <v>45</v>
      </c>
      <c r="M11" s="102" t="s">
        <v>45</v>
      </c>
      <c r="N11" s="102" t="s">
        <v>45</v>
      </c>
      <c r="O11" s="102" t="s">
        <v>45</v>
      </c>
      <c r="P11" s="102" t="s">
        <v>45</v>
      </c>
      <c r="Q11" s="102" t="s">
        <v>46</v>
      </c>
      <c r="R11" s="102" t="s">
        <v>46</v>
      </c>
      <c r="S11" s="102" t="s">
        <v>46</v>
      </c>
      <c r="T11" s="102" t="s">
        <v>46</v>
      </c>
      <c r="U11" s="102" t="s">
        <v>46</v>
      </c>
      <c r="V11" s="102" t="s">
        <v>46</v>
      </c>
      <c r="W11" s="102" t="s">
        <v>46</v>
      </c>
      <c r="X11" s="102" t="s">
        <v>46</v>
      </c>
      <c r="Y11" s="102" t="s">
        <v>46</v>
      </c>
      <c r="Z11" s="102" t="s">
        <v>46</v>
      </c>
      <c r="AA11" s="102" t="s">
        <v>46</v>
      </c>
      <c r="AB11" s="102" t="s">
        <v>46</v>
      </c>
      <c r="AC11" s="102" t="s">
        <v>46</v>
      </c>
    </row>
    <row r="12" spans="1:29" ht="13.5" thickBot="1">
      <c r="A12" s="103" t="s">
        <v>41</v>
      </c>
      <c r="B12" s="103"/>
      <c r="C12" s="103" t="s">
        <v>88</v>
      </c>
      <c r="D12" s="103" t="s">
        <v>13</v>
      </c>
      <c r="E12" s="103" t="s">
        <v>14</v>
      </c>
      <c r="F12" s="103" t="s">
        <v>15</v>
      </c>
      <c r="G12" s="103" t="s">
        <v>16</v>
      </c>
      <c r="H12" s="103" t="s">
        <v>28</v>
      </c>
      <c r="I12" s="103" t="s">
        <v>29</v>
      </c>
      <c r="J12" s="103" t="s">
        <v>30</v>
      </c>
      <c r="K12" s="103" t="s">
        <v>20</v>
      </c>
      <c r="L12" s="103" t="s">
        <v>90</v>
      </c>
      <c r="M12" s="103" t="s">
        <v>31</v>
      </c>
      <c r="N12" s="103" t="s">
        <v>23</v>
      </c>
      <c r="O12" s="103" t="s">
        <v>24</v>
      </c>
      <c r="P12" s="103" t="s">
        <v>47</v>
      </c>
      <c r="Q12" s="103" t="s">
        <v>13</v>
      </c>
      <c r="R12" s="103" t="s">
        <v>14</v>
      </c>
      <c r="S12" s="103" t="s">
        <v>15</v>
      </c>
      <c r="T12" s="103" t="s">
        <v>16</v>
      </c>
      <c r="U12" s="103" t="s">
        <v>28</v>
      </c>
      <c r="V12" s="103" t="s">
        <v>29</v>
      </c>
      <c r="W12" s="103" t="s">
        <v>30</v>
      </c>
      <c r="X12" s="103" t="s">
        <v>20</v>
      </c>
      <c r="Y12" s="103" t="s">
        <v>90</v>
      </c>
      <c r="Z12" s="103" t="s">
        <v>31</v>
      </c>
      <c r="AA12" s="103" t="s">
        <v>23</v>
      </c>
      <c r="AB12" s="103" t="s">
        <v>24</v>
      </c>
      <c r="AC12" s="103" t="s">
        <v>25</v>
      </c>
    </row>
    <row r="13" spans="1:29" ht="13.5" thickBot="1">
      <c r="A13" s="104">
        <v>1</v>
      </c>
      <c r="B13" s="105">
        <v>2</v>
      </c>
      <c r="C13" s="105"/>
      <c r="D13" s="105"/>
      <c r="E13" s="105"/>
      <c r="F13" s="105">
        <v>5</v>
      </c>
      <c r="G13" s="105">
        <v>5</v>
      </c>
      <c r="H13" s="105">
        <v>5</v>
      </c>
      <c r="I13" s="105">
        <v>5</v>
      </c>
      <c r="J13" s="105">
        <v>5</v>
      </c>
      <c r="K13" s="105">
        <v>5</v>
      </c>
      <c r="L13" s="105">
        <v>5</v>
      </c>
      <c r="M13" s="105">
        <v>5</v>
      </c>
      <c r="N13" s="105">
        <v>5</v>
      </c>
      <c r="O13" s="105">
        <v>5</v>
      </c>
      <c r="P13" s="105">
        <v>6</v>
      </c>
      <c r="Q13" s="105"/>
      <c r="R13" s="105"/>
      <c r="S13" s="105">
        <v>7</v>
      </c>
      <c r="T13" s="105">
        <v>7</v>
      </c>
      <c r="U13" s="105">
        <v>7</v>
      </c>
      <c r="V13" s="105">
        <v>7</v>
      </c>
      <c r="W13" s="105">
        <v>7</v>
      </c>
      <c r="X13" s="105">
        <v>7</v>
      </c>
      <c r="Y13" s="105">
        <v>7</v>
      </c>
      <c r="Z13" s="105">
        <v>7</v>
      </c>
      <c r="AA13" s="105">
        <v>7</v>
      </c>
      <c r="AB13" s="105">
        <v>7</v>
      </c>
      <c r="AC13" s="106">
        <v>8</v>
      </c>
    </row>
    <row r="14" spans="1:30" s="29" customFormat="1" ht="16.5" thickBot="1">
      <c r="A14" s="31"/>
      <c r="B14" s="70" t="s">
        <v>60</v>
      </c>
      <c r="C14" s="32">
        <f>C17+C15</f>
        <v>5624115.79</v>
      </c>
      <c r="D14" s="32">
        <f aca="true" t="shared" si="0" ref="D14:AB14">D17</f>
        <v>12202.14</v>
      </c>
      <c r="E14" s="32">
        <f t="shared" si="0"/>
        <v>3946564</v>
      </c>
      <c r="F14" s="32">
        <f t="shared" si="0"/>
        <v>2041.33</v>
      </c>
      <c r="G14" s="32">
        <f t="shared" si="0"/>
        <v>54.44</v>
      </c>
      <c r="H14" s="32">
        <f>H17+H15</f>
        <v>1663253.88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>P17+P15</f>
        <v>5624115.79</v>
      </c>
      <c r="Q14" s="32">
        <f t="shared" si="0"/>
        <v>0</v>
      </c>
      <c r="R14" s="32">
        <f t="shared" si="0"/>
        <v>3958766.14</v>
      </c>
      <c r="S14" s="32">
        <f t="shared" si="0"/>
        <v>2041.33</v>
      </c>
      <c r="T14" s="32">
        <f t="shared" si="0"/>
        <v>54.44</v>
      </c>
      <c r="U14" s="32">
        <f>U17+U15</f>
        <v>1663253.88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187">
        <f>AC17+AC15</f>
        <v>5624115.79</v>
      </c>
      <c r="AD14" s="41"/>
    </row>
    <row r="15" spans="1:30" s="29" customFormat="1" ht="16.5" thickBot="1">
      <c r="A15" s="73"/>
      <c r="B15" s="71" t="s">
        <v>62</v>
      </c>
      <c r="C15" s="32">
        <f>+C16</f>
        <v>8637.55</v>
      </c>
      <c r="D15" s="32">
        <f>+D16</f>
        <v>0</v>
      </c>
      <c r="E15" s="32"/>
      <c r="F15" s="32"/>
      <c r="G15" s="32"/>
      <c r="H15" s="32">
        <f>+H16</f>
        <v>8637.55</v>
      </c>
      <c r="I15" s="32"/>
      <c r="J15" s="32"/>
      <c r="K15" s="32"/>
      <c r="L15" s="32"/>
      <c r="M15" s="32"/>
      <c r="N15" s="32"/>
      <c r="O15" s="32"/>
      <c r="P15" s="32">
        <f>+P16</f>
        <v>8637.55</v>
      </c>
      <c r="Q15" s="32">
        <f>+Q16</f>
        <v>0</v>
      </c>
      <c r="R15" s="32"/>
      <c r="S15" s="32"/>
      <c r="T15" s="32"/>
      <c r="U15" s="32">
        <f>+U16</f>
        <v>8637.55</v>
      </c>
      <c r="V15" s="32"/>
      <c r="W15" s="32"/>
      <c r="X15" s="32"/>
      <c r="Y15" s="32"/>
      <c r="Z15" s="32"/>
      <c r="AA15" s="32"/>
      <c r="AB15" s="32"/>
      <c r="AC15" s="187">
        <f>+AC16</f>
        <v>8637.55</v>
      </c>
      <c r="AD15" s="41"/>
    </row>
    <row r="16" spans="1:30" s="29" customFormat="1" ht="16.5" thickBot="1">
      <c r="A16" s="44" t="s">
        <v>125</v>
      </c>
      <c r="B16" s="38" t="s">
        <v>49</v>
      </c>
      <c r="C16" s="166">
        <v>8637.55</v>
      </c>
      <c r="D16" s="166">
        <v>0</v>
      </c>
      <c r="E16" s="166"/>
      <c r="F16" s="166"/>
      <c r="G16" s="166"/>
      <c r="H16" s="166">
        <v>8637.55</v>
      </c>
      <c r="I16" s="166"/>
      <c r="J16" s="166"/>
      <c r="K16" s="166"/>
      <c r="L16" s="166"/>
      <c r="M16" s="166"/>
      <c r="N16" s="166"/>
      <c r="O16" s="166"/>
      <c r="P16" s="132">
        <f>SUM(D16:O16)</f>
        <v>8637.55</v>
      </c>
      <c r="Q16" s="166">
        <v>0</v>
      </c>
      <c r="R16" s="166"/>
      <c r="S16" s="166"/>
      <c r="T16" s="166"/>
      <c r="U16" s="166">
        <v>8637.55</v>
      </c>
      <c r="V16" s="166">
        <v>0</v>
      </c>
      <c r="W16" s="166"/>
      <c r="X16" s="166"/>
      <c r="Y16" s="166"/>
      <c r="Z16" s="166"/>
      <c r="AA16" s="166"/>
      <c r="AB16" s="166"/>
      <c r="AC16" s="132">
        <f>SUM(Q16:AB16)</f>
        <v>8637.55</v>
      </c>
      <c r="AD16" s="41"/>
    </row>
    <row r="17" spans="1:30" s="12" customFormat="1" ht="16.5" thickBot="1">
      <c r="A17" s="73"/>
      <c r="B17" s="71" t="s">
        <v>63</v>
      </c>
      <c r="C17" s="43">
        <f>+C18+C20</f>
        <v>5615478.24</v>
      </c>
      <c r="D17" s="43">
        <f>+D18+D20</f>
        <v>12202.14</v>
      </c>
      <c r="E17" s="43">
        <f>E20</f>
        <v>3946564</v>
      </c>
      <c r="F17" s="43">
        <f aca="true" t="shared" si="1" ref="F17:AB17">F20</f>
        <v>2041.33</v>
      </c>
      <c r="G17" s="43">
        <f t="shared" si="1"/>
        <v>54.44</v>
      </c>
      <c r="H17" s="43">
        <f>H20+H18</f>
        <v>1654616.3299999998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>+P18+P20</f>
        <v>5615478.24</v>
      </c>
      <c r="Q17" s="43">
        <f>+Q18+Q20</f>
        <v>0</v>
      </c>
      <c r="R17" s="43">
        <f>R20+R18</f>
        <v>3958766.14</v>
      </c>
      <c r="S17" s="43">
        <f t="shared" si="1"/>
        <v>2041.33</v>
      </c>
      <c r="T17" s="43">
        <f t="shared" si="1"/>
        <v>54.44</v>
      </c>
      <c r="U17" s="43">
        <f>U20+U18</f>
        <v>1654616.3299999998</v>
      </c>
      <c r="V17" s="43">
        <f t="shared" si="1"/>
        <v>0</v>
      </c>
      <c r="W17" s="43">
        <f t="shared" si="1"/>
        <v>0</v>
      </c>
      <c r="X17" s="43">
        <f t="shared" si="1"/>
        <v>0</v>
      </c>
      <c r="Y17" s="43">
        <f t="shared" si="1"/>
        <v>0</v>
      </c>
      <c r="Z17" s="43">
        <f t="shared" si="1"/>
        <v>0</v>
      </c>
      <c r="AA17" s="43">
        <f t="shared" si="1"/>
        <v>0</v>
      </c>
      <c r="AB17" s="43">
        <f t="shared" si="1"/>
        <v>0</v>
      </c>
      <c r="AC17" s="188">
        <f>+AC18+AC20</f>
        <v>5615478.24</v>
      </c>
      <c r="AD17" s="41"/>
    </row>
    <row r="18" spans="1:30" s="12" customFormat="1" ht="15.75">
      <c r="A18" s="44" t="s">
        <v>126</v>
      </c>
      <c r="B18" s="118" t="s">
        <v>162</v>
      </c>
      <c r="C18" s="26">
        <f>+C19</f>
        <v>997058.66</v>
      </c>
      <c r="D18" s="26">
        <f aca="true" t="shared" si="2" ref="D18:AB18">+D19</f>
        <v>181.96</v>
      </c>
      <c r="E18" s="167">
        <f t="shared" si="2"/>
        <v>0</v>
      </c>
      <c r="F18" s="167">
        <f t="shared" si="2"/>
        <v>0</v>
      </c>
      <c r="G18" s="167">
        <f t="shared" si="2"/>
        <v>0</v>
      </c>
      <c r="H18" s="167">
        <f t="shared" si="2"/>
        <v>996876.7</v>
      </c>
      <c r="I18" s="167">
        <f t="shared" si="2"/>
        <v>0</v>
      </c>
      <c r="J18" s="167">
        <f t="shared" si="2"/>
        <v>0</v>
      </c>
      <c r="K18" s="167">
        <f t="shared" si="2"/>
        <v>0</v>
      </c>
      <c r="L18" s="167">
        <f t="shared" si="2"/>
        <v>0</v>
      </c>
      <c r="M18" s="167">
        <f t="shared" si="2"/>
        <v>0</v>
      </c>
      <c r="N18" s="167">
        <f t="shared" si="2"/>
        <v>0</v>
      </c>
      <c r="O18" s="167">
        <f t="shared" si="2"/>
        <v>0</v>
      </c>
      <c r="P18" s="167">
        <f t="shared" si="2"/>
        <v>997058.6599999999</v>
      </c>
      <c r="Q18" s="26">
        <f t="shared" si="2"/>
        <v>0</v>
      </c>
      <c r="R18" s="167">
        <f>+R19</f>
        <v>181.96</v>
      </c>
      <c r="S18" s="167">
        <f t="shared" si="2"/>
        <v>0</v>
      </c>
      <c r="T18" s="167">
        <f t="shared" si="2"/>
        <v>0</v>
      </c>
      <c r="U18" s="167">
        <f t="shared" si="2"/>
        <v>996876.7</v>
      </c>
      <c r="V18" s="167">
        <f t="shared" si="2"/>
        <v>0</v>
      </c>
      <c r="W18" s="167">
        <f t="shared" si="2"/>
        <v>0</v>
      </c>
      <c r="X18" s="167">
        <f t="shared" si="2"/>
        <v>0</v>
      </c>
      <c r="Y18" s="167">
        <f t="shared" si="2"/>
        <v>0</v>
      </c>
      <c r="Z18" s="167">
        <f t="shared" si="2"/>
        <v>0</v>
      </c>
      <c r="AA18" s="167">
        <f t="shared" si="2"/>
        <v>0</v>
      </c>
      <c r="AB18" s="167">
        <f t="shared" si="2"/>
        <v>0</v>
      </c>
      <c r="AC18" s="189">
        <f>AC19</f>
        <v>997058.6599999999</v>
      </c>
      <c r="AD18" s="41"/>
    </row>
    <row r="19" spans="1:30" s="12" customFormat="1" ht="15.75">
      <c r="A19" s="44" t="s">
        <v>164</v>
      </c>
      <c r="B19" s="25" t="s">
        <v>163</v>
      </c>
      <c r="C19" s="26">
        <v>997058.66</v>
      </c>
      <c r="D19" s="26">
        <v>181.96</v>
      </c>
      <c r="E19" s="47"/>
      <c r="F19" s="47"/>
      <c r="G19" s="47"/>
      <c r="H19" s="47">
        <v>996876.7</v>
      </c>
      <c r="I19" s="47">
        <v>0</v>
      </c>
      <c r="J19" s="47"/>
      <c r="K19" s="47"/>
      <c r="L19" s="47"/>
      <c r="M19" s="47"/>
      <c r="N19" s="47"/>
      <c r="O19" s="47"/>
      <c r="P19" s="132">
        <f>SUM(D19:O19)</f>
        <v>997058.6599999999</v>
      </c>
      <c r="Q19" s="26">
        <v>0</v>
      </c>
      <c r="R19" s="47">
        <v>181.96</v>
      </c>
      <c r="S19" s="47">
        <v>0</v>
      </c>
      <c r="T19" s="47">
        <v>0</v>
      </c>
      <c r="U19" s="47">
        <v>996876.7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132">
        <f>SUM(Q19:AB19)</f>
        <v>997058.6599999999</v>
      </c>
      <c r="AD19" s="41"/>
    </row>
    <row r="20" spans="1:30" s="12" customFormat="1" ht="15.75">
      <c r="A20" s="44" t="s">
        <v>119</v>
      </c>
      <c r="B20" s="118" t="s">
        <v>95</v>
      </c>
      <c r="C20" s="122">
        <f>+C21+C26+C30+C33+C37</f>
        <v>4618419.58</v>
      </c>
      <c r="D20" s="122">
        <f aca="true" t="shared" si="3" ref="D20:AB20">+D21+D26+D30+D33+D37</f>
        <v>12020.18</v>
      </c>
      <c r="E20" s="122">
        <f t="shared" si="3"/>
        <v>3946564</v>
      </c>
      <c r="F20" s="122">
        <f t="shared" si="3"/>
        <v>2041.33</v>
      </c>
      <c r="G20" s="122">
        <f t="shared" si="3"/>
        <v>54.44</v>
      </c>
      <c r="H20" s="122">
        <f t="shared" si="3"/>
        <v>657739.6299999999</v>
      </c>
      <c r="I20" s="122">
        <f t="shared" si="3"/>
        <v>0</v>
      </c>
      <c r="J20" s="122">
        <f t="shared" si="3"/>
        <v>0</v>
      </c>
      <c r="K20" s="122">
        <f t="shared" si="3"/>
        <v>0</v>
      </c>
      <c r="L20" s="122">
        <f t="shared" si="3"/>
        <v>0</v>
      </c>
      <c r="M20" s="122">
        <f t="shared" si="3"/>
        <v>0</v>
      </c>
      <c r="N20" s="122">
        <f t="shared" si="3"/>
        <v>0</v>
      </c>
      <c r="O20" s="122">
        <f t="shared" si="3"/>
        <v>0</v>
      </c>
      <c r="P20" s="122">
        <f t="shared" si="3"/>
        <v>4618419.58</v>
      </c>
      <c r="Q20" s="122">
        <f t="shared" si="3"/>
        <v>0</v>
      </c>
      <c r="R20" s="122">
        <f>+R21+R26+R30+R33+R37</f>
        <v>3958584.18</v>
      </c>
      <c r="S20" s="122">
        <f t="shared" si="3"/>
        <v>2041.33</v>
      </c>
      <c r="T20" s="122">
        <f t="shared" si="3"/>
        <v>54.44</v>
      </c>
      <c r="U20" s="122">
        <f t="shared" si="3"/>
        <v>657739.6299999999</v>
      </c>
      <c r="V20" s="122">
        <f t="shared" si="3"/>
        <v>0</v>
      </c>
      <c r="W20" s="122">
        <f t="shared" si="3"/>
        <v>0</v>
      </c>
      <c r="X20" s="122">
        <f t="shared" si="3"/>
        <v>0</v>
      </c>
      <c r="Y20" s="122">
        <f t="shared" si="3"/>
        <v>0</v>
      </c>
      <c r="Z20" s="122">
        <f t="shared" si="3"/>
        <v>0</v>
      </c>
      <c r="AA20" s="122">
        <f t="shared" si="3"/>
        <v>0</v>
      </c>
      <c r="AB20" s="122">
        <f t="shared" si="3"/>
        <v>0</v>
      </c>
      <c r="AC20" s="190">
        <f>+AC21+AC26+AC30+AC33+AC37</f>
        <v>4618419.58</v>
      </c>
      <c r="AD20" s="41"/>
    </row>
    <row r="21" spans="1:30" s="12" customFormat="1" ht="15.75">
      <c r="A21" s="44" t="s">
        <v>172</v>
      </c>
      <c r="B21" s="118" t="s">
        <v>98</v>
      </c>
      <c r="C21" s="122">
        <f>SUM(C22:C25)</f>
        <v>107961.43000000001</v>
      </c>
      <c r="D21" s="122">
        <f aca="true" t="shared" si="4" ref="D21:AB21">SUM(D22:D25)</f>
        <v>0</v>
      </c>
      <c r="E21" s="122">
        <f t="shared" si="4"/>
        <v>0</v>
      </c>
      <c r="F21" s="122">
        <f t="shared" si="4"/>
        <v>0</v>
      </c>
      <c r="G21" s="122">
        <f t="shared" si="4"/>
        <v>0</v>
      </c>
      <c r="H21" s="122">
        <f t="shared" si="4"/>
        <v>107961.43000000001</v>
      </c>
      <c r="I21" s="122">
        <f t="shared" si="4"/>
        <v>0</v>
      </c>
      <c r="J21" s="122">
        <f t="shared" si="4"/>
        <v>0</v>
      </c>
      <c r="K21" s="122">
        <f t="shared" si="4"/>
        <v>0</v>
      </c>
      <c r="L21" s="122">
        <f t="shared" si="4"/>
        <v>0</v>
      </c>
      <c r="M21" s="122">
        <f t="shared" si="4"/>
        <v>0</v>
      </c>
      <c r="N21" s="122">
        <f t="shared" si="4"/>
        <v>0</v>
      </c>
      <c r="O21" s="122">
        <f t="shared" si="4"/>
        <v>0</v>
      </c>
      <c r="P21" s="122">
        <f t="shared" si="4"/>
        <v>107961.43000000001</v>
      </c>
      <c r="Q21" s="122">
        <f t="shared" si="4"/>
        <v>0</v>
      </c>
      <c r="R21" s="122">
        <f t="shared" si="4"/>
        <v>0</v>
      </c>
      <c r="S21" s="122">
        <f t="shared" si="4"/>
        <v>0</v>
      </c>
      <c r="T21" s="122">
        <f t="shared" si="4"/>
        <v>0</v>
      </c>
      <c r="U21" s="122">
        <f t="shared" si="4"/>
        <v>107961.43000000001</v>
      </c>
      <c r="V21" s="122">
        <f t="shared" si="4"/>
        <v>0</v>
      </c>
      <c r="W21" s="122">
        <f t="shared" si="4"/>
        <v>0</v>
      </c>
      <c r="X21" s="122">
        <f t="shared" si="4"/>
        <v>0</v>
      </c>
      <c r="Y21" s="122">
        <f t="shared" si="4"/>
        <v>0</v>
      </c>
      <c r="Z21" s="122">
        <f t="shared" si="4"/>
        <v>0</v>
      </c>
      <c r="AA21" s="122">
        <f t="shared" si="4"/>
        <v>0</v>
      </c>
      <c r="AB21" s="122">
        <f t="shared" si="4"/>
        <v>0</v>
      </c>
      <c r="AC21" s="190">
        <f>SUM(AC22:AC25)</f>
        <v>107961.43000000001</v>
      </c>
      <c r="AD21" s="41"/>
    </row>
    <row r="22" spans="1:30" s="12" customFormat="1" ht="15.75">
      <c r="A22" s="44" t="s">
        <v>174</v>
      </c>
      <c r="B22" s="25" t="s">
        <v>173</v>
      </c>
      <c r="C22" s="26">
        <f>31962.9-473.04</f>
        <v>31489.86</v>
      </c>
      <c r="D22" s="26">
        <v>0</v>
      </c>
      <c r="E22" s="26"/>
      <c r="F22" s="26"/>
      <c r="G22" s="26"/>
      <c r="H22" s="26">
        <v>31489.86</v>
      </c>
      <c r="I22" s="26">
        <v>0</v>
      </c>
      <c r="J22" s="26"/>
      <c r="K22" s="26"/>
      <c r="L22" s="26"/>
      <c r="M22" s="26"/>
      <c r="N22" s="26"/>
      <c r="O22" s="26"/>
      <c r="P22" s="132">
        <f>SUM(D22:O22)</f>
        <v>31489.86</v>
      </c>
      <c r="Q22" s="26">
        <v>0</v>
      </c>
      <c r="R22" s="26"/>
      <c r="S22" s="26"/>
      <c r="T22" s="26"/>
      <c r="U22" s="26">
        <v>31489.86</v>
      </c>
      <c r="V22" s="26">
        <v>0</v>
      </c>
      <c r="W22" s="26"/>
      <c r="X22" s="26"/>
      <c r="Y22" s="26"/>
      <c r="Z22" s="26"/>
      <c r="AA22" s="26"/>
      <c r="AB22" s="26"/>
      <c r="AC22" s="132">
        <f>SUM(Q22:AB22)</f>
        <v>31489.86</v>
      </c>
      <c r="AD22" s="41"/>
    </row>
    <row r="23" spans="1:30" s="12" customFormat="1" ht="15.75">
      <c r="A23" s="44" t="s">
        <v>177</v>
      </c>
      <c r="B23" s="25" t="s">
        <v>176</v>
      </c>
      <c r="C23" s="26">
        <f>15128.12-1671.5</f>
        <v>13456.62</v>
      </c>
      <c r="D23" s="26">
        <v>0</v>
      </c>
      <c r="E23" s="26"/>
      <c r="F23" s="26"/>
      <c r="G23" s="26"/>
      <c r="H23" s="26">
        <v>13456.62</v>
      </c>
      <c r="I23" s="26">
        <v>0</v>
      </c>
      <c r="J23" s="26"/>
      <c r="K23" s="26"/>
      <c r="L23" s="26"/>
      <c r="M23" s="26"/>
      <c r="N23" s="26"/>
      <c r="O23" s="26"/>
      <c r="P23" s="132">
        <f>SUM(D23:O23)</f>
        <v>13456.62</v>
      </c>
      <c r="Q23" s="26">
        <v>0</v>
      </c>
      <c r="R23" s="26"/>
      <c r="S23" s="26"/>
      <c r="T23" s="26"/>
      <c r="U23" s="26">
        <v>13456.62</v>
      </c>
      <c r="V23" s="26">
        <v>0</v>
      </c>
      <c r="W23" s="26"/>
      <c r="X23" s="26"/>
      <c r="Y23" s="26"/>
      <c r="Z23" s="26"/>
      <c r="AA23" s="26"/>
      <c r="AB23" s="26"/>
      <c r="AC23" s="132">
        <f>SUM(Q23:AB23)</f>
        <v>13456.62</v>
      </c>
      <c r="AD23" s="41"/>
    </row>
    <row r="24" spans="1:30" s="12" customFormat="1" ht="15.75">
      <c r="A24" s="44" t="s">
        <v>179</v>
      </c>
      <c r="B24" s="25" t="s">
        <v>178</v>
      </c>
      <c r="C24" s="26">
        <f>42837.71-3958.4</f>
        <v>38879.31</v>
      </c>
      <c r="D24" s="26">
        <v>0</v>
      </c>
      <c r="E24" s="26"/>
      <c r="F24" s="26"/>
      <c r="G24" s="26"/>
      <c r="H24" s="26">
        <v>38879.31</v>
      </c>
      <c r="I24" s="26">
        <v>0</v>
      </c>
      <c r="J24" s="26"/>
      <c r="K24" s="26"/>
      <c r="L24" s="26"/>
      <c r="M24" s="26"/>
      <c r="N24" s="26"/>
      <c r="O24" s="26"/>
      <c r="P24" s="132">
        <f>SUM(D24:O24)</f>
        <v>38879.31</v>
      </c>
      <c r="Q24" s="26">
        <v>0</v>
      </c>
      <c r="R24" s="26"/>
      <c r="S24" s="26"/>
      <c r="T24" s="26"/>
      <c r="U24" s="26">
        <v>38879.31</v>
      </c>
      <c r="V24" s="26">
        <v>0</v>
      </c>
      <c r="W24" s="26"/>
      <c r="X24" s="26"/>
      <c r="Y24" s="26"/>
      <c r="Z24" s="26"/>
      <c r="AA24" s="26"/>
      <c r="AB24" s="26"/>
      <c r="AC24" s="132">
        <f>SUM(Q24:AB24)</f>
        <v>38879.31</v>
      </c>
      <c r="AD24" s="41"/>
    </row>
    <row r="25" spans="1:30" s="12" customFormat="1" ht="15.75">
      <c r="A25" s="44" t="s">
        <v>180</v>
      </c>
      <c r="B25" s="25" t="s">
        <v>135</v>
      </c>
      <c r="C25" s="26">
        <f>27200-3064.36</f>
        <v>24135.64</v>
      </c>
      <c r="D25" s="26">
        <v>0</v>
      </c>
      <c r="E25" s="26"/>
      <c r="F25" s="26"/>
      <c r="G25" s="26"/>
      <c r="H25" s="26">
        <v>24135.64</v>
      </c>
      <c r="I25" s="26">
        <v>0</v>
      </c>
      <c r="J25" s="26"/>
      <c r="K25" s="26"/>
      <c r="L25" s="26"/>
      <c r="M25" s="26"/>
      <c r="N25" s="26"/>
      <c r="O25" s="26"/>
      <c r="P25" s="132">
        <f>SUM(D25:O25)</f>
        <v>24135.64</v>
      </c>
      <c r="Q25" s="26">
        <v>0</v>
      </c>
      <c r="R25" s="26"/>
      <c r="S25" s="26"/>
      <c r="T25" s="26"/>
      <c r="U25" s="26">
        <v>24135.64</v>
      </c>
      <c r="V25" s="26">
        <v>0</v>
      </c>
      <c r="W25" s="26"/>
      <c r="X25" s="26"/>
      <c r="Y25" s="26"/>
      <c r="Z25" s="26"/>
      <c r="AA25" s="26"/>
      <c r="AB25" s="26"/>
      <c r="AC25" s="132">
        <f>SUM(Q25:AB25)</f>
        <v>24135.64</v>
      </c>
      <c r="AD25" s="41"/>
    </row>
    <row r="26" spans="1:72" s="131" customFormat="1" ht="15.75">
      <c r="A26" s="44" t="s">
        <v>183</v>
      </c>
      <c r="B26" s="118" t="s">
        <v>99</v>
      </c>
      <c r="C26" s="122">
        <f>SUM(C27:C29)</f>
        <v>4034302.7500000005</v>
      </c>
      <c r="D26" s="122">
        <f aca="true" t="shared" si="5" ref="D26:AB26">SUM(D27:D29)</f>
        <v>0</v>
      </c>
      <c r="E26" s="122">
        <f t="shared" si="5"/>
        <v>3946564</v>
      </c>
      <c r="F26" s="122">
        <f t="shared" si="5"/>
        <v>2041.33</v>
      </c>
      <c r="G26" s="122">
        <f t="shared" si="5"/>
        <v>54.44</v>
      </c>
      <c r="H26" s="122">
        <f t="shared" si="5"/>
        <v>85642.98</v>
      </c>
      <c r="I26" s="122">
        <f t="shared" si="5"/>
        <v>0</v>
      </c>
      <c r="J26" s="122">
        <f t="shared" si="5"/>
        <v>0</v>
      </c>
      <c r="K26" s="122">
        <f t="shared" si="5"/>
        <v>0</v>
      </c>
      <c r="L26" s="122">
        <f t="shared" si="5"/>
        <v>0</v>
      </c>
      <c r="M26" s="122">
        <f t="shared" si="5"/>
        <v>0</v>
      </c>
      <c r="N26" s="122">
        <f t="shared" si="5"/>
        <v>0</v>
      </c>
      <c r="O26" s="122">
        <f t="shared" si="5"/>
        <v>0</v>
      </c>
      <c r="P26" s="122">
        <f>SUM(P27:P29)</f>
        <v>4034302.7500000005</v>
      </c>
      <c r="Q26" s="122">
        <f t="shared" si="5"/>
        <v>0</v>
      </c>
      <c r="R26" s="122">
        <f t="shared" si="5"/>
        <v>3946564</v>
      </c>
      <c r="S26" s="122">
        <f t="shared" si="5"/>
        <v>2041.33</v>
      </c>
      <c r="T26" s="122">
        <f t="shared" si="5"/>
        <v>54.44</v>
      </c>
      <c r="U26" s="122">
        <f t="shared" si="5"/>
        <v>85642.98</v>
      </c>
      <c r="V26" s="122">
        <f t="shared" si="5"/>
        <v>0</v>
      </c>
      <c r="W26" s="122">
        <f t="shared" si="5"/>
        <v>0</v>
      </c>
      <c r="X26" s="122">
        <f t="shared" si="5"/>
        <v>0</v>
      </c>
      <c r="Y26" s="122">
        <f t="shared" si="5"/>
        <v>0</v>
      </c>
      <c r="Z26" s="122">
        <f t="shared" si="5"/>
        <v>0</v>
      </c>
      <c r="AA26" s="122">
        <f t="shared" si="5"/>
        <v>0</v>
      </c>
      <c r="AB26" s="122">
        <f t="shared" si="5"/>
        <v>0</v>
      </c>
      <c r="AC26" s="190">
        <f>SUM(AC27:AC29)</f>
        <v>4034302.7500000005</v>
      </c>
      <c r="AD26" s="4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131" customFormat="1" ht="15.75">
      <c r="A27" s="44" t="s">
        <v>184</v>
      </c>
      <c r="B27" s="25" t="s">
        <v>136</v>
      </c>
      <c r="C27" s="26">
        <f>3962563.82-13904.05</f>
        <v>3948659.77</v>
      </c>
      <c r="D27" s="120">
        <v>0</v>
      </c>
      <c r="E27" s="21">
        <v>3946564</v>
      </c>
      <c r="F27" s="21">
        <v>2041.33</v>
      </c>
      <c r="G27" s="21">
        <v>54.44</v>
      </c>
      <c r="H27" s="21">
        <v>0</v>
      </c>
      <c r="I27" s="120">
        <v>0</v>
      </c>
      <c r="J27" s="120">
        <v>0</v>
      </c>
      <c r="K27" s="21"/>
      <c r="L27" s="21">
        <v>0</v>
      </c>
      <c r="M27" s="21"/>
      <c r="N27" s="120"/>
      <c r="O27" s="120">
        <v>0</v>
      </c>
      <c r="P27" s="132">
        <f>SUM(D27:O27)</f>
        <v>3948659.77</v>
      </c>
      <c r="Q27" s="120">
        <v>0</v>
      </c>
      <c r="R27" s="120">
        <v>3946564</v>
      </c>
      <c r="S27" s="21">
        <v>2041.33</v>
      </c>
      <c r="T27" s="21">
        <v>54.44</v>
      </c>
      <c r="U27" s="21">
        <v>0</v>
      </c>
      <c r="V27" s="120">
        <v>0</v>
      </c>
      <c r="W27" s="120">
        <v>0</v>
      </c>
      <c r="X27" s="21"/>
      <c r="Y27" s="21">
        <v>0</v>
      </c>
      <c r="Z27" s="21"/>
      <c r="AA27" s="120"/>
      <c r="AB27" s="120">
        <v>0</v>
      </c>
      <c r="AC27" s="132">
        <f>SUM(Q27:AB27)</f>
        <v>3948659.77</v>
      </c>
      <c r="AD27" s="4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131" customFormat="1" ht="15.75">
      <c r="A28" s="44" t="s">
        <v>186</v>
      </c>
      <c r="B28" s="25" t="s">
        <v>185</v>
      </c>
      <c r="C28" s="26">
        <f>129829.87-20595.28-50590.85</f>
        <v>58643.74</v>
      </c>
      <c r="D28" s="120">
        <v>0</v>
      </c>
      <c r="E28" s="21"/>
      <c r="F28" s="21"/>
      <c r="G28" s="21"/>
      <c r="H28" s="21">
        <v>58643.74</v>
      </c>
      <c r="I28" s="21">
        <v>0</v>
      </c>
      <c r="J28" s="120"/>
      <c r="K28" s="120"/>
      <c r="L28" s="21">
        <v>0</v>
      </c>
      <c r="M28" s="120"/>
      <c r="N28" s="120"/>
      <c r="O28" s="120">
        <v>0</v>
      </c>
      <c r="P28" s="132">
        <f>SUM(D28:O28)</f>
        <v>58643.74</v>
      </c>
      <c r="Q28" s="120">
        <v>0</v>
      </c>
      <c r="R28" s="21"/>
      <c r="S28" s="21"/>
      <c r="T28" s="21"/>
      <c r="U28" s="21">
        <v>58643.74</v>
      </c>
      <c r="V28" s="21">
        <v>0</v>
      </c>
      <c r="W28" s="120"/>
      <c r="X28" s="120"/>
      <c r="Y28" s="21">
        <v>0</v>
      </c>
      <c r="Z28" s="120"/>
      <c r="AA28" s="120"/>
      <c r="AB28" s="120">
        <v>0</v>
      </c>
      <c r="AC28" s="132">
        <f>SUM(Q28:AB28)</f>
        <v>58643.74</v>
      </c>
      <c r="AD28" s="4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131" customFormat="1" ht="15.75">
      <c r="A29" s="44" t="s">
        <v>191</v>
      </c>
      <c r="B29" s="25" t="s">
        <v>189</v>
      </c>
      <c r="C29" s="26">
        <v>26999.24</v>
      </c>
      <c r="D29" s="120">
        <v>0</v>
      </c>
      <c r="E29" s="21"/>
      <c r="F29" s="21"/>
      <c r="G29" s="21"/>
      <c r="H29" s="21">
        <v>26999.24</v>
      </c>
      <c r="I29" s="21">
        <v>0</v>
      </c>
      <c r="J29" s="120"/>
      <c r="K29" s="120"/>
      <c r="L29" s="21"/>
      <c r="M29" s="120"/>
      <c r="N29" s="120"/>
      <c r="O29" s="120"/>
      <c r="P29" s="132">
        <f>SUM(D29:O29)</f>
        <v>26999.24</v>
      </c>
      <c r="Q29" s="120">
        <v>0</v>
      </c>
      <c r="R29" s="21"/>
      <c r="S29" s="21"/>
      <c r="T29" s="21"/>
      <c r="U29" s="21">
        <v>26999.24</v>
      </c>
      <c r="V29" s="21">
        <v>0</v>
      </c>
      <c r="W29" s="120"/>
      <c r="X29" s="120"/>
      <c r="Y29" s="21"/>
      <c r="Z29" s="120"/>
      <c r="AA29" s="120"/>
      <c r="AB29" s="120"/>
      <c r="AC29" s="132">
        <f>SUM(Q29:AB29)</f>
        <v>26999.24</v>
      </c>
      <c r="AD29" s="4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131" customFormat="1" ht="15.75">
      <c r="A30" s="44" t="s">
        <v>209</v>
      </c>
      <c r="B30" s="118" t="s">
        <v>206</v>
      </c>
      <c r="C30" s="122">
        <f>SUM(C31:C32)</f>
        <v>11305.400000000001</v>
      </c>
      <c r="D30" s="122">
        <f aca="true" t="shared" si="6" ref="D30:AB30">SUM(D31:D32)</f>
        <v>0</v>
      </c>
      <c r="E30" s="122">
        <f t="shared" si="6"/>
        <v>0</v>
      </c>
      <c r="F30" s="122">
        <f t="shared" si="6"/>
        <v>0</v>
      </c>
      <c r="G30" s="122">
        <f t="shared" si="6"/>
        <v>0</v>
      </c>
      <c r="H30" s="122">
        <f t="shared" si="6"/>
        <v>11305.4</v>
      </c>
      <c r="I30" s="122">
        <f t="shared" si="6"/>
        <v>0</v>
      </c>
      <c r="J30" s="122">
        <f t="shared" si="6"/>
        <v>0</v>
      </c>
      <c r="K30" s="122">
        <f t="shared" si="6"/>
        <v>0</v>
      </c>
      <c r="L30" s="122">
        <f t="shared" si="6"/>
        <v>0</v>
      </c>
      <c r="M30" s="122">
        <f t="shared" si="6"/>
        <v>0</v>
      </c>
      <c r="N30" s="122">
        <f t="shared" si="6"/>
        <v>0</v>
      </c>
      <c r="O30" s="122">
        <f t="shared" si="6"/>
        <v>0</v>
      </c>
      <c r="P30" s="122">
        <f t="shared" si="6"/>
        <v>11305.4</v>
      </c>
      <c r="Q30" s="122">
        <f t="shared" si="6"/>
        <v>0</v>
      </c>
      <c r="R30" s="122">
        <f t="shared" si="6"/>
        <v>0</v>
      </c>
      <c r="S30" s="122">
        <f t="shared" si="6"/>
        <v>0</v>
      </c>
      <c r="T30" s="122">
        <f t="shared" si="6"/>
        <v>0</v>
      </c>
      <c r="U30" s="122">
        <f t="shared" si="6"/>
        <v>11305.4</v>
      </c>
      <c r="V30" s="122">
        <f t="shared" si="6"/>
        <v>0</v>
      </c>
      <c r="W30" s="122">
        <f t="shared" si="6"/>
        <v>0</v>
      </c>
      <c r="X30" s="122">
        <f t="shared" si="6"/>
        <v>0</v>
      </c>
      <c r="Y30" s="122">
        <f t="shared" si="6"/>
        <v>0</v>
      </c>
      <c r="Z30" s="122">
        <f t="shared" si="6"/>
        <v>0</v>
      </c>
      <c r="AA30" s="122">
        <f t="shared" si="6"/>
        <v>0</v>
      </c>
      <c r="AB30" s="122">
        <f t="shared" si="6"/>
        <v>0</v>
      </c>
      <c r="AC30" s="190">
        <f>SUM(AC31:AC32)</f>
        <v>11305.4</v>
      </c>
      <c r="AD30" s="4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131" customFormat="1" ht="15.75">
      <c r="A31" s="44" t="s">
        <v>207</v>
      </c>
      <c r="B31" s="25" t="s">
        <v>204</v>
      </c>
      <c r="C31" s="26">
        <f>12767.29-2421.89</f>
        <v>10345.400000000001</v>
      </c>
      <c r="D31" s="120">
        <v>0</v>
      </c>
      <c r="E31" s="21"/>
      <c r="F31" s="21"/>
      <c r="G31" s="21"/>
      <c r="H31" s="21">
        <v>10345.4</v>
      </c>
      <c r="I31" s="21">
        <v>0</v>
      </c>
      <c r="J31" s="120"/>
      <c r="K31" s="120"/>
      <c r="L31" s="21"/>
      <c r="M31" s="120"/>
      <c r="N31" s="120"/>
      <c r="O31" s="120"/>
      <c r="P31" s="132">
        <f aca="true" t="shared" si="7" ref="P31:P36">SUM(D31:O31)</f>
        <v>10345.4</v>
      </c>
      <c r="Q31" s="120">
        <v>0</v>
      </c>
      <c r="R31" s="21"/>
      <c r="S31" s="21"/>
      <c r="T31" s="21"/>
      <c r="U31" s="21">
        <v>10345.4</v>
      </c>
      <c r="V31" s="21">
        <v>0</v>
      </c>
      <c r="W31" s="120"/>
      <c r="X31" s="120"/>
      <c r="Y31" s="21"/>
      <c r="Z31" s="120"/>
      <c r="AA31" s="120"/>
      <c r="AB31" s="120"/>
      <c r="AC31" s="132">
        <f>SUM(Q31:AB31)</f>
        <v>10345.4</v>
      </c>
      <c r="AD31" s="4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131" customFormat="1" ht="15.75">
      <c r="A32" s="44" t="s">
        <v>208</v>
      </c>
      <c r="B32" s="25" t="s">
        <v>205</v>
      </c>
      <c r="C32" s="26">
        <v>960</v>
      </c>
      <c r="D32" s="120">
        <v>0</v>
      </c>
      <c r="E32" s="21"/>
      <c r="F32" s="21"/>
      <c r="G32" s="21"/>
      <c r="H32" s="21">
        <v>960</v>
      </c>
      <c r="I32" s="21">
        <v>0</v>
      </c>
      <c r="J32" s="120"/>
      <c r="K32" s="120"/>
      <c r="L32" s="21"/>
      <c r="M32" s="120"/>
      <c r="N32" s="120"/>
      <c r="O32" s="120"/>
      <c r="P32" s="132">
        <f t="shared" si="7"/>
        <v>960</v>
      </c>
      <c r="Q32" s="120">
        <v>0</v>
      </c>
      <c r="R32" s="21"/>
      <c r="S32" s="21"/>
      <c r="T32" s="21"/>
      <c r="U32" s="21">
        <v>960</v>
      </c>
      <c r="V32" s="21">
        <v>0</v>
      </c>
      <c r="W32" s="120"/>
      <c r="X32" s="120"/>
      <c r="Y32" s="21"/>
      <c r="Z32" s="120"/>
      <c r="AA32" s="120"/>
      <c r="AB32" s="120"/>
      <c r="AC32" s="132">
        <f>SUM(Q32:AB32)</f>
        <v>960</v>
      </c>
      <c r="AD32" s="4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131" customFormat="1" ht="15.75">
      <c r="A33" s="44" t="s">
        <v>104</v>
      </c>
      <c r="B33" s="118" t="s">
        <v>197</v>
      </c>
      <c r="C33" s="122">
        <f>SUM(C34:C36)</f>
        <v>461796.78</v>
      </c>
      <c r="D33" s="122">
        <f aca="true" t="shared" si="8" ref="D33:AB33">SUM(D34:D36)</f>
        <v>12020.18</v>
      </c>
      <c r="E33" s="122">
        <f t="shared" si="8"/>
        <v>0</v>
      </c>
      <c r="F33" s="122">
        <f t="shared" si="8"/>
        <v>0</v>
      </c>
      <c r="G33" s="122">
        <f t="shared" si="8"/>
        <v>0</v>
      </c>
      <c r="H33" s="122">
        <f t="shared" si="8"/>
        <v>449776.6</v>
      </c>
      <c r="I33" s="122">
        <f t="shared" si="8"/>
        <v>0</v>
      </c>
      <c r="J33" s="122">
        <f t="shared" si="8"/>
        <v>0</v>
      </c>
      <c r="K33" s="122">
        <f t="shared" si="8"/>
        <v>0</v>
      </c>
      <c r="L33" s="122">
        <f t="shared" si="8"/>
        <v>0</v>
      </c>
      <c r="M33" s="122">
        <f t="shared" si="8"/>
        <v>0</v>
      </c>
      <c r="N33" s="122">
        <f t="shared" si="8"/>
        <v>0</v>
      </c>
      <c r="O33" s="122">
        <f t="shared" si="8"/>
        <v>0</v>
      </c>
      <c r="P33" s="122">
        <f t="shared" si="8"/>
        <v>461796.77999999997</v>
      </c>
      <c r="Q33" s="122">
        <f t="shared" si="8"/>
        <v>0</v>
      </c>
      <c r="R33" s="122">
        <f t="shared" si="8"/>
        <v>12020.18</v>
      </c>
      <c r="S33" s="122">
        <f t="shared" si="8"/>
        <v>0</v>
      </c>
      <c r="T33" s="122">
        <f t="shared" si="8"/>
        <v>0</v>
      </c>
      <c r="U33" s="122">
        <f t="shared" si="8"/>
        <v>449776.6</v>
      </c>
      <c r="V33" s="122">
        <f t="shared" si="8"/>
        <v>0</v>
      </c>
      <c r="W33" s="122">
        <f t="shared" si="8"/>
        <v>0</v>
      </c>
      <c r="X33" s="122">
        <f t="shared" si="8"/>
        <v>0</v>
      </c>
      <c r="Y33" s="122">
        <f t="shared" si="8"/>
        <v>0</v>
      </c>
      <c r="Z33" s="122">
        <f t="shared" si="8"/>
        <v>0</v>
      </c>
      <c r="AA33" s="122">
        <f t="shared" si="8"/>
        <v>0</v>
      </c>
      <c r="AB33" s="122">
        <f t="shared" si="8"/>
        <v>0</v>
      </c>
      <c r="AC33" s="190">
        <f>SUM(AC34:AC36)</f>
        <v>461796.77999999997</v>
      </c>
      <c r="AD33" s="4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131" customFormat="1" ht="15.75">
      <c r="A34" s="44" t="s">
        <v>210</v>
      </c>
      <c r="B34" s="25" t="s">
        <v>211</v>
      </c>
      <c r="C34" s="26">
        <v>25248.34</v>
      </c>
      <c r="D34" s="132">
        <v>1015.14</v>
      </c>
      <c r="E34" s="21"/>
      <c r="F34" s="21"/>
      <c r="G34" s="21"/>
      <c r="H34" s="21">
        <v>24233.2</v>
      </c>
      <c r="I34" s="21">
        <v>0</v>
      </c>
      <c r="J34" s="120"/>
      <c r="K34" s="120"/>
      <c r="L34" s="21"/>
      <c r="M34" s="120"/>
      <c r="N34" s="120"/>
      <c r="O34" s="120"/>
      <c r="P34" s="132">
        <f t="shared" si="7"/>
        <v>25248.34</v>
      </c>
      <c r="Q34" s="120">
        <v>0</v>
      </c>
      <c r="R34" s="21">
        <v>1015.14</v>
      </c>
      <c r="S34" s="21"/>
      <c r="T34" s="21"/>
      <c r="U34" s="21">
        <v>24233.2</v>
      </c>
      <c r="V34" s="21">
        <v>0</v>
      </c>
      <c r="W34" s="120"/>
      <c r="X34" s="120"/>
      <c r="Y34" s="21"/>
      <c r="Z34" s="120"/>
      <c r="AA34" s="120"/>
      <c r="AB34" s="120"/>
      <c r="AC34" s="132">
        <f>SUM(Q34:AB34)</f>
        <v>25248.34</v>
      </c>
      <c r="AD34" s="4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131" customFormat="1" ht="15.75">
      <c r="A35" s="44" t="s">
        <v>213</v>
      </c>
      <c r="B35" s="25" t="s">
        <v>212</v>
      </c>
      <c r="C35" s="26">
        <v>424221.9</v>
      </c>
      <c r="D35" s="132">
        <v>10486.42</v>
      </c>
      <c r="E35" s="21"/>
      <c r="F35" s="21"/>
      <c r="G35" s="21"/>
      <c r="H35" s="21">
        <v>413735.48</v>
      </c>
      <c r="I35" s="21">
        <v>0</v>
      </c>
      <c r="J35" s="120"/>
      <c r="K35" s="120"/>
      <c r="L35" s="21"/>
      <c r="M35" s="120"/>
      <c r="N35" s="120"/>
      <c r="O35" s="120"/>
      <c r="P35" s="132">
        <f t="shared" si="7"/>
        <v>424221.89999999997</v>
      </c>
      <c r="Q35" s="120">
        <v>0</v>
      </c>
      <c r="R35" s="21">
        <v>10486.42</v>
      </c>
      <c r="S35" s="21"/>
      <c r="T35" s="21"/>
      <c r="U35" s="21">
        <v>413735.48</v>
      </c>
      <c r="V35" s="21">
        <v>0</v>
      </c>
      <c r="W35" s="120"/>
      <c r="X35" s="120"/>
      <c r="Y35" s="21"/>
      <c r="Z35" s="120"/>
      <c r="AA35" s="120"/>
      <c r="AB35" s="120"/>
      <c r="AC35" s="132">
        <f>SUM(Q35:AB35)</f>
        <v>424221.89999999997</v>
      </c>
      <c r="AD35" s="4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131" customFormat="1" ht="15.75">
      <c r="A36" s="44" t="s">
        <v>214</v>
      </c>
      <c r="B36" s="25" t="s">
        <v>200</v>
      </c>
      <c r="C36" s="26">
        <v>12326.54</v>
      </c>
      <c r="D36" s="132">
        <v>518.62</v>
      </c>
      <c r="E36" s="21"/>
      <c r="F36" s="21"/>
      <c r="G36" s="21"/>
      <c r="H36" s="21">
        <v>11807.92</v>
      </c>
      <c r="I36" s="21">
        <v>0</v>
      </c>
      <c r="J36" s="120"/>
      <c r="K36" s="120"/>
      <c r="L36" s="21"/>
      <c r="M36" s="120"/>
      <c r="N36" s="120"/>
      <c r="O36" s="120"/>
      <c r="P36" s="132">
        <f t="shared" si="7"/>
        <v>12326.54</v>
      </c>
      <c r="Q36" s="120">
        <v>0</v>
      </c>
      <c r="R36" s="21">
        <v>518.62</v>
      </c>
      <c r="S36" s="21"/>
      <c r="T36" s="21"/>
      <c r="U36" s="21">
        <v>11807.92</v>
      </c>
      <c r="V36" s="21">
        <v>0</v>
      </c>
      <c r="W36" s="120"/>
      <c r="X36" s="120"/>
      <c r="Y36" s="21"/>
      <c r="Z36" s="120"/>
      <c r="AA36" s="120"/>
      <c r="AB36" s="120"/>
      <c r="AC36" s="132">
        <f>SUM(Q36:AB36)</f>
        <v>12326.54</v>
      </c>
      <c r="AD36" s="4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131" customFormat="1" ht="15.75">
      <c r="A37" s="44" t="s">
        <v>121</v>
      </c>
      <c r="B37" s="118" t="s">
        <v>131</v>
      </c>
      <c r="C37" s="122">
        <f>C38</f>
        <v>3053.22</v>
      </c>
      <c r="D37" s="120">
        <f aca="true" t="shared" si="9" ref="D37:AC37">D38</f>
        <v>0</v>
      </c>
      <c r="E37" s="120">
        <f t="shared" si="9"/>
        <v>0</v>
      </c>
      <c r="F37" s="120">
        <f t="shared" si="9"/>
        <v>0</v>
      </c>
      <c r="G37" s="120">
        <f t="shared" si="9"/>
        <v>0</v>
      </c>
      <c r="H37" s="120">
        <f t="shared" si="9"/>
        <v>3053.22</v>
      </c>
      <c r="I37" s="120">
        <f t="shared" si="9"/>
        <v>0</v>
      </c>
      <c r="J37" s="120">
        <f t="shared" si="9"/>
        <v>0</v>
      </c>
      <c r="K37" s="120">
        <f t="shared" si="9"/>
        <v>0</v>
      </c>
      <c r="L37" s="120">
        <f t="shared" si="9"/>
        <v>0</v>
      </c>
      <c r="M37" s="120">
        <f t="shared" si="9"/>
        <v>0</v>
      </c>
      <c r="N37" s="120">
        <f t="shared" si="9"/>
        <v>0</v>
      </c>
      <c r="O37" s="120">
        <f t="shared" si="9"/>
        <v>0</v>
      </c>
      <c r="P37" s="132">
        <f t="shared" si="9"/>
        <v>3053.22</v>
      </c>
      <c r="Q37" s="120">
        <f t="shared" si="9"/>
        <v>0</v>
      </c>
      <c r="R37" s="120">
        <f t="shared" si="9"/>
        <v>0</v>
      </c>
      <c r="S37" s="120">
        <f t="shared" si="9"/>
        <v>0</v>
      </c>
      <c r="T37" s="120">
        <f t="shared" si="9"/>
        <v>0</v>
      </c>
      <c r="U37" s="120">
        <f t="shared" si="9"/>
        <v>3053.22</v>
      </c>
      <c r="V37" s="120">
        <f t="shared" si="9"/>
        <v>0</v>
      </c>
      <c r="W37" s="120">
        <f t="shared" si="9"/>
        <v>0</v>
      </c>
      <c r="X37" s="120">
        <f t="shared" si="9"/>
        <v>0</v>
      </c>
      <c r="Y37" s="120">
        <f t="shared" si="9"/>
        <v>0</v>
      </c>
      <c r="Z37" s="120">
        <f t="shared" si="9"/>
        <v>0</v>
      </c>
      <c r="AA37" s="120">
        <f t="shared" si="9"/>
        <v>0</v>
      </c>
      <c r="AB37" s="120">
        <f t="shared" si="9"/>
        <v>0</v>
      </c>
      <c r="AC37" s="132">
        <f t="shared" si="9"/>
        <v>3053.22</v>
      </c>
      <c r="AD37" s="4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131" customFormat="1" ht="16.5" thickBot="1">
      <c r="A38" s="44" t="s">
        <v>130</v>
      </c>
      <c r="B38" s="25" t="s">
        <v>148</v>
      </c>
      <c r="C38" s="26">
        <v>3053.22</v>
      </c>
      <c r="D38" s="120">
        <v>0</v>
      </c>
      <c r="E38" s="21"/>
      <c r="F38" s="21"/>
      <c r="G38" s="21">
        <v>0</v>
      </c>
      <c r="H38" s="21">
        <v>3053.22</v>
      </c>
      <c r="I38" s="120">
        <v>0</v>
      </c>
      <c r="J38" s="120">
        <v>0</v>
      </c>
      <c r="K38" s="21"/>
      <c r="L38" s="21">
        <v>0</v>
      </c>
      <c r="M38" s="120"/>
      <c r="N38" s="120"/>
      <c r="O38" s="120">
        <v>0</v>
      </c>
      <c r="P38" s="132">
        <f>SUM(D38:O38)</f>
        <v>3053.22</v>
      </c>
      <c r="Q38" s="120">
        <v>0</v>
      </c>
      <c r="R38" s="120">
        <v>0</v>
      </c>
      <c r="S38" s="21"/>
      <c r="T38" s="21">
        <v>0</v>
      </c>
      <c r="U38" s="21">
        <v>3053.22</v>
      </c>
      <c r="V38" s="120">
        <v>0</v>
      </c>
      <c r="W38" s="120">
        <v>0</v>
      </c>
      <c r="X38" s="21"/>
      <c r="Y38" s="21">
        <v>0</v>
      </c>
      <c r="Z38" s="120"/>
      <c r="AA38" s="120"/>
      <c r="AB38" s="120"/>
      <c r="AC38" s="132">
        <f>SUM(Q38:AB38)</f>
        <v>3053.22</v>
      </c>
      <c r="AD38" s="4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31" s="29" customFormat="1" ht="16.5" thickBot="1">
      <c r="A39" s="80"/>
      <c r="B39" s="71" t="s">
        <v>61</v>
      </c>
      <c r="C39" s="33">
        <f aca="true" t="shared" si="10" ref="C39:AC39">SUM(C40:C40)</f>
        <v>139771669.52</v>
      </c>
      <c r="D39" s="33">
        <f t="shared" si="10"/>
        <v>0</v>
      </c>
      <c r="E39" s="33">
        <f t="shared" si="10"/>
        <v>29722474</v>
      </c>
      <c r="F39" s="33">
        <f t="shared" si="10"/>
        <v>70268398.72</v>
      </c>
      <c r="G39" s="33">
        <f t="shared" si="10"/>
        <v>11460751</v>
      </c>
      <c r="H39" s="33">
        <f t="shared" si="10"/>
        <v>23478942.3</v>
      </c>
      <c r="I39" s="33">
        <f t="shared" si="10"/>
        <v>0</v>
      </c>
      <c r="J39" s="33">
        <f t="shared" si="10"/>
        <v>0</v>
      </c>
      <c r="K39" s="33">
        <f t="shared" si="10"/>
        <v>0</v>
      </c>
      <c r="L39" s="33">
        <f t="shared" si="10"/>
        <v>0</v>
      </c>
      <c r="M39" s="33">
        <f t="shared" si="10"/>
        <v>0</v>
      </c>
      <c r="N39" s="33">
        <f t="shared" si="10"/>
        <v>0</v>
      </c>
      <c r="O39" s="33">
        <f t="shared" si="10"/>
        <v>0</v>
      </c>
      <c r="P39" s="33">
        <f t="shared" si="10"/>
        <v>134930566.02</v>
      </c>
      <c r="Q39" s="33">
        <f t="shared" si="10"/>
        <v>0</v>
      </c>
      <c r="R39" s="33">
        <f t="shared" si="10"/>
        <v>29722474</v>
      </c>
      <c r="S39" s="33">
        <f t="shared" si="10"/>
        <v>70268398.72</v>
      </c>
      <c r="T39" s="33">
        <f t="shared" si="10"/>
        <v>11140591</v>
      </c>
      <c r="U39" s="33">
        <f t="shared" si="10"/>
        <v>23799102.3</v>
      </c>
      <c r="V39" s="33">
        <f t="shared" si="10"/>
        <v>0</v>
      </c>
      <c r="W39" s="33">
        <f t="shared" si="10"/>
        <v>0</v>
      </c>
      <c r="X39" s="33">
        <f t="shared" si="10"/>
        <v>0</v>
      </c>
      <c r="Y39" s="33">
        <f t="shared" si="10"/>
        <v>0</v>
      </c>
      <c r="Z39" s="33">
        <f t="shared" si="10"/>
        <v>0</v>
      </c>
      <c r="AA39" s="33">
        <f t="shared" si="10"/>
        <v>0</v>
      </c>
      <c r="AB39" s="33">
        <f t="shared" si="10"/>
        <v>0</v>
      </c>
      <c r="AC39" s="34">
        <f t="shared" si="10"/>
        <v>134930566.02</v>
      </c>
      <c r="AD39" s="41"/>
      <c r="AE39" s="1"/>
    </row>
    <row r="40" spans="1:32" s="29" customFormat="1" ht="18.75" customHeight="1" thickBot="1">
      <c r="A40" s="46" t="s">
        <v>79</v>
      </c>
      <c r="B40" s="25" t="s">
        <v>59</v>
      </c>
      <c r="C40" s="127">
        <f>142398446.34-173592.28-2453184.54</f>
        <v>139771669.52</v>
      </c>
      <c r="D40" s="127">
        <v>0</v>
      </c>
      <c r="E40" s="127">
        <v>29722474</v>
      </c>
      <c r="F40" s="127">
        <v>70268398.72</v>
      </c>
      <c r="G40" s="47">
        <v>11460751</v>
      </c>
      <c r="H40" s="47">
        <v>23478942.3</v>
      </c>
      <c r="I40" s="47">
        <v>0</v>
      </c>
      <c r="J40" s="47"/>
      <c r="K40" s="47"/>
      <c r="L40" s="47"/>
      <c r="M40" s="47"/>
      <c r="N40" s="47"/>
      <c r="O40" s="47"/>
      <c r="P40" s="132">
        <f>SUM(D40:O40)</f>
        <v>134930566.02</v>
      </c>
      <c r="Q40" s="127">
        <v>0</v>
      </c>
      <c r="R40" s="127">
        <v>29722474</v>
      </c>
      <c r="S40" s="127">
        <v>70268398.72</v>
      </c>
      <c r="T40" s="47">
        <v>11140591</v>
      </c>
      <c r="U40" s="47">
        <v>23799102.3</v>
      </c>
      <c r="V40" s="47">
        <v>0</v>
      </c>
      <c r="W40" s="47"/>
      <c r="X40" s="127"/>
      <c r="Y40" s="127"/>
      <c r="Z40" s="47"/>
      <c r="AA40" s="47"/>
      <c r="AB40" s="126"/>
      <c r="AC40" s="34">
        <f>SUM(Q40:AB40)</f>
        <v>134930566.02</v>
      </c>
      <c r="AD40" s="41"/>
      <c r="AE40" s="41"/>
      <c r="AF40" s="129"/>
    </row>
    <row r="41" spans="1:31" s="24" customFormat="1" ht="18.75" thickBot="1">
      <c r="A41" s="224" t="s">
        <v>50</v>
      </c>
      <c r="B41" s="225"/>
      <c r="C41" s="30">
        <f aca="true" t="shared" si="11" ref="C41:AB41">SUM(C14+C39)</f>
        <v>145395785.31</v>
      </c>
      <c r="D41" s="30">
        <f t="shared" si="11"/>
        <v>12202.14</v>
      </c>
      <c r="E41" s="30">
        <f t="shared" si="11"/>
        <v>33669038</v>
      </c>
      <c r="F41" s="30">
        <f t="shared" si="11"/>
        <v>70270440.05</v>
      </c>
      <c r="G41" s="30">
        <f t="shared" si="11"/>
        <v>11460805.44</v>
      </c>
      <c r="H41" s="30">
        <f t="shared" si="11"/>
        <v>25142196.18</v>
      </c>
      <c r="I41" s="30">
        <f t="shared" si="11"/>
        <v>0</v>
      </c>
      <c r="J41" s="30">
        <f t="shared" si="11"/>
        <v>0</v>
      </c>
      <c r="K41" s="30">
        <f t="shared" si="11"/>
        <v>0</v>
      </c>
      <c r="L41" s="30">
        <f t="shared" si="11"/>
        <v>0</v>
      </c>
      <c r="M41" s="30">
        <f t="shared" si="11"/>
        <v>0</v>
      </c>
      <c r="N41" s="30">
        <f t="shared" si="11"/>
        <v>0</v>
      </c>
      <c r="O41" s="30">
        <f t="shared" si="11"/>
        <v>0</v>
      </c>
      <c r="P41" s="30">
        <f>SUM(P14+P39)</f>
        <v>140554681.81</v>
      </c>
      <c r="Q41" s="30">
        <f t="shared" si="11"/>
        <v>0</v>
      </c>
      <c r="R41" s="30">
        <f t="shared" si="11"/>
        <v>33681240.14</v>
      </c>
      <c r="S41" s="30">
        <f t="shared" si="11"/>
        <v>70270440.05</v>
      </c>
      <c r="T41" s="30">
        <f t="shared" si="11"/>
        <v>11140645.44</v>
      </c>
      <c r="U41" s="30">
        <f t="shared" si="11"/>
        <v>25462356.18</v>
      </c>
      <c r="V41" s="30">
        <f t="shared" si="11"/>
        <v>0</v>
      </c>
      <c r="W41" s="30">
        <f t="shared" si="11"/>
        <v>0</v>
      </c>
      <c r="X41" s="30">
        <f t="shared" si="11"/>
        <v>0</v>
      </c>
      <c r="Y41" s="30">
        <f t="shared" si="11"/>
        <v>0</v>
      </c>
      <c r="Z41" s="30">
        <f t="shared" si="11"/>
        <v>0</v>
      </c>
      <c r="AA41" s="30">
        <f t="shared" si="11"/>
        <v>0</v>
      </c>
      <c r="AB41" s="30">
        <f t="shared" si="11"/>
        <v>0</v>
      </c>
      <c r="AC41" s="191">
        <f>+AC14+AC39</f>
        <v>140554681.81</v>
      </c>
      <c r="AD41" s="41"/>
      <c r="AE41" s="41"/>
    </row>
    <row r="42" spans="1:31" ht="15">
      <c r="A42" s="107" t="s">
        <v>151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43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1"/>
      <c r="AD42" s="41"/>
      <c r="AE42" s="41"/>
    </row>
    <row r="43" spans="1:31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37"/>
      <c r="M43" s="5"/>
      <c r="N43" s="5"/>
      <c r="O43" s="5"/>
      <c r="P43" s="37"/>
      <c r="Q43" s="5"/>
      <c r="R43" s="37"/>
      <c r="S43" s="5"/>
      <c r="T43" s="5"/>
      <c r="U43" s="5"/>
      <c r="V43" s="5"/>
      <c r="W43" s="5"/>
      <c r="X43" s="5"/>
      <c r="Y43" s="5"/>
      <c r="Z43" s="5"/>
      <c r="AA43" s="5"/>
      <c r="AB43" s="5"/>
      <c r="AC43" s="192"/>
      <c r="AE43" s="41"/>
    </row>
    <row r="44" spans="1:29" ht="12.75">
      <c r="A44" s="61"/>
      <c r="B44" s="5"/>
      <c r="C44" s="37"/>
      <c r="D44" s="5"/>
      <c r="E44" s="5"/>
      <c r="F44" s="5"/>
      <c r="G44" s="5"/>
      <c r="H44" s="5"/>
      <c r="I44" s="5"/>
      <c r="J44" s="5"/>
      <c r="K44" s="5"/>
      <c r="L44" s="37"/>
      <c r="M44" s="5"/>
      <c r="N44" s="5"/>
      <c r="O44" s="37"/>
      <c r="P44" s="37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</row>
    <row r="45" spans="1:29" ht="12.75">
      <c r="A45" s="61"/>
      <c r="B45" s="5"/>
      <c r="C45" s="5"/>
      <c r="D45" s="5"/>
      <c r="E45" s="5"/>
      <c r="F45" s="5"/>
      <c r="G45" s="5"/>
      <c r="H45" s="5"/>
      <c r="I45" s="5"/>
      <c r="J45" s="5"/>
      <c r="K45" s="5"/>
      <c r="L45" s="37"/>
      <c r="M45" s="5"/>
      <c r="N45" s="5"/>
      <c r="O45" s="37"/>
      <c r="P45" s="37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6"/>
    </row>
    <row r="46" spans="1:29" ht="12.75">
      <c r="A46" s="61"/>
      <c r="B46" s="5"/>
      <c r="C46" s="5"/>
      <c r="D46" s="5"/>
      <c r="E46" s="5"/>
      <c r="F46" s="5"/>
      <c r="G46" s="5"/>
      <c r="H46" s="5"/>
      <c r="I46" s="5"/>
      <c r="J46" s="5"/>
      <c r="K46" s="5"/>
      <c r="L46" s="37"/>
      <c r="M46" s="5"/>
      <c r="N46" s="5"/>
      <c r="O46" s="37"/>
      <c r="P46" s="37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6"/>
    </row>
    <row r="47" spans="1:29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37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"/>
    </row>
    <row r="48" spans="1:29" ht="13.5" thickBot="1">
      <c r="A48" s="4"/>
      <c r="B48" s="75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37"/>
      <c r="P48" s="15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"/>
    </row>
    <row r="49" spans="1:29" ht="13.5" thickBot="1">
      <c r="A49" s="7"/>
      <c r="B49" s="193" t="s">
        <v>113</v>
      </c>
      <c r="C49" s="194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6"/>
    </row>
    <row r="50" spans="1:29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193" ht="13.5" thickBot="1"/>
    <row r="194" ht="12.75">
      <c r="AC194" s="101"/>
    </row>
    <row r="195" ht="12.75">
      <c r="AC195" s="102" t="s">
        <v>46</v>
      </c>
    </row>
    <row r="196" ht="13.5" thickBot="1">
      <c r="AC196" s="103" t="s">
        <v>25</v>
      </c>
    </row>
    <row r="197" ht="13.5" thickBot="1">
      <c r="AC197" s="106">
        <v>8</v>
      </c>
    </row>
    <row r="198" ht="16.5" thickBot="1">
      <c r="AC198" s="32">
        <f>AC201</f>
        <v>122836641.96</v>
      </c>
    </row>
    <row r="199" ht="16.5" thickBot="1">
      <c r="AC199" s="32">
        <f>+AC200</f>
        <v>122836641.96</v>
      </c>
    </row>
    <row r="200" ht="15.75" thickBot="1">
      <c r="AC200" s="166">
        <f>+AC201</f>
        <v>122836641.96</v>
      </c>
    </row>
    <row r="201" ht="16.5" thickBot="1">
      <c r="AC201" s="43">
        <f>+AC202+AC204</f>
        <v>122836641.96</v>
      </c>
    </row>
    <row r="202" ht="15.75">
      <c r="AC202" s="167">
        <f>+AC203</f>
        <v>1994117.3199999998</v>
      </c>
    </row>
    <row r="203" ht="15.75">
      <c r="AC203" s="132">
        <f>SUM(P19:AA19)</f>
        <v>1994117.3199999998</v>
      </c>
    </row>
    <row r="204" ht="15.75">
      <c r="AC204" s="122">
        <f>+AC205+AC210+AC214+AC217+AC221</f>
        <v>122836460</v>
      </c>
    </row>
    <row r="205" ht="15.75">
      <c r="AC205" s="122">
        <f>SUM(AC206:AC209)</f>
        <v>215922.86000000002</v>
      </c>
    </row>
    <row r="206" ht="15.75">
      <c r="AC206" s="132">
        <f>SUM(P22:AA22)</f>
        <v>62979.72</v>
      </c>
    </row>
    <row r="207" ht="15.75">
      <c r="AC207" s="132">
        <f>SUM(P23:AA23)</f>
        <v>26913.24</v>
      </c>
    </row>
    <row r="208" ht="15.75">
      <c r="AC208" s="132">
        <f>SUM(P24:AA24)</f>
        <v>77758.62</v>
      </c>
    </row>
    <row r="209" ht="15.75">
      <c r="AC209" s="132">
        <f>SUM(P25:AA25)</f>
        <v>48271.28</v>
      </c>
    </row>
    <row r="210" ht="15.75">
      <c r="AC210" s="122">
        <f>SUM(AC211:AC213)</f>
        <v>8068605.500000001</v>
      </c>
    </row>
    <row r="211" ht="15.75">
      <c r="AC211" s="132">
        <f>SUM(P27:AA27)</f>
        <v>7897319.54</v>
      </c>
    </row>
    <row r="212" ht="15.75">
      <c r="AC212" s="132">
        <f>SUM(P28:AA28)</f>
        <v>117287.48</v>
      </c>
    </row>
    <row r="213" ht="15.75">
      <c r="AC213" s="132">
        <f>SUM(P29:AA29)</f>
        <v>53998.48</v>
      </c>
    </row>
    <row r="214" ht="15.75">
      <c r="AC214" s="122">
        <f>SUM(AC215:AC216)</f>
        <v>32903.68</v>
      </c>
    </row>
    <row r="215" ht="15.75">
      <c r="AC215" s="132">
        <f>SUM(P31:AA31)</f>
        <v>20690.8</v>
      </c>
    </row>
    <row r="216" ht="15.75">
      <c r="AC216" s="122">
        <f>SUM(AC221:AC222)</f>
        <v>12212.88</v>
      </c>
    </row>
    <row r="217" ht="15.75">
      <c r="AC217" s="122">
        <f>SUM(AC218:AC220)</f>
        <v>118889896</v>
      </c>
    </row>
    <row r="218" ht="15.75">
      <c r="AC218" s="122">
        <f>SUM(AC223:AC223)</f>
        <v>269861132.04</v>
      </c>
    </row>
    <row r="219" ht="15.75">
      <c r="AC219" s="122">
        <f>SUM(AC223:AC224)</f>
        <v>539722264.08</v>
      </c>
    </row>
    <row r="220" ht="15.75">
      <c r="AC220" s="122">
        <f>SUM(AC224:AC225)</f>
        <v>29722474</v>
      </c>
    </row>
    <row r="221" ht="15.75">
      <c r="AC221" s="132">
        <f>AC222</f>
        <v>6106.44</v>
      </c>
    </row>
    <row r="222" ht="16.5" thickBot="1">
      <c r="AC222" s="132">
        <f>SUM(P38:AA38)</f>
        <v>6106.44</v>
      </c>
    </row>
    <row r="223" ht="16.5" thickBot="1">
      <c r="AC223" s="33">
        <f>SUM(AC224:AC224)</f>
        <v>269861132.04</v>
      </c>
    </row>
    <row r="224" ht="16.5" thickBot="1">
      <c r="AC224" s="33">
        <f>SUM(P40:AA40)</f>
        <v>269861132.04</v>
      </c>
    </row>
    <row r="225" ht="16.5" thickBot="1">
      <c r="AC225" s="30">
        <f>SUM(AC198+AC223)</f>
        <v>0</v>
      </c>
    </row>
  </sheetData>
  <sheetProtection/>
  <mergeCells count="10">
    <mergeCell ref="A7:B7"/>
    <mergeCell ref="A8:B8"/>
    <mergeCell ref="A41:B41"/>
    <mergeCell ref="D49:P49"/>
    <mergeCell ref="Q49:AC49"/>
    <mergeCell ref="A1:AC1"/>
    <mergeCell ref="A2:AC2"/>
    <mergeCell ref="A3:AC3"/>
    <mergeCell ref="A4:AC4"/>
    <mergeCell ref="A5:AC5"/>
  </mergeCells>
  <printOptions/>
  <pageMargins left="1.73" right="0.7086614173228347" top="0.2755905511811024" bottom="0.15748031496062992" header="0.19" footer="0.1968503937007874"/>
  <pageSetup horizontalDpi="600" verticalDpi="600" orientation="landscape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5"/>
  <sheetViews>
    <sheetView zoomScale="75" zoomScaleNormal="75" zoomScalePageLayoutView="0" workbookViewId="0" topLeftCell="I1">
      <selection activeCell="AQ1" sqref="AQ1:AU16384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customWidth="1"/>
    <col min="10" max="10" width="23.8515625" style="1" hidden="1" customWidth="1"/>
    <col min="11" max="11" width="21.8515625" style="1" hidden="1" customWidth="1"/>
    <col min="12" max="12" width="22.140625" style="1" hidden="1" customWidth="1"/>
    <col min="13" max="13" width="21.140625" style="1" hidden="1" customWidth="1"/>
    <col min="14" max="14" width="20.140625" style="1" hidden="1" customWidth="1"/>
    <col min="15" max="15" width="21.71093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0.57421875" style="1" hidden="1" customWidth="1"/>
    <col min="22" max="22" width="21.7109375" style="1" customWidth="1"/>
    <col min="23" max="23" width="17.28125" style="1" hidden="1" customWidth="1"/>
    <col min="24" max="24" width="17.7109375" style="1" hidden="1" customWidth="1"/>
    <col min="25" max="25" width="17.140625" style="1" hidden="1" customWidth="1"/>
    <col min="26" max="26" width="16.57421875" style="1" hidden="1" customWidth="1"/>
    <col min="27" max="27" width="21.00390625" style="1" hidden="1" customWidth="1"/>
    <col min="28" max="28" width="20.710937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hidden="1" customWidth="1"/>
    <col min="35" max="35" width="21.8515625" style="1" customWidth="1"/>
    <col min="36" max="36" width="20.00390625" style="1" hidden="1" customWidth="1"/>
    <col min="37" max="37" width="21.00390625" style="1" hidden="1" customWidth="1"/>
    <col min="38" max="38" width="21.8515625" style="1" hidden="1" customWidth="1"/>
    <col min="39" max="39" width="24.57421875" style="1" hidden="1" customWidth="1"/>
    <col min="40" max="40" width="21.28125" style="1" hidden="1" customWidth="1"/>
    <col min="41" max="41" width="20.7109375" style="1" hidden="1" customWidth="1"/>
    <col min="42" max="42" width="21.28125" style="1" bestFit="1" customWidth="1"/>
    <col min="43" max="43" width="21.28125" style="108" bestFit="1" customWidth="1"/>
    <col min="44" max="44" width="19.57421875" style="108" customWidth="1"/>
    <col min="45" max="45" width="17.7109375" style="130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200"/>
    </row>
    <row r="2" spans="1:42" ht="15.75">
      <c r="A2" s="201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3"/>
    </row>
    <row r="3" spans="1:42" ht="18">
      <c r="A3" s="204" t="s">
        <v>51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6"/>
    </row>
    <row r="4" spans="1:42" ht="15.75">
      <c r="A4" s="201" t="s">
        <v>52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3"/>
    </row>
    <row r="5" spans="1:42" ht="20.25">
      <c r="A5" s="207" t="s">
        <v>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9"/>
    </row>
    <row r="6" spans="1:43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6"/>
      <c r="AI6" s="50"/>
      <c r="AJ6" s="50"/>
      <c r="AK6" s="50"/>
      <c r="AL6" s="50"/>
      <c r="AM6" s="50"/>
      <c r="AN6" s="50"/>
      <c r="AO6" s="50"/>
      <c r="AP6" s="51"/>
      <c r="AQ6" s="109"/>
    </row>
    <row r="7" spans="1:43" ht="15.75">
      <c r="A7" s="222" t="s">
        <v>4</v>
      </c>
      <c r="B7" s="223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67" t="s">
        <v>8</v>
      </c>
      <c r="AD7" s="69"/>
      <c r="AE7" s="69"/>
      <c r="AF7" s="69"/>
      <c r="AG7" s="69"/>
      <c r="AH7" s="56"/>
      <c r="AI7" s="69"/>
      <c r="AJ7" s="69"/>
      <c r="AK7" s="69"/>
      <c r="AL7" s="69"/>
      <c r="AM7" s="69"/>
      <c r="AN7" s="69"/>
      <c r="AO7" s="69"/>
      <c r="AP7" s="72" t="s">
        <v>216</v>
      </c>
      <c r="AQ7" s="110"/>
    </row>
    <row r="8" spans="1:43" ht="20.25">
      <c r="A8" s="222" t="s">
        <v>5</v>
      </c>
      <c r="B8" s="223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7" t="s">
        <v>9</v>
      </c>
      <c r="AD8" s="69"/>
      <c r="AE8" s="69"/>
      <c r="AF8" s="69"/>
      <c r="AG8" s="69"/>
      <c r="AH8" s="56"/>
      <c r="AI8" s="69"/>
      <c r="AJ8" s="69"/>
      <c r="AK8" s="69"/>
      <c r="AL8" s="69"/>
      <c r="AM8" s="69"/>
      <c r="AN8" s="69"/>
      <c r="AO8" s="69"/>
      <c r="AP8" s="68">
        <v>2012</v>
      </c>
      <c r="AQ8" s="40"/>
    </row>
    <row r="9" spans="1:42" ht="15.7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</row>
    <row r="10" spans="1:42" ht="1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</row>
    <row r="11" spans="1:42" ht="15">
      <c r="A11" s="102" t="s">
        <v>40</v>
      </c>
      <c r="B11" s="102" t="s">
        <v>42</v>
      </c>
      <c r="C11" s="102" t="s">
        <v>43</v>
      </c>
      <c r="D11" s="102" t="s">
        <v>44</v>
      </c>
      <c r="E11" s="102" t="s">
        <v>44</v>
      </c>
      <c r="F11" s="102" t="s">
        <v>44</v>
      </c>
      <c r="G11" s="102" t="s">
        <v>44</v>
      </c>
      <c r="H11" s="102" t="s">
        <v>44</v>
      </c>
      <c r="I11" s="102" t="s">
        <v>44</v>
      </c>
      <c r="J11" s="102" t="s">
        <v>44</v>
      </c>
      <c r="K11" s="102" t="s">
        <v>44</v>
      </c>
      <c r="L11" s="102" t="s">
        <v>44</v>
      </c>
      <c r="M11" s="102" t="s">
        <v>44</v>
      </c>
      <c r="N11" s="102" t="s">
        <v>44</v>
      </c>
      <c r="O11" s="102" t="s">
        <v>44</v>
      </c>
      <c r="P11" s="102" t="s">
        <v>44</v>
      </c>
      <c r="Q11" s="102" t="s">
        <v>45</v>
      </c>
      <c r="R11" s="102" t="s">
        <v>45</v>
      </c>
      <c r="S11" s="102" t="s">
        <v>45</v>
      </c>
      <c r="T11" s="102" t="s">
        <v>45</v>
      </c>
      <c r="U11" s="102" t="s">
        <v>45</v>
      </c>
      <c r="V11" s="102" t="s">
        <v>45</v>
      </c>
      <c r="W11" s="102" t="s">
        <v>45</v>
      </c>
      <c r="X11" s="102" t="s">
        <v>45</v>
      </c>
      <c r="Y11" s="102" t="s">
        <v>45</v>
      </c>
      <c r="Z11" s="102" t="s">
        <v>45</v>
      </c>
      <c r="AA11" s="102" t="s">
        <v>45</v>
      </c>
      <c r="AB11" s="102" t="s">
        <v>45</v>
      </c>
      <c r="AC11" s="102" t="s">
        <v>45</v>
      </c>
      <c r="AD11" s="102" t="s">
        <v>46</v>
      </c>
      <c r="AE11" s="102" t="s">
        <v>46</v>
      </c>
      <c r="AF11" s="102" t="s">
        <v>46</v>
      </c>
      <c r="AG11" s="102" t="s">
        <v>46</v>
      </c>
      <c r="AH11" s="102" t="s">
        <v>46</v>
      </c>
      <c r="AI11" s="102" t="s">
        <v>46</v>
      </c>
      <c r="AJ11" s="102" t="s">
        <v>46</v>
      </c>
      <c r="AK11" s="102" t="s">
        <v>46</v>
      </c>
      <c r="AL11" s="102" t="s">
        <v>46</v>
      </c>
      <c r="AM11" s="102" t="s">
        <v>46</v>
      </c>
      <c r="AN11" s="102" t="s">
        <v>46</v>
      </c>
      <c r="AO11" s="102" t="s">
        <v>46</v>
      </c>
      <c r="AP11" s="102" t="s">
        <v>46</v>
      </c>
    </row>
    <row r="12" spans="1:49" ht="15.75" thickBot="1">
      <c r="A12" s="103" t="s">
        <v>41</v>
      </c>
      <c r="B12" s="103"/>
      <c r="C12" s="103" t="s">
        <v>12</v>
      </c>
      <c r="D12" s="103" t="s">
        <v>13</v>
      </c>
      <c r="E12" s="103" t="s">
        <v>14</v>
      </c>
      <c r="F12" s="103" t="s">
        <v>15</v>
      </c>
      <c r="G12" s="103" t="s">
        <v>82</v>
      </c>
      <c r="H12" s="103" t="s">
        <v>17</v>
      </c>
      <c r="I12" s="103" t="s">
        <v>18</v>
      </c>
      <c r="J12" s="103" t="s">
        <v>19</v>
      </c>
      <c r="K12" s="103" t="s">
        <v>20</v>
      </c>
      <c r="L12" s="103" t="s">
        <v>21</v>
      </c>
      <c r="M12" s="103" t="s">
        <v>22</v>
      </c>
      <c r="N12" s="103" t="s">
        <v>23</v>
      </c>
      <c r="O12" s="103" t="s">
        <v>24</v>
      </c>
      <c r="P12" s="103" t="s">
        <v>25</v>
      </c>
      <c r="Q12" s="103" t="s">
        <v>13</v>
      </c>
      <c r="R12" s="103" t="s">
        <v>14</v>
      </c>
      <c r="S12" s="103" t="s">
        <v>15</v>
      </c>
      <c r="T12" s="103" t="s">
        <v>16</v>
      </c>
      <c r="U12" s="103" t="s">
        <v>28</v>
      </c>
      <c r="V12" s="103" t="s">
        <v>29</v>
      </c>
      <c r="W12" s="103" t="s">
        <v>30</v>
      </c>
      <c r="X12" s="103" t="s">
        <v>20</v>
      </c>
      <c r="Y12" s="103" t="s">
        <v>21</v>
      </c>
      <c r="Z12" s="103" t="s">
        <v>31</v>
      </c>
      <c r="AA12" s="103" t="s">
        <v>23</v>
      </c>
      <c r="AB12" s="103" t="s">
        <v>24</v>
      </c>
      <c r="AC12" s="103" t="s">
        <v>47</v>
      </c>
      <c r="AD12" s="103" t="s">
        <v>13</v>
      </c>
      <c r="AE12" s="103" t="s">
        <v>14</v>
      </c>
      <c r="AF12" s="103" t="s">
        <v>15</v>
      </c>
      <c r="AG12" s="103" t="s">
        <v>16</v>
      </c>
      <c r="AH12" s="103" t="s">
        <v>28</v>
      </c>
      <c r="AI12" s="103" t="s">
        <v>29</v>
      </c>
      <c r="AJ12" s="103" t="s">
        <v>30</v>
      </c>
      <c r="AK12" s="103" t="s">
        <v>20</v>
      </c>
      <c r="AL12" s="103" t="s">
        <v>21</v>
      </c>
      <c r="AM12" s="103" t="s">
        <v>31</v>
      </c>
      <c r="AN12" s="103" t="s">
        <v>23</v>
      </c>
      <c r="AO12" s="103" t="s">
        <v>24</v>
      </c>
      <c r="AP12" s="103" t="s">
        <v>25</v>
      </c>
      <c r="AS12" s="108"/>
      <c r="AT12" s="108"/>
      <c r="AU12" s="108"/>
      <c r="AV12" s="108"/>
      <c r="AW12" s="108"/>
    </row>
    <row r="13" spans="1:49" ht="15.75" thickBot="1">
      <c r="A13" s="104">
        <v>1</v>
      </c>
      <c r="B13" s="105">
        <v>2</v>
      </c>
      <c r="C13" s="105"/>
      <c r="D13" s="105"/>
      <c r="E13" s="105"/>
      <c r="F13" s="105">
        <v>3</v>
      </c>
      <c r="G13" s="105">
        <v>3</v>
      </c>
      <c r="H13" s="105">
        <v>3</v>
      </c>
      <c r="I13" s="105">
        <v>3</v>
      </c>
      <c r="J13" s="105">
        <v>3</v>
      </c>
      <c r="K13" s="105">
        <v>3</v>
      </c>
      <c r="L13" s="105">
        <v>3</v>
      </c>
      <c r="M13" s="105">
        <v>3</v>
      </c>
      <c r="N13" s="105">
        <v>3</v>
      </c>
      <c r="O13" s="105">
        <v>3</v>
      </c>
      <c r="P13" s="105">
        <v>4</v>
      </c>
      <c r="Q13" s="105"/>
      <c r="R13" s="105"/>
      <c r="S13" s="105">
        <v>5</v>
      </c>
      <c r="T13" s="105">
        <v>5</v>
      </c>
      <c r="U13" s="105">
        <v>5</v>
      </c>
      <c r="V13" s="105">
        <v>5</v>
      </c>
      <c r="W13" s="105">
        <v>5</v>
      </c>
      <c r="X13" s="105">
        <v>5</v>
      </c>
      <c r="Y13" s="105">
        <v>5</v>
      </c>
      <c r="Z13" s="105">
        <v>5</v>
      </c>
      <c r="AA13" s="105">
        <v>5</v>
      </c>
      <c r="AB13" s="105">
        <v>5</v>
      </c>
      <c r="AC13" s="105">
        <v>6</v>
      </c>
      <c r="AD13" s="105"/>
      <c r="AE13" s="105"/>
      <c r="AF13" s="105">
        <v>7</v>
      </c>
      <c r="AG13" s="105">
        <v>7</v>
      </c>
      <c r="AH13" s="105">
        <v>7</v>
      </c>
      <c r="AI13" s="105">
        <v>7</v>
      </c>
      <c r="AJ13" s="105">
        <v>7</v>
      </c>
      <c r="AK13" s="105">
        <v>7</v>
      </c>
      <c r="AL13" s="105">
        <v>7</v>
      </c>
      <c r="AM13" s="105">
        <v>7</v>
      </c>
      <c r="AN13" s="105">
        <v>7</v>
      </c>
      <c r="AO13" s="105">
        <v>7</v>
      </c>
      <c r="AP13" s="106">
        <v>8</v>
      </c>
      <c r="AS13" s="108"/>
      <c r="AT13" s="108"/>
      <c r="AU13" s="108"/>
      <c r="AV13" s="108"/>
      <c r="AW13" s="108"/>
    </row>
    <row r="14" spans="1:49" s="29" customFormat="1" ht="16.5" thickBot="1">
      <c r="A14" s="31"/>
      <c r="B14" s="70" t="s">
        <v>116</v>
      </c>
      <c r="C14" s="32">
        <f>C16</f>
        <v>20788642</v>
      </c>
      <c r="D14" s="32">
        <f>D16</f>
        <v>0</v>
      </c>
      <c r="E14" s="32">
        <f aca="true" t="shared" si="0" ref="E14:AP14">E16</f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0</v>
      </c>
      <c r="AD14" s="32">
        <f t="shared" si="0"/>
        <v>0</v>
      </c>
      <c r="AE14" s="32">
        <f t="shared" si="0"/>
        <v>0</v>
      </c>
      <c r="AF14" s="32">
        <f t="shared" si="0"/>
        <v>0</v>
      </c>
      <c r="AG14" s="32">
        <f t="shared" si="0"/>
        <v>0</v>
      </c>
      <c r="AH14" s="32">
        <f t="shared" si="0"/>
        <v>0</v>
      </c>
      <c r="AI14" s="32">
        <f t="shared" si="0"/>
        <v>0</v>
      </c>
      <c r="AJ14" s="32">
        <f t="shared" si="0"/>
        <v>0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 t="shared" si="0"/>
        <v>0</v>
      </c>
      <c r="AQ14" s="108"/>
      <c r="AR14" s="108"/>
      <c r="AS14" s="108"/>
      <c r="AT14" s="108"/>
      <c r="AU14" s="108"/>
      <c r="AV14" s="108"/>
      <c r="AW14" s="108"/>
    </row>
    <row r="15" spans="1:49" s="45" customFormat="1" ht="16.5" thickBot="1">
      <c r="A15" s="36"/>
      <c r="B15" s="71" t="s">
        <v>84</v>
      </c>
      <c r="C15" s="33">
        <f aca="true" t="shared" si="1" ref="C15:AQ15">SUM(C16:C17)</f>
        <v>20788642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0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3">
        <f t="shared" si="1"/>
        <v>0</v>
      </c>
      <c r="AQ15" s="108"/>
      <c r="AR15" s="108"/>
      <c r="AS15" s="108"/>
      <c r="AT15" s="108"/>
      <c r="AU15" s="108"/>
      <c r="AV15" s="108"/>
      <c r="AW15" s="108"/>
    </row>
    <row r="16" spans="1:49" s="12" customFormat="1" ht="15.75" thickBot="1">
      <c r="A16" s="79" t="s">
        <v>124</v>
      </c>
      <c r="B16" s="20" t="s">
        <v>115</v>
      </c>
      <c r="C16" s="21">
        <v>20788642</v>
      </c>
      <c r="D16" s="21">
        <v>0</v>
      </c>
      <c r="E16" s="21"/>
      <c r="F16" s="21">
        <v>0</v>
      </c>
      <c r="G16" s="21">
        <v>0</v>
      </c>
      <c r="H16" s="21">
        <v>0</v>
      </c>
      <c r="I16" s="21">
        <v>0</v>
      </c>
      <c r="J16" s="21"/>
      <c r="K16" s="21">
        <v>0</v>
      </c>
      <c r="L16" s="21">
        <v>0</v>
      </c>
      <c r="M16" s="21"/>
      <c r="N16" s="21"/>
      <c r="O16" s="21">
        <v>0</v>
      </c>
      <c r="P16" s="22">
        <f>SUM(D16:O16)</f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/>
      <c r="X16" s="47">
        <v>0</v>
      </c>
      <c r="Y16" s="21"/>
      <c r="Z16" s="21">
        <v>0</v>
      </c>
      <c r="AA16" s="21"/>
      <c r="AB16" s="21">
        <v>0</v>
      </c>
      <c r="AC16" s="22">
        <f>SUM(Q16:AB16)</f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/>
      <c r="AK16" s="21">
        <v>0</v>
      </c>
      <c r="AL16" s="21">
        <v>0</v>
      </c>
      <c r="AM16" s="21">
        <v>0</v>
      </c>
      <c r="AN16" s="21"/>
      <c r="AO16" s="21">
        <v>0</v>
      </c>
      <c r="AP16" s="23">
        <f>SUM(AD16:AO16)</f>
        <v>0</v>
      </c>
      <c r="AQ16" s="108"/>
      <c r="AR16" s="108"/>
      <c r="AS16" s="108"/>
      <c r="AT16" s="108"/>
      <c r="AU16" s="108"/>
      <c r="AV16" s="108"/>
      <c r="AW16" s="108"/>
    </row>
    <row r="17" spans="1:49" s="12" customFormat="1" ht="15.75" hidden="1" thickBot="1">
      <c r="A17" s="79" t="s">
        <v>93</v>
      </c>
      <c r="B17" s="20" t="s">
        <v>94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2">
        <f>SUM(D17:O17)</f>
        <v>0</v>
      </c>
      <c r="Q17" s="47"/>
      <c r="R17" s="47"/>
      <c r="S17" s="47"/>
      <c r="T17" s="47"/>
      <c r="U17" s="47"/>
      <c r="V17" s="47"/>
      <c r="W17" s="47"/>
      <c r="X17" s="47">
        <v>0</v>
      </c>
      <c r="Y17" s="47"/>
      <c r="Z17" s="47"/>
      <c r="AA17" s="47"/>
      <c r="AB17" s="47"/>
      <c r="AC17" s="22">
        <f>SUM(Q17:AB17)</f>
        <v>0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23">
        <f>SUM(AD17:AO17)</f>
        <v>0</v>
      </c>
      <c r="AQ17" s="108"/>
      <c r="AR17" s="108"/>
      <c r="AS17" s="108"/>
      <c r="AT17" s="108"/>
      <c r="AU17" s="108"/>
      <c r="AV17" s="108"/>
      <c r="AW17" s="108"/>
    </row>
    <row r="18" spans="1:49" s="12" customFormat="1" ht="31.5" customHeight="1" hidden="1" thickBot="1">
      <c r="A18" s="46" t="s">
        <v>92</v>
      </c>
      <c r="B18" s="112" t="s">
        <v>91</v>
      </c>
      <c r="C18" s="47"/>
      <c r="D18" s="27"/>
      <c r="E18" s="47"/>
      <c r="F18" s="47"/>
      <c r="G18" s="47"/>
      <c r="H18" s="48"/>
      <c r="I18" s="47"/>
      <c r="J18" s="47"/>
      <c r="K18" s="47"/>
      <c r="L18" s="47"/>
      <c r="M18" s="47"/>
      <c r="N18" s="47"/>
      <c r="O18" s="27"/>
      <c r="P18" s="27">
        <f>SUM(D18:O18)</f>
        <v>0</v>
      </c>
      <c r="Q18" s="27"/>
      <c r="R18" s="47"/>
      <c r="S18" s="47"/>
      <c r="T18" s="47"/>
      <c r="U18" s="48"/>
      <c r="V18" s="47"/>
      <c r="W18" s="47"/>
      <c r="X18" s="47"/>
      <c r="Y18" s="47"/>
      <c r="Z18" s="47"/>
      <c r="AA18" s="47"/>
      <c r="AB18" s="47"/>
      <c r="AC18" s="26">
        <f>SUM(Q18:AB18)</f>
        <v>0</v>
      </c>
      <c r="AD18" s="27"/>
      <c r="AE18" s="47"/>
      <c r="AF18" s="47"/>
      <c r="AG18" s="47"/>
      <c r="AH18" s="48"/>
      <c r="AI18" s="47"/>
      <c r="AJ18" s="47"/>
      <c r="AK18" s="47"/>
      <c r="AL18" s="47"/>
      <c r="AM18" s="47"/>
      <c r="AN18" s="47"/>
      <c r="AO18" s="47"/>
      <c r="AP18" s="28">
        <f>SUM(AD18:AO18)</f>
        <v>0</v>
      </c>
      <c r="AQ18" s="108"/>
      <c r="AR18" s="108"/>
      <c r="AS18" s="108"/>
      <c r="AT18" s="108"/>
      <c r="AU18" s="108"/>
      <c r="AV18" s="108"/>
      <c r="AW18" s="108"/>
    </row>
    <row r="19" spans="1:49" s="24" customFormat="1" ht="18.75" thickBot="1">
      <c r="A19" s="224" t="s">
        <v>50</v>
      </c>
      <c r="B19" s="225"/>
      <c r="C19" s="30">
        <f>C14</f>
        <v>20788642</v>
      </c>
      <c r="D19" s="30">
        <f aca="true" t="shared" si="2" ref="D19:AT19">D14</f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  <c r="AD19" s="30">
        <f t="shared" si="2"/>
        <v>0</v>
      </c>
      <c r="AE19" s="30">
        <f t="shared" si="2"/>
        <v>0</v>
      </c>
      <c r="AF19" s="30">
        <f t="shared" si="2"/>
        <v>0</v>
      </c>
      <c r="AG19" s="30">
        <f t="shared" si="2"/>
        <v>0</v>
      </c>
      <c r="AH19" s="30">
        <f t="shared" si="2"/>
        <v>0</v>
      </c>
      <c r="AI19" s="30">
        <f t="shared" si="2"/>
        <v>0</v>
      </c>
      <c r="AJ19" s="30">
        <f t="shared" si="2"/>
        <v>0</v>
      </c>
      <c r="AK19" s="30">
        <f t="shared" si="2"/>
        <v>0</v>
      </c>
      <c r="AL19" s="30">
        <f t="shared" si="2"/>
        <v>0</v>
      </c>
      <c r="AM19" s="30">
        <f t="shared" si="2"/>
        <v>0</v>
      </c>
      <c r="AN19" s="30">
        <f t="shared" si="2"/>
        <v>0</v>
      </c>
      <c r="AO19" s="30">
        <f t="shared" si="2"/>
        <v>0</v>
      </c>
      <c r="AP19" s="30">
        <f t="shared" si="2"/>
        <v>0</v>
      </c>
      <c r="AQ19" s="108"/>
      <c r="AR19" s="108"/>
      <c r="AS19" s="108"/>
      <c r="AT19" s="108"/>
      <c r="AU19" s="108"/>
      <c r="AV19" s="108"/>
      <c r="AW19" s="108"/>
    </row>
    <row r="20" spans="1:49" ht="15">
      <c r="A20" s="107" t="s">
        <v>151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  <c r="AS20" s="108"/>
      <c r="AT20" s="108"/>
      <c r="AU20" s="108"/>
      <c r="AV20" s="108"/>
      <c r="AW20" s="108"/>
    </row>
    <row r="21" spans="1:49" ht="15">
      <c r="A21" s="11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S21" s="108"/>
      <c r="AT21" s="108"/>
      <c r="AU21" s="108"/>
      <c r="AV21" s="108"/>
      <c r="AW21" s="108"/>
    </row>
    <row r="22" spans="1:49" ht="15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7"/>
      <c r="AS22" s="108"/>
      <c r="AT22" s="108"/>
      <c r="AU22" s="108"/>
      <c r="AV22" s="108"/>
      <c r="AW22" s="108"/>
    </row>
    <row r="23" spans="1:49" ht="30.75" customHeight="1">
      <c r="A23" s="195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7"/>
      <c r="AS23" s="108"/>
      <c r="AT23" s="108"/>
      <c r="AU23" s="108"/>
      <c r="AV23" s="108"/>
      <c r="AW23" s="108"/>
    </row>
    <row r="24" spans="1:49" ht="15" hidden="1">
      <c r="A24" s="61">
        <f ca="1">TODAY()</f>
        <v>41107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S24" s="108"/>
      <c r="AT24" s="108"/>
      <c r="AU24" s="108"/>
      <c r="AV24" s="108"/>
      <c r="AW24" s="108"/>
    </row>
    <row r="25" spans="1:49" ht="15" hidden="1">
      <c r="A25" s="6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S25" s="108"/>
      <c r="AT25" s="108"/>
      <c r="AU25" s="108"/>
      <c r="AV25" s="108"/>
      <c r="AW25" s="108"/>
    </row>
    <row r="26" spans="1:49" ht="15" hidden="1">
      <c r="A26" s="6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S26" s="108"/>
      <c r="AT26" s="108"/>
      <c r="AU26" s="108"/>
      <c r="AV26" s="108"/>
      <c r="AW26" s="108"/>
    </row>
    <row r="27" spans="1:49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S27" s="108"/>
      <c r="AT27" s="108"/>
      <c r="AU27" s="108"/>
      <c r="AV27" s="108"/>
      <c r="AW27" s="108"/>
    </row>
    <row r="28" spans="1:49" ht="15.75" thickBot="1">
      <c r="A28" s="4"/>
      <c r="B28" s="75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S28" s="108"/>
      <c r="AT28" s="108"/>
      <c r="AU28" s="108"/>
      <c r="AV28" s="108"/>
      <c r="AW28" s="108"/>
    </row>
    <row r="29" spans="1:42" ht="15.75">
      <c r="A29" s="4"/>
      <c r="B29" s="64"/>
      <c r="C29" s="221" t="s">
        <v>111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5"/>
      <c r="R29" s="5"/>
      <c r="S29" s="5"/>
      <c r="T29" s="37"/>
      <c r="U29" s="5"/>
      <c r="V29" s="5"/>
      <c r="W29" s="5"/>
      <c r="X29" s="5"/>
      <c r="Y29" s="5"/>
      <c r="Z29" s="5"/>
      <c r="AA29" s="5"/>
      <c r="AB29" s="5"/>
      <c r="AC29" s="64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">
      <c r="A31" s="3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  <row r="39" spans="6:18" ht="15"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6:18" ht="15"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</row>
    <row r="41" spans="6:18" ht="15"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6:18" ht="15"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6:18" ht="15"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</row>
    <row r="44" spans="6:18" ht="15"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</row>
    <row r="45" spans="6:18" ht="15"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</row>
  </sheetData>
  <sheetProtection/>
  <mergeCells count="10">
    <mergeCell ref="A1:AP1"/>
    <mergeCell ref="A2:AP2"/>
    <mergeCell ref="A3:AP3"/>
    <mergeCell ref="A4:AP4"/>
    <mergeCell ref="C29:P29"/>
    <mergeCell ref="A5:AP5"/>
    <mergeCell ref="A7:B7"/>
    <mergeCell ref="A8:B8"/>
    <mergeCell ref="A19:B19"/>
    <mergeCell ref="A22:AP23"/>
  </mergeCells>
  <printOptions horizontalCentered="1" verticalCentered="1"/>
  <pageMargins left="1.04" right="0.1968503937007874" top="0.15748031496062992" bottom="0.1968503937007874" header="0" footer="0.1968503937007874"/>
  <pageSetup horizontalDpi="300" verticalDpi="300" orientation="landscape" paperSize="5" scale="75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RChaparroG</cp:lastModifiedBy>
  <cp:lastPrinted>2012-07-17T16:40:18Z</cp:lastPrinted>
  <dcterms:created xsi:type="dcterms:W3CDTF">1999-04-05T19:37:02Z</dcterms:created>
  <dcterms:modified xsi:type="dcterms:W3CDTF">2012-07-17T19:39:36Z</dcterms:modified>
  <cp:category/>
  <cp:version/>
  <cp:contentType/>
  <cp:contentStatus/>
</cp:coreProperties>
</file>