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<sst xmlns="http://schemas.openxmlformats.org/spreadsheetml/2006/main" count="41" uniqueCount="36">
  <si>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Sustancia</t>
  </si>
  <si>
    <t>Anexo A, grupo I</t>
  </si>
  <si>
    <t>CFC-11</t>
  </si>
  <si>
    <t>CFC-12</t>
  </si>
  <si>
    <t>CFC-113</t>
  </si>
  <si>
    <t>CFC-114</t>
  </si>
  <si>
    <t>CFC-115</t>
  </si>
  <si>
    <t>Sub-total</t>
  </si>
  <si>
    <t>Anexo A, grupo II</t>
  </si>
  <si>
    <t>Halon 1211</t>
  </si>
  <si>
    <t>Halon 1301</t>
  </si>
  <si>
    <t>Halon 2402</t>
  </si>
  <si>
    <t>Anexo B, grupo II</t>
  </si>
  <si>
    <t>Tetracloruro de carbono</t>
  </si>
  <si>
    <t>Anexo B, grupo III</t>
  </si>
  <si>
    <t>Metilcloroformo</t>
  </si>
  <si>
    <t>Anexo C, grupo I</t>
  </si>
  <si>
    <t>HCFC-22</t>
  </si>
  <si>
    <t>HCFC-141b</t>
  </si>
  <si>
    <t>HCFC-142b</t>
  </si>
  <si>
    <t>HCFC-123</t>
  </si>
  <si>
    <t>Anexo E</t>
  </si>
  <si>
    <t>Metilbromuro</t>
  </si>
  <si>
    <t>TOTAL</t>
  </si>
  <si>
    <r>
      <t>1</t>
    </r>
    <r>
      <rPr>
        <sz val="9"/>
        <rFont val="Arial"/>
        <family val="2"/>
      </rPr>
      <t xml:space="preserve"> Los valores de consumo reportados para cada una de las sustancias hacen referencia al consumo aparente (producción + importación - exportación).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</si>
  <si>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PAO: Potencial de agotamiento de la capa de ozono</t>
    </r>
  </si>
  <si>
    <t>HCFC-124</t>
  </si>
  <si>
    <t>HCFC-131</t>
  </si>
  <si>
    <t>Fuente: Ministerio de Ambiente y Desarrollo Sostenible - MADS, Dirección de Asuntos Ambientales, Sectorial y Urbana, Unidad Técnica Ozono - UTO</t>
  </si>
  <si>
    <r>
      <t>Colombia. Consumo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de sustancias que agotan la capa de ozono, por tipo de sustancia.</t>
    </r>
  </si>
  <si>
    <t>Iniciativa Latinoamericana y Caribeña para el Desarrollo Sostenible</t>
  </si>
  <si>
    <r>
      <t>PAO</t>
    </r>
    <r>
      <rPr>
        <b/>
        <vertAlign val="superscript"/>
        <sz val="10"/>
        <color indexed="8"/>
        <rFont val="Arial"/>
        <family val="2"/>
      </rPr>
      <t>2</t>
    </r>
  </si>
  <si>
    <t xml:space="preserve">Fecha de actualización: 21/06/2017 </t>
  </si>
  <si>
    <t xml:space="preserve"> 2000 – 2015</t>
  </si>
  <si>
    <t>Toneladas PAO2</t>
  </si>
  <si>
    <t>Fecha de publicación: 09/10/2017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</si>
</sst>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0.00000"/>
    <numFmt numFmtId="188" formatCode="#,##0.00000"/>
    <numFmt numFmtId="189" formatCode="0.0%"/>
    <numFmt numFmtId="190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7" fillId="33" borderId="15" xfId="0" applyFont="1" applyFill="1" applyBorder="1" applyAlignment="1">
      <alignment vertical="top"/>
    </xf>
    <xf numFmtId="0" fontId="7" fillId="33" borderId="15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8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/>
    </xf>
    <xf numFmtId="0" fontId="7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2" applyFont="1" applyFill="1" applyBorder="1" applyAlignment="1">
      <alignment vertical="center"/>
      <protection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2" fontId="6" fillId="33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top"/>
    </xf>
    <xf numFmtId="2" fontId="6" fillId="33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center" vertical="top"/>
    </xf>
    <xf numFmtId="2" fontId="7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2" fontId="7" fillId="33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top"/>
    </xf>
    <xf numFmtId="2" fontId="7" fillId="33" borderId="0" xfId="0" applyNumberFormat="1" applyFont="1" applyFill="1" applyBorder="1" applyAlignment="1">
      <alignment horizontal="center" vertical="top"/>
    </xf>
    <xf numFmtId="0" fontId="4" fillId="0" borderId="17" xfId="52" applyFont="1" applyFill="1" applyBorder="1" applyAlignment="1">
      <alignment vertical="center"/>
      <protection/>
    </xf>
    <xf numFmtId="185" fontId="6" fillId="33" borderId="0" xfId="0" applyNumberFormat="1" applyFont="1" applyFill="1" applyBorder="1" applyAlignment="1">
      <alignment horizontal="center" vertical="top"/>
    </xf>
    <xf numFmtId="190" fontId="6" fillId="33" borderId="0" xfId="0" applyNumberFormat="1" applyFont="1" applyFill="1" applyBorder="1" applyAlignment="1">
      <alignment horizontal="center" vertical="top"/>
    </xf>
    <xf numFmtId="185" fontId="7" fillId="33" borderId="15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1</xdr:row>
      <xdr:rowOff>57150</xdr:rowOff>
    </xdr:from>
    <xdr:to>
      <xdr:col>20</xdr:col>
      <xdr:colOff>695325</xdr:colOff>
      <xdr:row>2</xdr:row>
      <xdr:rowOff>314325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58975" y="247650"/>
          <a:ext cx="3714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6"/>
  <sheetViews>
    <sheetView showGridLines="0" tabSelected="1" zoomScale="90" zoomScaleNormal="90" zoomScalePageLayoutView="0" workbookViewId="0" topLeftCell="B1">
      <pane xSplit="3" ySplit="9" topLeftCell="E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1" sqref="B1"/>
    </sheetView>
  </sheetViews>
  <sheetFormatPr defaultColWidth="11.421875" defaultRowHeight="15"/>
  <cols>
    <col min="1" max="1" width="5.57421875" style="4" customWidth="1"/>
    <col min="2" max="2" width="10.7109375" style="4" customWidth="1"/>
    <col min="3" max="3" width="23.00390625" style="4" customWidth="1"/>
    <col min="4" max="20" width="13.28125" style="4" customWidth="1"/>
    <col min="21" max="21" width="10.7109375" style="4" customWidth="1"/>
    <col min="22" max="16384" width="11.421875" style="4" customWidth="1"/>
  </cols>
  <sheetData>
    <row r="1" ht="15" thickBot="1"/>
    <row r="2" spans="2:21" ht="28.5" customHeight="1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0"/>
      <c r="R2" s="30"/>
      <c r="S2" s="30"/>
      <c r="T2" s="30"/>
      <c r="U2" s="31"/>
    </row>
    <row r="3" spans="2:21" ht="27.75" customHeight="1" thickBo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2"/>
      <c r="R3" s="32"/>
      <c r="S3" s="32"/>
      <c r="T3" s="32"/>
      <c r="U3" s="33"/>
    </row>
    <row r="5" spans="2:21" ht="14.2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2:21" ht="17.25" customHeight="1">
      <c r="B6" s="5"/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9"/>
      <c r="Q6" s="19"/>
      <c r="R6" s="19"/>
      <c r="S6" s="19"/>
      <c r="T6" s="19"/>
      <c r="U6" s="6"/>
    </row>
    <row r="7" spans="2:21" ht="15">
      <c r="B7" s="5"/>
      <c r="C7" s="57" t="s">
        <v>33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9"/>
      <c r="Q7" s="19"/>
      <c r="R7" s="19"/>
      <c r="S7" s="19"/>
      <c r="T7" s="19"/>
      <c r="U7" s="6"/>
    </row>
    <row r="8" spans="2:21" ht="14.25">
      <c r="B8" s="5"/>
      <c r="C8" s="59" t="s">
        <v>34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7"/>
    </row>
    <row r="9" spans="2:21" ht="14.25">
      <c r="B9" s="5"/>
      <c r="C9" s="8" t="s">
        <v>0</v>
      </c>
      <c r="D9" s="9" t="s">
        <v>31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  <c r="S9" s="9">
        <v>2014</v>
      </c>
      <c r="T9" s="9">
        <v>2015</v>
      </c>
      <c r="U9" s="6"/>
    </row>
    <row r="10" spans="2:21" ht="14.25">
      <c r="B10" s="5"/>
      <c r="C10" s="10" t="s">
        <v>1</v>
      </c>
      <c r="D10" s="16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6"/>
    </row>
    <row r="11" spans="2:21" ht="14.25">
      <c r="B11" s="5"/>
      <c r="C11" s="10" t="s">
        <v>2</v>
      </c>
      <c r="D11" s="34">
        <v>1</v>
      </c>
      <c r="E11" s="35">
        <v>203.85</v>
      </c>
      <c r="F11" s="35">
        <v>214.08</v>
      </c>
      <c r="G11" s="35">
        <v>127.39</v>
      </c>
      <c r="H11" s="35">
        <v>149.24</v>
      </c>
      <c r="I11" s="35">
        <v>95</v>
      </c>
      <c r="J11" s="35">
        <v>70.67</v>
      </c>
      <c r="K11" s="35">
        <v>19.32</v>
      </c>
      <c r="L11" s="35">
        <v>1.12</v>
      </c>
      <c r="M11" s="35">
        <v>4.05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12"/>
    </row>
    <row r="12" spans="2:21" ht="14.25">
      <c r="B12" s="5"/>
      <c r="C12" s="10" t="s">
        <v>3</v>
      </c>
      <c r="D12" s="34">
        <v>1</v>
      </c>
      <c r="E12" s="35">
        <v>938.5</v>
      </c>
      <c r="F12" s="35">
        <v>845.7</v>
      </c>
      <c r="G12" s="35">
        <v>896.21</v>
      </c>
      <c r="H12" s="35">
        <v>927.6</v>
      </c>
      <c r="I12" s="35">
        <v>800.86</v>
      </c>
      <c r="J12" s="35">
        <v>484.41</v>
      </c>
      <c r="K12" s="35">
        <v>636.81</v>
      </c>
      <c r="L12" s="35">
        <v>258.28</v>
      </c>
      <c r="M12" s="35">
        <v>200.73</v>
      </c>
      <c r="N12" s="35">
        <v>109.66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6"/>
    </row>
    <row r="13" spans="2:21" ht="14.25">
      <c r="B13" s="5"/>
      <c r="C13" s="10" t="s">
        <v>4</v>
      </c>
      <c r="D13" s="34">
        <v>0.8</v>
      </c>
      <c r="E13" s="35">
        <f>9.51*D13</f>
        <v>7.6080000000000005</v>
      </c>
      <c r="F13" s="40">
        <f>6.32*D13</f>
        <v>5.056000000000001</v>
      </c>
      <c r="G13" s="35">
        <f>14.09*D13</f>
        <v>11.272</v>
      </c>
      <c r="H13" s="35">
        <f>13.16*D13</f>
        <v>10.528</v>
      </c>
      <c r="I13" s="35">
        <f>2.19*0.8</f>
        <v>1.752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6"/>
    </row>
    <row r="14" spans="2:21" ht="14.25">
      <c r="B14" s="5"/>
      <c r="C14" s="10" t="s">
        <v>5</v>
      </c>
      <c r="D14" s="34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7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6"/>
    </row>
    <row r="15" spans="2:21" ht="14.25">
      <c r="B15" s="5"/>
      <c r="C15" s="10" t="s">
        <v>6</v>
      </c>
      <c r="D15" s="34">
        <v>0.6</v>
      </c>
      <c r="E15" s="35">
        <v>0</v>
      </c>
      <c r="F15" s="35">
        <v>0</v>
      </c>
      <c r="G15" s="35">
        <f>3.62*D15</f>
        <v>2.172</v>
      </c>
      <c r="H15" s="35">
        <f>3.79*D15</f>
        <v>2.274</v>
      </c>
      <c r="I15" s="35">
        <f>1.48*D15</f>
        <v>0.888</v>
      </c>
      <c r="J15" s="35">
        <f>3.01*D15</f>
        <v>1.8059999999999998</v>
      </c>
      <c r="K15" s="35">
        <f>9.32*D15</f>
        <v>5.592</v>
      </c>
      <c r="L15" s="35">
        <f>6.18*D15</f>
        <v>3.7079999999999997</v>
      </c>
      <c r="M15" s="35">
        <f>5.34*D15</f>
        <v>3.2039999999999997</v>
      </c>
      <c r="N15" s="35">
        <f>1.6*D15</f>
        <v>0.96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6"/>
    </row>
    <row r="16" spans="2:21" ht="14.25">
      <c r="B16" s="5"/>
      <c r="C16" s="8" t="s">
        <v>7</v>
      </c>
      <c r="D16" s="17"/>
      <c r="E16" s="38">
        <f>SUM(E11:E15)</f>
        <v>1149.9579999999999</v>
      </c>
      <c r="F16" s="38">
        <f>SUM(F11:F15)</f>
        <v>1064.836</v>
      </c>
      <c r="G16" s="38">
        <f>SUM(G11:G15)</f>
        <v>1037.044</v>
      </c>
      <c r="H16" s="38">
        <f aca="true" t="shared" si="0" ref="H16:T16">SUM(H11:H15)</f>
        <v>1089.642</v>
      </c>
      <c r="I16" s="38">
        <f t="shared" si="0"/>
        <v>898.5</v>
      </c>
      <c r="J16" s="38">
        <f t="shared" si="0"/>
        <v>556.8860000000001</v>
      </c>
      <c r="K16" s="38">
        <f t="shared" si="0"/>
        <v>661.722</v>
      </c>
      <c r="L16" s="38">
        <f t="shared" si="0"/>
        <v>263.108</v>
      </c>
      <c r="M16" s="38">
        <f t="shared" si="0"/>
        <v>207.984</v>
      </c>
      <c r="N16" s="38">
        <f t="shared" si="0"/>
        <v>110.61999999999999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6"/>
    </row>
    <row r="17" spans="2:21" ht="14.25">
      <c r="B17" s="5"/>
      <c r="C17" s="10" t="s">
        <v>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9"/>
      <c r="P17" s="39"/>
      <c r="Q17" s="39"/>
      <c r="R17" s="39"/>
      <c r="S17" s="39"/>
      <c r="T17" s="39"/>
      <c r="U17" s="6"/>
    </row>
    <row r="18" spans="2:21" ht="14.25">
      <c r="B18" s="5"/>
      <c r="C18" s="10" t="s">
        <v>9</v>
      </c>
      <c r="D18" s="34">
        <v>3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6"/>
    </row>
    <row r="19" spans="2:21" ht="14.25">
      <c r="B19" s="5"/>
      <c r="C19" s="10" t="s">
        <v>10</v>
      </c>
      <c r="D19" s="34">
        <v>10</v>
      </c>
      <c r="E19" s="35">
        <f>0.59*D19</f>
        <v>5.8999999999999995</v>
      </c>
      <c r="F19" s="35">
        <v>0</v>
      </c>
      <c r="G19" s="40">
        <f>0.44*D19</f>
        <v>4.4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6"/>
    </row>
    <row r="20" spans="2:21" ht="14.25">
      <c r="B20" s="5"/>
      <c r="C20" s="10" t="s">
        <v>11</v>
      </c>
      <c r="D20" s="34">
        <v>6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6"/>
    </row>
    <row r="21" spans="2:21" ht="14.25">
      <c r="B21" s="5"/>
      <c r="C21" s="8" t="s">
        <v>7</v>
      </c>
      <c r="D21" s="17"/>
      <c r="E21" s="41">
        <f>SUM(E18:E20)</f>
        <v>5.8999999999999995</v>
      </c>
      <c r="F21" s="38">
        <v>0</v>
      </c>
      <c r="G21" s="38">
        <f>SUM(G18:G20)</f>
        <v>4.4</v>
      </c>
      <c r="H21" s="38">
        <f aca="true" t="shared" si="1" ref="H21:T21">SUM(H18:H20)</f>
        <v>0</v>
      </c>
      <c r="I21" s="38">
        <f t="shared" si="1"/>
        <v>0</v>
      </c>
      <c r="J21" s="38">
        <f t="shared" si="1"/>
        <v>0</v>
      </c>
      <c r="K21" s="38">
        <f t="shared" si="1"/>
        <v>0</v>
      </c>
      <c r="L21" s="38">
        <f t="shared" si="1"/>
        <v>0</v>
      </c>
      <c r="M21" s="38">
        <f t="shared" si="1"/>
        <v>0</v>
      </c>
      <c r="N21" s="38">
        <f t="shared" si="1"/>
        <v>0</v>
      </c>
      <c r="O21" s="38">
        <f t="shared" si="1"/>
        <v>0</v>
      </c>
      <c r="P21" s="38">
        <f t="shared" si="1"/>
        <v>0</v>
      </c>
      <c r="Q21" s="38">
        <f t="shared" si="1"/>
        <v>0</v>
      </c>
      <c r="R21" s="38">
        <f t="shared" si="1"/>
        <v>0</v>
      </c>
      <c r="S21" s="38">
        <f t="shared" si="1"/>
        <v>0</v>
      </c>
      <c r="T21" s="38">
        <f t="shared" si="1"/>
        <v>0</v>
      </c>
      <c r="U21" s="6"/>
    </row>
    <row r="22" spans="2:21" ht="14.25">
      <c r="B22" s="5"/>
      <c r="C22" s="10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39"/>
      <c r="Q22" s="39"/>
      <c r="R22" s="39"/>
      <c r="S22" s="39"/>
      <c r="T22" s="39"/>
      <c r="U22" s="6"/>
    </row>
    <row r="23" spans="2:21" ht="14.25">
      <c r="B23" s="5"/>
      <c r="C23" s="10" t="s">
        <v>13</v>
      </c>
      <c r="D23" s="34">
        <v>1.1</v>
      </c>
      <c r="E23" s="34">
        <f>0.52*D23</f>
        <v>0.5720000000000001</v>
      </c>
      <c r="F23" s="35">
        <f>12.15*D23</f>
        <v>13.365000000000002</v>
      </c>
      <c r="G23" s="35">
        <f>0.84*D23</f>
        <v>0.924</v>
      </c>
      <c r="H23" s="35">
        <f>1.25*D23</f>
        <v>1.375</v>
      </c>
      <c r="I23" s="35">
        <f>0.72*D23</f>
        <v>0.792</v>
      </c>
      <c r="J23" s="35">
        <f>0.23*D23</f>
        <v>0.25300000000000006</v>
      </c>
      <c r="K23" s="35">
        <f>0.54*D23</f>
        <v>0.5940000000000001</v>
      </c>
      <c r="L23" s="35">
        <f>0.55*D23</f>
        <v>0.6050000000000001</v>
      </c>
      <c r="M23" s="35">
        <f>0.55*D23</f>
        <v>0.6050000000000001</v>
      </c>
      <c r="N23" s="35">
        <f>0.55*D23</f>
        <v>0.6050000000000001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6"/>
    </row>
    <row r="24" spans="2:21" ht="14.25">
      <c r="B24" s="5"/>
      <c r="C24" s="8" t="s">
        <v>7</v>
      </c>
      <c r="D24" s="17"/>
      <c r="E24" s="38">
        <f>E23</f>
        <v>0.5720000000000001</v>
      </c>
      <c r="F24" s="38">
        <f>F23</f>
        <v>13.365000000000002</v>
      </c>
      <c r="G24" s="38">
        <f>G23</f>
        <v>0.924</v>
      </c>
      <c r="H24" s="38">
        <f>H23</f>
        <v>1.375</v>
      </c>
      <c r="I24" s="38">
        <f aca="true" t="shared" si="2" ref="I24:T24">I23</f>
        <v>0.792</v>
      </c>
      <c r="J24" s="38">
        <f t="shared" si="2"/>
        <v>0.25300000000000006</v>
      </c>
      <c r="K24" s="38">
        <f t="shared" si="2"/>
        <v>0.5940000000000001</v>
      </c>
      <c r="L24" s="38">
        <f t="shared" si="2"/>
        <v>0.6050000000000001</v>
      </c>
      <c r="M24" s="38">
        <f t="shared" si="2"/>
        <v>0.6050000000000001</v>
      </c>
      <c r="N24" s="38">
        <f t="shared" si="2"/>
        <v>0.6050000000000001</v>
      </c>
      <c r="O24" s="38">
        <f t="shared" si="2"/>
        <v>0</v>
      </c>
      <c r="P24" s="38">
        <f t="shared" si="2"/>
        <v>0</v>
      </c>
      <c r="Q24" s="38">
        <f t="shared" si="2"/>
        <v>0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6"/>
    </row>
    <row r="25" spans="2:21" ht="14.25">
      <c r="B25" s="5"/>
      <c r="C25" s="10" t="s">
        <v>14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9"/>
      <c r="P25" s="39"/>
      <c r="Q25" s="39"/>
      <c r="R25" s="39"/>
      <c r="S25" s="39"/>
      <c r="T25" s="39"/>
      <c r="U25" s="6"/>
    </row>
    <row r="26" spans="2:21" ht="14.25">
      <c r="B26" s="5"/>
      <c r="C26" s="10" t="s">
        <v>15</v>
      </c>
      <c r="D26" s="34">
        <v>0.1</v>
      </c>
      <c r="E26" s="34">
        <f>0.01*D26</f>
        <v>0.001</v>
      </c>
      <c r="F26" s="47">
        <f>0.01*D26</f>
        <v>0.001</v>
      </c>
      <c r="G26" s="35">
        <v>0</v>
      </c>
      <c r="H26" s="47">
        <f>0.01*D26</f>
        <v>0.001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47">
        <f>0.01*0.1</f>
        <v>0.001</v>
      </c>
      <c r="R26" s="48">
        <f>0.00009*0.1</f>
        <v>9E-06</v>
      </c>
      <c r="S26" s="48">
        <f>0.00009*0.1</f>
        <v>9E-06</v>
      </c>
      <c r="T26" s="35">
        <v>0</v>
      </c>
      <c r="U26" s="6"/>
    </row>
    <row r="27" spans="2:21" ht="14.25">
      <c r="B27" s="5"/>
      <c r="C27" s="8" t="s">
        <v>7</v>
      </c>
      <c r="D27" s="42"/>
      <c r="E27" s="49">
        <f aca="true" t="shared" si="3" ref="E27:T27">E26</f>
        <v>0.001</v>
      </c>
      <c r="F27" s="49">
        <f t="shared" si="3"/>
        <v>0.001</v>
      </c>
      <c r="G27" s="43">
        <f t="shared" si="3"/>
        <v>0</v>
      </c>
      <c r="H27" s="49">
        <f t="shared" si="3"/>
        <v>0.001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3">
        <f t="shared" si="3"/>
        <v>0</v>
      </c>
      <c r="O27" s="43">
        <f t="shared" si="3"/>
        <v>0</v>
      </c>
      <c r="P27" s="43">
        <f t="shared" si="3"/>
        <v>0</v>
      </c>
      <c r="Q27" s="49">
        <f t="shared" si="3"/>
        <v>0.001</v>
      </c>
      <c r="R27" s="50">
        <f t="shared" si="3"/>
        <v>9E-06</v>
      </c>
      <c r="S27" s="50">
        <f t="shared" si="3"/>
        <v>9E-06</v>
      </c>
      <c r="T27" s="43">
        <f t="shared" si="3"/>
        <v>0</v>
      </c>
      <c r="U27" s="6"/>
    </row>
    <row r="28" spans="2:21" ht="14.25">
      <c r="B28" s="5"/>
      <c r="C28" s="23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6"/>
    </row>
    <row r="29" spans="2:21" ht="14.25">
      <c r="B29" s="5"/>
      <c r="C29" s="23" t="s">
        <v>17</v>
      </c>
      <c r="D29" s="34">
        <v>0.055</v>
      </c>
      <c r="E29" s="35">
        <v>0</v>
      </c>
      <c r="F29" s="35">
        <f>502.63*D29</f>
        <v>27.64465</v>
      </c>
      <c r="G29" s="35">
        <f>640.3*0.055</f>
        <v>35.216499999999996</v>
      </c>
      <c r="H29" s="35">
        <f>875.17*0.055</f>
        <v>48.13435</v>
      </c>
      <c r="I29" s="35">
        <f>914.86*0.055</f>
        <v>50.3173</v>
      </c>
      <c r="J29" s="35">
        <f>1028.28*0.055</f>
        <v>56.5554</v>
      </c>
      <c r="K29" s="35">
        <f>1147.4*0.055</f>
        <v>63.107000000000006</v>
      </c>
      <c r="L29" s="35">
        <f>855.16*0.055</f>
        <v>47.0338</v>
      </c>
      <c r="M29" s="35">
        <f>1221.2*0.055</f>
        <v>67.166</v>
      </c>
      <c r="N29" s="35">
        <f>1358.99*0.055</f>
        <v>74.74445</v>
      </c>
      <c r="O29" s="35">
        <f>1226.19*0.055</f>
        <v>67.44045</v>
      </c>
      <c r="P29" s="35">
        <f>843.08*0.055</f>
        <v>46.369400000000006</v>
      </c>
      <c r="Q29" s="35">
        <f>1582.28*0.055</f>
        <v>87.0254</v>
      </c>
      <c r="R29" s="35">
        <f>1053.4*0.055</f>
        <v>57.937000000000005</v>
      </c>
      <c r="S29" s="35">
        <f>1226.16*0.055</f>
        <v>67.4388</v>
      </c>
      <c r="T29" s="35">
        <f>1081.53*0.055</f>
        <v>59.48415</v>
      </c>
      <c r="U29" s="6"/>
    </row>
    <row r="30" spans="2:21" ht="14.25">
      <c r="B30" s="5"/>
      <c r="C30" s="23" t="s">
        <v>18</v>
      </c>
      <c r="D30" s="34">
        <v>0.11</v>
      </c>
      <c r="E30" s="35">
        <v>0</v>
      </c>
      <c r="F30" s="35">
        <f>636.72*0.11</f>
        <v>70.03920000000001</v>
      </c>
      <c r="G30" s="35">
        <f>492.49*0.11</f>
        <v>54.1739</v>
      </c>
      <c r="H30" s="35">
        <f>508.17*0.11</f>
        <v>55.898700000000005</v>
      </c>
      <c r="I30" s="35">
        <f>593.16*0.11</f>
        <v>65.24759999999999</v>
      </c>
      <c r="J30" s="35">
        <f>856.77*0.11</f>
        <v>94.2447</v>
      </c>
      <c r="K30" s="35">
        <f>872.03*0.11</f>
        <v>95.9233</v>
      </c>
      <c r="L30" s="35">
        <f>1431.58*0.11</f>
        <v>157.47379999999998</v>
      </c>
      <c r="M30" s="35">
        <f>1250.36*0.11</f>
        <v>137.53959999999998</v>
      </c>
      <c r="N30" s="35">
        <f>1203.48*0.11</f>
        <v>132.3828</v>
      </c>
      <c r="O30" s="35">
        <f>1555.44*0.11</f>
        <v>171.0984</v>
      </c>
      <c r="P30" s="35">
        <f>1558.05*0.11</f>
        <v>171.3855</v>
      </c>
      <c r="Q30" s="35">
        <f>1771.63*0.11</f>
        <v>194.8793</v>
      </c>
      <c r="R30" s="35">
        <f>1054.22*0.11</f>
        <v>115.9642</v>
      </c>
      <c r="S30" s="35">
        <f>784.25*0.11</f>
        <v>86.2675</v>
      </c>
      <c r="T30" s="35">
        <f>944.71*0.11</f>
        <v>103.91810000000001</v>
      </c>
      <c r="U30" s="6"/>
    </row>
    <row r="31" spans="2:21" ht="14.25">
      <c r="B31" s="5"/>
      <c r="C31" s="23" t="s">
        <v>19</v>
      </c>
      <c r="D31" s="34">
        <v>0.065</v>
      </c>
      <c r="E31" s="35">
        <v>0</v>
      </c>
      <c r="F31" s="35">
        <v>0</v>
      </c>
      <c r="G31" s="35">
        <v>0</v>
      </c>
      <c r="H31" s="35">
        <f>72.85*0.065</f>
        <v>4.73525</v>
      </c>
      <c r="I31" s="35">
        <f>119.17*0.065</f>
        <v>7.74605</v>
      </c>
      <c r="J31" s="35">
        <v>0</v>
      </c>
      <c r="K31" s="35">
        <v>0</v>
      </c>
      <c r="L31" s="35">
        <f>1.01*0.065</f>
        <v>0.06565</v>
      </c>
      <c r="M31" s="35">
        <f>0.86*0.065</f>
        <v>0.0559</v>
      </c>
      <c r="N31" s="35">
        <f>5.39*0.065</f>
        <v>0.35035</v>
      </c>
      <c r="O31" s="35">
        <f>9.61*0.065</f>
        <v>0.62465</v>
      </c>
      <c r="P31" s="35">
        <f>14.52*0.065</f>
        <v>0.9438</v>
      </c>
      <c r="Q31" s="35">
        <f>18.93*0.065</f>
        <v>1.23045</v>
      </c>
      <c r="R31" s="35">
        <f>9.77*0.065</f>
        <v>0.63505</v>
      </c>
      <c r="S31" s="35">
        <f>4.35*0.065</f>
        <v>0.28275</v>
      </c>
      <c r="T31" s="35">
        <f>0.1*0.065</f>
        <v>0.006500000000000001</v>
      </c>
      <c r="U31" s="6"/>
    </row>
    <row r="32" spans="2:21" ht="14.25">
      <c r="B32" s="5"/>
      <c r="C32" s="23" t="s">
        <v>20</v>
      </c>
      <c r="D32" s="34">
        <v>0.02</v>
      </c>
      <c r="E32" s="35">
        <v>0</v>
      </c>
      <c r="F32" s="35">
        <v>0</v>
      </c>
      <c r="G32" s="35">
        <v>0</v>
      </c>
      <c r="H32" s="35">
        <v>0</v>
      </c>
      <c r="I32" s="35">
        <f>21.2*0.02</f>
        <v>0.424</v>
      </c>
      <c r="J32" s="35">
        <f>63.93*0.02</f>
        <v>1.2786</v>
      </c>
      <c r="K32" s="35">
        <f>77.9*0.02</f>
        <v>1.558</v>
      </c>
      <c r="L32" s="35">
        <f>77.4*0.02</f>
        <v>1.548</v>
      </c>
      <c r="M32" s="35">
        <f>73.69*0.02</f>
        <v>1.4738</v>
      </c>
      <c r="N32" s="35">
        <f>106.39*0.02</f>
        <v>2.1278</v>
      </c>
      <c r="O32" s="35">
        <f>114.4*0.02</f>
        <v>2.2880000000000003</v>
      </c>
      <c r="P32" s="35">
        <f>88.93*0.02</f>
        <v>1.7786000000000002</v>
      </c>
      <c r="Q32" s="35">
        <f>117.41*0.02</f>
        <v>2.3482</v>
      </c>
      <c r="R32" s="35">
        <f>104.3*0.02</f>
        <v>2.086</v>
      </c>
      <c r="S32" s="35">
        <f>103.58*0.02</f>
        <v>2.0716</v>
      </c>
      <c r="T32" s="35">
        <f>93.91*0.02</f>
        <v>1.8781999999999999</v>
      </c>
      <c r="U32" s="6"/>
    </row>
    <row r="33" spans="2:21" ht="14.25">
      <c r="B33" s="5"/>
      <c r="C33" s="23" t="s">
        <v>26</v>
      </c>
      <c r="D33" s="34">
        <v>0.02</v>
      </c>
      <c r="E33" s="35">
        <v>0</v>
      </c>
      <c r="F33" s="35">
        <f>186*0.02</f>
        <v>3.72</v>
      </c>
      <c r="G33" s="35">
        <f>27.03*0.02</f>
        <v>0.5406000000000001</v>
      </c>
      <c r="H33" s="35">
        <f>20.2*0.02</f>
        <v>0.40399999999999997</v>
      </c>
      <c r="I33" s="35">
        <v>0</v>
      </c>
      <c r="J33" s="35">
        <v>0</v>
      </c>
      <c r="K33" s="35">
        <v>0</v>
      </c>
      <c r="L33" s="35">
        <f>2.33*0.02</f>
        <v>0.0466</v>
      </c>
      <c r="M33" s="47">
        <f>0.14*0.022</f>
        <v>0.0030800000000000003</v>
      </c>
      <c r="N33" s="35">
        <f>2.88*0.022</f>
        <v>0.06336</v>
      </c>
      <c r="O33" s="35">
        <f>0.68*0.022</f>
        <v>0.01496</v>
      </c>
      <c r="P33" s="35">
        <f>1.19*0.022</f>
        <v>0.02618</v>
      </c>
      <c r="Q33" s="35">
        <f>0.89*0.022</f>
        <v>0.01958</v>
      </c>
      <c r="R33" s="35">
        <f>1.34*0.022</f>
        <v>0.02948</v>
      </c>
      <c r="S33" s="35">
        <f>0.7*0.022</f>
        <v>0.015399999999999999</v>
      </c>
      <c r="T33" s="35">
        <f>0.4*0.022</f>
        <v>0.0088</v>
      </c>
      <c r="U33" s="6"/>
    </row>
    <row r="34" spans="2:21" ht="14.25">
      <c r="B34" s="5"/>
      <c r="C34" s="23" t="s">
        <v>27</v>
      </c>
      <c r="D34" s="36">
        <v>0.05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f>0.14*0.05</f>
        <v>0.007000000000000001</v>
      </c>
      <c r="Q34" s="35">
        <v>0</v>
      </c>
      <c r="R34" s="35">
        <v>0</v>
      </c>
      <c r="S34" s="35">
        <v>0</v>
      </c>
      <c r="T34" s="35">
        <v>0</v>
      </c>
      <c r="U34" s="6"/>
    </row>
    <row r="35" spans="2:21" s="28" customFormat="1" ht="14.25">
      <c r="B35" s="24"/>
      <c r="C35" s="25" t="s">
        <v>7</v>
      </c>
      <c r="D35" s="26"/>
      <c r="E35" s="44">
        <f>SUM(E29:E34)</f>
        <v>0</v>
      </c>
      <c r="F35" s="44">
        <f aca="true" t="shared" si="4" ref="F35:R35">SUM(F29:F34)</f>
        <v>101.40385</v>
      </c>
      <c r="G35" s="44">
        <f t="shared" si="4"/>
        <v>89.931</v>
      </c>
      <c r="H35" s="44">
        <f t="shared" si="4"/>
        <v>109.17229999999999</v>
      </c>
      <c r="I35" s="44">
        <f t="shared" si="4"/>
        <v>123.73495</v>
      </c>
      <c r="J35" s="44">
        <f t="shared" si="4"/>
        <v>152.0787</v>
      </c>
      <c r="K35" s="44">
        <f t="shared" si="4"/>
        <v>160.5883</v>
      </c>
      <c r="L35" s="44">
        <f t="shared" si="4"/>
        <v>206.16785</v>
      </c>
      <c r="M35" s="44">
        <f t="shared" si="4"/>
        <v>206.23838</v>
      </c>
      <c r="N35" s="44">
        <f t="shared" si="4"/>
        <v>209.66876</v>
      </c>
      <c r="O35" s="44">
        <f t="shared" si="4"/>
        <v>241.46646</v>
      </c>
      <c r="P35" s="44">
        <f t="shared" si="4"/>
        <v>220.51048000000006</v>
      </c>
      <c r="Q35" s="44">
        <f t="shared" si="4"/>
        <v>285.50293000000005</v>
      </c>
      <c r="R35" s="44">
        <f t="shared" si="4"/>
        <v>176.65173000000004</v>
      </c>
      <c r="S35" s="44">
        <v>156.07</v>
      </c>
      <c r="T35" s="44">
        <v>165.29</v>
      </c>
      <c r="U35" s="27"/>
    </row>
    <row r="36" spans="2:21" ht="14.25">
      <c r="B36" s="5"/>
      <c r="C36" s="10" t="s">
        <v>21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6"/>
    </row>
    <row r="37" spans="2:21" ht="14.25">
      <c r="B37" s="5"/>
      <c r="C37" s="10" t="s">
        <v>22</v>
      </c>
      <c r="D37" s="34">
        <v>0.6</v>
      </c>
      <c r="E37" s="35">
        <v>0</v>
      </c>
      <c r="F37" s="35">
        <v>0</v>
      </c>
      <c r="G37" s="35">
        <v>0</v>
      </c>
      <c r="H37" s="35">
        <v>0</v>
      </c>
      <c r="I37" s="35">
        <f>12.02*0.6</f>
        <v>7.212</v>
      </c>
      <c r="J37" s="35">
        <f>17.56*0.6</f>
        <v>10.536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6"/>
    </row>
    <row r="38" spans="2:21" ht="14.25">
      <c r="B38" s="5"/>
      <c r="C38" s="10" t="s">
        <v>7</v>
      </c>
      <c r="D38" s="16"/>
      <c r="E38" s="45">
        <f>E37</f>
        <v>0</v>
      </c>
      <c r="F38" s="45">
        <f aca="true" t="shared" si="5" ref="F38:T38">F37</f>
        <v>0</v>
      </c>
      <c r="G38" s="45">
        <f t="shared" si="5"/>
        <v>0</v>
      </c>
      <c r="H38" s="45">
        <f t="shared" si="5"/>
        <v>0</v>
      </c>
      <c r="I38" s="45">
        <f t="shared" si="5"/>
        <v>7.212</v>
      </c>
      <c r="J38" s="45">
        <f t="shared" si="5"/>
        <v>10.536</v>
      </c>
      <c r="K38" s="45">
        <f t="shared" si="5"/>
        <v>0</v>
      </c>
      <c r="L38" s="45">
        <f t="shared" si="5"/>
        <v>0</v>
      </c>
      <c r="M38" s="45">
        <f t="shared" si="5"/>
        <v>0</v>
      </c>
      <c r="N38" s="45">
        <f t="shared" si="5"/>
        <v>0</v>
      </c>
      <c r="O38" s="45">
        <f t="shared" si="5"/>
        <v>0</v>
      </c>
      <c r="P38" s="45">
        <f t="shared" si="5"/>
        <v>0</v>
      </c>
      <c r="Q38" s="45">
        <f t="shared" si="5"/>
        <v>0</v>
      </c>
      <c r="R38" s="45">
        <f t="shared" si="5"/>
        <v>0</v>
      </c>
      <c r="S38" s="45">
        <f t="shared" si="5"/>
        <v>0</v>
      </c>
      <c r="T38" s="45">
        <f t="shared" si="5"/>
        <v>0</v>
      </c>
      <c r="U38" s="6"/>
    </row>
    <row r="39" spans="2:21" ht="14.25">
      <c r="B39" s="5"/>
      <c r="C39" s="8" t="s">
        <v>23</v>
      </c>
      <c r="D39" s="17"/>
      <c r="E39" s="38">
        <f>SUM(E35+E27+E24+E21+E16)</f>
        <v>1156.4309999999998</v>
      </c>
      <c r="F39" s="38">
        <f>SUM(F35+F27+F24+F21+F16)</f>
        <v>1179.60585</v>
      </c>
      <c r="G39" s="38">
        <f>SUM(G35+G27+G24+G21+G16)</f>
        <v>1132.2990000000002</v>
      </c>
      <c r="H39" s="38">
        <f>SUM(H35+H27+H24+H21+H16)</f>
        <v>1200.1903</v>
      </c>
      <c r="I39" s="38">
        <f>SUM(I35+I27+I24+I21+I16+I38)</f>
        <v>1030.23895</v>
      </c>
      <c r="J39" s="38">
        <f aca="true" t="shared" si="6" ref="J39:T39">SUM(J35+J27+J24+J21+J16+J38)</f>
        <v>719.7537</v>
      </c>
      <c r="K39" s="38">
        <f t="shared" si="6"/>
        <v>822.9042999999999</v>
      </c>
      <c r="L39" s="38">
        <f t="shared" si="6"/>
        <v>469.88085</v>
      </c>
      <c r="M39" s="38">
        <f t="shared" si="6"/>
        <v>414.82738</v>
      </c>
      <c r="N39" s="38">
        <f t="shared" si="6"/>
        <v>320.89376</v>
      </c>
      <c r="O39" s="38">
        <f t="shared" si="6"/>
        <v>241.46646</v>
      </c>
      <c r="P39" s="38">
        <f t="shared" si="6"/>
        <v>220.51048000000006</v>
      </c>
      <c r="Q39" s="38">
        <f t="shared" si="6"/>
        <v>285.50393</v>
      </c>
      <c r="R39" s="38">
        <f t="shared" si="6"/>
        <v>176.65173900000005</v>
      </c>
      <c r="S39" s="38">
        <f t="shared" si="6"/>
        <v>156.070009</v>
      </c>
      <c r="T39" s="38">
        <f t="shared" si="6"/>
        <v>165.29</v>
      </c>
      <c r="U39" s="6"/>
    </row>
    <row r="40" spans="2:21" ht="14.25">
      <c r="B40" s="5"/>
      <c r="C40" s="58" t="s">
        <v>28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2"/>
      <c r="Q40" s="22"/>
      <c r="R40" s="22"/>
      <c r="S40" s="22"/>
      <c r="T40" s="22"/>
      <c r="U40" s="6"/>
    </row>
    <row r="41" spans="2:21" ht="14.25" customHeight="1">
      <c r="B41" s="5"/>
      <c r="C41" s="55" t="s">
        <v>24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0"/>
      <c r="Q41" s="20"/>
      <c r="R41" s="20"/>
      <c r="S41" s="20"/>
      <c r="T41" s="20"/>
      <c r="U41" s="6"/>
    </row>
    <row r="42" spans="2:21" ht="14.25">
      <c r="B42" s="5"/>
      <c r="C42" s="56" t="s">
        <v>25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21"/>
      <c r="Q42" s="21"/>
      <c r="R42" s="21"/>
      <c r="S42" s="21"/>
      <c r="T42" s="21"/>
      <c r="U42" s="6"/>
    </row>
    <row r="43" spans="2:21" ht="14.25" customHeight="1">
      <c r="B43" s="5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6"/>
    </row>
    <row r="44" spans="2:21" ht="14.25" customHeight="1">
      <c r="B44" s="5"/>
      <c r="C44" s="29" t="s">
        <v>32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6"/>
    </row>
    <row r="45" spans="2:21" ht="14.25" customHeight="1">
      <c r="B45" s="5"/>
      <c r="C45" s="46" t="s">
        <v>35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6"/>
    </row>
    <row r="46" spans="2:21" ht="14.2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</sheetData>
  <sheetProtection/>
  <mergeCells count="7">
    <mergeCell ref="B2:P3"/>
    <mergeCell ref="C41:O41"/>
    <mergeCell ref="C42:O42"/>
    <mergeCell ref="C6:O6"/>
    <mergeCell ref="C7:O7"/>
    <mergeCell ref="C40:O40"/>
    <mergeCell ref="C8:T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Milena Sanchez Neiva</dc:creator>
  <cp:keywords/>
  <dc:description/>
  <cp:lastModifiedBy>Ruby Stella Castellanos Caballero</cp:lastModifiedBy>
  <cp:lastPrinted>2014-11-21T14:26:46Z</cp:lastPrinted>
  <dcterms:created xsi:type="dcterms:W3CDTF">2011-03-04T15:32:43Z</dcterms:created>
  <dcterms:modified xsi:type="dcterms:W3CDTF">2017-10-05T19:40:12Z</dcterms:modified>
  <cp:category/>
  <cp:version/>
  <cp:contentType/>
  <cp:contentStatus/>
</cp:coreProperties>
</file>