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CKUP\Documents\DOCUMENTOS IVONNE\DANE\EMERGENCIA DANE\2022\ANTEPROYECTO 2023\06_VERSIONES FINALES\"/>
    </mc:Choice>
  </mc:AlternateContent>
  <xr:revisionPtr revIDLastSave="0" documentId="13_ncr:1_{D89D0C1A-C86D-4999-81FD-334F9FB1B8FD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io planta 2023" sheetId="1" r:id="rId1"/>
    <sheet name="Formulario 4A - Nómina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2" l="1"/>
  <c r="F118" i="2"/>
  <c r="E118" i="2"/>
  <c r="D118" i="2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G85" i="2"/>
  <c r="F85" i="2"/>
  <c r="E85" i="2"/>
  <c r="D85" i="2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G53" i="2"/>
  <c r="F53" i="2"/>
  <c r="E53" i="2"/>
  <c r="D53" i="2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H35" i="2"/>
  <c r="H34" i="2"/>
  <c r="I34" i="2" s="1"/>
  <c r="H33" i="2"/>
  <c r="I33" i="2" s="1"/>
  <c r="H32" i="2"/>
  <c r="I32" i="2" s="1"/>
  <c r="H31" i="2"/>
  <c r="I31" i="2" s="1"/>
  <c r="G30" i="2"/>
  <c r="F30" i="2"/>
  <c r="E30" i="2"/>
  <c r="D30" i="2"/>
  <c r="H29" i="2"/>
  <c r="I29" i="2" s="1"/>
  <c r="H28" i="2"/>
  <c r="I28" i="2" s="1"/>
  <c r="H27" i="2"/>
  <c r="I27" i="2" s="1"/>
  <c r="H26" i="2"/>
  <c r="I26" i="2" s="1"/>
  <c r="G25" i="2"/>
  <c r="F25" i="2"/>
  <c r="E25" i="2"/>
  <c r="D25" i="2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G15" i="2"/>
  <c r="F15" i="2"/>
  <c r="E15" i="2"/>
  <c r="D15" i="2"/>
  <c r="T28" i="1"/>
  <c r="T29" i="1"/>
  <c r="T24" i="1"/>
  <c r="T19" i="1"/>
  <c r="T15" i="1" s="1"/>
  <c r="S21" i="1"/>
  <c r="S20" i="1"/>
  <c r="V20" i="1" s="1"/>
  <c r="S17" i="1"/>
  <c r="S18" i="1"/>
  <c r="R19" i="1"/>
  <c r="G20" i="1"/>
  <c r="G19" i="1"/>
  <c r="E19" i="1"/>
  <c r="G17" i="1"/>
  <c r="R71" i="1"/>
  <c r="R70" i="1"/>
  <c r="R63" i="1"/>
  <c r="R53" i="1" s="1"/>
  <c r="R50" i="1"/>
  <c r="V50" i="1" s="1"/>
  <c r="R48" i="1"/>
  <c r="V48" i="1" s="1"/>
  <c r="R46" i="1"/>
  <c r="R45" i="1"/>
  <c r="R44" i="1"/>
  <c r="R43" i="1"/>
  <c r="R42" i="1"/>
  <c r="R40" i="1"/>
  <c r="R39" i="1"/>
  <c r="V39" i="1" s="1"/>
  <c r="R38" i="1"/>
  <c r="R37" i="1"/>
  <c r="R36" i="1"/>
  <c r="R35" i="1"/>
  <c r="R34" i="1"/>
  <c r="V34" i="1" s="1"/>
  <c r="R33" i="1"/>
  <c r="V33" i="1" s="1"/>
  <c r="AT112" i="1"/>
  <c r="J142" i="1" s="1"/>
  <c r="AS112" i="1"/>
  <c r="J140" i="1" s="1"/>
  <c r="J138" i="1" s="1"/>
  <c r="J136" i="1" s="1"/>
  <c r="AQ112" i="1"/>
  <c r="AP112" i="1"/>
  <c r="AO112" i="1"/>
  <c r="AN112" i="1"/>
  <c r="AM112" i="1"/>
  <c r="AL112" i="1"/>
  <c r="AK112" i="1"/>
  <c r="AJ112" i="1"/>
  <c r="AI112" i="1"/>
  <c r="AH112" i="1"/>
  <c r="AE112" i="1"/>
  <c r="AD112" i="1"/>
  <c r="AC112" i="1"/>
  <c r="AB112" i="1"/>
  <c r="Z112" i="1"/>
  <c r="Y112" i="1"/>
  <c r="X112" i="1"/>
  <c r="U112" i="1"/>
  <c r="T112" i="1"/>
  <c r="S112" i="1"/>
  <c r="R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AU111" i="1"/>
  <c r="AU112" i="1" s="1"/>
  <c r="AR111" i="1"/>
  <c r="AR112" i="1" s="1"/>
  <c r="J134" i="1" s="1"/>
  <c r="AF111" i="1"/>
  <c r="AF112" i="1" s="1"/>
  <c r="J132" i="1" s="1"/>
  <c r="AA111" i="1"/>
  <c r="V111" i="1"/>
  <c r="V112" i="1" s="1"/>
  <c r="J126" i="1" s="1"/>
  <c r="Q111" i="1"/>
  <c r="AT108" i="1"/>
  <c r="AS108" i="1"/>
  <c r="AU108" i="1" s="1"/>
  <c r="AP108" i="1"/>
  <c r="AO108" i="1"/>
  <c r="AN108" i="1"/>
  <c r="AM108" i="1"/>
  <c r="AL108" i="1"/>
  <c r="AK108" i="1"/>
  <c r="AF108" i="1"/>
  <c r="Z108" i="1"/>
  <c r="V108" i="1"/>
  <c r="I108" i="1"/>
  <c r="H108" i="1"/>
  <c r="AH108" i="1" s="1"/>
  <c r="G108" i="1"/>
  <c r="E108" i="1"/>
  <c r="AT107" i="1"/>
  <c r="AS107" i="1"/>
  <c r="AU107" i="1" s="1"/>
  <c r="AP107" i="1"/>
  <c r="AO107" i="1"/>
  <c r="AN107" i="1"/>
  <c r="AM107" i="1"/>
  <c r="AL107" i="1"/>
  <c r="AK107" i="1"/>
  <c r="AF107" i="1"/>
  <c r="Z107" i="1"/>
  <c r="V107" i="1"/>
  <c r="I107" i="1"/>
  <c r="H107" i="1"/>
  <c r="AH107" i="1" s="1"/>
  <c r="G107" i="1"/>
  <c r="E107" i="1"/>
  <c r="AT106" i="1"/>
  <c r="AS106" i="1"/>
  <c r="AU106" i="1" s="1"/>
  <c r="AP106" i="1"/>
  <c r="AO106" i="1"/>
  <c r="AN106" i="1"/>
  <c r="AM106" i="1"/>
  <c r="AL106" i="1"/>
  <c r="AK106" i="1"/>
  <c r="AF106" i="1"/>
  <c r="Z106" i="1"/>
  <c r="V106" i="1"/>
  <c r="I106" i="1"/>
  <c r="H106" i="1"/>
  <c r="AH106" i="1" s="1"/>
  <c r="G106" i="1"/>
  <c r="E106" i="1"/>
  <c r="AT105" i="1"/>
  <c r="AS105" i="1"/>
  <c r="AU105" i="1" s="1"/>
  <c r="AP105" i="1"/>
  <c r="AO105" i="1"/>
  <c r="AN105" i="1"/>
  <c r="AM105" i="1"/>
  <c r="AL105" i="1"/>
  <c r="AK105" i="1"/>
  <c r="AF105" i="1"/>
  <c r="Z105" i="1"/>
  <c r="V105" i="1"/>
  <c r="L105" i="1"/>
  <c r="I105" i="1"/>
  <c r="H105" i="1"/>
  <c r="AH105" i="1" s="1"/>
  <c r="G105" i="1"/>
  <c r="E105" i="1"/>
  <c r="AT104" i="1"/>
  <c r="AS104" i="1"/>
  <c r="AU104" i="1" s="1"/>
  <c r="AP104" i="1"/>
  <c r="AO104" i="1"/>
  <c r="AN104" i="1"/>
  <c r="AM104" i="1"/>
  <c r="AL104" i="1"/>
  <c r="AK104" i="1"/>
  <c r="AF104" i="1"/>
  <c r="Z104" i="1"/>
  <c r="V104" i="1"/>
  <c r="L104" i="1"/>
  <c r="I104" i="1"/>
  <c r="H104" i="1"/>
  <c r="AH104" i="1" s="1"/>
  <c r="G104" i="1"/>
  <c r="E104" i="1"/>
  <c r="AT103" i="1"/>
  <c r="AS103" i="1"/>
  <c r="AU103" i="1" s="1"/>
  <c r="AP103" i="1"/>
  <c r="AO103" i="1"/>
  <c r="AN103" i="1"/>
  <c r="AM103" i="1"/>
  <c r="AL103" i="1"/>
  <c r="AK103" i="1"/>
  <c r="AF103" i="1"/>
  <c r="Z103" i="1"/>
  <c r="V103" i="1"/>
  <c r="L103" i="1"/>
  <c r="I103" i="1"/>
  <c r="H103" i="1"/>
  <c r="AH103" i="1" s="1"/>
  <c r="G103" i="1"/>
  <c r="E103" i="1"/>
  <c r="AT102" i="1"/>
  <c r="AS102" i="1"/>
  <c r="AU102" i="1" s="1"/>
  <c r="AP102" i="1"/>
  <c r="AO102" i="1"/>
  <c r="AN102" i="1"/>
  <c r="AM102" i="1"/>
  <c r="AL102" i="1"/>
  <c r="AK102" i="1"/>
  <c r="AF102" i="1"/>
  <c r="Z102" i="1"/>
  <c r="V102" i="1"/>
  <c r="L102" i="1"/>
  <c r="I102" i="1"/>
  <c r="H102" i="1"/>
  <c r="AH102" i="1" s="1"/>
  <c r="G102" i="1"/>
  <c r="E102" i="1"/>
  <c r="AT101" i="1"/>
  <c r="AS101" i="1"/>
  <c r="AU101" i="1" s="1"/>
  <c r="AP101" i="1"/>
  <c r="AO101" i="1"/>
  <c r="AN101" i="1"/>
  <c r="AM101" i="1"/>
  <c r="AL101" i="1"/>
  <c r="AK101" i="1"/>
  <c r="AF101" i="1"/>
  <c r="Z101" i="1"/>
  <c r="V101" i="1"/>
  <c r="L101" i="1"/>
  <c r="I101" i="1"/>
  <c r="H101" i="1"/>
  <c r="AH101" i="1" s="1"/>
  <c r="G101" i="1"/>
  <c r="E101" i="1"/>
  <c r="AT100" i="1"/>
  <c r="AS100" i="1"/>
  <c r="AU100" i="1" s="1"/>
  <c r="AP100" i="1"/>
  <c r="AO100" i="1"/>
  <c r="AN100" i="1"/>
  <c r="AM100" i="1"/>
  <c r="AL100" i="1"/>
  <c r="AK100" i="1"/>
  <c r="AF100" i="1"/>
  <c r="Z100" i="1"/>
  <c r="V100" i="1"/>
  <c r="L100" i="1"/>
  <c r="I100" i="1"/>
  <c r="H100" i="1"/>
  <c r="AH100" i="1" s="1"/>
  <c r="G100" i="1"/>
  <c r="E100" i="1"/>
  <c r="AT99" i="1"/>
  <c r="AS99" i="1"/>
  <c r="AU99" i="1" s="1"/>
  <c r="AP99" i="1"/>
  <c r="AO99" i="1"/>
  <c r="AN99" i="1"/>
  <c r="AM99" i="1"/>
  <c r="AL99" i="1"/>
  <c r="AK99" i="1"/>
  <c r="AF99" i="1"/>
  <c r="Z99" i="1"/>
  <c r="V99" i="1"/>
  <c r="L99" i="1"/>
  <c r="I99" i="1"/>
  <c r="H99" i="1"/>
  <c r="AH99" i="1" s="1"/>
  <c r="G99" i="1"/>
  <c r="E99" i="1"/>
  <c r="AT98" i="1"/>
  <c r="AS98" i="1"/>
  <c r="AU98" i="1" s="1"/>
  <c r="AP98" i="1"/>
  <c r="AO98" i="1"/>
  <c r="AN98" i="1"/>
  <c r="AM98" i="1"/>
  <c r="AL98" i="1"/>
  <c r="AK98" i="1"/>
  <c r="AF98" i="1"/>
  <c r="Z98" i="1"/>
  <c r="V98" i="1"/>
  <c r="L98" i="1"/>
  <c r="I98" i="1"/>
  <c r="H98" i="1"/>
  <c r="AH98" i="1" s="1"/>
  <c r="G98" i="1"/>
  <c r="E98" i="1"/>
  <c r="AT97" i="1"/>
  <c r="AS97" i="1"/>
  <c r="AU97" i="1" s="1"/>
  <c r="AP97" i="1"/>
  <c r="AO97" i="1"/>
  <c r="AN97" i="1"/>
  <c r="AM97" i="1"/>
  <c r="AL97" i="1"/>
  <c r="AK97" i="1"/>
  <c r="AF97" i="1"/>
  <c r="Z97" i="1"/>
  <c r="V97" i="1"/>
  <c r="L97" i="1"/>
  <c r="I97" i="1"/>
  <c r="H97" i="1"/>
  <c r="AH97" i="1" s="1"/>
  <c r="G97" i="1"/>
  <c r="E97" i="1"/>
  <c r="AT96" i="1"/>
  <c r="AS96" i="1"/>
  <c r="AU96" i="1" s="1"/>
  <c r="AP96" i="1"/>
  <c r="AO96" i="1"/>
  <c r="AN96" i="1"/>
  <c r="AM96" i="1"/>
  <c r="AL96" i="1"/>
  <c r="AK96" i="1"/>
  <c r="AF96" i="1"/>
  <c r="Z96" i="1"/>
  <c r="V96" i="1"/>
  <c r="L96" i="1"/>
  <c r="I96" i="1"/>
  <c r="H96" i="1"/>
  <c r="AH96" i="1" s="1"/>
  <c r="G96" i="1"/>
  <c r="E96" i="1"/>
  <c r="AT95" i="1"/>
  <c r="AS95" i="1"/>
  <c r="AU95" i="1" s="1"/>
  <c r="AP95" i="1"/>
  <c r="AO95" i="1"/>
  <c r="AN95" i="1"/>
  <c r="AM95" i="1"/>
  <c r="AL95" i="1"/>
  <c r="AK95" i="1"/>
  <c r="AF95" i="1"/>
  <c r="Z95" i="1"/>
  <c r="V95" i="1"/>
  <c r="L95" i="1"/>
  <c r="I95" i="1"/>
  <c r="H95" i="1"/>
  <c r="AH95" i="1" s="1"/>
  <c r="G95" i="1"/>
  <c r="E95" i="1"/>
  <c r="AT94" i="1"/>
  <c r="AS94" i="1"/>
  <c r="AU94" i="1" s="1"/>
  <c r="AP94" i="1"/>
  <c r="AO94" i="1"/>
  <c r="AN94" i="1"/>
  <c r="AM94" i="1"/>
  <c r="AL94" i="1"/>
  <c r="AK94" i="1"/>
  <c r="AF94" i="1"/>
  <c r="Z94" i="1"/>
  <c r="V94" i="1"/>
  <c r="L94" i="1"/>
  <c r="I94" i="1"/>
  <c r="H94" i="1"/>
  <c r="AH94" i="1" s="1"/>
  <c r="G94" i="1"/>
  <c r="E94" i="1"/>
  <c r="AT93" i="1"/>
  <c r="AS93" i="1"/>
  <c r="AU93" i="1" s="1"/>
  <c r="AP93" i="1"/>
  <c r="AO93" i="1"/>
  <c r="AN93" i="1"/>
  <c r="AM93" i="1"/>
  <c r="AL93" i="1"/>
  <c r="AK93" i="1"/>
  <c r="AF93" i="1"/>
  <c r="Z93" i="1"/>
  <c r="V93" i="1"/>
  <c r="L93" i="1"/>
  <c r="I93" i="1"/>
  <c r="H93" i="1"/>
  <c r="AH93" i="1" s="1"/>
  <c r="G93" i="1"/>
  <c r="E93" i="1"/>
  <c r="AT92" i="1"/>
  <c r="AS92" i="1"/>
  <c r="AU92" i="1" s="1"/>
  <c r="AP92" i="1"/>
  <c r="AO92" i="1"/>
  <c r="AN92" i="1"/>
  <c r="AM92" i="1"/>
  <c r="AL92" i="1"/>
  <c r="AK92" i="1"/>
  <c r="AF92" i="1"/>
  <c r="Z92" i="1"/>
  <c r="V92" i="1"/>
  <c r="L92" i="1"/>
  <c r="H92" i="1"/>
  <c r="AH92" i="1" s="1"/>
  <c r="G92" i="1"/>
  <c r="E92" i="1"/>
  <c r="AT91" i="1"/>
  <c r="AS91" i="1"/>
  <c r="AU91" i="1" s="1"/>
  <c r="AP91" i="1"/>
  <c r="AO91" i="1"/>
  <c r="AN91" i="1"/>
  <c r="AM91" i="1"/>
  <c r="AL91" i="1"/>
  <c r="AK91" i="1"/>
  <c r="AF91" i="1"/>
  <c r="Z91" i="1"/>
  <c r="V91" i="1"/>
  <c r="L91" i="1"/>
  <c r="I91" i="1"/>
  <c r="H91" i="1"/>
  <c r="AH91" i="1" s="1"/>
  <c r="G91" i="1"/>
  <c r="E91" i="1"/>
  <c r="AT90" i="1"/>
  <c r="AS90" i="1"/>
  <c r="AU90" i="1" s="1"/>
  <c r="AP90" i="1"/>
  <c r="AO90" i="1"/>
  <c r="AN90" i="1"/>
  <c r="AM90" i="1"/>
  <c r="AL90" i="1"/>
  <c r="AK90" i="1"/>
  <c r="AF90" i="1"/>
  <c r="Z90" i="1"/>
  <c r="V90" i="1"/>
  <c r="L90" i="1"/>
  <c r="I90" i="1"/>
  <c r="H90" i="1"/>
  <c r="AH90" i="1" s="1"/>
  <c r="G90" i="1"/>
  <c r="E90" i="1"/>
  <c r="AT89" i="1"/>
  <c r="AS89" i="1"/>
  <c r="AU89" i="1" s="1"/>
  <c r="AP89" i="1"/>
  <c r="AO89" i="1"/>
  <c r="AN89" i="1"/>
  <c r="AM89" i="1"/>
  <c r="AL89" i="1"/>
  <c r="AK89" i="1"/>
  <c r="AF89" i="1"/>
  <c r="Z89" i="1"/>
  <c r="V89" i="1"/>
  <c r="L89" i="1"/>
  <c r="I89" i="1"/>
  <c r="H89" i="1"/>
  <c r="AH89" i="1" s="1"/>
  <c r="G89" i="1"/>
  <c r="E89" i="1"/>
  <c r="AT88" i="1"/>
  <c r="AS88" i="1"/>
  <c r="AU88" i="1" s="1"/>
  <c r="AP88" i="1"/>
  <c r="AO88" i="1"/>
  <c r="AN88" i="1"/>
  <c r="AM88" i="1"/>
  <c r="AL88" i="1"/>
  <c r="AK88" i="1"/>
  <c r="AF88" i="1"/>
  <c r="Z88" i="1"/>
  <c r="V88" i="1"/>
  <c r="L88" i="1"/>
  <c r="H88" i="1"/>
  <c r="AH88" i="1" s="1"/>
  <c r="G88" i="1"/>
  <c r="E88" i="1"/>
  <c r="AT87" i="1"/>
  <c r="AS87" i="1"/>
  <c r="AU87" i="1" s="1"/>
  <c r="AP87" i="1"/>
  <c r="AO87" i="1"/>
  <c r="AN87" i="1"/>
  <c r="AM87" i="1"/>
  <c r="AL87" i="1"/>
  <c r="AK87" i="1"/>
  <c r="AF87" i="1"/>
  <c r="Z87" i="1"/>
  <c r="V87" i="1"/>
  <c r="L87" i="1"/>
  <c r="H87" i="1"/>
  <c r="AH87" i="1" s="1"/>
  <c r="G87" i="1"/>
  <c r="E87" i="1"/>
  <c r="AT86" i="1"/>
  <c r="AS86" i="1"/>
  <c r="AU86" i="1" s="1"/>
  <c r="AP86" i="1"/>
  <c r="AO86" i="1"/>
  <c r="AN86" i="1"/>
  <c r="AM86" i="1"/>
  <c r="AL86" i="1"/>
  <c r="AK86" i="1"/>
  <c r="AF86" i="1"/>
  <c r="Z86" i="1"/>
  <c r="V86" i="1"/>
  <c r="L86" i="1"/>
  <c r="H86" i="1"/>
  <c r="AH86" i="1" s="1"/>
  <c r="G86" i="1"/>
  <c r="E86" i="1"/>
  <c r="AU85" i="1"/>
  <c r="AT85" i="1"/>
  <c r="AS85" i="1"/>
  <c r="AQ85" i="1"/>
  <c r="AP85" i="1"/>
  <c r="AO85" i="1"/>
  <c r="AN85" i="1"/>
  <c r="AM85" i="1"/>
  <c r="AL85" i="1"/>
  <c r="AK85" i="1"/>
  <c r="AH85" i="1"/>
  <c r="AF85" i="1"/>
  <c r="AE85" i="1"/>
  <c r="AD85" i="1"/>
  <c r="AC85" i="1"/>
  <c r="AB85" i="1"/>
  <c r="Z85" i="1"/>
  <c r="Y85" i="1"/>
  <c r="V85" i="1"/>
  <c r="U85" i="1"/>
  <c r="T85" i="1"/>
  <c r="S85" i="1"/>
  <c r="R85" i="1"/>
  <c r="P85" i="1"/>
  <c r="O85" i="1"/>
  <c r="L85" i="1"/>
  <c r="I85" i="1"/>
  <c r="H85" i="1"/>
  <c r="G85" i="1"/>
  <c r="F85" i="1"/>
  <c r="E85" i="1"/>
  <c r="D85" i="1"/>
  <c r="C85" i="1"/>
  <c r="AT84" i="1"/>
  <c r="AS84" i="1"/>
  <c r="AU84" i="1" s="1"/>
  <c r="AP84" i="1"/>
  <c r="AO84" i="1"/>
  <c r="AN84" i="1"/>
  <c r="AM84" i="1"/>
  <c r="AL84" i="1"/>
  <c r="AK84" i="1"/>
  <c r="AF84" i="1"/>
  <c r="Z84" i="1"/>
  <c r="V84" i="1"/>
  <c r="I84" i="1"/>
  <c r="H84" i="1"/>
  <c r="AH84" i="1" s="1"/>
  <c r="G84" i="1"/>
  <c r="K84" i="1" s="1"/>
  <c r="E84" i="1"/>
  <c r="AT83" i="1"/>
  <c r="AS83" i="1"/>
  <c r="AU83" i="1" s="1"/>
  <c r="AP83" i="1"/>
  <c r="AO83" i="1"/>
  <c r="AN83" i="1"/>
  <c r="AM83" i="1"/>
  <c r="AL83" i="1"/>
  <c r="AK83" i="1"/>
  <c r="AF83" i="1"/>
  <c r="Z83" i="1"/>
  <c r="V83" i="1"/>
  <c r="I83" i="1"/>
  <c r="H83" i="1"/>
  <c r="AH83" i="1" s="1"/>
  <c r="G83" i="1"/>
  <c r="K83" i="1" s="1"/>
  <c r="E83" i="1"/>
  <c r="AT82" i="1"/>
  <c r="AS82" i="1"/>
  <c r="AU82" i="1" s="1"/>
  <c r="AP82" i="1"/>
  <c r="AO82" i="1"/>
  <c r="AN82" i="1"/>
  <c r="AM82" i="1"/>
  <c r="AL82" i="1"/>
  <c r="AK82" i="1"/>
  <c r="AF82" i="1"/>
  <c r="Z82" i="1"/>
  <c r="V82" i="1"/>
  <c r="H82" i="1"/>
  <c r="AH82" i="1" s="1"/>
  <c r="G82" i="1"/>
  <c r="K82" i="1" s="1"/>
  <c r="E82" i="1"/>
  <c r="AT81" i="1"/>
  <c r="AS81" i="1"/>
  <c r="AU81" i="1" s="1"/>
  <c r="AP81" i="1"/>
  <c r="AO81" i="1"/>
  <c r="AN81" i="1"/>
  <c r="AM81" i="1"/>
  <c r="AL81" i="1"/>
  <c r="AK81" i="1"/>
  <c r="AF81" i="1"/>
  <c r="Z81" i="1"/>
  <c r="V81" i="1"/>
  <c r="H81" i="1"/>
  <c r="AH81" i="1" s="1"/>
  <c r="G81" i="1"/>
  <c r="K81" i="1" s="1"/>
  <c r="E81" i="1"/>
  <c r="AT80" i="1"/>
  <c r="AS80" i="1"/>
  <c r="AU80" i="1" s="1"/>
  <c r="AP80" i="1"/>
  <c r="AO80" i="1"/>
  <c r="AN80" i="1"/>
  <c r="AM80" i="1"/>
  <c r="AL80" i="1"/>
  <c r="AK80" i="1"/>
  <c r="AF80" i="1"/>
  <c r="Z80" i="1"/>
  <c r="V80" i="1"/>
  <c r="L80" i="1"/>
  <c r="H80" i="1"/>
  <c r="AH80" i="1" s="1"/>
  <c r="G80" i="1"/>
  <c r="K80" i="1" s="1"/>
  <c r="E80" i="1"/>
  <c r="AT79" i="1"/>
  <c r="AS79" i="1"/>
  <c r="AU79" i="1" s="1"/>
  <c r="AP79" i="1"/>
  <c r="AO79" i="1"/>
  <c r="AN79" i="1"/>
  <c r="AM79" i="1"/>
  <c r="AL79" i="1"/>
  <c r="AK79" i="1"/>
  <c r="AF79" i="1"/>
  <c r="Z79" i="1"/>
  <c r="V79" i="1"/>
  <c r="I79" i="1"/>
  <c r="H79" i="1"/>
  <c r="AH79" i="1" s="1"/>
  <c r="G79" i="1"/>
  <c r="K79" i="1" s="1"/>
  <c r="E79" i="1"/>
  <c r="AT78" i="1"/>
  <c r="AS78" i="1"/>
  <c r="AU78" i="1" s="1"/>
  <c r="AP78" i="1"/>
  <c r="AO78" i="1"/>
  <c r="AN78" i="1"/>
  <c r="AM78" i="1"/>
  <c r="AL78" i="1"/>
  <c r="AK78" i="1"/>
  <c r="AF78" i="1"/>
  <c r="Z78" i="1"/>
  <c r="V78" i="1"/>
  <c r="I78" i="1"/>
  <c r="H78" i="1"/>
  <c r="AH78" i="1" s="1"/>
  <c r="G78" i="1"/>
  <c r="K78" i="1" s="1"/>
  <c r="E78" i="1"/>
  <c r="AT77" i="1"/>
  <c r="AS77" i="1"/>
  <c r="AU77" i="1" s="1"/>
  <c r="AP77" i="1"/>
  <c r="AO77" i="1"/>
  <c r="AN77" i="1"/>
  <c r="AM77" i="1"/>
  <c r="AL77" i="1"/>
  <c r="AK77" i="1"/>
  <c r="AF77" i="1"/>
  <c r="Z77" i="1"/>
  <c r="V77" i="1"/>
  <c r="I77" i="1"/>
  <c r="H77" i="1"/>
  <c r="AH77" i="1" s="1"/>
  <c r="G77" i="1"/>
  <c r="K77" i="1" s="1"/>
  <c r="E77" i="1"/>
  <c r="AT76" i="1"/>
  <c r="AS76" i="1"/>
  <c r="AU76" i="1" s="1"/>
  <c r="AP76" i="1"/>
  <c r="AO76" i="1"/>
  <c r="AN76" i="1"/>
  <c r="AM76" i="1"/>
  <c r="AL76" i="1"/>
  <c r="AK76" i="1"/>
  <c r="AF76" i="1"/>
  <c r="Z76" i="1"/>
  <c r="V76" i="1"/>
  <c r="I76" i="1"/>
  <c r="H76" i="1"/>
  <c r="AH76" i="1" s="1"/>
  <c r="G76" i="1"/>
  <c r="K76" i="1" s="1"/>
  <c r="E76" i="1"/>
  <c r="AT75" i="1"/>
  <c r="AS75" i="1"/>
  <c r="AU75" i="1" s="1"/>
  <c r="AP75" i="1"/>
  <c r="AO75" i="1"/>
  <c r="AN75" i="1"/>
  <c r="AM75" i="1"/>
  <c r="AL75" i="1"/>
  <c r="AK75" i="1"/>
  <c r="AF75" i="1"/>
  <c r="Z75" i="1"/>
  <c r="V75" i="1"/>
  <c r="I75" i="1"/>
  <c r="H75" i="1"/>
  <c r="AH75" i="1" s="1"/>
  <c r="G75" i="1"/>
  <c r="K75" i="1" s="1"/>
  <c r="E75" i="1"/>
  <c r="AT74" i="1"/>
  <c r="AS74" i="1"/>
  <c r="AU74" i="1" s="1"/>
  <c r="AP74" i="1"/>
  <c r="AO74" i="1"/>
  <c r="AN74" i="1"/>
  <c r="AM74" i="1"/>
  <c r="AL74" i="1"/>
  <c r="AK74" i="1"/>
  <c r="AF74" i="1"/>
  <c r="Z74" i="1"/>
  <c r="V74" i="1"/>
  <c r="L74" i="1"/>
  <c r="I74" i="1"/>
  <c r="H74" i="1"/>
  <c r="AH74" i="1" s="1"/>
  <c r="G74" i="1"/>
  <c r="K74" i="1" s="1"/>
  <c r="E74" i="1"/>
  <c r="AT73" i="1"/>
  <c r="AS73" i="1"/>
  <c r="AU73" i="1" s="1"/>
  <c r="AP73" i="1"/>
  <c r="AO73" i="1"/>
  <c r="AN73" i="1"/>
  <c r="AM73" i="1"/>
  <c r="AL73" i="1"/>
  <c r="AK73" i="1"/>
  <c r="AF73" i="1"/>
  <c r="Z73" i="1"/>
  <c r="V73" i="1"/>
  <c r="L73" i="1"/>
  <c r="H73" i="1"/>
  <c r="AH73" i="1" s="1"/>
  <c r="G73" i="1"/>
  <c r="K73" i="1" s="1"/>
  <c r="E73" i="1"/>
  <c r="AT72" i="1"/>
  <c r="AS72" i="1"/>
  <c r="AU72" i="1" s="1"/>
  <c r="AP72" i="1"/>
  <c r="AO72" i="1"/>
  <c r="AN72" i="1"/>
  <c r="AM72" i="1"/>
  <c r="AL72" i="1"/>
  <c r="AK72" i="1"/>
  <c r="AF72" i="1"/>
  <c r="Z72" i="1"/>
  <c r="V72" i="1"/>
  <c r="L72" i="1"/>
  <c r="H72" i="1"/>
  <c r="AH72" i="1" s="1"/>
  <c r="G72" i="1"/>
  <c r="K72" i="1" s="1"/>
  <c r="E72" i="1"/>
  <c r="AT71" i="1"/>
  <c r="AS71" i="1"/>
  <c r="AU71" i="1" s="1"/>
  <c r="AP71" i="1"/>
  <c r="AO71" i="1"/>
  <c r="AN71" i="1"/>
  <c r="AM71" i="1"/>
  <c r="AL71" i="1"/>
  <c r="AK71" i="1"/>
  <c r="AF71" i="1"/>
  <c r="Z71" i="1"/>
  <c r="V71" i="1"/>
  <c r="L71" i="1"/>
  <c r="H71" i="1"/>
  <c r="AH71" i="1" s="1"/>
  <c r="G71" i="1"/>
  <c r="K71" i="1" s="1"/>
  <c r="E71" i="1"/>
  <c r="AT70" i="1"/>
  <c r="AS70" i="1"/>
  <c r="AU70" i="1" s="1"/>
  <c r="AP70" i="1"/>
  <c r="AO70" i="1"/>
  <c r="AN70" i="1"/>
  <c r="AM70" i="1"/>
  <c r="AL70" i="1"/>
  <c r="AK70" i="1"/>
  <c r="AF70" i="1"/>
  <c r="Z70" i="1"/>
  <c r="V70" i="1"/>
  <c r="L70" i="1"/>
  <c r="H70" i="1"/>
  <c r="AH70" i="1" s="1"/>
  <c r="G70" i="1"/>
  <c r="K70" i="1" s="1"/>
  <c r="E70" i="1"/>
  <c r="AT69" i="1"/>
  <c r="AS69" i="1"/>
  <c r="AU69" i="1" s="1"/>
  <c r="AP69" i="1"/>
  <c r="AO69" i="1"/>
  <c r="AN69" i="1"/>
  <c r="AM69" i="1"/>
  <c r="AL69" i="1"/>
  <c r="AK69" i="1"/>
  <c r="AF69" i="1"/>
  <c r="Z69" i="1"/>
  <c r="V69" i="1"/>
  <c r="I69" i="1"/>
  <c r="H69" i="1"/>
  <c r="AH69" i="1" s="1"/>
  <c r="G69" i="1"/>
  <c r="K69" i="1" s="1"/>
  <c r="E69" i="1"/>
  <c r="AT68" i="1"/>
  <c r="AS68" i="1"/>
  <c r="AU68" i="1" s="1"/>
  <c r="AP68" i="1"/>
  <c r="AO68" i="1"/>
  <c r="AN68" i="1"/>
  <c r="AM68" i="1"/>
  <c r="AL68" i="1"/>
  <c r="AK68" i="1"/>
  <c r="AF68" i="1"/>
  <c r="Z68" i="1"/>
  <c r="V68" i="1"/>
  <c r="I68" i="1"/>
  <c r="H68" i="1"/>
  <c r="AH68" i="1" s="1"/>
  <c r="G68" i="1"/>
  <c r="K68" i="1" s="1"/>
  <c r="E68" i="1"/>
  <c r="AT67" i="1"/>
  <c r="AS67" i="1"/>
  <c r="AU67" i="1" s="1"/>
  <c r="AP67" i="1"/>
  <c r="AO67" i="1"/>
  <c r="AN67" i="1"/>
  <c r="AM67" i="1"/>
  <c r="AL67" i="1"/>
  <c r="AK67" i="1"/>
  <c r="AF67" i="1"/>
  <c r="Z67" i="1"/>
  <c r="V67" i="1"/>
  <c r="H67" i="1"/>
  <c r="AH67" i="1" s="1"/>
  <c r="G67" i="1"/>
  <c r="K67" i="1" s="1"/>
  <c r="E67" i="1"/>
  <c r="AT66" i="1"/>
  <c r="AS66" i="1"/>
  <c r="AU66" i="1" s="1"/>
  <c r="AP66" i="1"/>
  <c r="AO66" i="1"/>
  <c r="AN66" i="1"/>
  <c r="AM66" i="1"/>
  <c r="AL66" i="1"/>
  <c r="AK66" i="1"/>
  <c r="AF66" i="1"/>
  <c r="Z66" i="1"/>
  <c r="V66" i="1"/>
  <c r="H66" i="1"/>
  <c r="AH66" i="1" s="1"/>
  <c r="G66" i="1"/>
  <c r="K66" i="1" s="1"/>
  <c r="E66" i="1"/>
  <c r="AT65" i="1"/>
  <c r="AS65" i="1"/>
  <c r="AU65" i="1" s="1"/>
  <c r="AP65" i="1"/>
  <c r="AO65" i="1"/>
  <c r="AN65" i="1"/>
  <c r="AM65" i="1"/>
  <c r="AL65" i="1"/>
  <c r="AK65" i="1"/>
  <c r="AF65" i="1"/>
  <c r="Z65" i="1"/>
  <c r="V65" i="1"/>
  <c r="H65" i="1"/>
  <c r="AH65" i="1" s="1"/>
  <c r="G65" i="1"/>
  <c r="K65" i="1" s="1"/>
  <c r="E65" i="1"/>
  <c r="AT64" i="1"/>
  <c r="AS64" i="1"/>
  <c r="AU64" i="1" s="1"/>
  <c r="AP64" i="1"/>
  <c r="AO64" i="1"/>
  <c r="AN64" i="1"/>
  <c r="AM64" i="1"/>
  <c r="AL64" i="1"/>
  <c r="AK64" i="1"/>
  <c r="AF64" i="1"/>
  <c r="Z64" i="1"/>
  <c r="V64" i="1"/>
  <c r="H64" i="1"/>
  <c r="AH64" i="1" s="1"/>
  <c r="G64" i="1"/>
  <c r="K64" i="1" s="1"/>
  <c r="E64" i="1"/>
  <c r="AT63" i="1"/>
  <c r="AS63" i="1"/>
  <c r="AU63" i="1" s="1"/>
  <c r="AP63" i="1"/>
  <c r="AO63" i="1"/>
  <c r="AN63" i="1"/>
  <c r="AM63" i="1"/>
  <c r="AL63" i="1"/>
  <c r="AK63" i="1"/>
  <c r="AF63" i="1"/>
  <c r="Z63" i="1"/>
  <c r="V63" i="1"/>
  <c r="H63" i="1"/>
  <c r="AH63" i="1" s="1"/>
  <c r="G63" i="1"/>
  <c r="K63" i="1" s="1"/>
  <c r="E63" i="1"/>
  <c r="AT62" i="1"/>
  <c r="AS62" i="1"/>
  <c r="AU62" i="1" s="1"/>
  <c r="AP62" i="1"/>
  <c r="AO62" i="1"/>
  <c r="AN62" i="1"/>
  <c r="AM62" i="1"/>
  <c r="AL62" i="1"/>
  <c r="AK62" i="1"/>
  <c r="AF62" i="1"/>
  <c r="Z62" i="1"/>
  <c r="V62" i="1"/>
  <c r="L62" i="1"/>
  <c r="H62" i="1"/>
  <c r="AH62" i="1" s="1"/>
  <c r="G62" i="1"/>
  <c r="K62" i="1" s="1"/>
  <c r="E62" i="1"/>
  <c r="AT61" i="1"/>
  <c r="AS61" i="1"/>
  <c r="AU61" i="1" s="1"/>
  <c r="AP61" i="1"/>
  <c r="AO61" i="1"/>
  <c r="AN61" i="1"/>
  <c r="AM61" i="1"/>
  <c r="AL61" i="1"/>
  <c r="AK61" i="1"/>
  <c r="AF61" i="1"/>
  <c r="Z61" i="1"/>
  <c r="V61" i="1"/>
  <c r="L61" i="1"/>
  <c r="H61" i="1"/>
  <c r="AH61" i="1" s="1"/>
  <c r="G61" i="1"/>
  <c r="K61" i="1" s="1"/>
  <c r="E61" i="1"/>
  <c r="AT60" i="1"/>
  <c r="AS60" i="1"/>
  <c r="AU60" i="1" s="1"/>
  <c r="AP60" i="1"/>
  <c r="AO60" i="1"/>
  <c r="AN60" i="1"/>
  <c r="AM60" i="1"/>
  <c r="AL60" i="1"/>
  <c r="AK60" i="1"/>
  <c r="AF60" i="1"/>
  <c r="Z60" i="1"/>
  <c r="V60" i="1"/>
  <c r="L60" i="1"/>
  <c r="I60" i="1"/>
  <c r="H60" i="1"/>
  <c r="AH60" i="1" s="1"/>
  <c r="G60" i="1"/>
  <c r="K60" i="1" s="1"/>
  <c r="E60" i="1"/>
  <c r="AT59" i="1"/>
  <c r="AS59" i="1"/>
  <c r="AU59" i="1" s="1"/>
  <c r="AP59" i="1"/>
  <c r="AO59" i="1"/>
  <c r="AN59" i="1"/>
  <c r="AM59" i="1"/>
  <c r="AL59" i="1"/>
  <c r="AK59" i="1"/>
  <c r="AF59" i="1"/>
  <c r="Z59" i="1"/>
  <c r="V59" i="1"/>
  <c r="L59" i="1"/>
  <c r="I59" i="1"/>
  <c r="H59" i="1"/>
  <c r="AH59" i="1" s="1"/>
  <c r="G59" i="1"/>
  <c r="K59" i="1" s="1"/>
  <c r="E59" i="1"/>
  <c r="AT58" i="1"/>
  <c r="AS58" i="1"/>
  <c r="AU58" i="1" s="1"/>
  <c r="AP58" i="1"/>
  <c r="AO58" i="1"/>
  <c r="AN58" i="1"/>
  <c r="AM58" i="1"/>
  <c r="AL58" i="1"/>
  <c r="AK58" i="1"/>
  <c r="AF58" i="1"/>
  <c r="Z58" i="1"/>
  <c r="V58" i="1"/>
  <c r="H58" i="1"/>
  <c r="AH58" i="1" s="1"/>
  <c r="G58" i="1"/>
  <c r="K58" i="1" s="1"/>
  <c r="E58" i="1"/>
  <c r="AT57" i="1"/>
  <c r="AS57" i="1"/>
  <c r="AU57" i="1" s="1"/>
  <c r="AP57" i="1"/>
  <c r="AO57" i="1"/>
  <c r="AN57" i="1"/>
  <c r="AM57" i="1"/>
  <c r="AL57" i="1"/>
  <c r="AK57" i="1"/>
  <c r="AF57" i="1"/>
  <c r="Z57" i="1"/>
  <c r="V57" i="1"/>
  <c r="H57" i="1"/>
  <c r="AH57" i="1" s="1"/>
  <c r="G57" i="1"/>
  <c r="K57" i="1" s="1"/>
  <c r="E57" i="1"/>
  <c r="AT56" i="1"/>
  <c r="AS56" i="1"/>
  <c r="AU56" i="1" s="1"/>
  <c r="AP56" i="1"/>
  <c r="AO56" i="1"/>
  <c r="AN56" i="1"/>
  <c r="AM56" i="1"/>
  <c r="AL56" i="1"/>
  <c r="AK56" i="1"/>
  <c r="AF56" i="1"/>
  <c r="Z56" i="1"/>
  <c r="V56" i="1"/>
  <c r="H56" i="1"/>
  <c r="AH56" i="1" s="1"/>
  <c r="G56" i="1"/>
  <c r="K56" i="1" s="1"/>
  <c r="E56" i="1"/>
  <c r="AT55" i="1"/>
  <c r="AS55" i="1"/>
  <c r="AU55" i="1" s="1"/>
  <c r="AP55" i="1"/>
  <c r="AO55" i="1"/>
  <c r="AN55" i="1"/>
  <c r="AM55" i="1"/>
  <c r="AL55" i="1"/>
  <c r="AK55" i="1"/>
  <c r="AF55" i="1"/>
  <c r="Z55" i="1"/>
  <c r="V55" i="1"/>
  <c r="H55" i="1"/>
  <c r="AH55" i="1" s="1"/>
  <c r="G55" i="1"/>
  <c r="K55" i="1" s="1"/>
  <c r="E55" i="1"/>
  <c r="AT54" i="1"/>
  <c r="AS54" i="1"/>
  <c r="AU54" i="1" s="1"/>
  <c r="AP54" i="1"/>
  <c r="AO54" i="1"/>
  <c r="AN54" i="1"/>
  <c r="AM54" i="1"/>
  <c r="AL54" i="1"/>
  <c r="AK54" i="1"/>
  <c r="AF54" i="1"/>
  <c r="Z54" i="1"/>
  <c r="V54" i="1"/>
  <c r="V53" i="1" s="1"/>
  <c r="H54" i="1"/>
  <c r="AH54" i="1" s="1"/>
  <c r="G54" i="1"/>
  <c r="K54" i="1" s="1"/>
  <c r="E54" i="1"/>
  <c r="AU53" i="1"/>
  <c r="AT53" i="1"/>
  <c r="AS53" i="1"/>
  <c r="AQ53" i="1"/>
  <c r="AP53" i="1"/>
  <c r="AO53" i="1"/>
  <c r="AN53" i="1"/>
  <c r="AM53" i="1"/>
  <c r="AL53" i="1"/>
  <c r="AK53" i="1"/>
  <c r="AH53" i="1"/>
  <c r="AF53" i="1"/>
  <c r="AE53" i="1"/>
  <c r="AD53" i="1"/>
  <c r="AC53" i="1"/>
  <c r="AB53" i="1"/>
  <c r="Z53" i="1"/>
  <c r="Y53" i="1"/>
  <c r="U53" i="1"/>
  <c r="T53" i="1"/>
  <c r="S53" i="1"/>
  <c r="P53" i="1"/>
  <c r="O53" i="1"/>
  <c r="L53" i="1"/>
  <c r="K53" i="1"/>
  <c r="I53" i="1"/>
  <c r="H53" i="1"/>
  <c r="G53" i="1"/>
  <c r="F53" i="1"/>
  <c r="E53" i="1"/>
  <c r="D53" i="1"/>
  <c r="C53" i="1"/>
  <c r="AT52" i="1"/>
  <c r="AS52" i="1"/>
  <c r="AU52" i="1" s="1"/>
  <c r="AP52" i="1"/>
  <c r="AO52" i="1"/>
  <c r="AN52" i="1"/>
  <c r="AM52" i="1"/>
  <c r="AL52" i="1"/>
  <c r="AK52" i="1"/>
  <c r="AF52" i="1"/>
  <c r="V52" i="1"/>
  <c r="I52" i="1"/>
  <c r="H52" i="1"/>
  <c r="AH52" i="1" s="1"/>
  <c r="G52" i="1"/>
  <c r="K52" i="1" s="1"/>
  <c r="E52" i="1"/>
  <c r="AT51" i="1"/>
  <c r="AS51" i="1"/>
  <c r="AU51" i="1" s="1"/>
  <c r="AP51" i="1"/>
  <c r="AO51" i="1"/>
  <c r="AN51" i="1"/>
  <c r="AM51" i="1"/>
  <c r="AL51" i="1"/>
  <c r="AK51" i="1"/>
  <c r="AF51" i="1"/>
  <c r="V51" i="1"/>
  <c r="I51" i="1"/>
  <c r="H51" i="1"/>
  <c r="AH51" i="1" s="1"/>
  <c r="G51" i="1"/>
  <c r="K51" i="1" s="1"/>
  <c r="E51" i="1"/>
  <c r="AT50" i="1"/>
  <c r="AS50" i="1"/>
  <c r="AU50" i="1" s="1"/>
  <c r="AP50" i="1"/>
  <c r="AO50" i="1"/>
  <c r="AN50" i="1"/>
  <c r="AM50" i="1"/>
  <c r="AL50" i="1"/>
  <c r="AK50" i="1"/>
  <c r="AF50" i="1"/>
  <c r="I50" i="1"/>
  <c r="H50" i="1"/>
  <c r="AH50" i="1" s="1"/>
  <c r="G50" i="1"/>
  <c r="K50" i="1" s="1"/>
  <c r="E50" i="1"/>
  <c r="AT49" i="1"/>
  <c r="AS49" i="1"/>
  <c r="AU49" i="1" s="1"/>
  <c r="AP49" i="1"/>
  <c r="AO49" i="1"/>
  <c r="AN49" i="1"/>
  <c r="AM49" i="1"/>
  <c r="AL49" i="1"/>
  <c r="AK49" i="1"/>
  <c r="AF49" i="1"/>
  <c r="V49" i="1"/>
  <c r="I49" i="1"/>
  <c r="H49" i="1"/>
  <c r="AH49" i="1" s="1"/>
  <c r="G49" i="1"/>
  <c r="K49" i="1" s="1"/>
  <c r="E49" i="1"/>
  <c r="AT48" i="1"/>
  <c r="AS48" i="1"/>
  <c r="AU48" i="1" s="1"/>
  <c r="AP48" i="1"/>
  <c r="AO48" i="1"/>
  <c r="AN48" i="1"/>
  <c r="AM48" i="1"/>
  <c r="AL48" i="1"/>
  <c r="AK48" i="1"/>
  <c r="AF48" i="1"/>
  <c r="I48" i="1"/>
  <c r="H48" i="1"/>
  <c r="AH48" i="1" s="1"/>
  <c r="G48" i="1"/>
  <c r="K48" i="1" s="1"/>
  <c r="E48" i="1"/>
  <c r="AT47" i="1"/>
  <c r="AS47" i="1"/>
  <c r="AU47" i="1" s="1"/>
  <c r="AP47" i="1"/>
  <c r="AO47" i="1"/>
  <c r="AN47" i="1"/>
  <c r="AM47" i="1"/>
  <c r="AL47" i="1"/>
  <c r="AK47" i="1"/>
  <c r="AF47" i="1"/>
  <c r="V47" i="1"/>
  <c r="I47" i="1"/>
  <c r="H47" i="1"/>
  <c r="AH47" i="1" s="1"/>
  <c r="G47" i="1"/>
  <c r="K47" i="1" s="1"/>
  <c r="E47" i="1"/>
  <c r="AT46" i="1"/>
  <c r="AS46" i="1"/>
  <c r="AU46" i="1" s="1"/>
  <c r="AP46" i="1"/>
  <c r="AO46" i="1"/>
  <c r="AN46" i="1"/>
  <c r="AM46" i="1"/>
  <c r="AL46" i="1"/>
  <c r="AK46" i="1"/>
  <c r="AF46" i="1"/>
  <c r="V46" i="1"/>
  <c r="I46" i="1"/>
  <c r="H46" i="1"/>
  <c r="AH46" i="1" s="1"/>
  <c r="G46" i="1"/>
  <c r="K46" i="1" s="1"/>
  <c r="E46" i="1"/>
  <c r="AT45" i="1"/>
  <c r="AS45" i="1"/>
  <c r="AU45" i="1" s="1"/>
  <c r="AP45" i="1"/>
  <c r="AO45" i="1"/>
  <c r="AN45" i="1"/>
  <c r="AM45" i="1"/>
  <c r="AL45" i="1"/>
  <c r="AK45" i="1"/>
  <c r="AF45" i="1"/>
  <c r="V45" i="1"/>
  <c r="I45" i="1"/>
  <c r="H45" i="1"/>
  <c r="AH45" i="1" s="1"/>
  <c r="G45" i="1"/>
  <c r="K45" i="1" s="1"/>
  <c r="E45" i="1"/>
  <c r="AT44" i="1"/>
  <c r="AS44" i="1"/>
  <c r="AU44" i="1" s="1"/>
  <c r="AP44" i="1"/>
  <c r="AO44" i="1"/>
  <c r="AN44" i="1"/>
  <c r="AM44" i="1"/>
  <c r="AL44" i="1"/>
  <c r="AK44" i="1"/>
  <c r="AF44" i="1"/>
  <c r="V44" i="1"/>
  <c r="I44" i="1"/>
  <c r="H44" i="1"/>
  <c r="AH44" i="1" s="1"/>
  <c r="G44" i="1"/>
  <c r="K44" i="1" s="1"/>
  <c r="E44" i="1"/>
  <c r="AT43" i="1"/>
  <c r="AS43" i="1"/>
  <c r="AU43" i="1" s="1"/>
  <c r="AP43" i="1"/>
  <c r="AO43" i="1"/>
  <c r="AN43" i="1"/>
  <c r="AM43" i="1"/>
  <c r="AL43" i="1"/>
  <c r="AK43" i="1"/>
  <c r="AF43" i="1"/>
  <c r="V43" i="1"/>
  <c r="I43" i="1"/>
  <c r="H43" i="1"/>
  <c r="AH43" i="1" s="1"/>
  <c r="G43" i="1"/>
  <c r="K43" i="1" s="1"/>
  <c r="E43" i="1"/>
  <c r="AT42" i="1"/>
  <c r="AS42" i="1"/>
  <c r="AU42" i="1" s="1"/>
  <c r="AP42" i="1"/>
  <c r="AO42" i="1"/>
  <c r="AN42" i="1"/>
  <c r="AM42" i="1"/>
  <c r="AL42" i="1"/>
  <c r="AK42" i="1"/>
  <c r="AF42" i="1"/>
  <c r="V42" i="1"/>
  <c r="I42" i="1"/>
  <c r="H42" i="1"/>
  <c r="AH42" i="1" s="1"/>
  <c r="G42" i="1"/>
  <c r="K42" i="1" s="1"/>
  <c r="E42" i="1"/>
  <c r="AT41" i="1"/>
  <c r="AS41" i="1"/>
  <c r="AU41" i="1" s="1"/>
  <c r="AP41" i="1"/>
  <c r="AO41" i="1"/>
  <c r="AN41" i="1"/>
  <c r="AM41" i="1"/>
  <c r="AL41" i="1"/>
  <c r="AK41" i="1"/>
  <c r="AF41" i="1"/>
  <c r="V41" i="1"/>
  <c r="I41" i="1"/>
  <c r="H41" i="1"/>
  <c r="AH41" i="1" s="1"/>
  <c r="G41" i="1"/>
  <c r="K41" i="1" s="1"/>
  <c r="E41" i="1"/>
  <c r="AT40" i="1"/>
  <c r="AS40" i="1"/>
  <c r="AU40" i="1" s="1"/>
  <c r="AP40" i="1"/>
  <c r="AO40" i="1"/>
  <c r="AN40" i="1"/>
  <c r="AM40" i="1"/>
  <c r="AL40" i="1"/>
  <c r="AK40" i="1"/>
  <c r="AF40" i="1"/>
  <c r="V40" i="1"/>
  <c r="I40" i="1"/>
  <c r="H40" i="1"/>
  <c r="AH40" i="1" s="1"/>
  <c r="G40" i="1"/>
  <c r="K40" i="1" s="1"/>
  <c r="E40" i="1"/>
  <c r="AT39" i="1"/>
  <c r="AS39" i="1"/>
  <c r="AU39" i="1" s="1"/>
  <c r="AP39" i="1"/>
  <c r="AO39" i="1"/>
  <c r="AN39" i="1"/>
  <c r="AM39" i="1"/>
  <c r="AL39" i="1"/>
  <c r="AK39" i="1"/>
  <c r="AF39" i="1"/>
  <c r="I39" i="1"/>
  <c r="H39" i="1"/>
  <c r="AH39" i="1" s="1"/>
  <c r="G39" i="1"/>
  <c r="K39" i="1" s="1"/>
  <c r="E39" i="1"/>
  <c r="AT38" i="1"/>
  <c r="AS38" i="1"/>
  <c r="AU38" i="1" s="1"/>
  <c r="AP38" i="1"/>
  <c r="AO38" i="1"/>
  <c r="AN38" i="1"/>
  <c r="AM38" i="1"/>
  <c r="AL38" i="1"/>
  <c r="AK38" i="1"/>
  <c r="AF38" i="1"/>
  <c r="V38" i="1"/>
  <c r="I38" i="1"/>
  <c r="H38" i="1"/>
  <c r="AH38" i="1" s="1"/>
  <c r="G38" i="1"/>
  <c r="K38" i="1" s="1"/>
  <c r="E38" i="1"/>
  <c r="AT37" i="1"/>
  <c r="AS37" i="1"/>
  <c r="AU37" i="1" s="1"/>
  <c r="AP37" i="1"/>
  <c r="AO37" i="1"/>
  <c r="AN37" i="1"/>
  <c r="AM37" i="1"/>
  <c r="AL37" i="1"/>
  <c r="AK37" i="1"/>
  <c r="AF37" i="1"/>
  <c r="V37" i="1"/>
  <c r="I37" i="1"/>
  <c r="H37" i="1"/>
  <c r="AH37" i="1" s="1"/>
  <c r="G37" i="1"/>
  <c r="K37" i="1" s="1"/>
  <c r="E37" i="1"/>
  <c r="AT36" i="1"/>
  <c r="AS36" i="1"/>
  <c r="AU36" i="1" s="1"/>
  <c r="AP36" i="1"/>
  <c r="AO36" i="1"/>
  <c r="AN36" i="1"/>
  <c r="AM36" i="1"/>
  <c r="AL36" i="1"/>
  <c r="AK36" i="1"/>
  <c r="AF36" i="1"/>
  <c r="V36" i="1"/>
  <c r="I36" i="1"/>
  <c r="H36" i="1"/>
  <c r="AH36" i="1" s="1"/>
  <c r="G36" i="1"/>
  <c r="K36" i="1" s="1"/>
  <c r="E36" i="1"/>
  <c r="AT35" i="1"/>
  <c r="AS35" i="1"/>
  <c r="AU35" i="1" s="1"/>
  <c r="AP35" i="1"/>
  <c r="AO35" i="1"/>
  <c r="AN35" i="1"/>
  <c r="AM35" i="1"/>
  <c r="AL35" i="1"/>
  <c r="AK35" i="1"/>
  <c r="AF35" i="1"/>
  <c r="V35" i="1"/>
  <c r="I35" i="1"/>
  <c r="H35" i="1"/>
  <c r="AH35" i="1" s="1"/>
  <c r="G35" i="1"/>
  <c r="K35" i="1" s="1"/>
  <c r="E35" i="1"/>
  <c r="AT34" i="1"/>
  <c r="AS34" i="1"/>
  <c r="AU34" i="1" s="1"/>
  <c r="AP34" i="1"/>
  <c r="AO34" i="1"/>
  <c r="AN34" i="1"/>
  <c r="AM34" i="1"/>
  <c r="AL34" i="1"/>
  <c r="AK34" i="1"/>
  <c r="AF34" i="1"/>
  <c r="I34" i="1"/>
  <c r="H34" i="1"/>
  <c r="AH34" i="1" s="1"/>
  <c r="G34" i="1"/>
  <c r="K34" i="1" s="1"/>
  <c r="E34" i="1"/>
  <c r="AT33" i="1"/>
  <c r="AS33" i="1"/>
  <c r="AU33" i="1" s="1"/>
  <c r="AP33" i="1"/>
  <c r="AO33" i="1"/>
  <c r="AN33" i="1"/>
  <c r="AM33" i="1"/>
  <c r="AL33" i="1"/>
  <c r="AK33" i="1"/>
  <c r="AF33" i="1"/>
  <c r="I33" i="1"/>
  <c r="H33" i="1"/>
  <c r="AH33" i="1" s="1"/>
  <c r="G33" i="1"/>
  <c r="K33" i="1" s="1"/>
  <c r="E33" i="1"/>
  <c r="AT32" i="1"/>
  <c r="AS32" i="1"/>
  <c r="AU32" i="1" s="1"/>
  <c r="AP32" i="1"/>
  <c r="AO32" i="1"/>
  <c r="AN32" i="1"/>
  <c r="AM32" i="1"/>
  <c r="AL32" i="1"/>
  <c r="AK32" i="1"/>
  <c r="AF32" i="1"/>
  <c r="V32" i="1"/>
  <c r="I32" i="1"/>
  <c r="H32" i="1"/>
  <c r="G32" i="1"/>
  <c r="K32" i="1" s="1"/>
  <c r="E32" i="1"/>
  <c r="AT31" i="1"/>
  <c r="AS31" i="1"/>
  <c r="AU31" i="1" s="1"/>
  <c r="AP31" i="1"/>
  <c r="AO31" i="1"/>
  <c r="AN31" i="1"/>
  <c r="AM31" i="1"/>
  <c r="AL31" i="1"/>
  <c r="AK31" i="1"/>
  <c r="AF31" i="1"/>
  <c r="V31" i="1"/>
  <c r="I31" i="1"/>
  <c r="H31" i="1"/>
  <c r="G31" i="1"/>
  <c r="K31" i="1" s="1"/>
  <c r="E31" i="1"/>
  <c r="AU30" i="1"/>
  <c r="AT30" i="1"/>
  <c r="AS30" i="1"/>
  <c r="AQ30" i="1"/>
  <c r="AP30" i="1"/>
  <c r="AO30" i="1"/>
  <c r="AN30" i="1"/>
  <c r="AM30" i="1"/>
  <c r="AL30" i="1"/>
  <c r="AK30" i="1"/>
  <c r="AF30" i="1"/>
  <c r="AE30" i="1"/>
  <c r="AD30" i="1"/>
  <c r="AC30" i="1"/>
  <c r="AB30" i="1"/>
  <c r="Y30" i="1"/>
  <c r="U30" i="1"/>
  <c r="T30" i="1"/>
  <c r="S30" i="1"/>
  <c r="P30" i="1"/>
  <c r="O30" i="1"/>
  <c r="L30" i="1"/>
  <c r="K30" i="1"/>
  <c r="I30" i="1"/>
  <c r="H30" i="1"/>
  <c r="G30" i="1"/>
  <c r="F30" i="1"/>
  <c r="E30" i="1"/>
  <c r="D30" i="1"/>
  <c r="C30" i="1"/>
  <c r="AT29" i="1"/>
  <c r="AS29" i="1"/>
  <c r="AU29" i="1" s="1"/>
  <c r="AP29" i="1"/>
  <c r="AO29" i="1"/>
  <c r="AN29" i="1"/>
  <c r="AM29" i="1"/>
  <c r="AL29" i="1"/>
  <c r="AK29" i="1"/>
  <c r="AG29" i="1"/>
  <c r="AF29" i="1"/>
  <c r="Z29" i="1"/>
  <c r="V29" i="1"/>
  <c r="K29" i="1"/>
  <c r="I29" i="1"/>
  <c r="H29" i="1"/>
  <c r="AH29" i="1" s="1"/>
  <c r="E29" i="1"/>
  <c r="AT28" i="1"/>
  <c r="AS28" i="1"/>
  <c r="AU28" i="1" s="1"/>
  <c r="AP28" i="1"/>
  <c r="AO28" i="1"/>
  <c r="AN28" i="1"/>
  <c r="AM28" i="1"/>
  <c r="AL28" i="1"/>
  <c r="AK28" i="1"/>
  <c r="AG28" i="1"/>
  <c r="AF28" i="1"/>
  <c r="Z28" i="1"/>
  <c r="V28" i="1"/>
  <c r="I28" i="1"/>
  <c r="H28" i="1"/>
  <c r="AH28" i="1" s="1"/>
  <c r="G28" i="1"/>
  <c r="E28" i="1"/>
  <c r="AT27" i="1"/>
  <c r="AS27" i="1"/>
  <c r="AU27" i="1" s="1"/>
  <c r="AP27" i="1"/>
  <c r="AO27" i="1"/>
  <c r="AN27" i="1"/>
  <c r="AM27" i="1"/>
  <c r="AL27" i="1"/>
  <c r="AK27" i="1"/>
  <c r="AF27" i="1"/>
  <c r="Z27" i="1"/>
  <c r="V27" i="1"/>
  <c r="I27" i="1"/>
  <c r="H27" i="1"/>
  <c r="AH27" i="1" s="1"/>
  <c r="G27" i="1"/>
  <c r="E27" i="1"/>
  <c r="AT26" i="1"/>
  <c r="AS26" i="1"/>
  <c r="AU26" i="1" s="1"/>
  <c r="AP26" i="1"/>
  <c r="AO26" i="1"/>
  <c r="AN26" i="1"/>
  <c r="AM26" i="1"/>
  <c r="AL26" i="1"/>
  <c r="AK26" i="1"/>
  <c r="AF26" i="1"/>
  <c r="Z26" i="1"/>
  <c r="V26" i="1"/>
  <c r="I26" i="1"/>
  <c r="H26" i="1"/>
  <c r="AH26" i="1" s="1"/>
  <c r="G26" i="1"/>
  <c r="E26" i="1"/>
  <c r="AU25" i="1"/>
  <c r="AT25" i="1"/>
  <c r="AS25" i="1"/>
  <c r="AQ25" i="1"/>
  <c r="AP25" i="1"/>
  <c r="AO25" i="1"/>
  <c r="AN25" i="1"/>
  <c r="AM25" i="1"/>
  <c r="AL25" i="1"/>
  <c r="AK25" i="1"/>
  <c r="AH25" i="1"/>
  <c r="AF25" i="1"/>
  <c r="AE25" i="1"/>
  <c r="AD25" i="1"/>
  <c r="AC25" i="1"/>
  <c r="AB25" i="1"/>
  <c r="Z25" i="1"/>
  <c r="Y25" i="1"/>
  <c r="U25" i="1"/>
  <c r="S25" i="1"/>
  <c r="R25" i="1"/>
  <c r="P25" i="1"/>
  <c r="O25" i="1"/>
  <c r="L25" i="1"/>
  <c r="I25" i="1"/>
  <c r="H25" i="1"/>
  <c r="G25" i="1"/>
  <c r="F25" i="1"/>
  <c r="E25" i="1"/>
  <c r="D25" i="1"/>
  <c r="C25" i="1"/>
  <c r="AT24" i="1"/>
  <c r="AS24" i="1"/>
  <c r="AU24" i="1" s="1"/>
  <c r="AP24" i="1"/>
  <c r="AO24" i="1"/>
  <c r="AN24" i="1"/>
  <c r="AM24" i="1"/>
  <c r="AL24" i="1"/>
  <c r="AK24" i="1"/>
  <c r="AF24" i="1"/>
  <c r="Z24" i="1"/>
  <c r="V24" i="1"/>
  <c r="I24" i="1"/>
  <c r="H24" i="1"/>
  <c r="AH24" i="1" s="1"/>
  <c r="G24" i="1"/>
  <c r="E24" i="1"/>
  <c r="AT23" i="1"/>
  <c r="AS23" i="1"/>
  <c r="AU23" i="1" s="1"/>
  <c r="AP23" i="1"/>
  <c r="AO23" i="1"/>
  <c r="AN23" i="1"/>
  <c r="AM23" i="1"/>
  <c r="AL23" i="1"/>
  <c r="AK23" i="1"/>
  <c r="AF23" i="1"/>
  <c r="Z23" i="1"/>
  <c r="V23" i="1"/>
  <c r="I23" i="1"/>
  <c r="H23" i="1"/>
  <c r="AH23" i="1" s="1"/>
  <c r="G23" i="1"/>
  <c r="E23" i="1"/>
  <c r="AT22" i="1"/>
  <c r="AS22" i="1"/>
  <c r="AU22" i="1" s="1"/>
  <c r="AP22" i="1"/>
  <c r="AO22" i="1"/>
  <c r="AN22" i="1"/>
  <c r="AM22" i="1"/>
  <c r="AL22" i="1"/>
  <c r="AK22" i="1"/>
  <c r="AF22" i="1"/>
  <c r="Z22" i="1"/>
  <c r="V22" i="1"/>
  <c r="I22" i="1"/>
  <c r="H22" i="1"/>
  <c r="AH22" i="1" s="1"/>
  <c r="G22" i="1"/>
  <c r="E22" i="1"/>
  <c r="AT21" i="1"/>
  <c r="AS21" i="1"/>
  <c r="AU21" i="1" s="1"/>
  <c r="AP21" i="1"/>
  <c r="AO21" i="1"/>
  <c r="AN21" i="1"/>
  <c r="AM21" i="1"/>
  <c r="AL21" i="1"/>
  <c r="AK21" i="1"/>
  <c r="AF21" i="1"/>
  <c r="Z21" i="1"/>
  <c r="V21" i="1"/>
  <c r="I21" i="1"/>
  <c r="H21" i="1"/>
  <c r="AH21" i="1" s="1"/>
  <c r="G21" i="1"/>
  <c r="E21" i="1"/>
  <c r="AT20" i="1"/>
  <c r="AS20" i="1"/>
  <c r="AU20" i="1" s="1"/>
  <c r="AP20" i="1"/>
  <c r="AO20" i="1"/>
  <c r="AN20" i="1"/>
  <c r="AM20" i="1"/>
  <c r="AL20" i="1"/>
  <c r="AK20" i="1"/>
  <c r="AF20" i="1"/>
  <c r="Z20" i="1"/>
  <c r="I20" i="1"/>
  <c r="H20" i="1"/>
  <c r="AH20" i="1" s="1"/>
  <c r="E20" i="1"/>
  <c r="AT19" i="1"/>
  <c r="AS19" i="1"/>
  <c r="AP19" i="1"/>
  <c r="AO19" i="1"/>
  <c r="AN19" i="1"/>
  <c r="AM19" i="1"/>
  <c r="AL19" i="1"/>
  <c r="AK19" i="1"/>
  <c r="AF19" i="1"/>
  <c r="Z19" i="1"/>
  <c r="I19" i="1"/>
  <c r="H19" i="1"/>
  <c r="AH19" i="1" s="1"/>
  <c r="AT18" i="1"/>
  <c r="AS18" i="1"/>
  <c r="AU18" i="1" s="1"/>
  <c r="AP18" i="1"/>
  <c r="AO18" i="1"/>
  <c r="AN18" i="1"/>
  <c r="AM18" i="1"/>
  <c r="AL18" i="1"/>
  <c r="AK18" i="1"/>
  <c r="AF18" i="1"/>
  <c r="Z18" i="1"/>
  <c r="V18" i="1"/>
  <c r="I18" i="1"/>
  <c r="H18" i="1"/>
  <c r="AH18" i="1" s="1"/>
  <c r="G18" i="1"/>
  <c r="E18" i="1"/>
  <c r="AT17" i="1"/>
  <c r="AS17" i="1"/>
  <c r="AU17" i="1" s="1"/>
  <c r="AP17" i="1"/>
  <c r="AO17" i="1"/>
  <c r="AN17" i="1"/>
  <c r="AM17" i="1"/>
  <c r="AL17" i="1"/>
  <c r="AK17" i="1"/>
  <c r="AF17" i="1"/>
  <c r="V17" i="1"/>
  <c r="I17" i="1"/>
  <c r="H17" i="1"/>
  <c r="F17" i="1"/>
  <c r="E17" i="1"/>
  <c r="AT16" i="1"/>
  <c r="AS16" i="1"/>
  <c r="AU16" i="1" s="1"/>
  <c r="AP16" i="1"/>
  <c r="AO16" i="1"/>
  <c r="AN16" i="1"/>
  <c r="AM16" i="1"/>
  <c r="AL16" i="1"/>
  <c r="AK16" i="1"/>
  <c r="AF16" i="1"/>
  <c r="V16" i="1"/>
  <c r="I16" i="1"/>
  <c r="H16" i="1"/>
  <c r="G16" i="1"/>
  <c r="F16" i="1"/>
  <c r="Z16" i="1" s="1"/>
  <c r="E16" i="1"/>
  <c r="AS15" i="1"/>
  <c r="AQ15" i="1"/>
  <c r="AP15" i="1"/>
  <c r="AO15" i="1"/>
  <c r="AL15" i="1"/>
  <c r="AK15" i="1"/>
  <c r="AF15" i="1"/>
  <c r="AE15" i="1"/>
  <c r="AD15" i="1"/>
  <c r="AC15" i="1"/>
  <c r="AB15" i="1"/>
  <c r="Y15" i="1"/>
  <c r="U15" i="1"/>
  <c r="R15" i="1"/>
  <c r="P15" i="1"/>
  <c r="O15" i="1"/>
  <c r="L15" i="1"/>
  <c r="I15" i="1"/>
  <c r="G15" i="1"/>
  <c r="F15" i="1"/>
  <c r="D15" i="1"/>
  <c r="C15" i="1"/>
  <c r="H15" i="2" l="1"/>
  <c r="I15" i="2" s="1"/>
  <c r="H25" i="2"/>
  <c r="I25" i="2" s="1"/>
  <c r="H30" i="2"/>
  <c r="I30" i="2" s="1"/>
  <c r="H53" i="2"/>
  <c r="I53" i="2" s="1"/>
  <c r="D109" i="2"/>
  <c r="E109" i="2"/>
  <c r="E119" i="2" s="1"/>
  <c r="F109" i="2"/>
  <c r="H85" i="2"/>
  <c r="I85" i="2" s="1"/>
  <c r="G109" i="2"/>
  <c r="G119" i="2" s="1"/>
  <c r="H118" i="2"/>
  <c r="I111" i="2"/>
  <c r="I118" i="2" s="1"/>
  <c r="AM15" i="1"/>
  <c r="AN15" i="1"/>
  <c r="AT15" i="1"/>
  <c r="V25" i="1"/>
  <c r="E15" i="1"/>
  <c r="S15" i="1"/>
  <c r="S109" i="1" s="1"/>
  <c r="T25" i="1"/>
  <c r="V30" i="1"/>
  <c r="T109" i="1"/>
  <c r="R30" i="1"/>
  <c r="R109" i="1" s="1"/>
  <c r="R113" i="1" s="1"/>
  <c r="K19" i="1"/>
  <c r="J19" i="1" s="1"/>
  <c r="AU19" i="1"/>
  <c r="AU15" i="1" s="1"/>
  <c r="V19" i="1"/>
  <c r="V15" i="1" s="1"/>
  <c r="V109" i="1" s="1"/>
  <c r="G126" i="1" s="1"/>
  <c r="M126" i="1" s="1"/>
  <c r="H15" i="1"/>
  <c r="K16" i="1"/>
  <c r="Z17" i="1"/>
  <c r="K17" i="1"/>
  <c r="K18" i="1"/>
  <c r="K20" i="1"/>
  <c r="K21" i="1"/>
  <c r="K22" i="1"/>
  <c r="K23" i="1"/>
  <c r="K24" i="1"/>
  <c r="K26" i="1"/>
  <c r="K27" i="1"/>
  <c r="K28" i="1"/>
  <c r="AJ29" i="1"/>
  <c r="AI29" i="1"/>
  <c r="J29" i="1"/>
  <c r="AR29" i="1"/>
  <c r="AJ31" i="1"/>
  <c r="AI31" i="1"/>
  <c r="Z31" i="1"/>
  <c r="X31" i="1"/>
  <c r="J31" i="1"/>
  <c r="AH31" i="1"/>
  <c r="N31" i="1"/>
  <c r="AJ32" i="1"/>
  <c r="AI32" i="1"/>
  <c r="Z32" i="1"/>
  <c r="X32" i="1"/>
  <c r="AA32" i="1" s="1"/>
  <c r="AG32" i="1" s="1"/>
  <c r="J32" i="1"/>
  <c r="AH32" i="1"/>
  <c r="AR32" i="1" s="1"/>
  <c r="N32" i="1"/>
  <c r="AJ33" i="1"/>
  <c r="AI33" i="1"/>
  <c r="Z33" i="1"/>
  <c r="X33" i="1"/>
  <c r="AA33" i="1" s="1"/>
  <c r="AG33" i="1" s="1"/>
  <c r="J33" i="1"/>
  <c r="AR33" i="1"/>
  <c r="AJ34" i="1"/>
  <c r="AI34" i="1"/>
  <c r="Z34" i="1"/>
  <c r="X34" i="1"/>
  <c r="AA34" i="1" s="1"/>
  <c r="AG34" i="1" s="1"/>
  <c r="J34" i="1"/>
  <c r="AR34" i="1"/>
  <c r="AJ35" i="1"/>
  <c r="AI35" i="1"/>
  <c r="Z35" i="1"/>
  <c r="X35" i="1"/>
  <c r="AA35" i="1" s="1"/>
  <c r="AG35" i="1" s="1"/>
  <c r="J35" i="1"/>
  <c r="AR35" i="1"/>
  <c r="AJ36" i="1"/>
  <c r="AI36" i="1"/>
  <c r="Z36" i="1"/>
  <c r="X36" i="1"/>
  <c r="AA36" i="1" s="1"/>
  <c r="AG36" i="1" s="1"/>
  <c r="J36" i="1"/>
  <c r="AR36" i="1"/>
  <c r="AJ37" i="1"/>
  <c r="AI37" i="1"/>
  <c r="Z37" i="1"/>
  <c r="X37" i="1"/>
  <c r="AA37" i="1" s="1"/>
  <c r="AG37" i="1" s="1"/>
  <c r="J37" i="1"/>
  <c r="AR37" i="1"/>
  <c r="AJ38" i="1"/>
  <c r="AI38" i="1"/>
  <c r="Z38" i="1"/>
  <c r="X38" i="1"/>
  <c r="AA38" i="1" s="1"/>
  <c r="AG38" i="1" s="1"/>
  <c r="J38" i="1"/>
  <c r="AR38" i="1"/>
  <c r="AJ39" i="1"/>
  <c r="AI39" i="1"/>
  <c r="Z39" i="1"/>
  <c r="X39" i="1"/>
  <c r="AA39" i="1" s="1"/>
  <c r="AG39" i="1" s="1"/>
  <c r="J39" i="1"/>
  <c r="AR39" i="1"/>
  <c r="AJ40" i="1"/>
  <c r="AI40" i="1"/>
  <c r="Z40" i="1"/>
  <c r="X40" i="1"/>
  <c r="AA40" i="1" s="1"/>
  <c r="AG40" i="1" s="1"/>
  <c r="J40" i="1"/>
  <c r="AR40" i="1"/>
  <c r="AJ41" i="1"/>
  <c r="AI41" i="1"/>
  <c r="Z41" i="1"/>
  <c r="X41" i="1"/>
  <c r="AA41" i="1" s="1"/>
  <c r="AG41" i="1" s="1"/>
  <c r="J41" i="1"/>
  <c r="AR41" i="1"/>
  <c r="AJ42" i="1"/>
  <c r="AI42" i="1"/>
  <c r="Z42" i="1"/>
  <c r="X42" i="1"/>
  <c r="AA42" i="1" s="1"/>
  <c r="AG42" i="1" s="1"/>
  <c r="J42" i="1"/>
  <c r="AR42" i="1"/>
  <c r="AJ43" i="1"/>
  <c r="AI43" i="1"/>
  <c r="Z43" i="1"/>
  <c r="X43" i="1"/>
  <c r="AA43" i="1" s="1"/>
  <c r="AG43" i="1" s="1"/>
  <c r="J43" i="1"/>
  <c r="AR43" i="1"/>
  <c r="AJ44" i="1"/>
  <c r="AI44" i="1"/>
  <c r="Z44" i="1"/>
  <c r="X44" i="1"/>
  <c r="AA44" i="1" s="1"/>
  <c r="AG44" i="1" s="1"/>
  <c r="J44" i="1"/>
  <c r="AR44" i="1"/>
  <c r="AJ45" i="1"/>
  <c r="AI45" i="1"/>
  <c r="Z45" i="1"/>
  <c r="X45" i="1"/>
  <c r="AA45" i="1" s="1"/>
  <c r="AG45" i="1" s="1"/>
  <c r="J45" i="1"/>
  <c r="AR45" i="1"/>
  <c r="AJ46" i="1"/>
  <c r="AI46" i="1"/>
  <c r="Z46" i="1"/>
  <c r="X46" i="1"/>
  <c r="AA46" i="1" s="1"/>
  <c r="AG46" i="1" s="1"/>
  <c r="J46" i="1"/>
  <c r="AR46" i="1"/>
  <c r="AJ47" i="1"/>
  <c r="AI47" i="1"/>
  <c r="Z47" i="1"/>
  <c r="X47" i="1"/>
  <c r="AA47" i="1" s="1"/>
  <c r="AG47" i="1" s="1"/>
  <c r="J47" i="1"/>
  <c r="AR47" i="1"/>
  <c r="AJ48" i="1"/>
  <c r="AI48" i="1"/>
  <c r="Z48" i="1"/>
  <c r="X48" i="1"/>
  <c r="AA48" i="1" s="1"/>
  <c r="AG48" i="1" s="1"/>
  <c r="J48" i="1"/>
  <c r="AR48" i="1"/>
  <c r="AJ49" i="1"/>
  <c r="AI49" i="1"/>
  <c r="Z49" i="1"/>
  <c r="X49" i="1"/>
  <c r="AA49" i="1" s="1"/>
  <c r="AG49" i="1" s="1"/>
  <c r="J49" i="1"/>
  <c r="AR49" i="1"/>
  <c r="AJ50" i="1"/>
  <c r="AI50" i="1"/>
  <c r="Z50" i="1"/>
  <c r="X50" i="1"/>
  <c r="AA50" i="1" s="1"/>
  <c r="AG50" i="1" s="1"/>
  <c r="J50" i="1"/>
  <c r="AR50" i="1"/>
  <c r="AJ51" i="1"/>
  <c r="AI51" i="1"/>
  <c r="Z51" i="1"/>
  <c r="X51" i="1"/>
  <c r="AA51" i="1" s="1"/>
  <c r="AG51" i="1" s="1"/>
  <c r="J51" i="1"/>
  <c r="AR51" i="1"/>
  <c r="AJ52" i="1"/>
  <c r="AI52" i="1"/>
  <c r="Z52" i="1"/>
  <c r="X52" i="1"/>
  <c r="AA52" i="1" s="1"/>
  <c r="AG52" i="1" s="1"/>
  <c r="J52" i="1"/>
  <c r="AR52" i="1"/>
  <c r="AJ54" i="1"/>
  <c r="AI54" i="1"/>
  <c r="X54" i="1"/>
  <c r="J54" i="1"/>
  <c r="AR54" i="1"/>
  <c r="AJ55" i="1"/>
  <c r="AI55" i="1"/>
  <c r="X55" i="1"/>
  <c r="AA55" i="1" s="1"/>
  <c r="AG55" i="1" s="1"/>
  <c r="J55" i="1"/>
  <c r="AR55" i="1"/>
  <c r="AJ56" i="1"/>
  <c r="AI56" i="1"/>
  <c r="X56" i="1"/>
  <c r="AA56" i="1" s="1"/>
  <c r="AG56" i="1" s="1"/>
  <c r="J56" i="1"/>
  <c r="AR56" i="1"/>
  <c r="AJ57" i="1"/>
  <c r="AI57" i="1"/>
  <c r="X57" i="1"/>
  <c r="AA57" i="1" s="1"/>
  <c r="AG57" i="1" s="1"/>
  <c r="J57" i="1"/>
  <c r="AR57" i="1"/>
  <c r="AJ58" i="1"/>
  <c r="AI58" i="1"/>
  <c r="X58" i="1"/>
  <c r="AA58" i="1" s="1"/>
  <c r="AG58" i="1" s="1"/>
  <c r="J58" i="1"/>
  <c r="AR58" i="1"/>
  <c r="AJ59" i="1"/>
  <c r="AI59" i="1"/>
  <c r="X59" i="1"/>
  <c r="AA59" i="1" s="1"/>
  <c r="AG59" i="1" s="1"/>
  <c r="J59" i="1"/>
  <c r="AR59" i="1"/>
  <c r="AJ60" i="1"/>
  <c r="AI60" i="1"/>
  <c r="X60" i="1"/>
  <c r="AA60" i="1" s="1"/>
  <c r="AG60" i="1" s="1"/>
  <c r="J60" i="1"/>
  <c r="AR60" i="1"/>
  <c r="AJ61" i="1"/>
  <c r="AI61" i="1"/>
  <c r="X61" i="1"/>
  <c r="AA61" i="1" s="1"/>
  <c r="AG61" i="1" s="1"/>
  <c r="J61" i="1"/>
  <c r="AR61" i="1"/>
  <c r="AJ62" i="1"/>
  <c r="AI62" i="1"/>
  <c r="X62" i="1"/>
  <c r="AA62" i="1" s="1"/>
  <c r="AG62" i="1" s="1"/>
  <c r="J62" i="1"/>
  <c r="AR62" i="1"/>
  <c r="AJ63" i="1"/>
  <c r="AI63" i="1"/>
  <c r="X63" i="1"/>
  <c r="AA63" i="1" s="1"/>
  <c r="AG63" i="1" s="1"/>
  <c r="J63" i="1"/>
  <c r="AR63" i="1"/>
  <c r="AJ64" i="1"/>
  <c r="AI64" i="1"/>
  <c r="X64" i="1"/>
  <c r="AA64" i="1" s="1"/>
  <c r="AG64" i="1" s="1"/>
  <c r="J64" i="1"/>
  <c r="AR64" i="1"/>
  <c r="AJ65" i="1"/>
  <c r="AI65" i="1"/>
  <c r="X65" i="1"/>
  <c r="AA65" i="1" s="1"/>
  <c r="AG65" i="1" s="1"/>
  <c r="J65" i="1"/>
  <c r="AR65" i="1"/>
  <c r="AJ66" i="1"/>
  <c r="AI66" i="1"/>
  <c r="X66" i="1"/>
  <c r="AA66" i="1" s="1"/>
  <c r="AG66" i="1" s="1"/>
  <c r="J66" i="1"/>
  <c r="AR66" i="1"/>
  <c r="AJ67" i="1"/>
  <c r="AI67" i="1"/>
  <c r="X67" i="1"/>
  <c r="AA67" i="1" s="1"/>
  <c r="AG67" i="1" s="1"/>
  <c r="J67" i="1"/>
  <c r="AR67" i="1"/>
  <c r="AJ68" i="1"/>
  <c r="AI68" i="1"/>
  <c r="X68" i="1"/>
  <c r="AA68" i="1" s="1"/>
  <c r="AG68" i="1" s="1"/>
  <c r="J68" i="1"/>
  <c r="AR68" i="1"/>
  <c r="AJ69" i="1"/>
  <c r="AI69" i="1"/>
  <c r="X69" i="1"/>
  <c r="AA69" i="1" s="1"/>
  <c r="AG69" i="1" s="1"/>
  <c r="J69" i="1"/>
  <c r="AR69" i="1"/>
  <c r="AJ70" i="1"/>
  <c r="AI70" i="1"/>
  <c r="X70" i="1"/>
  <c r="AA70" i="1" s="1"/>
  <c r="AG70" i="1" s="1"/>
  <c r="J70" i="1"/>
  <c r="AR70" i="1"/>
  <c r="AJ71" i="1"/>
  <c r="AI71" i="1"/>
  <c r="X71" i="1"/>
  <c r="AA71" i="1" s="1"/>
  <c r="AG71" i="1" s="1"/>
  <c r="J71" i="1"/>
  <c r="AR71" i="1"/>
  <c r="AJ72" i="1"/>
  <c r="AI72" i="1"/>
  <c r="X72" i="1"/>
  <c r="AA72" i="1" s="1"/>
  <c r="AG72" i="1" s="1"/>
  <c r="J72" i="1"/>
  <c r="AR72" i="1"/>
  <c r="AJ73" i="1"/>
  <c r="AI73" i="1"/>
  <c r="X73" i="1"/>
  <c r="AA73" i="1" s="1"/>
  <c r="AG73" i="1" s="1"/>
  <c r="J73" i="1"/>
  <c r="AR73" i="1"/>
  <c r="AJ74" i="1"/>
  <c r="AI74" i="1"/>
  <c r="X74" i="1"/>
  <c r="AA74" i="1" s="1"/>
  <c r="AG74" i="1" s="1"/>
  <c r="J74" i="1"/>
  <c r="AR74" i="1"/>
  <c r="AJ75" i="1"/>
  <c r="AI75" i="1"/>
  <c r="X75" i="1"/>
  <c r="AA75" i="1" s="1"/>
  <c r="AG75" i="1" s="1"/>
  <c r="J75" i="1"/>
  <c r="AR75" i="1"/>
  <c r="AJ76" i="1"/>
  <c r="AI76" i="1"/>
  <c r="X76" i="1"/>
  <c r="AA76" i="1" s="1"/>
  <c r="AG76" i="1" s="1"/>
  <c r="J76" i="1"/>
  <c r="AR76" i="1"/>
  <c r="AJ77" i="1"/>
  <c r="AI77" i="1"/>
  <c r="X77" i="1"/>
  <c r="AA77" i="1" s="1"/>
  <c r="AG77" i="1" s="1"/>
  <c r="J77" i="1"/>
  <c r="AR77" i="1"/>
  <c r="AJ78" i="1"/>
  <c r="AI78" i="1"/>
  <c r="X78" i="1"/>
  <c r="AA78" i="1" s="1"/>
  <c r="AG78" i="1" s="1"/>
  <c r="J78" i="1"/>
  <c r="AR78" i="1"/>
  <c r="AJ79" i="1"/>
  <c r="AI79" i="1"/>
  <c r="X79" i="1"/>
  <c r="AA79" i="1" s="1"/>
  <c r="AG79" i="1" s="1"/>
  <c r="J79" i="1"/>
  <c r="AR79" i="1"/>
  <c r="AJ80" i="1"/>
  <c r="AI80" i="1"/>
  <c r="X80" i="1"/>
  <c r="AA80" i="1" s="1"/>
  <c r="AG80" i="1" s="1"/>
  <c r="J80" i="1"/>
  <c r="AR80" i="1"/>
  <c r="AJ81" i="1"/>
  <c r="AI81" i="1"/>
  <c r="X81" i="1"/>
  <c r="AA81" i="1" s="1"/>
  <c r="AG81" i="1" s="1"/>
  <c r="J81" i="1"/>
  <c r="AR81" i="1"/>
  <c r="AJ82" i="1"/>
  <c r="AI82" i="1"/>
  <c r="X82" i="1"/>
  <c r="AA82" i="1" s="1"/>
  <c r="AG82" i="1" s="1"/>
  <c r="J82" i="1"/>
  <c r="AR82" i="1"/>
  <c r="AJ83" i="1"/>
  <c r="AI83" i="1"/>
  <c r="X83" i="1"/>
  <c r="AA83" i="1" s="1"/>
  <c r="AG83" i="1" s="1"/>
  <c r="J83" i="1"/>
  <c r="AR83" i="1"/>
  <c r="AJ84" i="1"/>
  <c r="AI84" i="1"/>
  <c r="X84" i="1"/>
  <c r="AA84" i="1" s="1"/>
  <c r="AG84" i="1" s="1"/>
  <c r="J84" i="1"/>
  <c r="AR84" i="1"/>
  <c r="C109" i="1"/>
  <c r="C113" i="1" s="1"/>
  <c r="D109" i="1"/>
  <c r="D113" i="1" s="1"/>
  <c r="E109" i="1"/>
  <c r="E113" i="1" s="1"/>
  <c r="F109" i="1"/>
  <c r="F113" i="1" s="1"/>
  <c r="G109" i="1"/>
  <c r="G113" i="1" s="1"/>
  <c r="H109" i="1"/>
  <c r="H113" i="1" s="1"/>
  <c r="I109" i="1"/>
  <c r="I113" i="1" s="1"/>
  <c r="L109" i="1"/>
  <c r="L113" i="1" s="1"/>
  <c r="O109" i="1"/>
  <c r="O113" i="1" s="1"/>
  <c r="P109" i="1"/>
  <c r="P113" i="1" s="1"/>
  <c r="S113" i="1"/>
  <c r="T113" i="1"/>
  <c r="U109" i="1"/>
  <c r="U113" i="1" s="1"/>
  <c r="Y109" i="1"/>
  <c r="Y113" i="1" s="1"/>
  <c r="AB109" i="1"/>
  <c r="AB113" i="1" s="1"/>
  <c r="AC109" i="1"/>
  <c r="AC113" i="1" s="1"/>
  <c r="AD109" i="1"/>
  <c r="AD113" i="1" s="1"/>
  <c r="AE109" i="1"/>
  <c r="AE113" i="1" s="1"/>
  <c r="AF109" i="1"/>
  <c r="G132" i="1" s="1"/>
  <c r="M132" i="1" s="1"/>
  <c r="AK109" i="1"/>
  <c r="AK113" i="1" s="1"/>
  <c r="AL109" i="1"/>
  <c r="AL113" i="1" s="1"/>
  <c r="AM109" i="1"/>
  <c r="AM113" i="1" s="1"/>
  <c r="AN109" i="1"/>
  <c r="AN113" i="1" s="1"/>
  <c r="AO109" i="1"/>
  <c r="AO113" i="1" s="1"/>
  <c r="AP109" i="1"/>
  <c r="AP113" i="1" s="1"/>
  <c r="AQ109" i="1"/>
  <c r="AQ113" i="1" s="1"/>
  <c r="AS109" i="1"/>
  <c r="AT109" i="1"/>
  <c r="AU109" i="1"/>
  <c r="AJ86" i="1"/>
  <c r="X86" i="1"/>
  <c r="K86" i="1"/>
  <c r="AJ87" i="1"/>
  <c r="X87" i="1"/>
  <c r="AA87" i="1" s="1"/>
  <c r="AG87" i="1" s="1"/>
  <c r="K87" i="1"/>
  <c r="AJ88" i="1"/>
  <c r="X88" i="1"/>
  <c r="AA88" i="1" s="1"/>
  <c r="AG88" i="1" s="1"/>
  <c r="K88" i="1"/>
  <c r="AJ89" i="1"/>
  <c r="X89" i="1"/>
  <c r="AA89" i="1" s="1"/>
  <c r="AG89" i="1" s="1"/>
  <c r="K89" i="1"/>
  <c r="AJ90" i="1"/>
  <c r="X90" i="1"/>
  <c r="AA90" i="1" s="1"/>
  <c r="AG90" i="1" s="1"/>
  <c r="K90" i="1"/>
  <c r="AJ91" i="1"/>
  <c r="X91" i="1"/>
  <c r="AA91" i="1" s="1"/>
  <c r="AG91" i="1" s="1"/>
  <c r="K91" i="1"/>
  <c r="AJ92" i="1"/>
  <c r="X92" i="1"/>
  <c r="AA92" i="1" s="1"/>
  <c r="AG92" i="1" s="1"/>
  <c r="K92" i="1"/>
  <c r="AJ93" i="1"/>
  <c r="X93" i="1"/>
  <c r="AA93" i="1" s="1"/>
  <c r="AG93" i="1" s="1"/>
  <c r="K93" i="1"/>
  <c r="AJ94" i="1"/>
  <c r="X94" i="1"/>
  <c r="AA94" i="1" s="1"/>
  <c r="AG94" i="1" s="1"/>
  <c r="K94" i="1"/>
  <c r="AJ95" i="1"/>
  <c r="X95" i="1"/>
  <c r="AA95" i="1" s="1"/>
  <c r="AG95" i="1" s="1"/>
  <c r="K95" i="1"/>
  <c r="AJ96" i="1"/>
  <c r="X96" i="1"/>
  <c r="AA96" i="1" s="1"/>
  <c r="AG96" i="1" s="1"/>
  <c r="K96" i="1"/>
  <c r="AJ97" i="1"/>
  <c r="X97" i="1"/>
  <c r="AA97" i="1" s="1"/>
  <c r="AG97" i="1" s="1"/>
  <c r="K97" i="1"/>
  <c r="AJ98" i="1"/>
  <c r="X98" i="1"/>
  <c r="AA98" i="1" s="1"/>
  <c r="AG98" i="1" s="1"/>
  <c r="K98" i="1"/>
  <c r="AJ99" i="1"/>
  <c r="X99" i="1"/>
  <c r="AA99" i="1" s="1"/>
  <c r="AG99" i="1" s="1"/>
  <c r="K99" i="1"/>
  <c r="AJ100" i="1"/>
  <c r="X100" i="1"/>
  <c r="AA100" i="1" s="1"/>
  <c r="AG100" i="1" s="1"/>
  <c r="K100" i="1"/>
  <c r="AJ101" i="1"/>
  <c r="X101" i="1"/>
  <c r="AA101" i="1" s="1"/>
  <c r="AG101" i="1" s="1"/>
  <c r="K101" i="1"/>
  <c r="AJ102" i="1"/>
  <c r="X102" i="1"/>
  <c r="AA102" i="1" s="1"/>
  <c r="AG102" i="1" s="1"/>
  <c r="K102" i="1"/>
  <c r="AJ103" i="1"/>
  <c r="X103" i="1"/>
  <c r="AA103" i="1" s="1"/>
  <c r="AG103" i="1" s="1"/>
  <c r="K103" i="1"/>
  <c r="AJ104" i="1"/>
  <c r="X104" i="1"/>
  <c r="AA104" i="1" s="1"/>
  <c r="AG104" i="1" s="1"/>
  <c r="K104" i="1"/>
  <c r="AJ105" i="1"/>
  <c r="X105" i="1"/>
  <c r="AA105" i="1" s="1"/>
  <c r="AG105" i="1" s="1"/>
  <c r="K105" i="1"/>
  <c r="AJ106" i="1"/>
  <c r="X106" i="1"/>
  <c r="AA106" i="1" s="1"/>
  <c r="AG106" i="1" s="1"/>
  <c r="K106" i="1"/>
  <c r="AJ107" i="1"/>
  <c r="X107" i="1"/>
  <c r="AA107" i="1" s="1"/>
  <c r="AG107" i="1" s="1"/>
  <c r="K107" i="1"/>
  <c r="AJ108" i="1"/>
  <c r="X108" i="1"/>
  <c r="AA108" i="1" s="1"/>
  <c r="AG108" i="1" s="1"/>
  <c r="K108" i="1"/>
  <c r="Q112" i="1"/>
  <c r="J124" i="1" s="1"/>
  <c r="J122" i="1" s="1"/>
  <c r="W111" i="1"/>
  <c r="W112" i="1" s="1"/>
  <c r="AA112" i="1"/>
  <c r="J130" i="1" s="1"/>
  <c r="J128" i="1" s="1"/>
  <c r="AG111" i="1"/>
  <c r="AG112" i="1" s="1"/>
  <c r="F119" i="2" l="1"/>
  <c r="H109" i="2"/>
  <c r="H119" i="2" s="1"/>
  <c r="D119" i="2"/>
  <c r="I109" i="2"/>
  <c r="I119" i="2" s="1"/>
  <c r="AV112" i="1"/>
  <c r="J120" i="1"/>
  <c r="AI108" i="1"/>
  <c r="AR108" i="1" s="1"/>
  <c r="J108" i="1"/>
  <c r="AI107" i="1"/>
  <c r="AR107" i="1" s="1"/>
  <c r="J107" i="1"/>
  <c r="AI106" i="1"/>
  <c r="AR106" i="1" s="1"/>
  <c r="J106" i="1"/>
  <c r="AI105" i="1"/>
  <c r="AR105" i="1" s="1"/>
  <c r="J105" i="1"/>
  <c r="AI104" i="1"/>
  <c r="AR104" i="1" s="1"/>
  <c r="J104" i="1"/>
  <c r="AI103" i="1"/>
  <c r="AR103" i="1" s="1"/>
  <c r="J103" i="1"/>
  <c r="AI102" i="1"/>
  <c r="AR102" i="1" s="1"/>
  <c r="J102" i="1"/>
  <c r="AI101" i="1"/>
  <c r="AR101" i="1" s="1"/>
  <c r="J101" i="1"/>
  <c r="AI100" i="1"/>
  <c r="AR100" i="1" s="1"/>
  <c r="J100" i="1"/>
  <c r="AI99" i="1"/>
  <c r="AR99" i="1" s="1"/>
  <c r="J99" i="1"/>
  <c r="AI98" i="1"/>
  <c r="AR98" i="1" s="1"/>
  <c r="J98" i="1"/>
  <c r="AI97" i="1"/>
  <c r="AR97" i="1" s="1"/>
  <c r="J97" i="1"/>
  <c r="AI96" i="1"/>
  <c r="AR96" i="1" s="1"/>
  <c r="J96" i="1"/>
  <c r="AI95" i="1"/>
  <c r="AR95" i="1" s="1"/>
  <c r="J95" i="1"/>
  <c r="AI94" i="1"/>
  <c r="AR94" i="1" s="1"/>
  <c r="J94" i="1"/>
  <c r="AI93" i="1"/>
  <c r="AR93" i="1" s="1"/>
  <c r="J93" i="1"/>
  <c r="AI92" i="1"/>
  <c r="AR92" i="1" s="1"/>
  <c r="J92" i="1"/>
  <c r="AI91" i="1"/>
  <c r="AR91" i="1" s="1"/>
  <c r="J91" i="1"/>
  <c r="AI90" i="1"/>
  <c r="AR90" i="1" s="1"/>
  <c r="J90" i="1"/>
  <c r="AI89" i="1"/>
  <c r="AR89" i="1" s="1"/>
  <c r="J89" i="1"/>
  <c r="AI88" i="1"/>
  <c r="AR88" i="1" s="1"/>
  <c r="J88" i="1"/>
  <c r="AI87" i="1"/>
  <c r="AR87" i="1" s="1"/>
  <c r="J87" i="1"/>
  <c r="K85" i="1"/>
  <c r="AI86" i="1"/>
  <c r="J86" i="1"/>
  <c r="AA86" i="1"/>
  <c r="X85" i="1"/>
  <c r="AJ85" i="1"/>
  <c r="G142" i="1"/>
  <c r="M142" i="1" s="1"/>
  <c r="AT113" i="1"/>
  <c r="G140" i="1"/>
  <c r="AS113" i="1"/>
  <c r="AU113" i="1" s="1"/>
  <c r="AF113" i="1"/>
  <c r="V113" i="1"/>
  <c r="N84" i="1"/>
  <c r="M84" i="1"/>
  <c r="Q84" i="1" s="1"/>
  <c r="W84" i="1" s="1"/>
  <c r="AV84" i="1" s="1"/>
  <c r="N83" i="1"/>
  <c r="M83" i="1"/>
  <c r="Q83" i="1" s="1"/>
  <c r="W83" i="1" s="1"/>
  <c r="AV83" i="1" s="1"/>
  <c r="N82" i="1"/>
  <c r="M82" i="1"/>
  <c r="Q82" i="1" s="1"/>
  <c r="W82" i="1" s="1"/>
  <c r="AV82" i="1" s="1"/>
  <c r="N81" i="1"/>
  <c r="M81" i="1"/>
  <c r="Q81" i="1" s="1"/>
  <c r="W81" i="1" s="1"/>
  <c r="AV81" i="1" s="1"/>
  <c r="N80" i="1"/>
  <c r="M80" i="1"/>
  <c r="Q80" i="1" s="1"/>
  <c r="W80" i="1" s="1"/>
  <c r="AV80" i="1" s="1"/>
  <c r="N79" i="1"/>
  <c r="M79" i="1"/>
  <c r="Q79" i="1" s="1"/>
  <c r="W79" i="1" s="1"/>
  <c r="AV79" i="1" s="1"/>
  <c r="N78" i="1"/>
  <c r="M78" i="1"/>
  <c r="Q78" i="1" s="1"/>
  <c r="W78" i="1" s="1"/>
  <c r="AV78" i="1" s="1"/>
  <c r="N77" i="1"/>
  <c r="M77" i="1"/>
  <c r="Q77" i="1" s="1"/>
  <c r="W77" i="1" s="1"/>
  <c r="AV77" i="1" s="1"/>
  <c r="N76" i="1"/>
  <c r="M76" i="1"/>
  <c r="Q76" i="1" s="1"/>
  <c r="W76" i="1" s="1"/>
  <c r="AV76" i="1" s="1"/>
  <c r="N75" i="1"/>
  <c r="M75" i="1"/>
  <c r="Q75" i="1" s="1"/>
  <c r="W75" i="1" s="1"/>
  <c r="AV75" i="1" s="1"/>
  <c r="N74" i="1"/>
  <c r="M74" i="1"/>
  <c r="Q74" i="1" s="1"/>
  <c r="W74" i="1" s="1"/>
  <c r="AV74" i="1" s="1"/>
  <c r="N73" i="1"/>
  <c r="M73" i="1"/>
  <c r="Q73" i="1" s="1"/>
  <c r="W73" i="1" s="1"/>
  <c r="AV73" i="1" s="1"/>
  <c r="N72" i="1"/>
  <c r="M72" i="1"/>
  <c r="Q72" i="1" s="1"/>
  <c r="W72" i="1" s="1"/>
  <c r="AV72" i="1" s="1"/>
  <c r="N71" i="1"/>
  <c r="M71" i="1"/>
  <c r="Q71" i="1" s="1"/>
  <c r="W71" i="1" s="1"/>
  <c r="AV71" i="1" s="1"/>
  <c r="N70" i="1"/>
  <c r="M70" i="1"/>
  <c r="Q70" i="1" s="1"/>
  <c r="W70" i="1" s="1"/>
  <c r="AV70" i="1" s="1"/>
  <c r="N69" i="1"/>
  <c r="M69" i="1"/>
  <c r="Q69" i="1" s="1"/>
  <c r="W69" i="1" s="1"/>
  <c r="AV69" i="1" s="1"/>
  <c r="N68" i="1"/>
  <c r="M68" i="1"/>
  <c r="Q68" i="1" s="1"/>
  <c r="W68" i="1" s="1"/>
  <c r="AV68" i="1" s="1"/>
  <c r="N67" i="1"/>
  <c r="M67" i="1"/>
  <c r="Q67" i="1" s="1"/>
  <c r="W67" i="1" s="1"/>
  <c r="AV67" i="1" s="1"/>
  <c r="N66" i="1"/>
  <c r="M66" i="1"/>
  <c r="Q66" i="1" s="1"/>
  <c r="W66" i="1" s="1"/>
  <c r="AV66" i="1" s="1"/>
  <c r="N65" i="1"/>
  <c r="M65" i="1"/>
  <c r="Q65" i="1" s="1"/>
  <c r="W65" i="1" s="1"/>
  <c r="AV65" i="1" s="1"/>
  <c r="N64" i="1"/>
  <c r="M64" i="1"/>
  <c r="Q64" i="1" s="1"/>
  <c r="W64" i="1" s="1"/>
  <c r="AV64" i="1" s="1"/>
  <c r="N63" i="1"/>
  <c r="M63" i="1"/>
  <c r="Q63" i="1" s="1"/>
  <c r="W63" i="1" s="1"/>
  <c r="AV63" i="1" s="1"/>
  <c r="N62" i="1"/>
  <c r="M62" i="1"/>
  <c r="Q62" i="1" s="1"/>
  <c r="W62" i="1" s="1"/>
  <c r="AV62" i="1" s="1"/>
  <c r="N61" i="1"/>
  <c r="M61" i="1"/>
  <c r="Q61" i="1" s="1"/>
  <c r="W61" i="1" s="1"/>
  <c r="AV61" i="1" s="1"/>
  <c r="N60" i="1"/>
  <c r="M60" i="1"/>
  <c r="Q60" i="1" s="1"/>
  <c r="W60" i="1" s="1"/>
  <c r="AV60" i="1" s="1"/>
  <c r="N59" i="1"/>
  <c r="M59" i="1"/>
  <c r="Q59" i="1" s="1"/>
  <c r="W59" i="1" s="1"/>
  <c r="AV59" i="1" s="1"/>
  <c r="N58" i="1"/>
  <c r="M58" i="1"/>
  <c r="Q58" i="1" s="1"/>
  <c r="W58" i="1" s="1"/>
  <c r="AV58" i="1" s="1"/>
  <c r="N57" i="1"/>
  <c r="M57" i="1"/>
  <c r="Q57" i="1" s="1"/>
  <c r="W57" i="1" s="1"/>
  <c r="AV57" i="1" s="1"/>
  <c r="N56" i="1"/>
  <c r="M56" i="1"/>
  <c r="Q56" i="1" s="1"/>
  <c r="W56" i="1" s="1"/>
  <c r="AV56" i="1" s="1"/>
  <c r="N55" i="1"/>
  <c r="M55" i="1"/>
  <c r="Q55" i="1" s="1"/>
  <c r="W55" i="1" s="1"/>
  <c r="AV55" i="1" s="1"/>
  <c r="AR53" i="1"/>
  <c r="J53" i="1"/>
  <c r="N54" i="1"/>
  <c r="N53" i="1" s="1"/>
  <c r="M54" i="1"/>
  <c r="AA54" i="1"/>
  <c r="X53" i="1"/>
  <c r="AI53" i="1"/>
  <c r="AJ53" i="1"/>
  <c r="N52" i="1"/>
  <c r="M52" i="1"/>
  <c r="Q52" i="1" s="1"/>
  <c r="W52" i="1" s="1"/>
  <c r="AV52" i="1" s="1"/>
  <c r="N51" i="1"/>
  <c r="M51" i="1"/>
  <c r="Q51" i="1" s="1"/>
  <c r="W51" i="1" s="1"/>
  <c r="AV51" i="1" s="1"/>
  <c r="N50" i="1"/>
  <c r="M50" i="1"/>
  <c r="Q50" i="1" s="1"/>
  <c r="W50" i="1" s="1"/>
  <c r="AV50" i="1" s="1"/>
  <c r="N49" i="1"/>
  <c r="M49" i="1"/>
  <c r="Q49" i="1" s="1"/>
  <c r="W49" i="1" s="1"/>
  <c r="AV49" i="1" s="1"/>
  <c r="N48" i="1"/>
  <c r="M48" i="1"/>
  <c r="Q48" i="1" s="1"/>
  <c r="W48" i="1" s="1"/>
  <c r="AV48" i="1" s="1"/>
  <c r="N47" i="1"/>
  <c r="M47" i="1"/>
  <c r="Q47" i="1" s="1"/>
  <c r="W47" i="1" s="1"/>
  <c r="AV47" i="1" s="1"/>
  <c r="N46" i="1"/>
  <c r="M46" i="1"/>
  <c r="Q46" i="1" s="1"/>
  <c r="W46" i="1" s="1"/>
  <c r="AV46" i="1" s="1"/>
  <c r="N45" i="1"/>
  <c r="M45" i="1"/>
  <c r="Q45" i="1" s="1"/>
  <c r="W45" i="1" s="1"/>
  <c r="AV45" i="1" s="1"/>
  <c r="N44" i="1"/>
  <c r="M44" i="1"/>
  <c r="Q44" i="1" s="1"/>
  <c r="W44" i="1" s="1"/>
  <c r="AV44" i="1" s="1"/>
  <c r="N43" i="1"/>
  <c r="M43" i="1"/>
  <c r="Q43" i="1" s="1"/>
  <c r="W43" i="1" s="1"/>
  <c r="AV43" i="1" s="1"/>
  <c r="N42" i="1"/>
  <c r="M42" i="1"/>
  <c r="Q42" i="1" s="1"/>
  <c r="W42" i="1" s="1"/>
  <c r="AV42" i="1" s="1"/>
  <c r="N41" i="1"/>
  <c r="M41" i="1"/>
  <c r="Q41" i="1" s="1"/>
  <c r="W41" i="1" s="1"/>
  <c r="AV41" i="1" s="1"/>
  <c r="N40" i="1"/>
  <c r="M40" i="1"/>
  <c r="Q40" i="1" s="1"/>
  <c r="W40" i="1" s="1"/>
  <c r="AV40" i="1" s="1"/>
  <c r="N39" i="1"/>
  <c r="M39" i="1"/>
  <c r="Q39" i="1" s="1"/>
  <c r="W39" i="1" s="1"/>
  <c r="AV39" i="1" s="1"/>
  <c r="N38" i="1"/>
  <c r="M38" i="1"/>
  <c r="Q38" i="1" s="1"/>
  <c r="W38" i="1" s="1"/>
  <c r="AV38" i="1" s="1"/>
  <c r="N37" i="1"/>
  <c r="M37" i="1"/>
  <c r="Q37" i="1" s="1"/>
  <c r="W37" i="1" s="1"/>
  <c r="AV37" i="1" s="1"/>
  <c r="N36" i="1"/>
  <c r="M36" i="1"/>
  <c r="Q36" i="1" s="1"/>
  <c r="W36" i="1" s="1"/>
  <c r="AV36" i="1" s="1"/>
  <c r="N35" i="1"/>
  <c r="M35" i="1"/>
  <c r="Q35" i="1" s="1"/>
  <c r="W35" i="1" s="1"/>
  <c r="AV35" i="1" s="1"/>
  <c r="N34" i="1"/>
  <c r="M34" i="1"/>
  <c r="Q34" i="1" s="1"/>
  <c r="W34" i="1" s="1"/>
  <c r="AV34" i="1" s="1"/>
  <c r="N33" i="1"/>
  <c r="M33" i="1"/>
  <c r="Q33" i="1" s="1"/>
  <c r="W33" i="1" s="1"/>
  <c r="AV33" i="1" s="1"/>
  <c r="M32" i="1"/>
  <c r="Q32" i="1" s="1"/>
  <c r="W32" i="1" s="1"/>
  <c r="AV32" i="1" s="1"/>
  <c r="N30" i="1"/>
  <c r="AR31" i="1"/>
  <c r="AR30" i="1" s="1"/>
  <c r="AH30" i="1"/>
  <c r="J30" i="1"/>
  <c r="M31" i="1"/>
  <c r="AA31" i="1"/>
  <c r="X30" i="1"/>
  <c r="Z30" i="1"/>
  <c r="AI30" i="1"/>
  <c r="AJ30" i="1"/>
  <c r="X29" i="1"/>
  <c r="AA29" i="1" s="1"/>
  <c r="N29" i="1"/>
  <c r="M29" i="1"/>
  <c r="Q29" i="1" s="1"/>
  <c r="W29" i="1" s="1"/>
  <c r="AV29" i="1" s="1"/>
  <c r="AJ28" i="1"/>
  <c r="AI28" i="1"/>
  <c r="AR28" i="1" s="1"/>
  <c r="J28" i="1"/>
  <c r="AJ27" i="1"/>
  <c r="AI27" i="1"/>
  <c r="AR27" i="1" s="1"/>
  <c r="J27" i="1"/>
  <c r="K25" i="1"/>
  <c r="AJ26" i="1"/>
  <c r="AJ25" i="1" s="1"/>
  <c r="AI26" i="1"/>
  <c r="J26" i="1"/>
  <c r="AJ24" i="1"/>
  <c r="AI24" i="1"/>
  <c r="AR24" i="1" s="1"/>
  <c r="J24" i="1"/>
  <c r="AJ23" i="1"/>
  <c r="AI23" i="1"/>
  <c r="AR23" i="1" s="1"/>
  <c r="J23" i="1"/>
  <c r="AJ22" i="1"/>
  <c r="AI22" i="1"/>
  <c r="AR22" i="1" s="1"/>
  <c r="J22" i="1"/>
  <c r="AJ21" i="1"/>
  <c r="AI21" i="1"/>
  <c r="AR21" i="1" s="1"/>
  <c r="J21" i="1"/>
  <c r="AJ20" i="1"/>
  <c r="AI20" i="1"/>
  <c r="AR20" i="1" s="1"/>
  <c r="J20" i="1"/>
  <c r="AJ19" i="1"/>
  <c r="AI19" i="1"/>
  <c r="AR19" i="1" s="1"/>
  <c r="AJ18" i="1"/>
  <c r="AI18" i="1"/>
  <c r="AR18" i="1" s="1"/>
  <c r="J18" i="1"/>
  <c r="AJ17" i="1"/>
  <c r="AI17" i="1"/>
  <c r="AH17" i="1"/>
  <c r="AR17" i="1" s="1"/>
  <c r="J17" i="1"/>
  <c r="K15" i="1"/>
  <c r="AJ16" i="1"/>
  <c r="AI16" i="1"/>
  <c r="AH16" i="1"/>
  <c r="J16" i="1"/>
  <c r="Z15" i="1"/>
  <c r="AI15" i="1" l="1"/>
  <c r="AJ15" i="1"/>
  <c r="J15" i="1"/>
  <c r="X16" i="1"/>
  <c r="N16" i="1"/>
  <c r="M16" i="1"/>
  <c r="AR16" i="1"/>
  <c r="AR15" i="1" s="1"/>
  <c r="AH15" i="1"/>
  <c r="X17" i="1"/>
  <c r="AA17" i="1" s="1"/>
  <c r="AG17" i="1" s="1"/>
  <c r="N17" i="1"/>
  <c r="M17" i="1"/>
  <c r="Q17" i="1" s="1"/>
  <c r="W17" i="1" s="1"/>
  <c r="AV17" i="1" s="1"/>
  <c r="X18" i="1"/>
  <c r="AA18" i="1" s="1"/>
  <c r="AG18" i="1" s="1"/>
  <c r="N18" i="1"/>
  <c r="M18" i="1"/>
  <c r="Q18" i="1" s="1"/>
  <c r="W18" i="1" s="1"/>
  <c r="AV18" i="1" s="1"/>
  <c r="X19" i="1"/>
  <c r="AA19" i="1" s="1"/>
  <c r="AG19" i="1" s="1"/>
  <c r="N19" i="1"/>
  <c r="M19" i="1" s="1"/>
  <c r="Q19" i="1" s="1"/>
  <c r="W19" i="1" s="1"/>
  <c r="AV19" i="1" s="1"/>
  <c r="X20" i="1"/>
  <c r="AA20" i="1" s="1"/>
  <c r="AG20" i="1" s="1"/>
  <c r="N20" i="1"/>
  <c r="M20" i="1"/>
  <c r="Q20" i="1" s="1"/>
  <c r="W20" i="1" s="1"/>
  <c r="AV20" i="1" s="1"/>
  <c r="X21" i="1"/>
  <c r="AA21" i="1" s="1"/>
  <c r="AG21" i="1" s="1"/>
  <c r="N21" i="1"/>
  <c r="M21" i="1"/>
  <c r="Q21" i="1" s="1"/>
  <c r="W21" i="1" s="1"/>
  <c r="AV21" i="1" s="1"/>
  <c r="X22" i="1"/>
  <c r="AA22" i="1" s="1"/>
  <c r="AG22" i="1" s="1"/>
  <c r="N22" i="1"/>
  <c r="M22" i="1"/>
  <c r="Q22" i="1" s="1"/>
  <c r="W22" i="1" s="1"/>
  <c r="AV22" i="1" s="1"/>
  <c r="X23" i="1"/>
  <c r="AA23" i="1" s="1"/>
  <c r="AG23" i="1" s="1"/>
  <c r="N23" i="1"/>
  <c r="M23" i="1"/>
  <c r="Q23" i="1" s="1"/>
  <c r="W23" i="1" s="1"/>
  <c r="AV23" i="1" s="1"/>
  <c r="X24" i="1"/>
  <c r="AA24" i="1" s="1"/>
  <c r="AG24" i="1" s="1"/>
  <c r="N24" i="1"/>
  <c r="M24" i="1"/>
  <c r="Q24" i="1" s="1"/>
  <c r="W24" i="1" s="1"/>
  <c r="AV24" i="1" s="1"/>
  <c r="J25" i="1"/>
  <c r="X26" i="1"/>
  <c r="N26" i="1"/>
  <c r="M26" i="1"/>
  <c r="AI25" i="1"/>
  <c r="AR26" i="1"/>
  <c r="AR25" i="1" s="1"/>
  <c r="X27" i="1"/>
  <c r="AA27" i="1" s="1"/>
  <c r="AG27" i="1" s="1"/>
  <c r="N27" i="1"/>
  <c r="M27" i="1" s="1"/>
  <c r="Q27" i="1" s="1"/>
  <c r="W27" i="1" s="1"/>
  <c r="AV27" i="1" s="1"/>
  <c r="X28" i="1"/>
  <c r="AA28" i="1" s="1"/>
  <c r="N28" i="1"/>
  <c r="M28" i="1" s="1"/>
  <c r="Q28" i="1" s="1"/>
  <c r="W28" i="1" s="1"/>
  <c r="AV28" i="1" s="1"/>
  <c r="Z109" i="1"/>
  <c r="Z113" i="1" s="1"/>
  <c r="AG31" i="1"/>
  <c r="AG30" i="1" s="1"/>
  <c r="AA30" i="1"/>
  <c r="M30" i="1"/>
  <c r="Q31" i="1"/>
  <c r="AH109" i="1"/>
  <c r="AH113" i="1" s="1"/>
  <c r="AG54" i="1"/>
  <c r="AG53" i="1" s="1"/>
  <c r="AA53" i="1"/>
  <c r="M53" i="1"/>
  <c r="Q54" i="1"/>
  <c r="M140" i="1"/>
  <c r="G138" i="1"/>
  <c r="AJ109" i="1"/>
  <c r="AJ113" i="1" s="1"/>
  <c r="AG86" i="1"/>
  <c r="AG85" i="1" s="1"/>
  <c r="AA85" i="1"/>
  <c r="J85" i="1"/>
  <c r="J109" i="1" s="1"/>
  <c r="J113" i="1" s="1"/>
  <c r="N86" i="1"/>
  <c r="AI85" i="1"/>
  <c r="AI109" i="1" s="1"/>
  <c r="AI113" i="1" s="1"/>
  <c r="AR86" i="1"/>
  <c r="AR85" i="1" s="1"/>
  <c r="K109" i="1"/>
  <c r="K113" i="1" s="1"/>
  <c r="N87" i="1"/>
  <c r="M87" i="1" s="1"/>
  <c r="Q87" i="1" s="1"/>
  <c r="W87" i="1" s="1"/>
  <c r="AV87" i="1" s="1"/>
  <c r="N88" i="1"/>
  <c r="M88" i="1" s="1"/>
  <c r="Q88" i="1" s="1"/>
  <c r="W88" i="1" s="1"/>
  <c r="AV88" i="1" s="1"/>
  <c r="N89" i="1"/>
  <c r="M89" i="1" s="1"/>
  <c r="Q89" i="1" s="1"/>
  <c r="W89" i="1" s="1"/>
  <c r="AV89" i="1" s="1"/>
  <c r="N90" i="1"/>
  <c r="M90" i="1" s="1"/>
  <c r="Q90" i="1" s="1"/>
  <c r="W90" i="1" s="1"/>
  <c r="AV90" i="1" s="1"/>
  <c r="N91" i="1"/>
  <c r="M91" i="1" s="1"/>
  <c r="Q91" i="1" s="1"/>
  <c r="W91" i="1" s="1"/>
  <c r="AV91" i="1" s="1"/>
  <c r="N92" i="1"/>
  <c r="M92" i="1" s="1"/>
  <c r="Q92" i="1" s="1"/>
  <c r="W92" i="1" s="1"/>
  <c r="AV92" i="1" s="1"/>
  <c r="N93" i="1"/>
  <c r="M93" i="1" s="1"/>
  <c r="Q93" i="1" s="1"/>
  <c r="W93" i="1" s="1"/>
  <c r="AV93" i="1" s="1"/>
  <c r="N94" i="1"/>
  <c r="M94" i="1" s="1"/>
  <c r="Q94" i="1" s="1"/>
  <c r="W94" i="1" s="1"/>
  <c r="AV94" i="1" s="1"/>
  <c r="N95" i="1"/>
  <c r="M95" i="1" s="1"/>
  <c r="Q95" i="1" s="1"/>
  <c r="W95" i="1" s="1"/>
  <c r="AV95" i="1" s="1"/>
  <c r="N96" i="1"/>
  <c r="M96" i="1" s="1"/>
  <c r="Q96" i="1" s="1"/>
  <c r="W96" i="1" s="1"/>
  <c r="AV96" i="1" s="1"/>
  <c r="N97" i="1"/>
  <c r="M97" i="1" s="1"/>
  <c r="Q97" i="1" s="1"/>
  <c r="W97" i="1" s="1"/>
  <c r="AV97" i="1" s="1"/>
  <c r="N98" i="1"/>
  <c r="M98" i="1" s="1"/>
  <c r="Q98" i="1" s="1"/>
  <c r="W98" i="1" s="1"/>
  <c r="AV98" i="1" s="1"/>
  <c r="N99" i="1"/>
  <c r="M99" i="1" s="1"/>
  <c r="Q99" i="1" s="1"/>
  <c r="W99" i="1" s="1"/>
  <c r="AV99" i="1" s="1"/>
  <c r="N100" i="1"/>
  <c r="M100" i="1" s="1"/>
  <c r="Q100" i="1" s="1"/>
  <c r="W100" i="1" s="1"/>
  <c r="AV100" i="1" s="1"/>
  <c r="N101" i="1"/>
  <c r="M101" i="1" s="1"/>
  <c r="Q101" i="1" s="1"/>
  <c r="W101" i="1" s="1"/>
  <c r="AV101" i="1" s="1"/>
  <c r="N102" i="1"/>
  <c r="M102" i="1" s="1"/>
  <c r="Q102" i="1" s="1"/>
  <c r="W102" i="1" s="1"/>
  <c r="AV102" i="1" s="1"/>
  <c r="N103" i="1"/>
  <c r="M103" i="1" s="1"/>
  <c r="Q103" i="1" s="1"/>
  <c r="W103" i="1" s="1"/>
  <c r="AV103" i="1" s="1"/>
  <c r="N104" i="1"/>
  <c r="M104" i="1" s="1"/>
  <c r="Q104" i="1" s="1"/>
  <c r="W104" i="1" s="1"/>
  <c r="AV104" i="1" s="1"/>
  <c r="N105" i="1"/>
  <c r="M105" i="1" s="1"/>
  <c r="Q105" i="1" s="1"/>
  <c r="W105" i="1" s="1"/>
  <c r="AV105" i="1" s="1"/>
  <c r="N106" i="1"/>
  <c r="M106" i="1" s="1"/>
  <c r="Q106" i="1" s="1"/>
  <c r="W106" i="1" s="1"/>
  <c r="AV106" i="1" s="1"/>
  <c r="N107" i="1"/>
  <c r="M107" i="1" s="1"/>
  <c r="Q107" i="1" s="1"/>
  <c r="W107" i="1" s="1"/>
  <c r="AV107" i="1" s="1"/>
  <c r="N108" i="1"/>
  <c r="M108" i="1" s="1"/>
  <c r="Q108" i="1" s="1"/>
  <c r="W108" i="1" s="1"/>
  <c r="AV108" i="1" s="1"/>
  <c r="AR109" i="1" l="1"/>
  <c r="G134" i="1" s="1"/>
  <c r="M134" i="1" s="1"/>
  <c r="N85" i="1"/>
  <c r="M86" i="1"/>
  <c r="M138" i="1"/>
  <c r="M136" i="1" s="1"/>
  <c r="G136" i="1"/>
  <c r="W54" i="1"/>
  <c r="Q53" i="1"/>
  <c r="AR113" i="1"/>
  <c r="W31" i="1"/>
  <c r="Q30" i="1"/>
  <c r="M25" i="1"/>
  <c r="Q26" i="1"/>
  <c r="N25" i="1"/>
  <c r="AA26" i="1"/>
  <c r="X25" i="1"/>
  <c r="M15" i="1"/>
  <c r="Q16" i="1"/>
  <c r="N15" i="1"/>
  <c r="AA16" i="1"/>
  <c r="X15" i="1"/>
  <c r="AG16" i="1" l="1"/>
  <c r="AG15" i="1" s="1"/>
  <c r="AA15" i="1"/>
  <c r="W16" i="1"/>
  <c r="Q15" i="1"/>
  <c r="X109" i="1"/>
  <c r="X113" i="1" s="1"/>
  <c r="AA113" i="1" s="1"/>
  <c r="AG26" i="1"/>
  <c r="AG25" i="1" s="1"/>
  <c r="AG109" i="1" s="1"/>
  <c r="AG113" i="1" s="1"/>
  <c r="AA25" i="1"/>
  <c r="W26" i="1"/>
  <c r="Q25" i="1"/>
  <c r="AV31" i="1"/>
  <c r="AV30" i="1" s="1"/>
  <c r="W30" i="1"/>
  <c r="AV54" i="1"/>
  <c r="AV53" i="1" s="1"/>
  <c r="W53" i="1"/>
  <c r="M85" i="1"/>
  <c r="M109" i="1" s="1"/>
  <c r="M113" i="1" s="1"/>
  <c r="Q86" i="1"/>
  <c r="N109" i="1"/>
  <c r="N113" i="1" s="1"/>
  <c r="AA109" i="1" l="1"/>
  <c r="G130" i="1" s="1"/>
  <c r="W86" i="1"/>
  <c r="Q85" i="1"/>
  <c r="Q109" i="1" s="1"/>
  <c r="G124" i="1" s="1"/>
  <c r="Q113" i="1"/>
  <c r="W113" i="1" s="1"/>
  <c r="AV113" i="1" s="1"/>
  <c r="AV26" i="1"/>
  <c r="AV25" i="1" s="1"/>
  <c r="W25" i="1"/>
  <c r="M130" i="1"/>
  <c r="M128" i="1" s="1"/>
  <c r="G128" i="1"/>
  <c r="AV16" i="1"/>
  <c r="AV15" i="1" s="1"/>
  <c r="W15" i="1"/>
  <c r="M124" i="1" l="1"/>
  <c r="M122" i="1" s="1"/>
  <c r="M120" i="1" s="1"/>
  <c r="G122" i="1"/>
  <c r="G120" i="1" s="1"/>
  <c r="AV86" i="1"/>
  <c r="AV85" i="1" s="1"/>
  <c r="AV109" i="1" s="1"/>
  <c r="W85" i="1"/>
  <c r="W109" i="1" s="1"/>
</calcChain>
</file>

<file path=xl/sharedStrings.xml><?xml version="1.0" encoding="utf-8"?>
<sst xmlns="http://schemas.openxmlformats.org/spreadsheetml/2006/main" count="363" uniqueCount="165">
  <si>
    <t xml:space="preserve">MINISTERIO DE HACIENDA Y CRÉDITO PÚBLICO </t>
  </si>
  <si>
    <t>Dirección General del Presupuesto Público Nacional</t>
  </si>
  <si>
    <t>Formulario 4. Anteproyecto Planta de personal</t>
  </si>
  <si>
    <t>SECCIÓN</t>
  </si>
  <si>
    <t>040101</t>
  </si>
  <si>
    <t>UNIDAD EJECUTORA</t>
  </si>
  <si>
    <t>DEPARTAMENTO ADMINISTRATIVO NACIONAL DE ESTADÍSITICA  - DANE GESTION GENERAL</t>
  </si>
  <si>
    <t>ANTEPROYECTO PLANTA DE PERSONAL - VIGENCIA</t>
  </si>
  <si>
    <t>(diligenciar en pesos)</t>
  </si>
  <si>
    <t>DENOMINACIÓN DE CARGOS</t>
  </si>
  <si>
    <t>Grado</t>
  </si>
  <si>
    <t>No. Cargos</t>
  </si>
  <si>
    <t>Salario</t>
  </si>
  <si>
    <t>Remuneraciones no constitutivas de Factor Salarial</t>
  </si>
  <si>
    <t>Contribuciones Inherentes a la Nómina</t>
  </si>
  <si>
    <t>Prestaciones sociales relacionadas con el empleo</t>
  </si>
  <si>
    <t>Total  
Gastos de personal</t>
  </si>
  <si>
    <t>Factores Salariales comunes</t>
  </si>
  <si>
    <t>Factores Salariales Especiales</t>
  </si>
  <si>
    <t>Total</t>
  </si>
  <si>
    <t>Prestaciones sociales según definición legal</t>
  </si>
  <si>
    <t>Otras remuneraciones no constitutivas de Factor Salarial</t>
  </si>
  <si>
    <t>Pensiones</t>
  </si>
  <si>
    <t>Salud</t>
  </si>
  <si>
    <t>Aportes de Cesantías</t>
  </si>
  <si>
    <t>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</si>
  <si>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</si>
  <si>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</si>
  <si>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</si>
  <si>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</si>
  <si>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</si>
  <si>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Subsidio de vivienda Fuerzas Militares y Policía</t>
  </si>
  <si>
    <t>Incapacidades (No de pensiones)</t>
  </si>
  <si>
    <t>Licencias de maternidad y paternidad (No de pensiones)</t>
  </si>
  <si>
    <t>Total 
Transferencia</t>
  </si>
  <si>
    <t>Sueldo básico</t>
  </si>
  <si>
    <t>Gastos de representación</t>
  </si>
  <si>
    <t>Prima técnica salarial</t>
  </si>
  <si>
    <t>Subsidio de alimentación</t>
  </si>
  <si>
    <t>Auxilio de transporte</t>
  </si>
  <si>
    <t>Prima de servicio</t>
  </si>
  <si>
    <t>Bonificación por servicios prestados</t>
  </si>
  <si>
    <t>Horas extras, dominicales, festivos y recargos</t>
  </si>
  <si>
    <t>Prima de navidad</t>
  </si>
  <si>
    <t>Prima de vacaciones</t>
  </si>
  <si>
    <t>Viáticos de los funcionarios en comisión</t>
  </si>
  <si>
    <t>Auxilio de conectividad digital</t>
  </si>
  <si>
    <t>Subtotal 1</t>
  </si>
  <si>
    <t>Factor Salarial Especial 1
Coordinacion 20%</t>
  </si>
  <si>
    <t>Factor Salarial Especial 2
Prima Técnica del Cargo</t>
  </si>
  <si>
    <t>Factor Salarial Especial 3
Evaluacion Desempeño</t>
  </si>
  <si>
    <t>Factor Salarial Especial 4</t>
  </si>
  <si>
    <t>Subtotal 2</t>
  </si>
  <si>
    <t>Sueldo de vacaciones</t>
  </si>
  <si>
    <t>Indemnización por vacaciones</t>
  </si>
  <si>
    <t>Bonificación especial de recreación</t>
  </si>
  <si>
    <t>Remuneración 1</t>
  </si>
  <si>
    <t>Remuneración 2</t>
  </si>
  <si>
    <t>Remuneración 3</t>
  </si>
  <si>
    <t>Remuneración 4</t>
  </si>
  <si>
    <t>Institutos</t>
  </si>
  <si>
    <t>Mes</t>
  </si>
  <si>
    <t>Anual</t>
  </si>
  <si>
    <t>Técnicos</t>
  </si>
  <si>
    <t>4+5= 6</t>
  </si>
  <si>
    <t>7+8=9</t>
  </si>
  <si>
    <t>11.1+11.2</t>
  </si>
  <si>
    <t>6+9+10=12</t>
  </si>
  <si>
    <t>EMPLEADOS PÚBLICOS</t>
  </si>
  <si>
    <t>NIVEL DIRECTIVO</t>
  </si>
  <si>
    <t>DIRECTOR DE DEPARTAMENTO ADMINISTRATIVO</t>
  </si>
  <si>
    <t>SUBDIRECTOR DEPARTAMENTO</t>
  </si>
  <si>
    <t>SECRETARIO GENERAL DE DEPARTAMENTO ADMINISTRATIVO</t>
  </si>
  <si>
    <t>DIRECTOR TERRITORIAL</t>
  </si>
  <si>
    <t>DIRECTOR TECNICO</t>
  </si>
  <si>
    <t>DIRECTOR OPERATIVO</t>
  </si>
  <si>
    <t>JEFE DE OFICINA CONTROL DISCIPLINARIO INTERNO</t>
  </si>
  <si>
    <t>JEFE DE OFICINA DE SISTEMAS</t>
  </si>
  <si>
    <t>JEFE DE OFICINA DE CONTROL INTERNO</t>
  </si>
  <si>
    <t>NIVEL ASESOR</t>
  </si>
  <si>
    <t>JEFE DE OFICINA ASESORA DE PLANEACION</t>
  </si>
  <si>
    <t>JEFE DE OFICINA ASESORA JURIDICA</t>
  </si>
  <si>
    <t>ASESOR</t>
  </si>
  <si>
    <t>NIVEL PROFESIONAL</t>
  </si>
  <si>
    <t>PROFESIONAL ESPECIALIZADO</t>
  </si>
  <si>
    <t>PROFESIONAL UNIVERSITARIO</t>
  </si>
  <si>
    <t>NIVEL TÉCNICO</t>
  </si>
  <si>
    <t>ANALISTA DE SISTEMAS</t>
  </si>
  <si>
    <t>AUXILIAR DE TECNICO</t>
  </si>
  <si>
    <t>TÉCNICO</t>
  </si>
  <si>
    <t>TÉCNICO ADMINISTRATIVO</t>
  </si>
  <si>
    <t>TÉCNICO OPERATIVO</t>
  </si>
  <si>
    <t>NIVEL ASISTENCIAL</t>
  </si>
  <si>
    <t>SECRETARIO EJECUTIVO DESPACHO DEL SUBDIRECTOR</t>
  </si>
  <si>
    <t>SECRETARIO EJECUTIVO</t>
  </si>
  <si>
    <t>SECRETARIO BILINGÜE</t>
  </si>
  <si>
    <t>SECRETARIO</t>
  </si>
  <si>
    <t>OPERARIO CALIFICADO</t>
  </si>
  <si>
    <t>CONDUCTOR MECÁNICO</t>
  </si>
  <si>
    <t>AUXILIAR DE SERVICIOS GENERALES</t>
  </si>
  <si>
    <t>AUXILIAR ADMINISTRATIVO</t>
  </si>
  <si>
    <t>TOTAL EMPLEADOS PÚBLICOS</t>
  </si>
  <si>
    <t>TRABAJADORES OFICIALES</t>
  </si>
  <si>
    <t>N/A</t>
  </si>
  <si>
    <t>TOTAL TRABAJADORES OFICIALES</t>
  </si>
  <si>
    <t>TOTAL PLANTA DE PERSONAL</t>
  </si>
  <si>
    <t>RESUMEN - ANTEPROYECTO PLANTA DE PERSONAL</t>
  </si>
  <si>
    <t xml:space="preserve">CUENTA </t>
  </si>
  <si>
    <t>TOTAL</t>
  </si>
  <si>
    <t>ELPLEADOS PÚBLICOS</t>
  </si>
  <si>
    <t xml:space="preserve">TRABAJADORES OFICIALES </t>
  </si>
  <si>
    <t xml:space="preserve">GASTOS DE PERSONAL </t>
  </si>
  <si>
    <t xml:space="preserve">         Salario </t>
  </si>
  <si>
    <t xml:space="preserve">                    Factores salariales comunes </t>
  </si>
  <si>
    <t xml:space="preserve">                     Factores salariales especiales </t>
  </si>
  <si>
    <t xml:space="preserve">         Remuneraciones no constitutivas de factor salarial </t>
  </si>
  <si>
    <t xml:space="preserve">                    Prestaciones sociales según definición legal </t>
  </si>
  <si>
    <t xml:space="preserve">                     Otras prestaciones no constitutivas de factor salarial </t>
  </si>
  <si>
    <t xml:space="preserve">         Contribuciones inherentes a la nómina </t>
  </si>
  <si>
    <t>TRANSFERENCIAS CORRIENTES</t>
  </si>
  <si>
    <t xml:space="preserve">         Prestaciones sociales relacionadas con el empleo</t>
  </si>
  <si>
    <t xml:space="preserve">                     Incapacidades</t>
  </si>
  <si>
    <t xml:space="preserve">                     Licencias de maternidad y paternidad</t>
  </si>
  <si>
    <t>Formulario 4A Certificación de Nómina</t>
  </si>
  <si>
    <t>ANTEPROYECTO COSTO DE NÓMINA - VIGENCIA</t>
  </si>
  <si>
    <t>DENOMINACIÓN DE CARGO</t>
  </si>
  <si>
    <t>Planta Actual</t>
  </si>
  <si>
    <t>Nómina Provista</t>
  </si>
  <si>
    <t>Total Cargos Provistos</t>
  </si>
  <si>
    <t>Cargos Vacantes</t>
  </si>
  <si>
    <t>Libre Nombramiento</t>
  </si>
  <si>
    <t>Carrera Administrativa</t>
  </si>
  <si>
    <t>Propiedad</t>
  </si>
  <si>
    <t>Provisionales</t>
  </si>
  <si>
    <t>5=2+3+4</t>
  </si>
  <si>
    <t>6=1-5</t>
  </si>
  <si>
    <t>Empleados Públicos</t>
  </si>
  <si>
    <t>00</t>
  </si>
  <si>
    <t>22</t>
  </si>
  <si>
    <t>13</t>
  </si>
  <si>
    <t>19</t>
  </si>
  <si>
    <t>JEFE DE OFICINA ASESORA JURÍDICA</t>
  </si>
  <si>
    <t>09</t>
  </si>
  <si>
    <t>08</t>
  </si>
  <si>
    <t>07</t>
  </si>
  <si>
    <t>06</t>
  </si>
  <si>
    <t>05</t>
  </si>
  <si>
    <t>04</t>
  </si>
  <si>
    <t>03</t>
  </si>
  <si>
    <t>01</t>
  </si>
  <si>
    <t>17</t>
  </si>
  <si>
    <t>18</t>
  </si>
  <si>
    <t>15</t>
  </si>
  <si>
    <t>12</t>
  </si>
  <si>
    <t>11</t>
  </si>
  <si>
    <t>10</t>
  </si>
  <si>
    <t>16</t>
  </si>
  <si>
    <t>14</t>
  </si>
  <si>
    <t>Total Empleados Públicos</t>
  </si>
  <si>
    <t>Trabajadores Oficiales</t>
  </si>
  <si>
    <t>Total  Trabajadores Oficiales</t>
  </si>
  <si>
    <t>Total Personal</t>
  </si>
  <si>
    <t>Bogotá, febrero 28 de 2022</t>
  </si>
  <si>
    <t xml:space="preserve">Ciudad y fecha </t>
  </si>
  <si>
    <t>Jefe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</si>
</sst>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_)"/>
    <numFmt numFmtId="167" formatCode="_(&quot;$&quot;\ * #,##0.00_);_(&quot;$&quot;\ * \(#,##0.00\);_(&quot;$&quot;\ * &quot;-&quot;??_);_(@_)"/>
    <numFmt numFmtId="168" formatCode="_-&quot;$&quot;* #,##0_-;\-&quot;$&quot;* #,##0_-;_-&quot;$&quot;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9090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2" fillId="0" borderId="0"/>
    <xf numFmtId="0" fontId="2" fillId="0" borderId="0"/>
    <xf numFmtId="0" fontId="1" fillId="0" borderId="0"/>
  </cellStyleXfs>
  <cellXfs count="213">
    <xf numFmtId="0" fontId="0" fillId="0" borderId="0" xfId="0"/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4" applyFont="1" applyProtection="1">
      <protection locked="0"/>
    </xf>
    <xf numFmtId="37" fontId="3" fillId="0" borderId="0" xfId="4" applyNumberFormat="1" applyFont="1" applyProtection="1">
      <protection locked="0"/>
    </xf>
    <xf numFmtId="0" fontId="6" fillId="2" borderId="0" xfId="4" applyFont="1" applyFill="1" applyProtection="1"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3" fillId="0" borderId="2" xfId="4" applyFont="1" applyBorder="1" applyProtection="1">
      <protection locked="0"/>
    </xf>
    <xf numFmtId="0" fontId="6" fillId="2" borderId="2" xfId="4" applyFont="1" applyFill="1" applyBorder="1" applyProtection="1">
      <protection locked="0"/>
    </xf>
    <xf numFmtId="0" fontId="6" fillId="0" borderId="3" xfId="4" applyFont="1" applyBorder="1" applyProtection="1">
      <protection locked="0"/>
    </xf>
    <xf numFmtId="0" fontId="6" fillId="0" borderId="4" xfId="4" applyFont="1" applyBorder="1" applyProtection="1">
      <protection locked="0"/>
    </xf>
    <xf numFmtId="0" fontId="7" fillId="4" borderId="19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7" fillId="4" borderId="21" xfId="0" applyFont="1" applyFill="1" applyBorder="1" applyAlignment="1" applyProtection="1">
      <alignment horizontal="center" vertical="center" wrapText="1"/>
      <protection locked="0"/>
    </xf>
    <xf numFmtId="0" fontId="7" fillId="4" borderId="22" xfId="0" applyFont="1" applyFill="1" applyBorder="1" applyAlignment="1" applyProtection="1">
      <alignment horizontal="center" vertical="center" wrapText="1"/>
      <protection locked="0"/>
    </xf>
    <xf numFmtId="2" fontId="7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23" xfId="0" applyFont="1" applyFill="1" applyBorder="1" applyAlignment="1" applyProtection="1">
      <alignment horizontal="center"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7" fillId="5" borderId="24" xfId="5" applyFont="1" applyFill="1" applyBorder="1" applyAlignment="1" applyProtection="1">
      <alignment vertical="center" wrapText="1"/>
      <protection locked="0"/>
    </xf>
    <xf numFmtId="0" fontId="7" fillId="5" borderId="25" xfId="5" applyFont="1" applyFill="1" applyBorder="1" applyAlignment="1" applyProtection="1">
      <alignment vertical="center" wrapText="1"/>
      <protection locked="0"/>
    </xf>
    <xf numFmtId="164" fontId="7" fillId="5" borderId="26" xfId="2" applyFont="1" applyFill="1" applyBorder="1" applyAlignment="1" applyProtection="1">
      <alignment vertical="center" wrapText="1"/>
      <protection locked="0"/>
    </xf>
    <xf numFmtId="164" fontId="7" fillId="5" borderId="27" xfId="2" applyFont="1" applyFill="1" applyBorder="1" applyAlignment="1" applyProtection="1">
      <alignment vertical="center" wrapText="1"/>
      <protection locked="0"/>
    </xf>
    <xf numFmtId="164" fontId="7" fillId="5" borderId="25" xfId="2" applyFont="1" applyFill="1" applyBorder="1" applyAlignment="1" applyProtection="1">
      <alignment vertical="center" wrapText="1"/>
      <protection locked="0"/>
    </xf>
    <xf numFmtId="164" fontId="7" fillId="5" borderId="28" xfId="2" applyFont="1" applyFill="1" applyBorder="1" applyAlignment="1" applyProtection="1">
      <alignment vertical="center" wrapText="1"/>
      <protection locked="0"/>
    </xf>
    <xf numFmtId="0" fontId="8" fillId="6" borderId="24" xfId="0" applyFont="1" applyFill="1" applyBorder="1" applyAlignment="1" applyProtection="1">
      <alignment vertical="center" wrapText="1"/>
      <protection locked="0"/>
    </xf>
    <xf numFmtId="0" fontId="8" fillId="6" borderId="24" xfId="0" applyFont="1" applyFill="1" applyBorder="1" applyAlignment="1" applyProtection="1">
      <alignment wrapText="1"/>
      <protection locked="0"/>
    </xf>
    <xf numFmtId="166" fontId="8" fillId="6" borderId="24" xfId="0" applyNumberFormat="1" applyFont="1" applyFill="1" applyBorder="1" applyAlignment="1" applyProtection="1">
      <alignment wrapText="1"/>
      <protection locked="0"/>
    </xf>
    <xf numFmtId="164" fontId="8" fillId="6" borderId="24" xfId="2" applyFont="1" applyFill="1" applyBorder="1" applyAlignment="1" applyProtection="1">
      <alignment wrapText="1"/>
      <protection locked="0"/>
    </xf>
    <xf numFmtId="164" fontId="8" fillId="6" borderId="25" xfId="2" applyFont="1" applyFill="1" applyBorder="1" applyAlignment="1" applyProtection="1">
      <alignment wrapText="1"/>
      <protection locked="0"/>
    </xf>
    <xf numFmtId="164" fontId="8" fillId="6" borderId="27" xfId="2" applyFont="1" applyFill="1" applyBorder="1" applyAlignment="1" applyProtection="1">
      <alignment wrapText="1"/>
      <protection locked="0"/>
    </xf>
    <xf numFmtId="166" fontId="6" fillId="2" borderId="19" xfId="4" applyNumberFormat="1" applyFont="1" applyFill="1" applyBorder="1" applyAlignment="1" applyProtection="1">
      <alignment wrapText="1"/>
      <protection locked="0"/>
    </xf>
    <xf numFmtId="2" fontId="6" fillId="2" borderId="13" xfId="4" applyNumberFormat="1" applyFont="1" applyFill="1" applyBorder="1" applyAlignment="1" applyProtection="1">
      <alignment wrapText="1"/>
      <protection locked="0"/>
    </xf>
    <xf numFmtId="166" fontId="6" fillId="2" borderId="13" xfId="4" applyNumberFormat="1" applyFont="1" applyFill="1" applyBorder="1" applyAlignment="1" applyProtection="1">
      <alignment wrapText="1"/>
      <protection locked="0"/>
    </xf>
    <xf numFmtId="164" fontId="9" fillId="3" borderId="1" xfId="2" applyFont="1" applyFill="1" applyBorder="1" applyProtection="1">
      <protection locked="0"/>
    </xf>
    <xf numFmtId="164" fontId="6" fillId="0" borderId="13" xfId="2" applyFont="1" applyBorder="1" applyAlignment="1" applyProtection="1">
      <alignment wrapText="1"/>
      <protection locked="0"/>
    </xf>
    <xf numFmtId="164" fontId="6" fillId="0" borderId="19" xfId="2" applyFont="1" applyBorder="1" applyAlignment="1" applyProtection="1">
      <alignment wrapText="1"/>
      <protection locked="0"/>
    </xf>
    <xf numFmtId="164" fontId="6" fillId="0" borderId="0" xfId="2" applyFont="1" applyBorder="1" applyAlignment="1" applyProtection="1">
      <alignment wrapText="1"/>
      <protection locked="0"/>
    </xf>
    <xf numFmtId="164" fontId="6" fillId="0" borderId="29" xfId="2" applyFont="1" applyBorder="1" applyAlignment="1" applyProtection="1">
      <alignment wrapText="1"/>
      <protection locked="0"/>
    </xf>
    <xf numFmtId="164" fontId="6" fillId="0" borderId="1" xfId="2" applyFont="1" applyBorder="1" applyProtection="1">
      <protection locked="0"/>
    </xf>
    <xf numFmtId="37" fontId="6" fillId="0" borderId="19" xfId="3" applyFont="1" applyBorder="1" applyAlignment="1" applyProtection="1">
      <alignment wrapText="1"/>
      <protection locked="0"/>
    </xf>
    <xf numFmtId="0" fontId="6" fillId="2" borderId="13" xfId="4" applyFont="1" applyFill="1" applyBorder="1" applyAlignment="1" applyProtection="1">
      <alignment wrapText="1"/>
      <protection locked="0"/>
    </xf>
    <xf numFmtId="164" fontId="6" fillId="0" borderId="13" xfId="2" applyFont="1" applyBorder="1" applyProtection="1">
      <protection locked="0"/>
    </xf>
    <xf numFmtId="0" fontId="7" fillId="7" borderId="30" xfId="5" applyFont="1" applyFill="1" applyBorder="1" applyAlignment="1" applyProtection="1">
      <alignment vertical="center" wrapText="1"/>
      <protection locked="0"/>
    </xf>
    <xf numFmtId="0" fontId="7" fillId="7" borderId="24" xfId="5" applyFont="1" applyFill="1" applyBorder="1" applyAlignment="1" applyProtection="1">
      <alignment vertical="center" wrapText="1"/>
      <protection locked="0"/>
    </xf>
    <xf numFmtId="166" fontId="7" fillId="7" borderId="25" xfId="5" applyNumberFormat="1" applyFont="1" applyFill="1" applyBorder="1" applyAlignment="1" applyProtection="1">
      <alignment vertical="center" wrapText="1"/>
      <protection locked="0"/>
    </xf>
    <xf numFmtId="165" fontId="7" fillId="7" borderId="25" xfId="1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wrapText="1"/>
      <protection locked="0"/>
    </xf>
    <xf numFmtId="164" fontId="8" fillId="5" borderId="24" xfId="2" applyFont="1" applyFill="1" applyBorder="1" applyAlignment="1" applyProtection="1">
      <alignment wrapText="1"/>
      <protection locked="0"/>
    </xf>
    <xf numFmtId="164" fontId="8" fillId="5" borderId="27" xfId="2" applyFont="1" applyFill="1" applyBorder="1" applyAlignment="1" applyProtection="1">
      <alignment wrapText="1"/>
      <protection locked="0"/>
    </xf>
    <xf numFmtId="164" fontId="8" fillId="5" borderId="25" xfId="2" applyFont="1" applyFill="1" applyBorder="1" applyAlignment="1" applyProtection="1">
      <alignment wrapText="1"/>
      <protection locked="0"/>
    </xf>
    <xf numFmtId="164" fontId="7" fillId="7" borderId="26" xfId="2" applyFont="1" applyFill="1" applyBorder="1" applyAlignment="1" applyProtection="1">
      <alignment vertical="center" wrapText="1"/>
      <protection locked="0"/>
    </xf>
    <xf numFmtId="164" fontId="7" fillId="7" borderId="25" xfId="2" applyFont="1" applyFill="1" applyBorder="1" applyAlignment="1" applyProtection="1">
      <alignment vertical="center" wrapText="1"/>
      <protection locked="0"/>
    </xf>
    <xf numFmtId="164" fontId="7" fillId="7" borderId="27" xfId="2" applyFont="1" applyFill="1" applyBorder="1" applyAlignment="1" applyProtection="1">
      <alignment vertical="center" wrapText="1"/>
      <protection locked="0"/>
    </xf>
    <xf numFmtId="0" fontId="7" fillId="8" borderId="30" xfId="5" applyFont="1" applyFill="1" applyBorder="1" applyAlignment="1" applyProtection="1">
      <alignment vertical="center" wrapText="1"/>
      <protection locked="0"/>
    </xf>
    <xf numFmtId="0" fontId="7" fillId="8" borderId="24" xfId="5" applyFont="1" applyFill="1" applyBorder="1" applyAlignment="1" applyProtection="1">
      <alignment vertical="center" wrapText="1"/>
      <protection locked="0"/>
    </xf>
    <xf numFmtId="166" fontId="7" fillId="8" borderId="25" xfId="5" applyNumberFormat="1" applyFont="1" applyFill="1" applyBorder="1" applyAlignment="1" applyProtection="1">
      <alignment vertical="center" wrapText="1"/>
      <protection locked="0"/>
    </xf>
    <xf numFmtId="164" fontId="7" fillId="8" borderId="26" xfId="2" applyFont="1" applyFill="1" applyBorder="1" applyAlignment="1" applyProtection="1">
      <alignment vertical="center" wrapText="1"/>
      <protection locked="0"/>
    </xf>
    <xf numFmtId="164" fontId="7" fillId="8" borderId="25" xfId="2" applyFont="1" applyFill="1" applyBorder="1" applyAlignment="1" applyProtection="1">
      <alignment vertical="center" wrapText="1"/>
      <protection locked="0"/>
    </xf>
    <xf numFmtId="164" fontId="7" fillId="8" borderId="27" xfId="2" applyFont="1" applyFill="1" applyBorder="1" applyAlignment="1" applyProtection="1">
      <alignment vertical="center" wrapText="1"/>
      <protection locked="0"/>
    </xf>
    <xf numFmtId="164" fontId="7" fillId="8" borderId="31" xfId="2" applyFont="1" applyFill="1" applyBorder="1" applyAlignment="1" applyProtection="1">
      <alignment vertical="center" wrapText="1"/>
      <protection locked="0"/>
    </xf>
    <xf numFmtId="37" fontId="6" fillId="2" borderId="0" xfId="3" applyFont="1" applyFill="1" applyProtection="1">
      <protection locked="0"/>
    </xf>
    <xf numFmtId="166" fontId="6" fillId="2" borderId="0" xfId="4" applyNumberFormat="1" applyFont="1" applyFill="1" applyProtection="1">
      <protection locked="0"/>
    </xf>
    <xf numFmtId="37" fontId="6" fillId="2" borderId="0" xfId="4" applyNumberFormat="1" applyFont="1" applyFill="1" applyProtection="1">
      <protection locked="0"/>
    </xf>
    <xf numFmtId="167" fontId="6" fillId="2" borderId="0" xfId="4" applyNumberFormat="1" applyFont="1" applyFill="1" applyProtection="1">
      <protection locked="0"/>
    </xf>
    <xf numFmtId="0" fontId="3" fillId="0" borderId="0" xfId="4" applyFont="1" applyProtection="1">
      <protection locked="0"/>
    </xf>
    <xf numFmtId="0" fontId="7" fillId="10" borderId="0" xfId="4" applyFont="1" applyFill="1" applyAlignment="1" applyProtection="1">
      <alignment horizontal="center" vertical="center"/>
      <protection locked="0"/>
    </xf>
    <xf numFmtId="164" fontId="6" fillId="0" borderId="0" xfId="2" applyFont="1" applyBorder="1" applyAlignment="1" applyProtection="1">
      <alignment horizontal="center" vertical="center"/>
      <protection locked="0"/>
    </xf>
    <xf numFmtId="165" fontId="6" fillId="0" borderId="0" xfId="1" applyFont="1" applyProtection="1">
      <protection locked="0"/>
    </xf>
    <xf numFmtId="167" fontId="6" fillId="0" borderId="0" xfId="4" applyNumberFormat="1" applyFont="1" applyProtection="1">
      <protection locked="0"/>
    </xf>
    <xf numFmtId="164" fontId="3" fillId="0" borderId="0" xfId="2" applyFont="1" applyBorder="1" applyAlignment="1" applyProtection="1">
      <alignment horizontal="center" vertical="center"/>
      <protection locked="0"/>
    </xf>
    <xf numFmtId="0" fontId="6" fillId="0" borderId="0" xfId="4" applyFont="1" applyAlignment="1" applyProtection="1">
      <alignment horizontal="center" vertical="center"/>
      <protection locked="0"/>
    </xf>
    <xf numFmtId="37" fontId="2" fillId="0" borderId="35" xfId="3" applyBorder="1" applyProtection="1">
      <protection locked="0"/>
    </xf>
    <xf numFmtId="37" fontId="10" fillId="0" borderId="0" xfId="3" applyFont="1" applyAlignment="1" applyProtection="1">
      <alignment horizontal="centerContinuous"/>
      <protection locked="0"/>
    </xf>
    <xf numFmtId="37" fontId="2" fillId="0" borderId="0" xfId="3" applyAlignment="1" applyProtection="1">
      <alignment horizontal="centerContinuous"/>
      <protection locked="0"/>
    </xf>
    <xf numFmtId="37" fontId="2" fillId="0" borderId="0" xfId="3" applyProtection="1">
      <protection locked="0"/>
    </xf>
    <xf numFmtId="1" fontId="4" fillId="3" borderId="0" xfId="0" applyNumberFormat="1" applyFont="1" applyFill="1" applyProtection="1">
      <protection locked="0"/>
    </xf>
    <xf numFmtId="1" fontId="4" fillId="0" borderId="1" xfId="0" applyNumberFormat="1" applyFont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1" fontId="5" fillId="0" borderId="0" xfId="0" applyNumberFormat="1" applyFont="1" applyProtection="1">
      <protection locked="0"/>
    </xf>
    <xf numFmtId="37" fontId="10" fillId="0" borderId="0" xfId="3" applyFont="1" applyProtection="1"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37" fontId="11" fillId="0" borderId="0" xfId="3" applyFont="1" applyProtection="1">
      <protection locked="0"/>
    </xf>
    <xf numFmtId="0" fontId="7" fillId="4" borderId="36" xfId="0" applyFont="1" applyFill="1" applyBorder="1" applyAlignment="1" applyProtection="1">
      <alignment horizontal="center" vertical="center" wrapText="1"/>
      <protection locked="0"/>
    </xf>
    <xf numFmtId="0" fontId="3" fillId="5" borderId="36" xfId="5" applyFont="1" applyFill="1" applyBorder="1" applyAlignment="1" applyProtection="1">
      <alignment vertical="center" wrapText="1"/>
      <protection locked="0"/>
    </xf>
    <xf numFmtId="0" fontId="7" fillId="5" borderId="36" xfId="5" applyFont="1" applyFill="1" applyBorder="1" applyAlignment="1" applyProtection="1">
      <alignment vertical="center" wrapText="1"/>
      <protection locked="0"/>
    </xf>
    <xf numFmtId="166" fontId="8" fillId="6" borderId="36" xfId="0" applyNumberFormat="1" applyFont="1" applyFill="1" applyBorder="1" applyProtection="1">
      <protection locked="0"/>
    </xf>
    <xf numFmtId="166" fontId="6" fillId="2" borderId="36" xfId="4" applyNumberFormat="1" applyFont="1" applyFill="1" applyBorder="1" applyAlignment="1" applyProtection="1">
      <alignment horizontal="left" vertical="center" wrapText="1"/>
      <protection locked="0"/>
    </xf>
    <xf numFmtId="166" fontId="6" fillId="2" borderId="36" xfId="4" applyNumberFormat="1" applyFont="1" applyFill="1" applyBorder="1" applyProtection="1">
      <protection locked="0"/>
    </xf>
    <xf numFmtId="166" fontId="6" fillId="2" borderId="36" xfId="4" applyNumberFormat="1" applyFont="1" applyFill="1" applyBorder="1" applyAlignment="1" applyProtection="1">
      <alignment horizontal="right"/>
      <protection locked="0"/>
    </xf>
    <xf numFmtId="37" fontId="2" fillId="0" borderId="36" xfId="3" applyBorder="1" applyProtection="1">
      <protection locked="0"/>
    </xf>
    <xf numFmtId="166" fontId="6" fillId="2" borderId="36" xfId="4" applyNumberFormat="1" applyFont="1" applyFill="1" applyBorder="1" applyAlignment="1" applyProtection="1">
      <alignment wrapText="1"/>
      <protection locked="0"/>
    </xf>
    <xf numFmtId="0" fontId="6" fillId="0" borderId="36" xfId="4" applyFont="1" applyBorder="1" applyAlignment="1" applyProtection="1">
      <alignment wrapText="1"/>
      <protection locked="0"/>
    </xf>
    <xf numFmtId="37" fontId="6" fillId="0" borderId="36" xfId="3" applyFont="1" applyBorder="1" applyProtection="1">
      <protection locked="0"/>
    </xf>
    <xf numFmtId="37" fontId="6" fillId="0" borderId="36" xfId="3" applyFont="1" applyBorder="1" applyAlignment="1" applyProtection="1">
      <alignment horizontal="left"/>
      <protection locked="0"/>
    </xf>
    <xf numFmtId="0" fontId="6" fillId="0" borderId="36" xfId="4" applyFont="1" applyBorder="1" applyProtection="1">
      <protection locked="0"/>
    </xf>
    <xf numFmtId="49" fontId="6" fillId="2" borderId="36" xfId="4" applyNumberFormat="1" applyFont="1" applyFill="1" applyBorder="1" applyAlignment="1" applyProtection="1">
      <alignment horizontal="right"/>
      <protection locked="0"/>
    </xf>
    <xf numFmtId="0" fontId="8" fillId="6" borderId="36" xfId="0" applyFont="1" applyFill="1" applyBorder="1" applyAlignment="1" applyProtection="1">
      <alignment vertical="center"/>
      <protection locked="0"/>
    </xf>
    <xf numFmtId="0" fontId="8" fillId="6" borderId="36" xfId="0" applyFont="1" applyFill="1" applyBorder="1" applyProtection="1">
      <protection locked="0"/>
    </xf>
    <xf numFmtId="37" fontId="2" fillId="3" borderId="35" xfId="3" applyFill="1" applyBorder="1" applyProtection="1">
      <protection locked="0"/>
    </xf>
    <xf numFmtId="37" fontId="6" fillId="3" borderId="36" xfId="3" applyFont="1" applyFill="1" applyBorder="1" applyProtection="1">
      <protection locked="0"/>
    </xf>
    <xf numFmtId="166" fontId="6" fillId="3" borderId="36" xfId="4" applyNumberFormat="1" applyFont="1" applyFill="1" applyBorder="1" applyProtection="1">
      <protection locked="0"/>
    </xf>
    <xf numFmtId="37" fontId="2" fillId="3" borderId="36" xfId="3" applyFill="1" applyBorder="1" applyProtection="1">
      <protection locked="0"/>
    </xf>
    <xf numFmtId="37" fontId="2" fillId="3" borderId="0" xfId="3" applyFill="1" applyProtection="1">
      <protection locked="0"/>
    </xf>
    <xf numFmtId="0" fontId="7" fillId="7" borderId="36" xfId="5" applyFont="1" applyFill="1" applyBorder="1" applyAlignment="1" applyProtection="1">
      <alignment vertical="center" wrapText="1"/>
      <protection locked="0"/>
    </xf>
    <xf numFmtId="166" fontId="7" fillId="7" borderId="36" xfId="5" applyNumberFormat="1" applyFont="1" applyFill="1" applyBorder="1" applyAlignment="1" applyProtection="1">
      <alignment vertical="center" wrapText="1"/>
      <protection locked="0"/>
    </xf>
    <xf numFmtId="37" fontId="7" fillId="7" borderId="36" xfId="5" applyNumberFormat="1" applyFont="1" applyFill="1" applyBorder="1" applyAlignment="1" applyProtection="1">
      <alignment vertical="center" wrapText="1"/>
      <protection locked="0"/>
    </xf>
    <xf numFmtId="0" fontId="7" fillId="8" borderId="36" xfId="5" applyFont="1" applyFill="1" applyBorder="1" applyAlignment="1" applyProtection="1">
      <alignment vertical="center" wrapText="1"/>
      <protection locked="0"/>
    </xf>
    <xf numFmtId="37" fontId="7" fillId="8" borderId="36" xfId="5" applyNumberFormat="1" applyFont="1" applyFill="1" applyBorder="1" applyAlignment="1" applyProtection="1">
      <alignment vertical="center" wrapText="1"/>
      <protection locked="0"/>
    </xf>
    <xf numFmtId="37" fontId="10" fillId="0" borderId="2" xfId="3" applyFont="1" applyBorder="1" applyProtection="1">
      <protection locked="0"/>
    </xf>
    <xf numFmtId="37" fontId="3" fillId="0" borderId="0" xfId="3" applyFont="1" applyAlignment="1" applyProtection="1">
      <alignment horizontal="center"/>
      <protection locked="0"/>
    </xf>
    <xf numFmtId="0" fontId="6" fillId="0" borderId="32" xfId="4" applyFont="1" applyBorder="1" applyAlignment="1" applyProtection="1">
      <alignment horizontal="left" vertical="center"/>
      <protection locked="0"/>
    </xf>
    <xf numFmtId="0" fontId="6" fillId="0" borderId="33" xfId="4" applyFont="1" applyBorder="1" applyAlignment="1" applyProtection="1">
      <alignment horizontal="left" vertical="center"/>
      <protection locked="0"/>
    </xf>
    <xf numFmtId="0" fontId="6" fillId="0" borderId="34" xfId="4" applyFont="1" applyBorder="1" applyAlignment="1" applyProtection="1">
      <alignment horizontal="left" vertical="center"/>
      <protection locked="0"/>
    </xf>
    <xf numFmtId="0" fontId="6" fillId="0" borderId="21" xfId="4" applyFont="1" applyBorder="1" applyAlignment="1" applyProtection="1">
      <alignment horizontal="left" vertical="center"/>
      <protection locked="0"/>
    </xf>
    <xf numFmtId="0" fontId="6" fillId="0" borderId="2" xfId="4" applyFont="1" applyBorder="1" applyAlignment="1" applyProtection="1">
      <alignment horizontal="left" vertical="center"/>
      <protection locked="0"/>
    </xf>
    <xf numFmtId="0" fontId="6" fillId="0" borderId="9" xfId="4" applyFont="1" applyBorder="1" applyAlignment="1" applyProtection="1">
      <alignment horizontal="left" vertical="center"/>
      <protection locked="0"/>
    </xf>
    <xf numFmtId="168" fontId="6" fillId="0" borderId="32" xfId="4" applyNumberFormat="1" applyFont="1" applyBorder="1" applyAlignment="1" applyProtection="1">
      <alignment horizontal="center" vertical="center"/>
      <protection locked="0"/>
    </xf>
    <xf numFmtId="0" fontId="6" fillId="0" borderId="33" xfId="4" applyFont="1" applyBorder="1" applyAlignment="1" applyProtection="1">
      <alignment horizontal="center" vertical="center"/>
      <protection locked="0"/>
    </xf>
    <xf numFmtId="0" fontId="6" fillId="0" borderId="34" xfId="4" applyFont="1" applyBorder="1" applyAlignment="1" applyProtection="1">
      <alignment horizontal="center" vertical="center"/>
      <protection locked="0"/>
    </xf>
    <xf numFmtId="0" fontId="6" fillId="0" borderId="21" xfId="4" applyFont="1" applyBorder="1" applyAlignment="1" applyProtection="1">
      <alignment horizontal="center" vertical="center"/>
      <protection locked="0"/>
    </xf>
    <xf numFmtId="0" fontId="6" fillId="0" borderId="2" xfId="4" applyFont="1" applyBorder="1" applyAlignment="1" applyProtection="1">
      <alignment horizontal="center" vertical="center"/>
      <protection locked="0"/>
    </xf>
    <xf numFmtId="0" fontId="6" fillId="0" borderId="9" xfId="4" applyFont="1" applyBorder="1" applyAlignment="1" applyProtection="1">
      <alignment horizontal="center" vertical="center"/>
      <protection locked="0"/>
    </xf>
    <xf numFmtId="0" fontId="3" fillId="0" borderId="32" xfId="4" applyFont="1" applyBorder="1" applyAlignment="1" applyProtection="1">
      <alignment horizontal="left" vertical="center"/>
      <protection locked="0"/>
    </xf>
    <xf numFmtId="0" fontId="3" fillId="0" borderId="33" xfId="4" applyFont="1" applyBorder="1" applyAlignment="1" applyProtection="1">
      <alignment horizontal="left" vertical="center"/>
      <protection locked="0"/>
    </xf>
    <xf numFmtId="0" fontId="3" fillId="0" borderId="34" xfId="4" applyFont="1" applyBorder="1" applyAlignment="1" applyProtection="1">
      <alignment horizontal="left" vertical="center"/>
      <protection locked="0"/>
    </xf>
    <xf numFmtId="0" fontId="3" fillId="0" borderId="21" xfId="4" applyFont="1" applyBorder="1" applyAlignment="1" applyProtection="1">
      <alignment horizontal="left" vertical="center"/>
      <protection locked="0"/>
    </xf>
    <xf numFmtId="0" fontId="3" fillId="0" borderId="2" xfId="4" applyFont="1" applyBorder="1" applyAlignment="1" applyProtection="1">
      <alignment horizontal="left" vertical="center"/>
      <protection locked="0"/>
    </xf>
    <xf numFmtId="0" fontId="3" fillId="0" borderId="9" xfId="4" applyFont="1" applyBorder="1" applyAlignment="1" applyProtection="1">
      <alignment horizontal="left" vertical="center"/>
      <protection locked="0"/>
    </xf>
    <xf numFmtId="168" fontId="3" fillId="0" borderId="32" xfId="4" applyNumberFormat="1" applyFont="1" applyBorder="1" applyAlignment="1" applyProtection="1">
      <alignment horizontal="center" vertical="center"/>
      <protection locked="0"/>
    </xf>
    <xf numFmtId="0" fontId="3" fillId="0" borderId="33" xfId="4" applyFont="1" applyBorder="1" applyAlignment="1" applyProtection="1">
      <alignment horizontal="center" vertical="center"/>
      <protection locked="0"/>
    </xf>
    <xf numFmtId="0" fontId="3" fillId="0" borderId="34" xfId="4" applyFont="1" applyBorder="1" applyAlignment="1" applyProtection="1">
      <alignment horizontal="center" vertical="center"/>
      <protection locked="0"/>
    </xf>
    <xf numFmtId="0" fontId="3" fillId="0" borderId="21" xfId="4" applyFont="1" applyBorder="1" applyAlignment="1" applyProtection="1">
      <alignment horizontal="center" vertical="center"/>
      <protection locked="0"/>
    </xf>
    <xf numFmtId="0" fontId="3" fillId="0" borderId="2" xfId="4" applyFont="1" applyBorder="1" applyAlignment="1" applyProtection="1">
      <alignment horizontal="center" vertical="center"/>
      <protection locked="0"/>
    </xf>
    <xf numFmtId="0" fontId="3" fillId="0" borderId="9" xfId="4" applyFont="1" applyBorder="1" applyAlignment="1" applyProtection="1">
      <alignment horizontal="center" vertical="center"/>
      <protection locked="0"/>
    </xf>
    <xf numFmtId="164" fontId="6" fillId="0" borderId="32" xfId="2" applyFont="1" applyBorder="1" applyAlignment="1" applyProtection="1">
      <alignment horizontal="center" vertical="center"/>
      <protection locked="0"/>
    </xf>
    <xf numFmtId="164" fontId="6" fillId="0" borderId="33" xfId="2" applyFont="1" applyBorder="1" applyAlignment="1" applyProtection="1">
      <alignment horizontal="center" vertical="center"/>
      <protection locked="0"/>
    </xf>
    <xf numFmtId="164" fontId="6" fillId="0" borderId="34" xfId="2" applyFont="1" applyBorder="1" applyAlignment="1" applyProtection="1">
      <alignment horizontal="center" vertical="center"/>
      <protection locked="0"/>
    </xf>
    <xf numFmtId="164" fontId="6" fillId="0" borderId="21" xfId="2" applyFont="1" applyBorder="1" applyAlignment="1" applyProtection="1">
      <alignment horizontal="center" vertical="center"/>
      <protection locked="0"/>
    </xf>
    <xf numFmtId="164" fontId="6" fillId="0" borderId="2" xfId="2" applyFont="1" applyBorder="1" applyAlignment="1" applyProtection="1">
      <alignment horizontal="center" vertical="center"/>
      <protection locked="0"/>
    </xf>
    <xf numFmtId="164" fontId="6" fillId="0" borderId="9" xfId="2" applyFont="1" applyBorder="1" applyAlignment="1" applyProtection="1">
      <alignment horizontal="center" vertical="center"/>
      <protection locked="0"/>
    </xf>
    <xf numFmtId="164" fontId="3" fillId="0" borderId="32" xfId="2" applyFont="1" applyBorder="1" applyAlignment="1" applyProtection="1">
      <alignment horizontal="center" vertical="center"/>
      <protection locked="0"/>
    </xf>
    <xf numFmtId="164" fontId="3" fillId="0" borderId="33" xfId="2" applyFont="1" applyBorder="1" applyAlignment="1" applyProtection="1">
      <alignment horizontal="center" vertical="center"/>
      <protection locked="0"/>
    </xf>
    <xf numFmtId="164" fontId="3" fillId="0" borderId="34" xfId="2" applyFont="1" applyBorder="1" applyAlignment="1" applyProtection="1">
      <alignment horizontal="center" vertical="center"/>
      <protection locked="0"/>
    </xf>
    <xf numFmtId="164" fontId="3" fillId="0" borderId="21" xfId="2" applyFont="1" applyBorder="1" applyAlignment="1" applyProtection="1">
      <alignment horizontal="center" vertical="center"/>
      <protection locked="0"/>
    </xf>
    <xf numFmtId="164" fontId="3" fillId="0" borderId="2" xfId="2" applyFont="1" applyBorder="1" applyAlignment="1" applyProtection="1">
      <alignment horizontal="center" vertical="center"/>
      <protection locked="0"/>
    </xf>
    <xf numFmtId="164" fontId="3" fillId="0" borderId="9" xfId="2" applyFont="1" applyBorder="1" applyAlignment="1" applyProtection="1">
      <alignment horizontal="center" vertical="center"/>
      <protection locked="0"/>
    </xf>
    <xf numFmtId="0" fontId="3" fillId="0" borderId="2" xfId="4" applyFont="1" applyBorder="1" applyAlignment="1" applyProtection="1">
      <alignment horizontal="center"/>
      <protection locked="0"/>
    </xf>
    <xf numFmtId="0" fontId="7" fillId="4" borderId="32" xfId="4" applyFont="1" applyFill="1" applyBorder="1" applyAlignment="1" applyProtection="1">
      <alignment horizontal="center" vertical="center"/>
      <protection locked="0"/>
    </xf>
    <xf numFmtId="0" fontId="7" fillId="4" borderId="33" xfId="4" applyFont="1" applyFill="1" applyBorder="1" applyAlignment="1" applyProtection="1">
      <alignment horizontal="center" vertical="center"/>
      <protection locked="0"/>
    </xf>
    <xf numFmtId="0" fontId="7" fillId="4" borderId="34" xfId="4" applyFont="1" applyFill="1" applyBorder="1" applyAlignment="1" applyProtection="1">
      <alignment horizontal="center" vertical="center"/>
      <protection locked="0"/>
    </xf>
    <xf numFmtId="0" fontId="7" fillId="4" borderId="8" xfId="4" applyFont="1" applyFill="1" applyBorder="1" applyAlignment="1" applyProtection="1">
      <alignment horizontal="center" vertical="center"/>
      <protection locked="0"/>
    </xf>
    <xf numFmtId="0" fontId="7" fillId="4" borderId="0" xfId="4" applyFont="1" applyFill="1" applyAlignment="1" applyProtection="1">
      <alignment horizontal="center" vertical="center"/>
      <protection locked="0"/>
    </xf>
    <xf numFmtId="0" fontId="7" fillId="4" borderId="13" xfId="4" applyFont="1" applyFill="1" applyBorder="1" applyAlignment="1" applyProtection="1">
      <alignment horizontal="center" vertical="center"/>
      <protection locked="0"/>
    </xf>
    <xf numFmtId="0" fontId="7" fillId="4" borderId="21" xfId="4" applyFont="1" applyFill="1" applyBorder="1" applyAlignment="1" applyProtection="1">
      <alignment horizontal="center" vertical="center"/>
      <protection locked="0"/>
    </xf>
    <xf numFmtId="0" fontId="7" fillId="4" borderId="2" xfId="4" applyFont="1" applyFill="1" applyBorder="1" applyAlignment="1" applyProtection="1">
      <alignment horizontal="center" vertical="center"/>
      <protection locked="0"/>
    </xf>
    <xf numFmtId="0" fontId="7" fillId="4" borderId="9" xfId="4" applyFont="1" applyFill="1" applyBorder="1" applyAlignment="1" applyProtection="1">
      <alignment horizontal="center" vertical="center"/>
      <protection locked="0"/>
    </xf>
    <xf numFmtId="0" fontId="7" fillId="9" borderId="15" xfId="4" applyFont="1" applyFill="1" applyBorder="1" applyAlignment="1" applyProtection="1">
      <alignment horizontal="center" vertical="center"/>
      <protection locked="0"/>
    </xf>
    <xf numFmtId="0" fontId="7" fillId="9" borderId="16" xfId="4" applyFont="1" applyFill="1" applyBorder="1" applyAlignment="1" applyProtection="1">
      <alignment horizontal="center" vertical="center"/>
      <protection locked="0"/>
    </xf>
    <xf numFmtId="0" fontId="7" fillId="9" borderId="17" xfId="4" applyFont="1" applyFill="1" applyBorder="1" applyAlignment="1" applyProtection="1">
      <alignment horizontal="center" vertical="center"/>
      <protection locked="0"/>
    </xf>
    <xf numFmtId="0" fontId="7" fillId="10" borderId="32" xfId="4" applyFont="1" applyFill="1" applyBorder="1" applyAlignment="1" applyProtection="1">
      <alignment horizontal="center" vertical="center"/>
      <protection locked="0"/>
    </xf>
    <xf numFmtId="0" fontId="7" fillId="10" borderId="33" xfId="4" applyFont="1" applyFill="1" applyBorder="1" applyAlignment="1" applyProtection="1">
      <alignment horizontal="center" vertical="center"/>
      <protection locked="0"/>
    </xf>
    <xf numFmtId="0" fontId="7" fillId="10" borderId="34" xfId="4" applyFont="1" applyFill="1" applyBorder="1" applyAlignment="1" applyProtection="1">
      <alignment horizontal="center" vertical="center"/>
      <protection locked="0"/>
    </xf>
    <xf numFmtId="0" fontId="7" fillId="10" borderId="8" xfId="4" applyFont="1" applyFill="1" applyBorder="1" applyAlignment="1" applyProtection="1">
      <alignment horizontal="center" vertical="center"/>
      <protection locked="0"/>
    </xf>
    <xf numFmtId="0" fontId="7" fillId="10" borderId="0" xfId="4" applyFont="1" applyFill="1" applyAlignment="1" applyProtection="1">
      <alignment horizontal="center" vertical="center"/>
      <protection locked="0"/>
    </xf>
    <xf numFmtId="0" fontId="7" fillId="10" borderId="13" xfId="4" applyFont="1" applyFill="1" applyBorder="1" applyAlignment="1" applyProtection="1">
      <alignment horizontal="center" vertical="center"/>
      <protection locked="0"/>
    </xf>
    <xf numFmtId="0" fontId="7" fillId="10" borderId="21" xfId="4" applyFont="1" applyFill="1" applyBorder="1" applyAlignment="1" applyProtection="1">
      <alignment horizontal="center" vertical="center"/>
      <protection locked="0"/>
    </xf>
    <xf numFmtId="0" fontId="7" fillId="10" borderId="2" xfId="4" applyFont="1" applyFill="1" applyBorder="1" applyAlignment="1" applyProtection="1">
      <alignment horizontal="center" vertical="center"/>
      <protection locked="0"/>
    </xf>
    <xf numFmtId="0" fontId="7" fillId="10" borderId="9" xfId="4" applyFont="1" applyFill="1" applyBorder="1" applyAlignment="1" applyProtection="1">
      <alignment horizontal="center" vertical="center"/>
      <protection locked="0"/>
    </xf>
    <xf numFmtId="0" fontId="7" fillId="9" borderId="32" xfId="4" applyFont="1" applyFill="1" applyBorder="1" applyAlignment="1" applyProtection="1">
      <alignment horizontal="center" vertical="center"/>
      <protection locked="0"/>
    </xf>
    <xf numFmtId="0" fontId="7" fillId="9" borderId="33" xfId="4" applyFont="1" applyFill="1" applyBorder="1" applyAlignment="1" applyProtection="1">
      <alignment horizontal="center" vertical="center"/>
      <protection locked="0"/>
    </xf>
    <xf numFmtId="0" fontId="7" fillId="9" borderId="34" xfId="4" applyFont="1" applyFill="1" applyBorder="1" applyAlignment="1" applyProtection="1">
      <alignment horizontal="center" vertical="center"/>
      <protection locked="0"/>
    </xf>
    <xf numFmtId="0" fontId="7" fillId="9" borderId="8" xfId="4" applyFont="1" applyFill="1" applyBorder="1" applyAlignment="1" applyProtection="1">
      <alignment horizontal="center" vertical="center"/>
      <protection locked="0"/>
    </xf>
    <xf numFmtId="0" fontId="7" fillId="9" borderId="0" xfId="4" applyFont="1" applyFill="1" applyAlignment="1" applyProtection="1">
      <alignment horizontal="center" vertical="center"/>
      <protection locked="0"/>
    </xf>
    <xf numFmtId="0" fontId="7" fillId="9" borderId="13" xfId="4" applyFont="1" applyFill="1" applyBorder="1" applyAlignment="1" applyProtection="1">
      <alignment horizontal="center" vertical="center"/>
      <protection locked="0"/>
    </xf>
    <xf numFmtId="0" fontId="7" fillId="9" borderId="21" xfId="4" applyFont="1" applyFill="1" applyBorder="1" applyAlignment="1" applyProtection="1">
      <alignment horizontal="center" vertical="center"/>
      <protection locked="0"/>
    </xf>
    <xf numFmtId="0" fontId="7" fillId="9" borderId="2" xfId="4" applyFont="1" applyFill="1" applyBorder="1" applyAlignment="1" applyProtection="1">
      <alignment horizontal="center" vertical="center"/>
      <protection locked="0"/>
    </xf>
    <xf numFmtId="0" fontId="7" fillId="9" borderId="9" xfId="4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center" vertical="center" wrapText="1"/>
      <protection locked="0"/>
    </xf>
    <xf numFmtId="0" fontId="7" fillId="4" borderId="19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5" xfId="0" applyFont="1" applyFill="1" applyBorder="1" applyAlignment="1" applyProtection="1">
      <alignment horizontal="center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37" fontId="3" fillId="0" borderId="0" xfId="3" applyFont="1" applyAlignment="1" applyProtection="1">
      <alignment horizontal="center" vertical="center"/>
      <protection locked="0"/>
    </xf>
    <xf numFmtId="37" fontId="3" fillId="0" borderId="0" xfId="4" applyNumberFormat="1" applyFont="1" applyAlignment="1" applyProtection="1">
      <alignment horizontal="center"/>
      <protection locked="0"/>
    </xf>
    <xf numFmtId="1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0" fontId="7" fillId="4" borderId="13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9" xfId="0" applyFont="1" applyFill="1" applyBorder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 vertical="center" wrapText="1"/>
      <protection locked="0"/>
    </xf>
    <xf numFmtId="0" fontId="7" fillId="4" borderId="11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7" fillId="4" borderId="14" xfId="0" applyFont="1" applyFill="1" applyBorder="1" applyAlignment="1" applyProtection="1">
      <alignment horizontal="center" vertical="center" wrapText="1"/>
      <protection locked="0"/>
    </xf>
    <xf numFmtId="0" fontId="7" fillId="4" borderId="20" xfId="0" applyFont="1" applyFill="1" applyBorder="1" applyAlignment="1" applyProtection="1">
      <alignment horizontal="center" vertical="center" wrapText="1"/>
      <protection locked="0"/>
    </xf>
    <xf numFmtId="0" fontId="7" fillId="4" borderId="16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/>
      <protection locked="0"/>
    </xf>
    <xf numFmtId="37" fontId="6" fillId="0" borderId="15" xfId="3" applyFont="1" applyBorder="1" applyAlignment="1" applyProtection="1">
      <alignment horizontal="center"/>
      <protection locked="0"/>
    </xf>
    <xf numFmtId="37" fontId="6" fillId="0" borderId="16" xfId="3" applyFont="1" applyBorder="1" applyAlignment="1" applyProtection="1">
      <alignment horizontal="center"/>
      <protection locked="0"/>
    </xf>
    <xf numFmtId="37" fontId="6" fillId="0" borderId="17" xfId="3" applyFont="1" applyBorder="1" applyAlignment="1" applyProtection="1">
      <alignment horizontal="center"/>
      <protection locked="0"/>
    </xf>
    <xf numFmtId="37" fontId="2" fillId="0" borderId="2" xfId="3" applyBorder="1" applyAlignment="1" applyProtection="1">
      <alignment horizontal="center"/>
      <protection locked="0"/>
    </xf>
    <xf numFmtId="37" fontId="3" fillId="0" borderId="33" xfId="3" applyFont="1" applyBorder="1" applyAlignment="1" applyProtection="1">
      <alignment horizontal="center"/>
      <protection locked="0"/>
    </xf>
    <xf numFmtId="0" fontId="7" fillId="4" borderId="36" xfId="0" applyFont="1" applyFill="1" applyBorder="1" applyAlignment="1" applyProtection="1">
      <alignment horizontal="center" vertical="center" wrapText="1"/>
      <protection locked="0"/>
    </xf>
  </cellXfs>
  <cellStyles count="6">
    <cellStyle name="Moneda" xfId="1" builtinId="4"/>
    <cellStyle name="Moneda [0]" xfId="2" builtinId="7"/>
    <cellStyle name="Normal" xfId="0" builtinId="0"/>
    <cellStyle name="Normal 2 2" xfId="5" xr:uid="{CC53C1C9-BF3E-4955-A183-0B9112B98180}"/>
    <cellStyle name="Normal 3" xfId="3" xr:uid="{92E04844-6D3E-45E2-8C4D-ED8AE40B8178}"/>
    <cellStyle name="Normal_FORMATO" xfId="4" xr:uid="{665FD62E-A12B-4EB1-8002-FB8A45595A88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43"/>
  <sheetViews>
    <sheetView tabSelected="1" workbookViewId="0">
      <selection activeCell="M138" sqref="M138:O139"/>
    </sheetView>
  </sheetViews>
  <sheetFormatPr baseColWidth="10" defaultColWidth="42.5703125" defaultRowHeight="15" x14ac:dyDescent="0.25"/>
  <cols>
    <col min="1" max="1" width="41.7109375" bestFit="1" customWidth="1"/>
    <col min="2" max="2" width="5.140625" bestFit="1" customWidth="1"/>
    <col min="3" max="3" width="35.42578125" bestFit="1" customWidth="1"/>
    <col min="4" max="4" width="13.140625" bestFit="1" customWidth="1"/>
    <col min="5" max="5" width="15.28515625" bestFit="1" customWidth="1"/>
    <col min="6" max="6" width="18" bestFit="1" customWidth="1"/>
    <col min="7" max="7" width="15.28515625" bestFit="1" customWidth="1"/>
    <col min="8" max="8" width="17.7109375" bestFit="1" customWidth="1"/>
    <col min="9" max="9" width="15.28515625" bestFit="1" customWidth="1"/>
    <col min="10" max="10" width="14" bestFit="1" customWidth="1"/>
    <col min="11" max="11" width="25" bestFit="1" customWidth="1"/>
    <col min="12" max="12" width="31.5703125" bestFit="1" customWidth="1"/>
    <col min="13" max="13" width="14" bestFit="1" customWidth="1"/>
    <col min="14" max="14" width="14.5703125" bestFit="1" customWidth="1"/>
    <col min="15" max="15" width="27.85546875" bestFit="1" customWidth="1"/>
    <col min="16" max="16" width="21.140625" bestFit="1" customWidth="1"/>
    <col min="17" max="17" width="16" customWidth="1"/>
    <col min="18" max="21" width="17.42578125" bestFit="1" customWidth="1"/>
    <col min="22" max="22" width="14.42578125" bestFit="1" customWidth="1"/>
    <col min="23" max="23" width="14.7109375" bestFit="1" customWidth="1"/>
    <col min="24" max="24" width="15.28515625" bestFit="1" customWidth="1"/>
    <col min="25" max="25" width="21.140625" bestFit="1" customWidth="1"/>
    <col min="26" max="26" width="24.42578125" bestFit="1" customWidth="1"/>
    <col min="27" max="27" width="15.5703125" customWidth="1"/>
    <col min="28" max="31" width="11.85546875" bestFit="1" customWidth="1"/>
    <col min="32" max="32" width="7.85546875" bestFit="1" customWidth="1"/>
    <col min="33" max="35" width="14" bestFit="1" customWidth="1"/>
    <col min="36" max="36" width="15.140625" bestFit="1" customWidth="1"/>
    <col min="37" max="37" width="22.5703125" bestFit="1" customWidth="1"/>
    <col min="38" max="38" width="35.140625" bestFit="1" customWidth="1"/>
    <col min="39" max="39" width="14" bestFit="1" customWidth="1"/>
    <col min="40" max="41" width="12.7109375" bestFit="1" customWidth="1"/>
    <col min="42" max="42" width="35.5703125" bestFit="1" customWidth="1"/>
    <col min="43" max="43" width="32.42578125" bestFit="1" customWidth="1"/>
    <col min="44" max="44" width="14.7109375" bestFit="1" customWidth="1"/>
    <col min="45" max="45" width="23.140625" bestFit="1" customWidth="1"/>
    <col min="46" max="46" width="38.85546875" bestFit="1" customWidth="1"/>
    <col min="47" max="47" width="12.7109375" bestFit="1" customWidth="1"/>
    <col min="48" max="48" width="15.7109375" bestFit="1" customWidth="1"/>
  </cols>
  <sheetData>
    <row r="1" spans="1:48" x14ac:dyDescent="0.25">
      <c r="A1" s="184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</row>
    <row r="2" spans="1:48" x14ac:dyDescent="0.25">
      <c r="A2" s="184" t="s">
        <v>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</row>
    <row r="3" spans="1:48" x14ac:dyDescent="0.25">
      <c r="A3" s="185" t="s">
        <v>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5"/>
      <c r="AO3" s="185"/>
      <c r="AP3" s="185"/>
      <c r="AQ3" s="185"/>
      <c r="AR3" s="185"/>
      <c r="AS3" s="185"/>
      <c r="AT3" s="185"/>
      <c r="AU3" s="185"/>
      <c r="AV3" s="185"/>
    </row>
    <row r="4" spans="1:48" x14ac:dyDescent="0.25">
      <c r="A4" s="1" t="s">
        <v>3</v>
      </c>
      <c r="B4" s="186" t="s">
        <v>4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x14ac:dyDescent="0.25">
      <c r="A5" s="1" t="s">
        <v>5</v>
      </c>
      <c r="B5" s="187" t="s">
        <v>6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x14ac:dyDescent="0.25">
      <c r="A6" s="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x14ac:dyDescent="0.25">
      <c r="A7" s="2"/>
      <c r="B7" s="2"/>
      <c r="C7" s="4"/>
      <c r="D7" s="188" t="s">
        <v>7</v>
      </c>
      <c r="E7" s="188"/>
      <c r="F7" s="188"/>
      <c r="G7" s="188"/>
      <c r="H7" s="188"/>
      <c r="I7" s="188"/>
      <c r="J7" s="188"/>
      <c r="K7" s="188"/>
      <c r="L7" s="5">
        <v>2023</v>
      </c>
      <c r="M7" s="2"/>
      <c r="N7" s="2"/>
      <c r="O7" s="6" t="s">
        <v>8</v>
      </c>
      <c r="P7" s="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x14ac:dyDescent="0.25">
      <c r="A8" s="7"/>
      <c r="B8" s="4"/>
      <c r="C8" s="8"/>
      <c r="D8" s="9"/>
      <c r="E8" s="9"/>
      <c r="F8" s="9"/>
      <c r="G8" s="9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 x14ac:dyDescent="0.25">
      <c r="A9" s="189" t="s">
        <v>9</v>
      </c>
      <c r="B9" s="191" t="s">
        <v>10</v>
      </c>
      <c r="C9" s="193" t="s">
        <v>11</v>
      </c>
      <c r="D9" s="192" t="s">
        <v>12</v>
      </c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5"/>
      <c r="S9" s="195"/>
      <c r="T9" s="195"/>
      <c r="U9" s="195"/>
      <c r="V9" s="195"/>
      <c r="W9" s="196"/>
      <c r="X9" s="197" t="s">
        <v>13</v>
      </c>
      <c r="Y9" s="198"/>
      <c r="Z9" s="198"/>
      <c r="AA9" s="198"/>
      <c r="AB9" s="198"/>
      <c r="AC9" s="198"/>
      <c r="AD9" s="198"/>
      <c r="AE9" s="198"/>
      <c r="AF9" s="198"/>
      <c r="AG9" s="199"/>
      <c r="AH9" s="197" t="s">
        <v>14</v>
      </c>
      <c r="AI9" s="198"/>
      <c r="AJ9" s="198"/>
      <c r="AK9" s="198"/>
      <c r="AL9" s="198"/>
      <c r="AM9" s="198"/>
      <c r="AN9" s="198"/>
      <c r="AO9" s="198"/>
      <c r="AP9" s="198"/>
      <c r="AQ9" s="198"/>
      <c r="AR9" s="199"/>
      <c r="AS9" s="192" t="s">
        <v>15</v>
      </c>
      <c r="AT9" s="194"/>
      <c r="AU9" s="190"/>
      <c r="AV9" s="200" t="s">
        <v>16</v>
      </c>
    </row>
    <row r="10" spans="1:48" x14ac:dyDescent="0.25">
      <c r="A10" s="190"/>
      <c r="B10" s="192"/>
      <c r="C10" s="192"/>
      <c r="D10" s="182" t="s">
        <v>17</v>
      </c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183"/>
      <c r="R10" s="182" t="s">
        <v>18</v>
      </c>
      <c r="S10" s="202"/>
      <c r="T10" s="202"/>
      <c r="U10" s="202"/>
      <c r="V10" s="183"/>
      <c r="W10" s="179" t="s">
        <v>19</v>
      </c>
      <c r="X10" s="182" t="s">
        <v>20</v>
      </c>
      <c r="Y10" s="202"/>
      <c r="Z10" s="202"/>
      <c r="AA10" s="183"/>
      <c r="AB10" s="182" t="s">
        <v>21</v>
      </c>
      <c r="AC10" s="202"/>
      <c r="AD10" s="202"/>
      <c r="AE10" s="202"/>
      <c r="AF10" s="183"/>
      <c r="AG10" s="179" t="s">
        <v>19</v>
      </c>
      <c r="AH10" s="180" t="s">
        <v>22</v>
      </c>
      <c r="AI10" s="180" t="s">
        <v>23</v>
      </c>
      <c r="AJ10" s="180" t="s">
        <v>24</v>
      </c>
      <c r="AK10" s="180" t="s">
        <v>25</v>
      </c>
      <c r="AL10" s="180" t="s">
        <v>26</v>
      </c>
      <c r="AM10" s="180" t="s">
        <v>27</v>
      </c>
      <c r="AN10" s="180" t="s">
        <v>28</v>
      </c>
      <c r="AO10" s="180" t="s">
        <v>29</v>
      </c>
      <c r="AP10" s="180" t="s">
        <v>30</v>
      </c>
      <c r="AQ10" s="180" t="s">
        <v>31</v>
      </c>
      <c r="AR10" s="180" t="s">
        <v>19</v>
      </c>
      <c r="AS10" s="181" t="s">
        <v>32</v>
      </c>
      <c r="AT10" s="181" t="s">
        <v>33</v>
      </c>
      <c r="AU10" s="181" t="s">
        <v>34</v>
      </c>
      <c r="AV10" s="201"/>
    </row>
    <row r="11" spans="1:48" x14ac:dyDescent="0.25">
      <c r="A11" s="190"/>
      <c r="B11" s="192"/>
      <c r="C11" s="180"/>
      <c r="D11" s="182" t="s">
        <v>35</v>
      </c>
      <c r="E11" s="183"/>
      <c r="F11" s="179" t="s">
        <v>36</v>
      </c>
      <c r="G11" s="179" t="s">
        <v>37</v>
      </c>
      <c r="H11" s="179" t="s">
        <v>38</v>
      </c>
      <c r="I11" s="179" t="s">
        <v>39</v>
      </c>
      <c r="J11" s="179" t="s">
        <v>40</v>
      </c>
      <c r="K11" s="179" t="s">
        <v>41</v>
      </c>
      <c r="L11" s="179" t="s">
        <v>42</v>
      </c>
      <c r="M11" s="179" t="s">
        <v>43</v>
      </c>
      <c r="N11" s="179" t="s">
        <v>44</v>
      </c>
      <c r="O11" s="179" t="s">
        <v>45</v>
      </c>
      <c r="P11" s="179" t="s">
        <v>46</v>
      </c>
      <c r="Q11" s="179" t="s">
        <v>47</v>
      </c>
      <c r="R11" s="179" t="s">
        <v>48</v>
      </c>
      <c r="S11" s="179" t="s">
        <v>49</v>
      </c>
      <c r="T11" s="179" t="s">
        <v>50</v>
      </c>
      <c r="U11" s="179" t="s">
        <v>51</v>
      </c>
      <c r="V11" s="179" t="s">
        <v>52</v>
      </c>
      <c r="W11" s="180"/>
      <c r="X11" s="179" t="s">
        <v>53</v>
      </c>
      <c r="Y11" s="179" t="s">
        <v>54</v>
      </c>
      <c r="Z11" s="179" t="s">
        <v>55</v>
      </c>
      <c r="AA11" s="179" t="s">
        <v>47</v>
      </c>
      <c r="AB11" s="179" t="s">
        <v>56</v>
      </c>
      <c r="AC11" s="179" t="s">
        <v>57</v>
      </c>
      <c r="AD11" s="179" t="s">
        <v>58</v>
      </c>
      <c r="AE11" s="179" t="s">
        <v>59</v>
      </c>
      <c r="AF11" s="179" t="s">
        <v>52</v>
      </c>
      <c r="AG11" s="180"/>
      <c r="AH11" s="180"/>
      <c r="AI11" s="180"/>
      <c r="AJ11" s="180"/>
      <c r="AK11" s="180"/>
      <c r="AL11" s="180"/>
      <c r="AM11" s="180"/>
      <c r="AN11" s="180"/>
      <c r="AO11" s="180"/>
      <c r="AP11" s="180" t="s">
        <v>60</v>
      </c>
      <c r="AQ11" s="180" t="s">
        <v>60</v>
      </c>
      <c r="AR11" s="180" t="s">
        <v>60</v>
      </c>
      <c r="AS11" s="181"/>
      <c r="AT11" s="181"/>
      <c r="AU11" s="181"/>
      <c r="AV11" s="201"/>
    </row>
    <row r="12" spans="1:48" x14ac:dyDescent="0.25">
      <c r="A12" s="190"/>
      <c r="B12" s="192"/>
      <c r="C12" s="180"/>
      <c r="D12" s="11" t="s">
        <v>61</v>
      </c>
      <c r="E12" s="11" t="s">
        <v>62</v>
      </c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 t="s">
        <v>63</v>
      </c>
      <c r="AQ12" s="180" t="s">
        <v>63</v>
      </c>
      <c r="AR12" s="180" t="s">
        <v>63</v>
      </c>
      <c r="AS12" s="181"/>
      <c r="AT12" s="181"/>
      <c r="AU12" s="181"/>
      <c r="AV12" s="201"/>
    </row>
    <row r="13" spans="1:48" x14ac:dyDescent="0.25">
      <c r="A13" s="12">
        <v>1</v>
      </c>
      <c r="B13" s="13">
        <v>2</v>
      </c>
      <c r="C13" s="14">
        <v>3</v>
      </c>
      <c r="D13" s="12"/>
      <c r="E13" s="12">
        <v>4.0999999999999996</v>
      </c>
      <c r="F13" s="12">
        <v>4.2</v>
      </c>
      <c r="G13" s="12">
        <v>4.3</v>
      </c>
      <c r="H13" s="12">
        <v>4.4000000000000004</v>
      </c>
      <c r="I13" s="12">
        <v>4.5</v>
      </c>
      <c r="J13" s="12">
        <v>4.5999999999999996</v>
      </c>
      <c r="K13" s="12">
        <v>4.7</v>
      </c>
      <c r="L13" s="12">
        <v>4.8</v>
      </c>
      <c r="M13" s="12">
        <v>4.9000000000000004</v>
      </c>
      <c r="N13" s="15">
        <v>4.0999999999999996</v>
      </c>
      <c r="O13" s="12">
        <v>4.1100000000000003</v>
      </c>
      <c r="P13" s="12">
        <v>4.12</v>
      </c>
      <c r="Q13" s="12">
        <v>4</v>
      </c>
      <c r="R13" s="14">
        <v>5.0999999999999996</v>
      </c>
      <c r="S13" s="12">
        <v>5.2</v>
      </c>
      <c r="T13" s="12">
        <v>5.3</v>
      </c>
      <c r="U13" s="12">
        <v>5.4</v>
      </c>
      <c r="V13" s="12">
        <v>5</v>
      </c>
      <c r="W13" s="12" t="s">
        <v>64</v>
      </c>
      <c r="X13" s="12">
        <v>7.1</v>
      </c>
      <c r="Y13" s="12">
        <v>7.2</v>
      </c>
      <c r="Z13" s="12">
        <v>7.3</v>
      </c>
      <c r="AA13" s="12">
        <v>7</v>
      </c>
      <c r="AB13" s="12">
        <v>8.1</v>
      </c>
      <c r="AC13" s="12">
        <v>8.1999999999999993</v>
      </c>
      <c r="AD13" s="12">
        <v>8.3000000000000007</v>
      </c>
      <c r="AE13" s="12">
        <v>8.4</v>
      </c>
      <c r="AF13" s="12">
        <v>8</v>
      </c>
      <c r="AG13" s="12" t="s">
        <v>65</v>
      </c>
      <c r="AH13" s="12">
        <v>10.1</v>
      </c>
      <c r="AI13" s="12">
        <v>10.199999999999999</v>
      </c>
      <c r="AJ13" s="12">
        <v>10.3</v>
      </c>
      <c r="AK13" s="12">
        <v>10.4</v>
      </c>
      <c r="AL13" s="12">
        <v>10.5</v>
      </c>
      <c r="AM13" s="12">
        <v>10.6</v>
      </c>
      <c r="AN13" s="12">
        <v>10.7</v>
      </c>
      <c r="AO13" s="12">
        <v>10.8</v>
      </c>
      <c r="AP13" s="12">
        <v>10.9</v>
      </c>
      <c r="AQ13" s="15">
        <v>10.1</v>
      </c>
      <c r="AR13" s="12">
        <v>10</v>
      </c>
      <c r="AS13" s="16">
        <v>11.1</v>
      </c>
      <c r="AT13" s="16">
        <v>11.2</v>
      </c>
      <c r="AU13" s="16" t="s">
        <v>66</v>
      </c>
      <c r="AV13" s="17" t="s">
        <v>67</v>
      </c>
    </row>
    <row r="14" spans="1:48" x14ac:dyDescent="0.25">
      <c r="A14" s="18" t="s">
        <v>68</v>
      </c>
      <c r="B14" s="19"/>
      <c r="C14" s="20"/>
      <c r="D14" s="21"/>
      <c r="E14" s="21"/>
      <c r="F14" s="21"/>
      <c r="G14" s="21"/>
      <c r="H14" s="21"/>
      <c r="I14" s="22"/>
      <c r="J14" s="22"/>
      <c r="K14" s="22"/>
      <c r="L14" s="23"/>
      <c r="M14" s="21"/>
      <c r="N14" s="21"/>
      <c r="O14" s="21"/>
      <c r="P14" s="21"/>
      <c r="Q14" s="21"/>
      <c r="R14" s="21"/>
      <c r="S14" s="21"/>
      <c r="T14" s="22"/>
      <c r="U14" s="22"/>
      <c r="V14" s="23"/>
      <c r="W14" s="22"/>
      <c r="X14" s="22"/>
      <c r="Y14" s="23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2"/>
      <c r="AO14" s="22"/>
      <c r="AP14" s="23"/>
      <c r="AQ14" s="22"/>
      <c r="AR14" s="23"/>
      <c r="AS14" s="24"/>
      <c r="AT14" s="24"/>
      <c r="AU14" s="24"/>
      <c r="AV14" s="23"/>
    </row>
    <row r="15" spans="1:48" x14ac:dyDescent="0.25">
      <c r="A15" s="25" t="s">
        <v>69</v>
      </c>
      <c r="B15" s="26"/>
      <c r="C15" s="27">
        <f t="shared" ref="C15:AV15" si="0">SUM(C16:C24)</f>
        <v>19</v>
      </c>
      <c r="D15" s="28">
        <f t="shared" si="0"/>
        <v>68200838.742200002</v>
      </c>
      <c r="E15" s="28">
        <f t="shared" si="0"/>
        <v>1592524834.6104002</v>
      </c>
      <c r="F15" s="28">
        <f t="shared" si="0"/>
        <v>199027752</v>
      </c>
      <c r="G15" s="28">
        <f t="shared" si="0"/>
        <v>573333870.60720003</v>
      </c>
      <c r="H15" s="28">
        <f t="shared" si="0"/>
        <v>0</v>
      </c>
      <c r="I15" s="28">
        <f t="shared" si="0"/>
        <v>0</v>
      </c>
      <c r="J15" s="28">
        <f t="shared" si="0"/>
        <v>81854256.928179443</v>
      </c>
      <c r="K15" s="28">
        <f t="shared" si="0"/>
        <v>46397507.552480005</v>
      </c>
      <c r="L15" s="28">
        <f t="shared" si="0"/>
        <v>0</v>
      </c>
      <c r="M15" s="28">
        <f t="shared" si="0"/>
        <v>335383332.64553976</v>
      </c>
      <c r="N15" s="28">
        <f t="shared" si="0"/>
        <v>156459537.94965294</v>
      </c>
      <c r="O15" s="28">
        <f t="shared" si="0"/>
        <v>0</v>
      </c>
      <c r="P15" s="28">
        <f t="shared" si="0"/>
        <v>0</v>
      </c>
      <c r="Q15" s="28">
        <f t="shared" si="0"/>
        <v>2984981092.2934513</v>
      </c>
      <c r="R15" s="28">
        <f t="shared" si="0"/>
        <v>15482295.394080002</v>
      </c>
      <c r="S15" s="28">
        <f>SUM(S16:S24)</f>
        <v>296124081.59280002</v>
      </c>
      <c r="T15" s="28">
        <f>SUM(T16:T24)</f>
        <v>191266458.03671998</v>
      </c>
      <c r="U15" s="28">
        <f t="shared" si="0"/>
        <v>0</v>
      </c>
      <c r="V15" s="28">
        <f t="shared" si="0"/>
        <v>502872835.02360004</v>
      </c>
      <c r="W15" s="28">
        <f t="shared" si="0"/>
        <v>3487853927.3170514</v>
      </c>
      <c r="X15" s="28">
        <f t="shared" si="0"/>
        <v>119952312.42806724</v>
      </c>
      <c r="Y15" s="28">
        <f t="shared" si="0"/>
        <v>20000000</v>
      </c>
      <c r="Z15" s="28">
        <f t="shared" si="0"/>
        <v>10524456.992279999</v>
      </c>
      <c r="AA15" s="28">
        <f t="shared" si="0"/>
        <v>150476769.42034724</v>
      </c>
      <c r="AB15" s="28">
        <f t="shared" si="0"/>
        <v>0</v>
      </c>
      <c r="AC15" s="28">
        <f t="shared" si="0"/>
        <v>0</v>
      </c>
      <c r="AD15" s="28">
        <f t="shared" si="0"/>
        <v>0</v>
      </c>
      <c r="AE15" s="28">
        <f t="shared" si="0"/>
        <v>0</v>
      </c>
      <c r="AF15" s="28">
        <f t="shared" si="0"/>
        <v>0</v>
      </c>
      <c r="AG15" s="28">
        <f t="shared" si="0"/>
        <v>150476769.42034724</v>
      </c>
      <c r="AH15" s="28">
        <f t="shared" si="0"/>
        <v>235418674.19954115</v>
      </c>
      <c r="AI15" s="28">
        <f t="shared" si="0"/>
        <v>166982684.13348612</v>
      </c>
      <c r="AJ15" s="28">
        <f t="shared" si="0"/>
        <v>163708513.85635889</v>
      </c>
      <c r="AK15" s="28">
        <f t="shared" si="0"/>
        <v>73658807.339044005</v>
      </c>
      <c r="AL15" s="28">
        <f t="shared" si="0"/>
        <v>10671079.149735663</v>
      </c>
      <c r="AM15" s="28">
        <f t="shared" si="0"/>
        <v>55793630.388264433</v>
      </c>
      <c r="AN15" s="28">
        <f t="shared" si="0"/>
        <v>10410282.700334141</v>
      </c>
      <c r="AO15" s="28">
        <f t="shared" si="0"/>
        <v>10410282.700334141</v>
      </c>
      <c r="AP15" s="28">
        <f t="shared" si="0"/>
        <v>19160607.424352441</v>
      </c>
      <c r="AQ15" s="28">
        <f t="shared" si="0"/>
        <v>0</v>
      </c>
      <c r="AR15" s="29">
        <f t="shared" si="0"/>
        <v>746214561.89145076</v>
      </c>
      <c r="AS15" s="28">
        <f t="shared" si="0"/>
        <v>6921325.3508888381</v>
      </c>
      <c r="AT15" s="28">
        <f t="shared" si="0"/>
        <v>6528071.324193107</v>
      </c>
      <c r="AU15" s="30">
        <f t="shared" si="0"/>
        <v>13449396.675081944</v>
      </c>
      <c r="AV15" s="29">
        <f t="shared" si="0"/>
        <v>4384545258.62885</v>
      </c>
    </row>
    <row r="16" spans="1:48" x14ac:dyDescent="0.25">
      <c r="A16" s="31" t="s">
        <v>70</v>
      </c>
      <c r="B16" s="32">
        <v>0</v>
      </c>
      <c r="C16" s="33">
        <v>1</v>
      </c>
      <c r="D16" s="34">
        <v>5785838.2268000003</v>
      </c>
      <c r="E16" s="35">
        <f t="shared" ref="E16:E24" si="1">D16*C16*12</f>
        <v>69430058.721599996</v>
      </c>
      <c r="F16" s="35">
        <f>9589707*12</f>
        <v>115076484</v>
      </c>
      <c r="G16" s="35">
        <f>8570806*12</f>
        <v>102849672</v>
      </c>
      <c r="H16" s="35">
        <f>(IF(D16&gt;=2000000,0,66098))*12</f>
        <v>0</v>
      </c>
      <c r="I16" s="35">
        <f>+(IF(D16&lt;(877803*2),102854,0)*12)</f>
        <v>0</v>
      </c>
      <c r="J16" s="35">
        <f>+(E16+F16+G16+H16+I16+(K16/12))/24</f>
        <v>12002277.081904791</v>
      </c>
      <c r="K16" s="35">
        <f>+IF(D16&lt;1853502,((D16+(F16/12)+(G16/12))*0.5),((D16+(F16/12)+(G16/12))*0.35))</f>
        <v>8381222.9293800006</v>
      </c>
      <c r="L16" s="35">
        <v>0</v>
      </c>
      <c r="M16" s="35">
        <f>+(((D16+(F16/12)+(G16/12))+J16/12+K16/12+N16/12)*C16)</f>
        <v>26784292.9456021</v>
      </c>
      <c r="N16" s="35">
        <f>+(D16+F16/12+G16/12)/2+J16/12+K16/12</f>
        <v>13671800.6143404</v>
      </c>
      <c r="O16" s="35"/>
      <c r="P16" s="35"/>
      <c r="Q16" s="35">
        <f>SUM(E16:P16)</f>
        <v>348195808.29282731</v>
      </c>
      <c r="R16" s="35">
        <v>0</v>
      </c>
      <c r="S16" s="35"/>
      <c r="T16" s="35"/>
      <c r="U16" s="35"/>
      <c r="V16" s="35">
        <f t="shared" ref="V16:V24" si="2">SUM(R16:U16)</f>
        <v>0</v>
      </c>
      <c r="W16" s="35">
        <f>Q16+V16</f>
        <v>348195808.29282731</v>
      </c>
      <c r="X16" s="35">
        <f>+(((D16+(F16/12)+(G16/12))/2+(J16/12)+(K16/12))*23/30)*C16</f>
        <v>10481713.804327641</v>
      </c>
      <c r="Y16" s="35">
        <v>20000000</v>
      </c>
      <c r="Z16" s="35">
        <f>+((D16+F16/12+G16/12)/30)*2</f>
        <v>1596423.4151200003</v>
      </c>
      <c r="AA16" s="35">
        <f t="shared" ref="AA16:AA24" si="3">SUM(X16:Z16)</f>
        <v>32078137.219447643</v>
      </c>
      <c r="AB16" s="35"/>
      <c r="AC16" s="35"/>
      <c r="AD16" s="35"/>
      <c r="AE16" s="35"/>
      <c r="AF16" s="35">
        <f t="shared" ref="AF16:AF24" si="4">SUM(AB16:AE16)</f>
        <v>0</v>
      </c>
      <c r="AG16" s="35">
        <f>AA16+AF16</f>
        <v>32078137.219447643</v>
      </c>
      <c r="AH16" s="35">
        <f>+(E16+F16+G16+H16+I16+K16/12)*0.12</f>
        <v>34566557.995885797</v>
      </c>
      <c r="AI16" s="35">
        <f>+(E16+F16+G16+H16+I16+K16/12)*0.085</f>
        <v>24484645.247085776</v>
      </c>
      <c r="AJ16" s="35">
        <f>(E16+F16+G16+H16+I16+K16/12)/12</f>
        <v>24004554.163809583</v>
      </c>
      <c r="AK16" s="36">
        <f>+((D16*0.0462528468870403)*C16)*12</f>
        <v>3211337.8754083822</v>
      </c>
      <c r="AL16" s="36">
        <f>+((D16*0.00670073013482786)*C16)*12</f>
        <v>465232.086738693</v>
      </c>
      <c r="AM16" s="35">
        <f>+(((D16*0.0350347003548701)*C16)*12)</f>
        <v>2432461.3029322913</v>
      </c>
      <c r="AN16" s="36">
        <f>+(((D16*0.00653696725733068)*C16)*12)</f>
        <v>453862.02053764567</v>
      </c>
      <c r="AO16" s="36">
        <f>+(((D16*0.00653696725733068)*C16)*12)</f>
        <v>453862.02053764567</v>
      </c>
      <c r="AP16" s="35">
        <f>+(((D16*0.0120315909729847)*C16)*12)</f>
        <v>835354.06776860019</v>
      </c>
      <c r="AQ16" s="35">
        <v>0</v>
      </c>
      <c r="AR16" s="37">
        <f t="shared" ref="AR16:AR24" si="5">SUM(AH16:AQ16)</f>
        <v>90907866.780704409</v>
      </c>
      <c r="AS16" s="36">
        <f>+(((D16*0.00434613338546905)*C16)*12)</f>
        <v>301752.29616502236</v>
      </c>
      <c r="AT16" s="36">
        <f>+((D16*0.00409919593234485)*C16)*12</f>
        <v>284607.41429404682</v>
      </c>
      <c r="AU16" s="36">
        <f>SUM(AS16:AT16)</f>
        <v>586359.71045906912</v>
      </c>
      <c r="AV16" s="38">
        <f t="shared" ref="AV16:AV24" si="6">W16+AG16+AR16</f>
        <v>471181812.29297936</v>
      </c>
    </row>
    <row r="17" spans="1:48" x14ac:dyDescent="0.25">
      <c r="A17" s="31" t="s">
        <v>71</v>
      </c>
      <c r="B17" s="32">
        <v>0</v>
      </c>
      <c r="C17" s="33">
        <v>1</v>
      </c>
      <c r="D17" s="34">
        <v>4220919.1172000002</v>
      </c>
      <c r="E17" s="35">
        <f t="shared" si="1"/>
        <v>50651029.406400003</v>
      </c>
      <c r="F17" s="35">
        <f>6995939*12</f>
        <v>83951268</v>
      </c>
      <c r="G17" s="35">
        <f>((6817989+D17)/2)*12</f>
        <v>66233448.703199998</v>
      </c>
      <c r="H17" s="35">
        <f t="shared" ref="H17:H24" si="7">(IF(D17&gt;=2000000,0,66098))*12</f>
        <v>0</v>
      </c>
      <c r="I17" s="35">
        <f t="shared" ref="I17:I52" si="8">+(IF(D17&lt;(877803*2),102854,0)*12)</f>
        <v>0</v>
      </c>
      <c r="J17" s="35">
        <f>+(E17+F17+G17+H17+I17+(K17/12))/24</f>
        <v>8388495.3561692014</v>
      </c>
      <c r="K17" s="35">
        <f t="shared" ref="K17:K27" si="9">+IF(D17&lt;1853502,((D17+(F17/12)+(G17/12))*0.5),((D17+(F17/12)+(G17/12))*0.35))</f>
        <v>5857709.2615299998</v>
      </c>
      <c r="L17" s="35">
        <v>0</v>
      </c>
      <c r="M17" s="35">
        <f t="shared" ref="M17:M23" si="10">+(((D17+(F17/12)+(G17/12))+J17/12+K17/12+N17/12)*C17)</f>
        <v>18719774.211111732</v>
      </c>
      <c r="N17" s="35">
        <f>+(D17+F17/12+G17/12)/2+J17/12+K17/12</f>
        <v>9555339.8060415983</v>
      </c>
      <c r="O17" s="35"/>
      <c r="P17" s="35"/>
      <c r="Q17" s="35">
        <f t="shared" ref="Q17:Q24" si="11">SUM(E17:P17)</f>
        <v>243357064.74445254</v>
      </c>
      <c r="R17" s="35">
        <v>0</v>
      </c>
      <c r="S17" s="35">
        <f>+(D17*0.5)*12*1</f>
        <v>25325514.703200001</v>
      </c>
      <c r="T17" s="35"/>
      <c r="U17" s="35"/>
      <c r="V17" s="35">
        <f t="shared" si="2"/>
        <v>25325514.703200001</v>
      </c>
      <c r="W17" s="35">
        <f t="shared" ref="W17:W24" si="12">Q17+V17</f>
        <v>268682579.44765252</v>
      </c>
      <c r="X17" s="35">
        <f t="shared" ref="X17:X29" si="13">+(((D17+(F17/12)+(G17/12))/2+(J17/12)+(K17/12))*23/30)*C17</f>
        <v>7325760.5179652255</v>
      </c>
      <c r="Y17" s="35">
        <v>0</v>
      </c>
      <c r="Z17" s="35">
        <f>+((D17+F17/12)/30)*2</f>
        <v>747790.54114666663</v>
      </c>
      <c r="AA17" s="35">
        <f t="shared" si="3"/>
        <v>8073551.0591118922</v>
      </c>
      <c r="AB17" s="35"/>
      <c r="AC17" s="35"/>
      <c r="AD17" s="35"/>
      <c r="AE17" s="35"/>
      <c r="AF17" s="35">
        <f t="shared" si="4"/>
        <v>0</v>
      </c>
      <c r="AG17" s="35">
        <f t="shared" ref="AG17:AG24" si="14">AA17+AF17</f>
        <v>8073551.0591118922</v>
      </c>
      <c r="AH17" s="35">
        <f>+(E17+F17+G17+H17+I17+K17/12)*0.12</f>
        <v>24158866.625767298</v>
      </c>
      <c r="AI17" s="35">
        <f>+(E17+F17+G17+H17+I17+K17/12)*0.085</f>
        <v>17112530.526585173</v>
      </c>
      <c r="AJ17" s="35">
        <f t="shared" ref="AJ17" si="15">(E17+F17+G17+H17+I17+K17/12)/12</f>
        <v>16776990.712338403</v>
      </c>
      <c r="AK17" s="36">
        <f t="shared" ref="AK17:AK81" si="16">+((D17*0.0462528468870403)*C17)*12</f>
        <v>2342754.3078051955</v>
      </c>
      <c r="AL17" s="36">
        <f t="shared" ref="AL17:AL81" si="17">+((D17*0.00670073013482786)*C17)*12</f>
        <v>339398.87910351658</v>
      </c>
      <c r="AM17" s="35">
        <f t="shared" ref="AM17:AM81" si="18">+(((D17*0.0350347003548701)*C17)*12)</f>
        <v>1774543.6379189382</v>
      </c>
      <c r="AN17" s="36">
        <f t="shared" ref="AN17:AN81" si="19">+(((D17*0.00653696725733068)*C17)*12)</f>
        <v>331104.12077973026</v>
      </c>
      <c r="AO17" s="36">
        <f t="shared" ref="AO17:AO81" si="20">+(((D17*0.00653696725733068)*C17)*12)</f>
        <v>331104.12077973026</v>
      </c>
      <c r="AP17" s="35">
        <f t="shared" ref="AP17:AP81" si="21">+(((D17*0.0120315909729847)*C17)*12)</f>
        <v>609412.46817842487</v>
      </c>
      <c r="AQ17" s="35">
        <v>0</v>
      </c>
      <c r="AR17" s="37">
        <f t="shared" si="5"/>
        <v>63776705.399256408</v>
      </c>
      <c r="AS17" s="36">
        <f t="shared" ref="AS17:AS81" si="22">+(((D17*0.00434613338546905)*C17)*12)</f>
        <v>220136.12991152966</v>
      </c>
      <c r="AT17" s="36">
        <f t="shared" ref="AT17:AT81" si="23">+((D17*0.00409919593234485)*C17)*12</f>
        <v>207628.49371179426</v>
      </c>
      <c r="AU17" s="36">
        <f t="shared" ref="AU17:AU24" si="24">SUM(AS17:AT17)</f>
        <v>427764.62362332392</v>
      </c>
      <c r="AV17" s="38">
        <f t="shared" si="6"/>
        <v>340532835.90602082</v>
      </c>
    </row>
    <row r="18" spans="1:48" x14ac:dyDescent="0.25">
      <c r="A18" s="31" t="s">
        <v>72</v>
      </c>
      <c r="B18" s="33">
        <v>22</v>
      </c>
      <c r="C18" s="33">
        <v>1</v>
      </c>
      <c r="D18" s="34">
        <v>10674968.9098</v>
      </c>
      <c r="E18" s="35">
        <f t="shared" si="1"/>
        <v>128099626.91760001</v>
      </c>
      <c r="F18" s="35">
        <v>0</v>
      </c>
      <c r="G18" s="35">
        <f>(D18/2)*12</f>
        <v>64049813.458800003</v>
      </c>
      <c r="H18" s="35">
        <f t="shared" si="7"/>
        <v>0</v>
      </c>
      <c r="I18" s="35">
        <f t="shared" si="8"/>
        <v>0</v>
      </c>
      <c r="J18" s="35">
        <f>+(E18+H18+I18+(K18/12))/24</f>
        <v>5356944.0336418236</v>
      </c>
      <c r="K18" s="35">
        <f t="shared" si="9"/>
        <v>5604358.6776449997</v>
      </c>
      <c r="L18" s="35">
        <v>0</v>
      </c>
      <c r="M18" s="35">
        <f t="shared" si="10"/>
        <v>17669200.971887004</v>
      </c>
      <c r="N18" s="35">
        <f>+(D18+F18/12+G18/12)/2+J18/12+K18/12</f>
        <v>8919668.5749572366</v>
      </c>
      <c r="O18" s="35"/>
      <c r="P18" s="35"/>
      <c r="Q18" s="35">
        <f t="shared" si="11"/>
        <v>229699612.63453102</v>
      </c>
      <c r="R18" s="35">
        <v>0</v>
      </c>
      <c r="S18" s="35">
        <f>+(D18*0.5)*12*1</f>
        <v>64049813.458800003</v>
      </c>
      <c r="T18" s="35"/>
      <c r="U18" s="35"/>
      <c r="V18" s="35">
        <f t="shared" si="2"/>
        <v>64049813.458800003</v>
      </c>
      <c r="W18" s="35">
        <f t="shared" si="12"/>
        <v>293749426.09333104</v>
      </c>
      <c r="X18" s="35">
        <f t="shared" si="13"/>
        <v>6838412.5741338814</v>
      </c>
      <c r="Y18" s="35">
        <v>0</v>
      </c>
      <c r="Z18" s="35">
        <f>+((D18)/30)*2</f>
        <v>711664.59398666664</v>
      </c>
      <c r="AA18" s="35">
        <f t="shared" si="3"/>
        <v>7550077.1681205481</v>
      </c>
      <c r="AB18" s="35"/>
      <c r="AC18" s="35"/>
      <c r="AD18" s="35"/>
      <c r="AE18" s="35"/>
      <c r="AF18" s="35">
        <f t="shared" si="4"/>
        <v>0</v>
      </c>
      <c r="AG18" s="35">
        <f t="shared" si="14"/>
        <v>7550077.1681205481</v>
      </c>
      <c r="AH18" s="35">
        <f>+(((D18+H18/12)*12%)*12)*C18</f>
        <v>15371955.230112001</v>
      </c>
      <c r="AI18" s="35">
        <f>+(E18+H18+I18+K18/12)*0.085</f>
        <v>10928165.82862932</v>
      </c>
      <c r="AJ18" s="35">
        <f>(E18+H18+I18+K18/12)/12</f>
        <v>10713888.067283647</v>
      </c>
      <c r="AK18" s="36">
        <f t="shared" si="16"/>
        <v>5924972.4301067395</v>
      </c>
      <c r="AL18" s="36">
        <f t="shared" si="17"/>
        <v>858361.03034696844</v>
      </c>
      <c r="AM18" s="35">
        <f t="shared" si="18"/>
        <v>4487932.0446287682</v>
      </c>
      <c r="AN18" s="36">
        <f t="shared" si="19"/>
        <v>837383.06683662697</v>
      </c>
      <c r="AO18" s="36">
        <f t="shared" si="20"/>
        <v>837383.06683662697</v>
      </c>
      <c r="AP18" s="35">
        <f t="shared" si="21"/>
        <v>1541242.3148645042</v>
      </c>
      <c r="AQ18" s="35">
        <v>0</v>
      </c>
      <c r="AR18" s="37">
        <f t="shared" si="5"/>
        <v>51501283.079645194</v>
      </c>
      <c r="AS18" s="36">
        <f t="shared" si="22"/>
        <v>556738.06521271123</v>
      </c>
      <c r="AT18" s="36">
        <f t="shared" si="23"/>
        <v>525105.46959551866</v>
      </c>
      <c r="AU18" s="36">
        <f t="shared" si="24"/>
        <v>1081843.5348082299</v>
      </c>
      <c r="AV18" s="38">
        <f t="shared" si="6"/>
        <v>352800786.34109682</v>
      </c>
    </row>
    <row r="19" spans="1:48" x14ac:dyDescent="0.25">
      <c r="A19" s="31" t="s">
        <v>73</v>
      </c>
      <c r="B19" s="33">
        <v>13</v>
      </c>
      <c r="C19" s="33">
        <v>6</v>
      </c>
      <c r="D19" s="39">
        <v>6450956.4142000005</v>
      </c>
      <c r="E19" s="35">
        <f>D19*C19*12</f>
        <v>464468861.82240003</v>
      </c>
      <c r="F19" s="35">
        <v>0</v>
      </c>
      <c r="G19" s="35">
        <f>7816000*12</f>
        <v>93792000</v>
      </c>
      <c r="H19" s="35">
        <f t="shared" si="7"/>
        <v>0</v>
      </c>
      <c r="I19" s="35">
        <f t="shared" si="8"/>
        <v>0</v>
      </c>
      <c r="J19" s="35">
        <f>+(E19+H19+I19+(K19/12))/24</f>
        <v>19370207.557686705</v>
      </c>
      <c r="K19" s="35">
        <f>+IF(D19&lt;1853502,((D19+(F19/12)+(G19/12))*0.5),((D19+(F19/12)+(G19/12))*0.35))</f>
        <v>4993434.7449699994</v>
      </c>
      <c r="L19" s="35">
        <v>0</v>
      </c>
      <c r="M19" s="35">
        <f>+(((D19+(F19/12)+(G19/12))+J19/12+K19/12+N19/12)*C19)</f>
        <v>125274904.83349255</v>
      </c>
      <c r="N19" s="35">
        <f t="shared" ref="N19:N29" si="25">+(((D19+(F19/12)+(G19/12))/2+J19/12+K19/12)*C19)</f>
        <v>54982690.393928356</v>
      </c>
      <c r="O19" s="35"/>
      <c r="P19" s="35"/>
      <c r="Q19" s="35">
        <f t="shared" si="11"/>
        <v>762882099.35247767</v>
      </c>
      <c r="R19" s="35">
        <f>+(D19*0.2)*12*1</f>
        <v>15482295.394080002</v>
      </c>
      <c r="S19" s="35">
        <v>0</v>
      </c>
      <c r="T19" s="35">
        <f>+((D19*0.5)*12*3)+(D19*0.3)*12*1</f>
        <v>139340658.54672</v>
      </c>
      <c r="U19" s="35"/>
      <c r="V19" s="35">
        <f t="shared" si="2"/>
        <v>154822953.94080001</v>
      </c>
      <c r="W19" s="35">
        <f t="shared" si="12"/>
        <v>917705053.29327774</v>
      </c>
      <c r="X19" s="35">
        <f t="shared" si="13"/>
        <v>42153395.968678407</v>
      </c>
      <c r="Y19" s="35">
        <v>0</v>
      </c>
      <c r="Z19" s="35">
        <f>+(((D19)/30)*2)*C19</f>
        <v>2580382.56568</v>
      </c>
      <c r="AA19" s="35">
        <f t="shared" si="3"/>
        <v>44733778.534358405</v>
      </c>
      <c r="AB19" s="35"/>
      <c r="AC19" s="35"/>
      <c r="AD19" s="35"/>
      <c r="AE19" s="35"/>
      <c r="AF19" s="35">
        <f t="shared" si="4"/>
        <v>0</v>
      </c>
      <c r="AG19" s="35">
        <f t="shared" si="14"/>
        <v>44733778.534358405</v>
      </c>
      <c r="AH19" s="35">
        <f t="shared" ref="AH19:AH83" si="26">+(((D19+H19/12)*12%)*12)*C19</f>
        <v>55736263.418687999</v>
      </c>
      <c r="AI19" s="35">
        <f t="shared" ref="AI19:AI83" si="27">+(E19+H19+I19+K19/12)*0.085</f>
        <v>39515223.417680882</v>
      </c>
      <c r="AJ19" s="35">
        <f t="shared" ref="AJ19:AJ83" si="28">(E19+H19+I19+K19/12)/12</f>
        <v>38740415.11537341</v>
      </c>
      <c r="AK19" s="36">
        <f t="shared" si="16"/>
        <v>21483007.149669349</v>
      </c>
      <c r="AL19" s="36">
        <f t="shared" si="17"/>
        <v>3112280.4991025534</v>
      </c>
      <c r="AM19" s="35">
        <f t="shared" si="18"/>
        <v>16272527.398115352</v>
      </c>
      <c r="AN19" s="36">
        <f t="shared" si="19"/>
        <v>3036217.7417826764</v>
      </c>
      <c r="AO19" s="36">
        <f t="shared" si="20"/>
        <v>3036217.7417826764</v>
      </c>
      <c r="AP19" s="35">
        <f t="shared" si="21"/>
        <v>5588299.3651348669</v>
      </c>
      <c r="AQ19" s="35">
        <v>0</v>
      </c>
      <c r="AR19" s="37">
        <f t="shared" si="5"/>
        <v>186520451.84732977</v>
      </c>
      <c r="AS19" s="36">
        <f t="shared" si="22"/>
        <v>2018643.6268771437</v>
      </c>
      <c r="AT19" s="36">
        <f t="shared" si="23"/>
        <v>1903948.8690832243</v>
      </c>
      <c r="AU19" s="36">
        <f t="shared" si="24"/>
        <v>3922592.4959603678</v>
      </c>
      <c r="AV19" s="38">
        <f t="shared" si="6"/>
        <v>1148959283.6749659</v>
      </c>
    </row>
    <row r="20" spans="1:48" x14ac:dyDescent="0.25">
      <c r="A20" s="31" t="s">
        <v>74</v>
      </c>
      <c r="B20" s="33">
        <v>19</v>
      </c>
      <c r="C20" s="33">
        <v>6</v>
      </c>
      <c r="D20" s="39">
        <v>6450956.4142000005</v>
      </c>
      <c r="E20" s="35">
        <f t="shared" si="1"/>
        <v>464468861.82240003</v>
      </c>
      <c r="F20" s="35">
        <v>0</v>
      </c>
      <c r="G20" s="35">
        <f>(D20/2)*12</f>
        <v>38705738.485200003</v>
      </c>
      <c r="H20" s="35">
        <f t="shared" si="7"/>
        <v>0</v>
      </c>
      <c r="I20" s="35">
        <f t="shared" si="8"/>
        <v>0</v>
      </c>
      <c r="J20" s="35">
        <f t="shared" ref="J20:J83" si="29">+(E20+H20+I20+(K20/12))/24</f>
        <v>19364628.798563387</v>
      </c>
      <c r="K20" s="35">
        <f t="shared" si="9"/>
        <v>3386752.1174550001</v>
      </c>
      <c r="L20" s="35">
        <v>0</v>
      </c>
      <c r="M20" s="35">
        <f t="shared" si="10"/>
        <v>89636795.34676379</v>
      </c>
      <c r="N20" s="35">
        <f t="shared" si="25"/>
        <v>40404994.321909197</v>
      </c>
      <c r="O20" s="35"/>
      <c r="P20" s="35"/>
      <c r="Q20" s="35">
        <f t="shared" si="11"/>
        <v>655967770.89229131</v>
      </c>
      <c r="R20" s="35">
        <v>0</v>
      </c>
      <c r="S20" s="35">
        <f>+(D20*0.5)*12*4</f>
        <v>154822953.94080001</v>
      </c>
      <c r="T20" s="35"/>
      <c r="U20" s="35"/>
      <c r="V20" s="35">
        <f t="shared" si="2"/>
        <v>154822953.94080001</v>
      </c>
      <c r="W20" s="35">
        <f t="shared" si="12"/>
        <v>810790724.83309126</v>
      </c>
      <c r="X20" s="35">
        <f t="shared" si="13"/>
        <v>30977162.313463718</v>
      </c>
      <c r="Y20" s="35">
        <v>0</v>
      </c>
      <c r="Z20" s="35">
        <f t="shared" ref="Z20:Z24" si="30">+(((D20)/30)*2)*C20</f>
        <v>2580382.56568</v>
      </c>
      <c r="AA20" s="35">
        <f t="shared" si="3"/>
        <v>33557544.879143715</v>
      </c>
      <c r="AB20" s="35"/>
      <c r="AC20" s="35"/>
      <c r="AD20" s="35"/>
      <c r="AE20" s="35"/>
      <c r="AF20" s="35">
        <f t="shared" si="4"/>
        <v>0</v>
      </c>
      <c r="AG20" s="35">
        <f t="shared" si="14"/>
        <v>33557544.879143715</v>
      </c>
      <c r="AH20" s="35">
        <f t="shared" si="26"/>
        <v>55736263.418687999</v>
      </c>
      <c r="AI20" s="35">
        <f t="shared" si="27"/>
        <v>39503842.749069311</v>
      </c>
      <c r="AJ20" s="35">
        <f t="shared" si="28"/>
        <v>38729257.597126774</v>
      </c>
      <c r="AK20" s="36">
        <f t="shared" si="16"/>
        <v>21483007.149669349</v>
      </c>
      <c r="AL20" s="36">
        <f t="shared" si="17"/>
        <v>3112280.4991025534</v>
      </c>
      <c r="AM20" s="35">
        <f t="shared" si="18"/>
        <v>16272527.398115352</v>
      </c>
      <c r="AN20" s="36">
        <f t="shared" si="19"/>
        <v>3036217.7417826764</v>
      </c>
      <c r="AO20" s="36">
        <f t="shared" si="20"/>
        <v>3036217.7417826764</v>
      </c>
      <c r="AP20" s="35">
        <f t="shared" si="21"/>
        <v>5588299.3651348669</v>
      </c>
      <c r="AQ20" s="35">
        <v>0</v>
      </c>
      <c r="AR20" s="37">
        <f t="shared" si="5"/>
        <v>186497913.66047153</v>
      </c>
      <c r="AS20" s="36">
        <f t="shared" si="22"/>
        <v>2018643.6268771437</v>
      </c>
      <c r="AT20" s="36">
        <f t="shared" si="23"/>
        <v>1903948.8690832243</v>
      </c>
      <c r="AU20" s="36">
        <f t="shared" si="24"/>
        <v>3922592.4959603678</v>
      </c>
      <c r="AV20" s="38">
        <f t="shared" si="6"/>
        <v>1030846183.3727065</v>
      </c>
    </row>
    <row r="21" spans="1:48" x14ac:dyDescent="0.25">
      <c r="A21" s="31" t="s">
        <v>75</v>
      </c>
      <c r="B21" s="33">
        <v>19</v>
      </c>
      <c r="C21" s="33">
        <v>1</v>
      </c>
      <c r="D21" s="39">
        <v>8654299.9149999991</v>
      </c>
      <c r="E21" s="35">
        <f t="shared" si="1"/>
        <v>103851598.97999999</v>
      </c>
      <c r="F21" s="35">
        <v>0</v>
      </c>
      <c r="G21" s="35">
        <f t="shared" ref="G21:G24" si="31">(D21/2)*12</f>
        <v>51925799.489999995</v>
      </c>
      <c r="H21" s="35">
        <f t="shared" si="7"/>
        <v>0</v>
      </c>
      <c r="I21" s="35">
        <f t="shared" si="8"/>
        <v>0</v>
      </c>
      <c r="J21" s="35">
        <f t="shared" si="29"/>
        <v>4342926.0250533847</v>
      </c>
      <c r="K21" s="35">
        <f t="shared" si="9"/>
        <v>4543507.455374999</v>
      </c>
      <c r="L21" s="35">
        <v>0</v>
      </c>
      <c r="M21" s="35">
        <f t="shared" si="10"/>
        <v>14324591.084170615</v>
      </c>
      <c r="N21" s="35">
        <f t="shared" si="25"/>
        <v>7231261.0596190318</v>
      </c>
      <c r="O21" s="35"/>
      <c r="P21" s="35"/>
      <c r="Q21" s="35">
        <f t="shared" si="11"/>
        <v>186219684.09421799</v>
      </c>
      <c r="R21" s="35">
        <v>0</v>
      </c>
      <c r="S21" s="35">
        <f>+(D21*0.5)*12*1</f>
        <v>51925799.489999995</v>
      </c>
      <c r="T21" s="35"/>
      <c r="U21" s="35"/>
      <c r="V21" s="35">
        <f t="shared" si="2"/>
        <v>51925799.489999995</v>
      </c>
      <c r="W21" s="35">
        <f t="shared" si="12"/>
        <v>238145483.58421797</v>
      </c>
      <c r="X21" s="35">
        <f t="shared" si="13"/>
        <v>5543966.8123745909</v>
      </c>
      <c r="Y21" s="35">
        <v>0</v>
      </c>
      <c r="Z21" s="35">
        <f t="shared" si="30"/>
        <v>576953.32766666659</v>
      </c>
      <c r="AA21" s="35">
        <f t="shared" si="3"/>
        <v>6120920.1400412573</v>
      </c>
      <c r="AB21" s="35"/>
      <c r="AC21" s="35"/>
      <c r="AD21" s="35"/>
      <c r="AE21" s="35"/>
      <c r="AF21" s="35">
        <f t="shared" si="4"/>
        <v>0</v>
      </c>
      <c r="AG21" s="35">
        <f t="shared" si="14"/>
        <v>6120920.1400412573</v>
      </c>
      <c r="AH21" s="35">
        <f t="shared" si="26"/>
        <v>12462191.877599999</v>
      </c>
      <c r="AI21" s="35">
        <f t="shared" si="27"/>
        <v>8859569.091108907</v>
      </c>
      <c r="AJ21" s="35">
        <f t="shared" si="28"/>
        <v>8685852.0501067694</v>
      </c>
      <c r="AK21" s="36">
        <f t="shared" si="16"/>
        <v>4803432.1065962501</v>
      </c>
      <c r="AL21" s="36">
        <f t="shared" si="17"/>
        <v>695881.53883534414</v>
      </c>
      <c r="AM21" s="35">
        <f t="shared" si="18"/>
        <v>3638409.6516384333</v>
      </c>
      <c r="AN21" s="36">
        <f t="shared" si="19"/>
        <v>678874.50215369614</v>
      </c>
      <c r="AO21" s="36">
        <f t="shared" si="20"/>
        <v>678874.50215369614</v>
      </c>
      <c r="AP21" s="35">
        <f t="shared" si="21"/>
        <v>1249499.960817795</v>
      </c>
      <c r="AQ21" s="35">
        <v>0</v>
      </c>
      <c r="AR21" s="37">
        <f t="shared" si="5"/>
        <v>41752585.281010889</v>
      </c>
      <c r="AS21" s="36">
        <f t="shared" si="22"/>
        <v>451352.90146132151</v>
      </c>
      <c r="AT21" s="36">
        <f t="shared" si="23"/>
        <v>425708.05210632447</v>
      </c>
      <c r="AU21" s="36">
        <f t="shared" si="24"/>
        <v>877060.95356764598</v>
      </c>
      <c r="AV21" s="38">
        <f t="shared" si="6"/>
        <v>286018989.00527012</v>
      </c>
    </row>
    <row r="22" spans="1:48" x14ac:dyDescent="0.25">
      <c r="A22" s="31" t="s">
        <v>76</v>
      </c>
      <c r="B22" s="33">
        <v>19</v>
      </c>
      <c r="C22" s="33">
        <v>1</v>
      </c>
      <c r="D22" s="39">
        <v>8654299.9149999991</v>
      </c>
      <c r="E22" s="35">
        <f t="shared" si="1"/>
        <v>103851598.97999999</v>
      </c>
      <c r="F22" s="35"/>
      <c r="G22" s="35">
        <f t="shared" si="31"/>
        <v>51925799.489999995</v>
      </c>
      <c r="H22" s="35">
        <f t="shared" si="7"/>
        <v>0</v>
      </c>
      <c r="I22" s="35">
        <f t="shared" si="8"/>
        <v>0</v>
      </c>
      <c r="J22" s="35">
        <f t="shared" si="29"/>
        <v>4342926.0250533847</v>
      </c>
      <c r="K22" s="35">
        <f t="shared" si="9"/>
        <v>4543507.455374999</v>
      </c>
      <c r="L22" s="35">
        <v>0</v>
      </c>
      <c r="M22" s="35">
        <f t="shared" si="10"/>
        <v>14324591.084170615</v>
      </c>
      <c r="N22" s="35">
        <f t="shared" si="25"/>
        <v>7231261.0596190318</v>
      </c>
      <c r="O22" s="35"/>
      <c r="P22" s="35"/>
      <c r="Q22" s="35">
        <f t="shared" si="11"/>
        <v>186219684.09421799</v>
      </c>
      <c r="R22" s="35">
        <v>0</v>
      </c>
      <c r="S22" s="35"/>
      <c r="T22" s="35"/>
      <c r="U22" s="35"/>
      <c r="V22" s="35">
        <f t="shared" si="2"/>
        <v>0</v>
      </c>
      <c r="W22" s="35">
        <f t="shared" si="12"/>
        <v>186219684.09421799</v>
      </c>
      <c r="X22" s="35">
        <f t="shared" si="13"/>
        <v>5543966.8123745909</v>
      </c>
      <c r="Y22" s="35">
        <v>0</v>
      </c>
      <c r="Z22" s="35">
        <f t="shared" si="30"/>
        <v>576953.32766666659</v>
      </c>
      <c r="AA22" s="35">
        <f t="shared" si="3"/>
        <v>6120920.1400412573</v>
      </c>
      <c r="AB22" s="35"/>
      <c r="AC22" s="35"/>
      <c r="AD22" s="35"/>
      <c r="AE22" s="35"/>
      <c r="AF22" s="35">
        <f t="shared" si="4"/>
        <v>0</v>
      </c>
      <c r="AG22" s="35">
        <f t="shared" si="14"/>
        <v>6120920.1400412573</v>
      </c>
      <c r="AH22" s="35">
        <f t="shared" si="26"/>
        <v>12462191.877599999</v>
      </c>
      <c r="AI22" s="35">
        <f t="shared" si="27"/>
        <v>8859569.091108907</v>
      </c>
      <c r="AJ22" s="35">
        <f t="shared" si="28"/>
        <v>8685852.0501067694</v>
      </c>
      <c r="AK22" s="36">
        <f t="shared" si="16"/>
        <v>4803432.1065962501</v>
      </c>
      <c r="AL22" s="36">
        <f t="shared" si="17"/>
        <v>695881.53883534414</v>
      </c>
      <c r="AM22" s="35">
        <f t="shared" si="18"/>
        <v>3638409.6516384333</v>
      </c>
      <c r="AN22" s="36">
        <f t="shared" si="19"/>
        <v>678874.50215369614</v>
      </c>
      <c r="AO22" s="36">
        <f t="shared" si="20"/>
        <v>678874.50215369614</v>
      </c>
      <c r="AP22" s="35">
        <f t="shared" si="21"/>
        <v>1249499.960817795</v>
      </c>
      <c r="AQ22" s="35">
        <v>0</v>
      </c>
      <c r="AR22" s="37">
        <f t="shared" si="5"/>
        <v>41752585.281010889</v>
      </c>
      <c r="AS22" s="36">
        <f t="shared" si="22"/>
        <v>451352.90146132151</v>
      </c>
      <c r="AT22" s="36">
        <f t="shared" si="23"/>
        <v>425708.05210632447</v>
      </c>
      <c r="AU22" s="36">
        <f t="shared" si="24"/>
        <v>877060.95356764598</v>
      </c>
      <c r="AV22" s="38">
        <f t="shared" si="6"/>
        <v>234093189.51527014</v>
      </c>
    </row>
    <row r="23" spans="1:48" x14ac:dyDescent="0.25">
      <c r="A23" s="31" t="s">
        <v>77</v>
      </c>
      <c r="B23" s="33">
        <v>19</v>
      </c>
      <c r="C23" s="33">
        <v>1</v>
      </c>
      <c r="D23" s="39">
        <v>8654299.9149999991</v>
      </c>
      <c r="E23" s="35">
        <f t="shared" si="1"/>
        <v>103851598.97999999</v>
      </c>
      <c r="F23" s="35">
        <v>0</v>
      </c>
      <c r="G23" s="35">
        <f t="shared" si="31"/>
        <v>51925799.489999995</v>
      </c>
      <c r="H23" s="35">
        <f t="shared" si="7"/>
        <v>0</v>
      </c>
      <c r="I23" s="35">
        <f t="shared" si="8"/>
        <v>0</v>
      </c>
      <c r="J23" s="35">
        <f t="shared" si="29"/>
        <v>4342926.0250533847</v>
      </c>
      <c r="K23" s="35">
        <f t="shared" si="9"/>
        <v>4543507.455374999</v>
      </c>
      <c r="L23" s="35">
        <v>0</v>
      </c>
      <c r="M23" s="35">
        <f t="shared" si="10"/>
        <v>14324591.084170615</v>
      </c>
      <c r="N23" s="35">
        <f t="shared" si="25"/>
        <v>7231261.0596190318</v>
      </c>
      <c r="O23" s="35"/>
      <c r="P23" s="35"/>
      <c r="Q23" s="35">
        <f t="shared" si="11"/>
        <v>186219684.09421799</v>
      </c>
      <c r="R23" s="35">
        <v>0</v>
      </c>
      <c r="S23" s="35"/>
      <c r="T23" s="35"/>
      <c r="U23" s="35"/>
      <c r="V23" s="35">
        <f t="shared" si="2"/>
        <v>0</v>
      </c>
      <c r="W23" s="35">
        <f t="shared" si="12"/>
        <v>186219684.09421799</v>
      </c>
      <c r="X23" s="35">
        <f t="shared" si="13"/>
        <v>5543966.8123745909</v>
      </c>
      <c r="Y23" s="35">
        <v>0</v>
      </c>
      <c r="Z23" s="35">
        <f t="shared" si="30"/>
        <v>576953.32766666659</v>
      </c>
      <c r="AA23" s="35">
        <f t="shared" si="3"/>
        <v>6120920.1400412573</v>
      </c>
      <c r="AB23" s="35"/>
      <c r="AC23" s="35"/>
      <c r="AD23" s="35"/>
      <c r="AE23" s="35"/>
      <c r="AF23" s="35">
        <f t="shared" si="4"/>
        <v>0</v>
      </c>
      <c r="AG23" s="35">
        <f t="shared" si="14"/>
        <v>6120920.1400412573</v>
      </c>
      <c r="AH23" s="35">
        <f t="shared" si="26"/>
        <v>12462191.877599999</v>
      </c>
      <c r="AI23" s="35">
        <f t="shared" si="27"/>
        <v>8859569.091108907</v>
      </c>
      <c r="AJ23" s="35">
        <f t="shared" si="28"/>
        <v>8685852.0501067694</v>
      </c>
      <c r="AK23" s="36">
        <f t="shared" si="16"/>
        <v>4803432.1065962501</v>
      </c>
      <c r="AL23" s="36">
        <f t="shared" si="17"/>
        <v>695881.53883534414</v>
      </c>
      <c r="AM23" s="35">
        <f t="shared" si="18"/>
        <v>3638409.6516384333</v>
      </c>
      <c r="AN23" s="36">
        <f t="shared" si="19"/>
        <v>678874.50215369614</v>
      </c>
      <c r="AO23" s="36">
        <f t="shared" si="20"/>
        <v>678874.50215369614</v>
      </c>
      <c r="AP23" s="35">
        <f t="shared" si="21"/>
        <v>1249499.960817795</v>
      </c>
      <c r="AQ23" s="35">
        <v>0</v>
      </c>
      <c r="AR23" s="37">
        <f t="shared" si="5"/>
        <v>41752585.281010889</v>
      </c>
      <c r="AS23" s="36">
        <f t="shared" si="22"/>
        <v>451352.90146132151</v>
      </c>
      <c r="AT23" s="36">
        <f t="shared" si="23"/>
        <v>425708.05210632447</v>
      </c>
      <c r="AU23" s="36">
        <f t="shared" si="24"/>
        <v>877060.95356764598</v>
      </c>
      <c r="AV23" s="38">
        <f t="shared" si="6"/>
        <v>234093189.51527014</v>
      </c>
    </row>
    <row r="24" spans="1:48" x14ac:dyDescent="0.25">
      <c r="A24" s="31" t="s">
        <v>78</v>
      </c>
      <c r="B24" s="33">
        <v>19</v>
      </c>
      <c r="C24" s="33">
        <v>1</v>
      </c>
      <c r="D24" s="39">
        <v>8654299.9149999991</v>
      </c>
      <c r="E24" s="35">
        <f t="shared" si="1"/>
        <v>103851598.97999999</v>
      </c>
      <c r="F24" s="35">
        <v>0</v>
      </c>
      <c r="G24" s="35">
        <f t="shared" si="31"/>
        <v>51925799.489999995</v>
      </c>
      <c r="H24" s="35">
        <f t="shared" si="7"/>
        <v>0</v>
      </c>
      <c r="I24" s="35">
        <f t="shared" si="8"/>
        <v>0</v>
      </c>
      <c r="J24" s="35">
        <f t="shared" si="29"/>
        <v>4342926.0250533847</v>
      </c>
      <c r="K24" s="35">
        <f t="shared" si="9"/>
        <v>4543507.455374999</v>
      </c>
      <c r="L24" s="35">
        <v>0</v>
      </c>
      <c r="M24" s="35">
        <f>+(((D24+(F24/12)+(G24/12))+J24/12+K24/12+N24/12))</f>
        <v>14324591.084170615</v>
      </c>
      <c r="N24" s="35">
        <f t="shared" si="25"/>
        <v>7231261.0596190318</v>
      </c>
      <c r="O24" s="35"/>
      <c r="P24" s="35"/>
      <c r="Q24" s="35">
        <f t="shared" si="11"/>
        <v>186219684.09421799</v>
      </c>
      <c r="R24" s="35">
        <v>0</v>
      </c>
      <c r="S24" s="35"/>
      <c r="T24" s="35">
        <f>+(D24*0.5)*12*1</f>
        <v>51925799.489999995</v>
      </c>
      <c r="U24" s="35"/>
      <c r="V24" s="35">
        <f t="shared" si="2"/>
        <v>51925799.489999995</v>
      </c>
      <c r="W24" s="35">
        <f t="shared" si="12"/>
        <v>238145483.58421797</v>
      </c>
      <c r="X24" s="35">
        <f t="shared" si="13"/>
        <v>5543966.8123745909</v>
      </c>
      <c r="Y24" s="35">
        <v>0</v>
      </c>
      <c r="Z24" s="35">
        <f t="shared" si="30"/>
        <v>576953.32766666659</v>
      </c>
      <c r="AA24" s="35">
        <f t="shared" si="3"/>
        <v>6120920.1400412573</v>
      </c>
      <c r="AB24" s="35"/>
      <c r="AC24" s="35"/>
      <c r="AD24" s="35"/>
      <c r="AE24" s="35"/>
      <c r="AF24" s="35">
        <f t="shared" si="4"/>
        <v>0</v>
      </c>
      <c r="AG24" s="35">
        <f t="shared" si="14"/>
        <v>6120920.1400412573</v>
      </c>
      <c r="AH24" s="35">
        <f t="shared" si="26"/>
        <v>12462191.877599999</v>
      </c>
      <c r="AI24" s="35">
        <f t="shared" si="27"/>
        <v>8859569.091108907</v>
      </c>
      <c r="AJ24" s="35">
        <f t="shared" si="28"/>
        <v>8685852.0501067694</v>
      </c>
      <c r="AK24" s="36">
        <f t="shared" si="16"/>
        <v>4803432.1065962501</v>
      </c>
      <c r="AL24" s="36">
        <f t="shared" si="17"/>
        <v>695881.53883534414</v>
      </c>
      <c r="AM24" s="35">
        <f t="shared" si="18"/>
        <v>3638409.6516384333</v>
      </c>
      <c r="AN24" s="36">
        <f t="shared" si="19"/>
        <v>678874.50215369614</v>
      </c>
      <c r="AO24" s="36">
        <f t="shared" si="20"/>
        <v>678874.50215369614</v>
      </c>
      <c r="AP24" s="35">
        <f t="shared" si="21"/>
        <v>1249499.960817795</v>
      </c>
      <c r="AQ24" s="35">
        <v>0</v>
      </c>
      <c r="AR24" s="37">
        <f t="shared" si="5"/>
        <v>41752585.281010889</v>
      </c>
      <c r="AS24" s="36">
        <f t="shared" si="22"/>
        <v>451352.90146132151</v>
      </c>
      <c r="AT24" s="36">
        <f t="shared" si="23"/>
        <v>425708.05210632447</v>
      </c>
      <c r="AU24" s="36">
        <f t="shared" si="24"/>
        <v>877060.95356764598</v>
      </c>
      <c r="AV24" s="38">
        <f t="shared" si="6"/>
        <v>286018989.00527012</v>
      </c>
    </row>
    <row r="25" spans="1:48" x14ac:dyDescent="0.25">
      <c r="A25" s="25" t="s">
        <v>79</v>
      </c>
      <c r="B25" s="26"/>
      <c r="C25" s="27">
        <f t="shared" ref="C25:AV25" si="32">SUM(C26:C29)</f>
        <v>37</v>
      </c>
      <c r="D25" s="28">
        <f t="shared" si="32"/>
        <v>33628416.914399996</v>
      </c>
      <c r="E25" s="28">
        <f t="shared" si="32"/>
        <v>3319379394.5591993</v>
      </c>
      <c r="F25" s="28">
        <f t="shared" si="32"/>
        <v>0</v>
      </c>
      <c r="G25" s="28">
        <f t="shared" si="32"/>
        <v>125092395.1111111</v>
      </c>
      <c r="H25" s="28">
        <f t="shared" si="32"/>
        <v>0</v>
      </c>
      <c r="I25" s="28">
        <f t="shared" si="32"/>
        <v>0</v>
      </c>
      <c r="J25" s="28">
        <f t="shared" si="32"/>
        <v>138713238.54885495</v>
      </c>
      <c r="K25" s="28">
        <f t="shared" si="32"/>
        <v>116859967.3598285</v>
      </c>
      <c r="L25" s="28">
        <f t="shared" si="32"/>
        <v>0</v>
      </c>
      <c r="M25" s="28">
        <f t="shared" si="32"/>
        <v>351409016.97463083</v>
      </c>
      <c r="N25" s="28">
        <f t="shared" si="32"/>
        <v>555546470.58075643</v>
      </c>
      <c r="O25" s="28">
        <f t="shared" si="32"/>
        <v>0</v>
      </c>
      <c r="P25" s="28">
        <f t="shared" si="32"/>
        <v>0</v>
      </c>
      <c r="Q25" s="28">
        <f t="shared" si="32"/>
        <v>4607000483.1343813</v>
      </c>
      <c r="R25" s="28">
        <f t="shared" si="32"/>
        <v>0</v>
      </c>
      <c r="S25" s="28">
        <f t="shared" si="32"/>
        <v>0</v>
      </c>
      <c r="T25" s="28">
        <f>SUM(T26:T29)</f>
        <v>880451092.70579994</v>
      </c>
      <c r="U25" s="28">
        <f t="shared" si="32"/>
        <v>0</v>
      </c>
      <c r="V25" s="28">
        <f t="shared" si="32"/>
        <v>880451092.70579994</v>
      </c>
      <c r="W25" s="28">
        <f t="shared" si="32"/>
        <v>5487451575.8401814</v>
      </c>
      <c r="X25" s="28">
        <f t="shared" si="32"/>
        <v>425918960.77857995</v>
      </c>
      <c r="Y25" s="28">
        <f t="shared" si="32"/>
        <v>20000000</v>
      </c>
      <c r="Z25" s="28">
        <f t="shared" si="32"/>
        <v>18440996.636439998</v>
      </c>
      <c r="AA25" s="28">
        <f t="shared" si="32"/>
        <v>464359957.41501993</v>
      </c>
      <c r="AB25" s="28">
        <f t="shared" si="32"/>
        <v>0</v>
      </c>
      <c r="AC25" s="28">
        <f t="shared" si="32"/>
        <v>0</v>
      </c>
      <c r="AD25" s="28">
        <f t="shared" si="32"/>
        <v>0</v>
      </c>
      <c r="AE25" s="28">
        <f t="shared" si="32"/>
        <v>0</v>
      </c>
      <c r="AF25" s="28">
        <f t="shared" si="32"/>
        <v>0</v>
      </c>
      <c r="AG25" s="28">
        <f t="shared" si="32"/>
        <v>11691617.182226274</v>
      </c>
      <c r="AH25" s="28">
        <f t="shared" si="32"/>
        <v>398325527.34710395</v>
      </c>
      <c r="AI25" s="28">
        <f t="shared" si="32"/>
        <v>282975006.63966405</v>
      </c>
      <c r="AJ25" s="28">
        <f t="shared" si="32"/>
        <v>277426477.09770989</v>
      </c>
      <c r="AK25" s="28">
        <f t="shared" si="32"/>
        <v>153530746.8965432</v>
      </c>
      <c r="AL25" s="28">
        <f t="shared" si="32"/>
        <v>22242265.538049486</v>
      </c>
      <c r="AM25" s="28">
        <f t="shared" si="32"/>
        <v>116293462.4525117</v>
      </c>
      <c r="AN25" s="28">
        <f t="shared" si="32"/>
        <v>21698674.416891623</v>
      </c>
      <c r="AO25" s="28">
        <f t="shared" si="32"/>
        <v>21698674.416891623</v>
      </c>
      <c r="AP25" s="28">
        <f t="shared" si="32"/>
        <v>39937415.159489885</v>
      </c>
      <c r="AQ25" s="28">
        <f t="shared" si="32"/>
        <v>0</v>
      </c>
      <c r="AR25" s="29">
        <f t="shared" si="32"/>
        <v>1334128249.9648554</v>
      </c>
      <c r="AS25" s="28">
        <f t="shared" si="32"/>
        <v>14426465.605731782</v>
      </c>
      <c r="AT25" s="28">
        <f t="shared" si="32"/>
        <v>13606786.512086384</v>
      </c>
      <c r="AU25" s="30">
        <f t="shared" si="32"/>
        <v>28033252.117818169</v>
      </c>
      <c r="AV25" s="29">
        <f t="shared" si="32"/>
        <v>6833271442.9872627</v>
      </c>
    </row>
    <row r="26" spans="1:48" x14ac:dyDescent="0.25">
      <c r="A26" s="31" t="s">
        <v>80</v>
      </c>
      <c r="B26" s="33">
        <v>13</v>
      </c>
      <c r="C26" s="33">
        <v>1</v>
      </c>
      <c r="D26" s="39">
        <v>8953896.4017999992</v>
      </c>
      <c r="E26" s="35">
        <f t="shared" ref="E26:E29" si="33">D26*C26*12</f>
        <v>107446756.82159999</v>
      </c>
      <c r="F26" s="35">
        <v>0</v>
      </c>
      <c r="G26" s="35">
        <f>3276750*12</f>
        <v>39321000</v>
      </c>
      <c r="H26" s="35">
        <f t="shared" ref="H26:H29" si="34">(IF(D26&gt;=2000000,0,66098))*12</f>
        <v>0</v>
      </c>
      <c r="I26" s="35">
        <f t="shared" si="8"/>
        <v>0</v>
      </c>
      <c r="J26" s="35">
        <f t="shared" ref="J26:J27" si="35">+(E26+H26+I26+(K26/12))/24</f>
        <v>4491811.8336799648</v>
      </c>
      <c r="K26" s="35">
        <f t="shared" si="9"/>
        <v>4280726.2406299999</v>
      </c>
      <c r="L26" s="35">
        <v>0</v>
      </c>
      <c r="M26" s="35">
        <f>+(((D26+(F26/12)+(G26/12))+J26/12+K26/12+N26/12))</f>
        <v>13532221.911361314</v>
      </c>
      <c r="N26" s="35">
        <f t="shared" ref="N26:N27" si="36">+(((D26+(F26/12)+(G26/12))/2+J26/12+K26/12)*C26)</f>
        <v>6846368.0404258305</v>
      </c>
      <c r="O26" s="35"/>
      <c r="P26" s="35"/>
      <c r="Q26" s="35">
        <f t="shared" ref="Q26:Q89" si="37">SUM(E26:P26)</f>
        <v>175918884.84769711</v>
      </c>
      <c r="R26" s="35"/>
      <c r="S26" s="35"/>
      <c r="T26" s="35"/>
      <c r="U26" s="35"/>
      <c r="V26" s="35">
        <f t="shared" ref="V26:V29" si="38">SUM(R26:U26)</f>
        <v>0</v>
      </c>
      <c r="W26" s="35">
        <f t="shared" ref="W26:W29" si="39">Q26+V26</f>
        <v>175918884.84769711</v>
      </c>
      <c r="X26" s="35">
        <f t="shared" ref="X26:X27" si="40">+(((D26+(F26/12)+(G26/12))/2+(J26/12)+(K26/12))*23/30)*C26</f>
        <v>5248882.1643264703</v>
      </c>
      <c r="Y26" s="35">
        <v>0</v>
      </c>
      <c r="Z26" s="35">
        <f t="shared" ref="Z26:Z27" si="41">+(((D26)/30)*2)*C26</f>
        <v>596926.42678666662</v>
      </c>
      <c r="AA26" s="35">
        <f t="shared" ref="AA26:AA29" si="42">SUM(X26:Z26)</f>
        <v>5845808.5911131371</v>
      </c>
      <c r="AB26" s="35"/>
      <c r="AC26" s="35"/>
      <c r="AD26" s="35"/>
      <c r="AE26" s="35"/>
      <c r="AF26" s="35">
        <f t="shared" ref="AF26:AF29" si="43">SUM(AB26:AE26)</f>
        <v>0</v>
      </c>
      <c r="AG26" s="35">
        <f t="shared" ref="AG26:AG27" si="44">AA26+AF26</f>
        <v>5845808.5911131371</v>
      </c>
      <c r="AH26" s="35">
        <f t="shared" ref="AH26:AH27" si="45">+(((D26+H26/12)*12%)*12)*C26</f>
        <v>12893610.818591997</v>
      </c>
      <c r="AI26" s="35">
        <f t="shared" ref="AI26:AI27" si="46">+(E26+H26+I26+K26/12)*0.085</f>
        <v>9163296.1407071296</v>
      </c>
      <c r="AJ26" s="35">
        <f t="shared" ref="AJ26:AJ27" si="47">(E26+H26+I26+K26/12)/12</f>
        <v>8983623.6673599295</v>
      </c>
      <c r="AK26" s="36">
        <f t="shared" ref="AK26:AK27" si="48">+((D26*0.0462528468870403)*C26)*12</f>
        <v>4969718.3917785175</v>
      </c>
      <c r="AL26" s="36">
        <f t="shared" ref="AL26:AL27" si="49">+((D26*0.00670073013482786)*C26)*12</f>
        <v>719971.72132401599</v>
      </c>
      <c r="AM26" s="35">
        <f t="shared" ref="AM26:AM27" si="50">+(((D26*0.0350347003548701)*C26)*12)</f>
        <v>3764364.9293473503</v>
      </c>
      <c r="AN26" s="36">
        <f t="shared" ref="AN26:AN27" si="51">+(((D26*0.00653696725733068)*C26)*12)</f>
        <v>702375.93124917103</v>
      </c>
      <c r="AO26" s="36">
        <f t="shared" ref="AO26:AO27" si="52">+(((D26*0.00653696725733068)*C26)*12)</f>
        <v>702375.93124917103</v>
      </c>
      <c r="AP26" s="35">
        <f t="shared" ref="AP26:AP27" si="53">+(((D26*0.0120315909729847)*C26)*12)</f>
        <v>1292755.4294512447</v>
      </c>
      <c r="AQ26" s="35">
        <v>0</v>
      </c>
      <c r="AR26" s="37">
        <f t="shared" ref="AR26:AR29" si="54">SUM(AH26:AQ26)</f>
        <v>43192092.961058527</v>
      </c>
      <c r="AS26" s="36">
        <f t="shared" ref="AS26:AS27" si="55">+(((D26*0.00434613338546905)*C26)*12)</f>
        <v>466977.93698273017</v>
      </c>
      <c r="AT26" s="36">
        <f t="shared" ref="AT26:AT27" si="56">+((D26*0.00409919593234485)*C26)*12</f>
        <v>440445.30850674893</v>
      </c>
      <c r="AU26" s="36">
        <f t="shared" ref="AU26:AU29" si="57">SUM(AS26:AT26)</f>
        <v>907423.24548947904</v>
      </c>
      <c r="AV26" s="38">
        <f t="shared" ref="AV26:AV29" si="58">W26+AG26+AR26</f>
        <v>224956786.39986879</v>
      </c>
    </row>
    <row r="27" spans="1:48" x14ac:dyDescent="0.25">
      <c r="A27" s="31" t="s">
        <v>81</v>
      </c>
      <c r="B27" s="33">
        <v>13</v>
      </c>
      <c r="C27" s="33">
        <v>1</v>
      </c>
      <c r="D27" s="39">
        <v>8953896.4017999992</v>
      </c>
      <c r="E27" s="35">
        <f t="shared" si="33"/>
        <v>107446756.82159999</v>
      </c>
      <c r="F27" s="35">
        <v>0</v>
      </c>
      <c r="G27" s="35">
        <f>3276750*12</f>
        <v>39321000</v>
      </c>
      <c r="H27" s="35">
        <f t="shared" si="34"/>
        <v>0</v>
      </c>
      <c r="I27" s="35">
        <f t="shared" si="8"/>
        <v>0</v>
      </c>
      <c r="J27" s="35">
        <f t="shared" si="35"/>
        <v>4491811.8336799648</v>
      </c>
      <c r="K27" s="35">
        <f t="shared" si="9"/>
        <v>4280726.2406299999</v>
      </c>
      <c r="L27" s="35">
        <v>0</v>
      </c>
      <c r="M27" s="35">
        <f t="shared" ref="M27" si="59">+(((D27+(F27/12)+J27/12+K27+12+N27/12)*C27))</f>
        <v>14179482.965272147</v>
      </c>
      <c r="N27" s="35">
        <f t="shared" si="36"/>
        <v>6846368.0404258305</v>
      </c>
      <c r="O27" s="35"/>
      <c r="P27" s="35"/>
      <c r="Q27" s="35">
        <f t="shared" si="37"/>
        <v>176566145.90160796</v>
      </c>
      <c r="R27" s="35"/>
      <c r="S27" s="35"/>
      <c r="T27" s="35"/>
      <c r="U27" s="35"/>
      <c r="V27" s="35">
        <f t="shared" si="38"/>
        <v>0</v>
      </c>
      <c r="W27" s="35">
        <f t="shared" si="39"/>
        <v>176566145.90160796</v>
      </c>
      <c r="X27" s="35">
        <f t="shared" si="40"/>
        <v>5248882.1643264703</v>
      </c>
      <c r="Y27" s="35">
        <v>0</v>
      </c>
      <c r="Z27" s="35">
        <f t="shared" si="41"/>
        <v>596926.42678666662</v>
      </c>
      <c r="AA27" s="35">
        <f t="shared" si="42"/>
        <v>5845808.5911131371</v>
      </c>
      <c r="AB27" s="35"/>
      <c r="AC27" s="35"/>
      <c r="AD27" s="35"/>
      <c r="AE27" s="35"/>
      <c r="AF27" s="35">
        <f t="shared" si="43"/>
        <v>0</v>
      </c>
      <c r="AG27" s="35">
        <f t="shared" si="44"/>
        <v>5845808.5911131371</v>
      </c>
      <c r="AH27" s="35">
        <f t="shared" si="45"/>
        <v>12893610.818591997</v>
      </c>
      <c r="AI27" s="35">
        <f t="shared" si="46"/>
        <v>9163296.1407071296</v>
      </c>
      <c r="AJ27" s="35">
        <f t="shared" si="47"/>
        <v>8983623.6673599295</v>
      </c>
      <c r="AK27" s="36">
        <f t="shared" si="48"/>
        <v>4969718.3917785175</v>
      </c>
      <c r="AL27" s="36">
        <f t="shared" si="49"/>
        <v>719971.72132401599</v>
      </c>
      <c r="AM27" s="35">
        <f t="shared" si="50"/>
        <v>3764364.9293473503</v>
      </c>
      <c r="AN27" s="36">
        <f t="shared" si="51"/>
        <v>702375.93124917103</v>
      </c>
      <c r="AO27" s="36">
        <f t="shared" si="52"/>
        <v>702375.93124917103</v>
      </c>
      <c r="AP27" s="35">
        <f t="shared" si="53"/>
        <v>1292755.4294512447</v>
      </c>
      <c r="AQ27" s="35">
        <v>0</v>
      </c>
      <c r="AR27" s="35">
        <f t="shared" si="54"/>
        <v>43192092.961058527</v>
      </c>
      <c r="AS27" s="36">
        <f t="shared" si="55"/>
        <v>466977.93698273017</v>
      </c>
      <c r="AT27" s="36">
        <f t="shared" si="56"/>
        <v>440445.30850674893</v>
      </c>
      <c r="AU27" s="36">
        <f t="shared" si="57"/>
        <v>907423.24548947904</v>
      </c>
      <c r="AV27" s="38">
        <f t="shared" si="58"/>
        <v>225604047.45377964</v>
      </c>
    </row>
    <row r="28" spans="1:48" x14ac:dyDescent="0.25">
      <c r="A28" s="40" t="s">
        <v>82</v>
      </c>
      <c r="B28" s="33">
        <v>13</v>
      </c>
      <c r="C28" s="33">
        <v>10</v>
      </c>
      <c r="D28" s="39">
        <v>8953896.4017999992</v>
      </c>
      <c r="E28" s="35">
        <f t="shared" si="33"/>
        <v>1074467568.2159998</v>
      </c>
      <c r="F28" s="35">
        <v>0</v>
      </c>
      <c r="G28" s="35">
        <f>3070299*12</f>
        <v>36843588</v>
      </c>
      <c r="H28" s="35">
        <f t="shared" si="34"/>
        <v>0</v>
      </c>
      <c r="I28" s="35">
        <f t="shared" si="8"/>
        <v>0</v>
      </c>
      <c r="J28" s="35">
        <f t="shared" si="29"/>
        <v>44915609.383674644</v>
      </c>
      <c r="K28" s="35">
        <f>+IF(D28&lt;1853502,(((D28+(F28/12)+(G28/12))*0.5))*C28,(((D28+(F28/12)+(G28/12))*0.35))*C28)</f>
        <v>42084683.906299993</v>
      </c>
      <c r="L28" s="35">
        <v>0</v>
      </c>
      <c r="M28" s="35">
        <f>+(E28/12)+J28/12+K28/12+N28/12</f>
        <v>107840756.91027391</v>
      </c>
      <c r="N28" s="35">
        <f t="shared" si="25"/>
        <v>132621221.41731219</v>
      </c>
      <c r="O28" s="35"/>
      <c r="P28" s="35"/>
      <c r="Q28" s="35">
        <f t="shared" si="37"/>
        <v>1438773427.8335605</v>
      </c>
      <c r="R28" s="35"/>
      <c r="S28" s="35"/>
      <c r="T28" s="35">
        <f>+(D28*0.5)*12*8</f>
        <v>429787027.28639996</v>
      </c>
      <c r="U28" s="35"/>
      <c r="V28" s="35">
        <f t="shared" si="38"/>
        <v>429787027.28639996</v>
      </c>
      <c r="W28" s="35">
        <f t="shared" si="39"/>
        <v>1868560455.1199603</v>
      </c>
      <c r="X28" s="35">
        <f t="shared" si="13"/>
        <v>101676269.75327267</v>
      </c>
      <c r="Y28" s="35">
        <v>20000000</v>
      </c>
      <c r="Z28" s="35">
        <f t="shared" ref="Z28:Z91" si="60">+((D28/30)*2)*C28</f>
        <v>5969264.2678666664</v>
      </c>
      <c r="AA28" s="35">
        <f t="shared" si="42"/>
        <v>127645534.02113934</v>
      </c>
      <c r="AB28" s="35"/>
      <c r="AC28" s="35"/>
      <c r="AD28" s="35"/>
      <c r="AE28" s="35"/>
      <c r="AF28" s="35">
        <f t="shared" si="43"/>
        <v>0</v>
      </c>
      <c r="AG28" s="35">
        <f t="shared" ref="AG28:AG29" si="61">SUM(AB28:AE28)</f>
        <v>0</v>
      </c>
      <c r="AH28" s="35">
        <f t="shared" si="26"/>
        <v>128936108.18591997</v>
      </c>
      <c r="AI28" s="35">
        <f t="shared" si="27"/>
        <v>91627843.142696276</v>
      </c>
      <c r="AJ28" s="35">
        <f t="shared" si="28"/>
        <v>89831218.767349288</v>
      </c>
      <c r="AK28" s="36">
        <f t="shared" si="16"/>
        <v>49697183.917785175</v>
      </c>
      <c r="AL28" s="36">
        <f t="shared" si="17"/>
        <v>7199717.2132401606</v>
      </c>
      <c r="AM28" s="35">
        <f t="shared" si="18"/>
        <v>37643649.293473504</v>
      </c>
      <c r="AN28" s="36">
        <f t="shared" si="19"/>
        <v>7023759.3124917094</v>
      </c>
      <c r="AO28" s="36">
        <f t="shared" si="20"/>
        <v>7023759.3124917094</v>
      </c>
      <c r="AP28" s="35">
        <f t="shared" si="21"/>
        <v>12927554.294512447</v>
      </c>
      <c r="AQ28" s="35">
        <v>0</v>
      </c>
      <c r="AR28" s="37">
        <f t="shared" si="54"/>
        <v>431910793.43996024</v>
      </c>
      <c r="AS28" s="36">
        <f t="shared" si="22"/>
        <v>4669779.3698273012</v>
      </c>
      <c r="AT28" s="36">
        <f t="shared" si="23"/>
        <v>4404453.0850674901</v>
      </c>
      <c r="AU28" s="36">
        <f t="shared" si="57"/>
        <v>9074232.4548947923</v>
      </c>
      <c r="AV28" s="38">
        <f t="shared" si="58"/>
        <v>2300471248.5599203</v>
      </c>
    </row>
    <row r="29" spans="1:48" x14ac:dyDescent="0.25">
      <c r="A29" s="40" t="s">
        <v>82</v>
      </c>
      <c r="B29" s="33">
        <v>8</v>
      </c>
      <c r="C29" s="33">
        <v>25</v>
      </c>
      <c r="D29" s="39">
        <v>6766727.7089999998</v>
      </c>
      <c r="E29" s="35">
        <f t="shared" si="33"/>
        <v>2030018312.6999998</v>
      </c>
      <c r="F29" s="35"/>
      <c r="G29" s="35">
        <v>9606807.1111111119</v>
      </c>
      <c r="H29" s="35">
        <f t="shared" si="34"/>
        <v>0</v>
      </c>
      <c r="I29" s="35">
        <f t="shared" si="8"/>
        <v>0</v>
      </c>
      <c r="J29" s="35">
        <f t="shared" si="29"/>
        <v>84814005.497820362</v>
      </c>
      <c r="K29" s="35">
        <f>+IF(D29&lt;1853502,(((D29+(F29/12)+(G29/12))*0.5))*C29,(((D29+(F29/12)+(G29/12))*0.35))*C29)</f>
        <v>66213830.972268514</v>
      </c>
      <c r="L29" s="35">
        <v>0</v>
      </c>
      <c r="M29" s="35">
        <f>+(E29/12)+J29/12+K29/12+N29/12</f>
        <v>215856555.18772346</v>
      </c>
      <c r="N29" s="35">
        <f t="shared" si="25"/>
        <v>409232513.08259255</v>
      </c>
      <c r="O29" s="35"/>
      <c r="P29" s="35"/>
      <c r="Q29" s="35">
        <f t="shared" si="37"/>
        <v>2815742024.5515161</v>
      </c>
      <c r="R29" s="35"/>
      <c r="S29" s="35"/>
      <c r="T29" s="35">
        <f>+(D29*0.5)*12*9+(D29*0.35)*12*3</f>
        <v>450664065.41939998</v>
      </c>
      <c r="U29" s="35"/>
      <c r="V29" s="35">
        <f t="shared" si="38"/>
        <v>450664065.41939998</v>
      </c>
      <c r="W29" s="35">
        <f t="shared" si="39"/>
        <v>3266406089.9709158</v>
      </c>
      <c r="X29" s="35">
        <f t="shared" si="13"/>
        <v>313744926.69665432</v>
      </c>
      <c r="Y29" s="35">
        <v>0</v>
      </c>
      <c r="Z29" s="35">
        <f t="shared" si="60"/>
        <v>11277879.514999999</v>
      </c>
      <c r="AA29" s="35">
        <f t="shared" si="42"/>
        <v>325022806.21165431</v>
      </c>
      <c r="AB29" s="35"/>
      <c r="AC29" s="35"/>
      <c r="AD29" s="35"/>
      <c r="AE29" s="35"/>
      <c r="AF29" s="35">
        <f t="shared" si="43"/>
        <v>0</v>
      </c>
      <c r="AG29" s="35">
        <f t="shared" si="61"/>
        <v>0</v>
      </c>
      <c r="AH29" s="35">
        <f t="shared" si="26"/>
        <v>243602197.52400002</v>
      </c>
      <c r="AI29" s="35">
        <f t="shared" si="27"/>
        <v>173020571.21555355</v>
      </c>
      <c r="AJ29" s="35">
        <f t="shared" si="28"/>
        <v>169628010.99564072</v>
      </c>
      <c r="AK29" s="36">
        <f t="shared" si="16"/>
        <v>93894126.19520101</v>
      </c>
      <c r="AL29" s="36">
        <f t="shared" si="17"/>
        <v>13602604.882161293</v>
      </c>
      <c r="AM29" s="35">
        <f t="shared" si="18"/>
        <v>71121083.300343484</v>
      </c>
      <c r="AN29" s="36">
        <f t="shared" si="19"/>
        <v>13270163.241901573</v>
      </c>
      <c r="AO29" s="36">
        <f t="shared" si="20"/>
        <v>13270163.241901573</v>
      </c>
      <c r="AP29" s="35">
        <f t="shared" si="21"/>
        <v>24424350.00607495</v>
      </c>
      <c r="AQ29" s="35">
        <v>0</v>
      </c>
      <c r="AR29" s="37">
        <f t="shared" si="54"/>
        <v>815833270.60277808</v>
      </c>
      <c r="AS29" s="36">
        <f t="shared" si="22"/>
        <v>8822730.3619390205</v>
      </c>
      <c r="AT29" s="36">
        <f t="shared" si="23"/>
        <v>8321442.8100053947</v>
      </c>
      <c r="AU29" s="36">
        <f t="shared" si="57"/>
        <v>17144173.171944417</v>
      </c>
      <c r="AV29" s="38">
        <f t="shared" si="58"/>
        <v>4082239360.5736938</v>
      </c>
    </row>
    <row r="30" spans="1:48" x14ac:dyDescent="0.25">
      <c r="A30" s="25" t="s">
        <v>83</v>
      </c>
      <c r="B30" s="26"/>
      <c r="C30" s="27">
        <f t="shared" ref="C30:AV30" si="62">SUM(C31:C52)</f>
        <v>1017</v>
      </c>
      <c r="D30" s="28">
        <f t="shared" si="62"/>
        <v>99690357.181600004</v>
      </c>
      <c r="E30" s="28">
        <f t="shared" si="62"/>
        <v>50829710699.827202</v>
      </c>
      <c r="F30" s="28">
        <f t="shared" si="62"/>
        <v>0</v>
      </c>
      <c r="G30" s="28">
        <f>SUM(G31:G52)</f>
        <v>180054637.39054698</v>
      </c>
      <c r="H30" s="28">
        <f t="shared" si="62"/>
        <v>0</v>
      </c>
      <c r="I30" s="28">
        <f t="shared" si="62"/>
        <v>0</v>
      </c>
      <c r="J30" s="28">
        <f t="shared" si="62"/>
        <v>2123322758.3570101</v>
      </c>
      <c r="K30" s="28">
        <f t="shared" si="62"/>
        <v>1560426008.8924639</v>
      </c>
      <c r="L30" s="28">
        <f t="shared" si="62"/>
        <v>0</v>
      </c>
      <c r="M30" s="28">
        <f t="shared" si="62"/>
        <v>4720226178.9220686</v>
      </c>
      <c r="N30" s="28">
        <f t="shared" si="62"/>
        <v>2129254679.9881363</v>
      </c>
      <c r="O30" s="28">
        <f t="shared" si="62"/>
        <v>0</v>
      </c>
      <c r="P30" s="28">
        <f t="shared" si="62"/>
        <v>0</v>
      </c>
      <c r="Q30" s="28">
        <f t="shared" si="62"/>
        <v>61542994963.377426</v>
      </c>
      <c r="R30" s="28">
        <f>SUM(R31:R52)</f>
        <v>1185560893.0262399</v>
      </c>
      <c r="S30" s="28">
        <f t="shared" si="62"/>
        <v>0</v>
      </c>
      <c r="T30" s="28">
        <f t="shared" si="62"/>
        <v>0</v>
      </c>
      <c r="U30" s="28">
        <f t="shared" si="62"/>
        <v>0</v>
      </c>
      <c r="V30" s="28">
        <f t="shared" si="62"/>
        <v>1185560893.0262399</v>
      </c>
      <c r="W30" s="28">
        <f t="shared" si="62"/>
        <v>62728555856.403656</v>
      </c>
      <c r="X30" s="28">
        <f t="shared" si="62"/>
        <v>3176856918.7392001</v>
      </c>
      <c r="Y30" s="28">
        <f t="shared" si="62"/>
        <v>20000000</v>
      </c>
      <c r="Z30" s="28">
        <f t="shared" si="62"/>
        <v>282387281.66570663</v>
      </c>
      <c r="AA30" s="28">
        <f t="shared" si="62"/>
        <v>3479244200.4049063</v>
      </c>
      <c r="AB30" s="28">
        <f t="shared" si="62"/>
        <v>0</v>
      </c>
      <c r="AC30" s="28">
        <f t="shared" si="62"/>
        <v>0</v>
      </c>
      <c r="AD30" s="28">
        <f t="shared" si="62"/>
        <v>0</v>
      </c>
      <c r="AE30" s="28">
        <f t="shared" si="62"/>
        <v>0</v>
      </c>
      <c r="AF30" s="28">
        <f t="shared" si="62"/>
        <v>0</v>
      </c>
      <c r="AG30" s="28">
        <f t="shared" si="62"/>
        <v>3479244200.4049063</v>
      </c>
      <c r="AH30" s="28">
        <f t="shared" si="62"/>
        <v>6099565283.9792633</v>
      </c>
      <c r="AI30" s="28">
        <f t="shared" si="62"/>
        <v>4331578427.0483007</v>
      </c>
      <c r="AJ30" s="28">
        <f t="shared" si="62"/>
        <v>4246645516.7140203</v>
      </c>
      <c r="AK30" s="28">
        <f t="shared" si="62"/>
        <v>2351018826.3116617</v>
      </c>
      <c r="AL30" s="28">
        <f t="shared" si="62"/>
        <v>340596174.23091424</v>
      </c>
      <c r="AM30" s="28">
        <f t="shared" si="62"/>
        <v>1780803683.4931805</v>
      </c>
      <c r="AN30" s="28">
        <f t="shared" si="62"/>
        <v>332272154.54436129</v>
      </c>
      <c r="AO30" s="28">
        <f t="shared" si="62"/>
        <v>332272154.54436129</v>
      </c>
      <c r="AP30" s="28">
        <f t="shared" si="62"/>
        <v>611562288.41546476</v>
      </c>
      <c r="AQ30" s="28">
        <f t="shared" si="62"/>
        <v>0</v>
      </c>
      <c r="AR30" s="29">
        <f t="shared" si="62"/>
        <v>20426314509.281532</v>
      </c>
      <c r="AS30" s="28">
        <f t="shared" si="62"/>
        <v>220912702.64625236</v>
      </c>
      <c r="AT30" s="28">
        <f t="shared" si="62"/>
        <v>208360943.34299719</v>
      </c>
      <c r="AU30" s="30">
        <f t="shared" si="62"/>
        <v>429273645.98924953</v>
      </c>
      <c r="AV30" s="29">
        <f t="shared" si="62"/>
        <v>86634114566.090073</v>
      </c>
    </row>
    <row r="31" spans="1:48" x14ac:dyDescent="0.25">
      <c r="A31" s="40" t="s">
        <v>84</v>
      </c>
      <c r="B31" s="33">
        <v>24</v>
      </c>
      <c r="C31" s="33">
        <v>1</v>
      </c>
      <c r="D31" s="35">
        <v>8879304.5800000001</v>
      </c>
      <c r="E31" s="35">
        <f t="shared" ref="E31:E52" si="63">D31*C31*12</f>
        <v>106551654.96000001</v>
      </c>
      <c r="F31" s="35"/>
      <c r="G31" s="35">
        <f>+(((D31*0.2)*3)/C31)*12</f>
        <v>63930992.976000011</v>
      </c>
      <c r="H31" s="35">
        <f t="shared" ref="H31:H52" si="64">(IF(D31&gt;=2000000,0,66098))*12</f>
        <v>0</v>
      </c>
      <c r="I31" s="35">
        <f t="shared" si="8"/>
        <v>0</v>
      </c>
      <c r="J31" s="35">
        <f t="shared" si="29"/>
        <v>4456917.6044611121</v>
      </c>
      <c r="K31" s="35">
        <f>+IF(D31&lt;1853502,(((D31+(F31/12)+(G31/12))*0.5))*C31,(((D31+(F31/12)+(G31/12))*0.35))*C31)</f>
        <v>4972410.5647999998</v>
      </c>
      <c r="L31" s="35">
        <v>0</v>
      </c>
      <c r="M31" s="35">
        <f>+(E31/12)+J31/12+K31/12+N31/12</f>
        <v>9973827.6001204848</v>
      </c>
      <c r="N31" s="35">
        <f>+((((D31+H31/12+I31/12+J31/12+K31/12)/2)*23)/30)*C31</f>
        <v>3704948.0721847294</v>
      </c>
      <c r="O31" s="35"/>
      <c r="P31" s="35"/>
      <c r="Q31" s="35">
        <f t="shared" si="37"/>
        <v>193590751.77756634</v>
      </c>
      <c r="R31" s="35">
        <v>0</v>
      </c>
      <c r="S31" s="35"/>
      <c r="T31" s="35"/>
      <c r="U31" s="35"/>
      <c r="V31" s="35">
        <f t="shared" ref="V31:V52" si="65">SUM(R31:U31)</f>
        <v>0</v>
      </c>
      <c r="W31" s="35">
        <f t="shared" ref="W31:W52" si="66">Q31+V31</f>
        <v>193590751.77756634</v>
      </c>
      <c r="X31" s="35">
        <f>+(E31/360)*22.5</f>
        <v>6659478.4350000005</v>
      </c>
      <c r="Y31" s="35">
        <v>20000000</v>
      </c>
      <c r="Z31" s="35">
        <f>+((E31/360)*2)</f>
        <v>591953.63866666669</v>
      </c>
      <c r="AA31" s="35">
        <f t="shared" ref="AA31:AA52" si="67">SUM(X31:Z31)</f>
        <v>27251432.073666669</v>
      </c>
      <c r="AB31" s="35"/>
      <c r="AC31" s="35"/>
      <c r="AD31" s="35"/>
      <c r="AE31" s="35"/>
      <c r="AF31" s="35">
        <f t="shared" ref="AF31:AF52" si="68">SUM(AB31:AE31)</f>
        <v>0</v>
      </c>
      <c r="AG31" s="35">
        <f t="shared" ref="AG31:AG52" si="69">AA31+AF31</f>
        <v>27251432.073666669</v>
      </c>
      <c r="AH31" s="35">
        <f t="shared" si="26"/>
        <v>12786198.5952</v>
      </c>
      <c r="AI31" s="35">
        <f t="shared" si="27"/>
        <v>9092111.9131006692</v>
      </c>
      <c r="AJ31" s="35">
        <f t="shared" si="28"/>
        <v>8913835.2089222241</v>
      </c>
      <c r="AK31" s="36">
        <f t="shared" si="16"/>
        <v>4928317.3824256286</v>
      </c>
      <c r="AL31" s="36">
        <f t="shared" si="17"/>
        <v>713973.8853062524</v>
      </c>
      <c r="AM31" s="35">
        <f t="shared" si="18"/>
        <v>3733005.303839108</v>
      </c>
      <c r="AN31" s="36">
        <f t="shared" si="19"/>
        <v>696524.67968791607</v>
      </c>
      <c r="AO31" s="36">
        <f t="shared" si="20"/>
        <v>696524.67968791607</v>
      </c>
      <c r="AP31" s="35">
        <f t="shared" si="21"/>
        <v>1281985.9299733164</v>
      </c>
      <c r="AQ31" s="35">
        <v>0</v>
      </c>
      <c r="AR31" s="37">
        <f t="shared" ref="AR31:AR52" si="70">SUM(AH31:AQ31)</f>
        <v>42842477.578143038</v>
      </c>
      <c r="AS31" s="36">
        <f t="shared" si="22"/>
        <v>463087.70489863493</v>
      </c>
      <c r="AT31" s="36">
        <f t="shared" si="23"/>
        <v>436776.11059664388</v>
      </c>
      <c r="AU31" s="36">
        <f t="shared" ref="AU31:AU52" si="71">SUM(AS31:AT31)</f>
        <v>899863.8154952788</v>
      </c>
      <c r="AV31" s="38">
        <f t="shared" ref="AV31:AV52" si="72">W31+AG31+AR31</f>
        <v>263684661.42937604</v>
      </c>
    </row>
    <row r="32" spans="1:48" x14ac:dyDescent="0.25">
      <c r="A32" s="40" t="s">
        <v>84</v>
      </c>
      <c r="B32" s="33">
        <v>22</v>
      </c>
      <c r="C32" s="33">
        <v>1</v>
      </c>
      <c r="D32" s="35">
        <v>7789842.2353999997</v>
      </c>
      <c r="E32" s="35">
        <f t="shared" si="63"/>
        <v>93478106.8248</v>
      </c>
      <c r="F32" s="35">
        <v>0</v>
      </c>
      <c r="G32" s="35">
        <f>+(((D32*0.2)*3)/C32)*12</f>
        <v>56086864.09488</v>
      </c>
      <c r="H32" s="35">
        <f t="shared" si="64"/>
        <v>0</v>
      </c>
      <c r="I32" s="35">
        <f t="shared" si="8"/>
        <v>0</v>
      </c>
      <c r="J32" s="35">
        <f t="shared" si="29"/>
        <v>3910068.0331577226</v>
      </c>
      <c r="K32" s="35">
        <f t="shared" ref="K32:K54" si="73">+IF(D32&lt;1853502,(((D32+(F32/12)+(G32/12))*0.5))*C32,(((D32+(F32/12)+(G32/12))*0.35))*C32)</f>
        <v>4362311.6518239994</v>
      </c>
      <c r="L32" s="35">
        <v>0</v>
      </c>
      <c r="M32" s="35">
        <f t="shared" ref="M32:M95" si="74">+(E32/12)+J32/12+K32/12+N32/12</f>
        <v>8750070.7727740519</v>
      </c>
      <c r="N32" s="35">
        <f t="shared" ref="N32" si="75">+((((D32+H32/12+I32/12+J32/12+K32/12)/2)*23)/30)*C32</f>
        <v>3250362.7635069159</v>
      </c>
      <c r="O32" s="35"/>
      <c r="P32" s="35"/>
      <c r="Q32" s="35">
        <f t="shared" si="37"/>
        <v>169837784.14094269</v>
      </c>
      <c r="R32" s="35">
        <v>0</v>
      </c>
      <c r="S32" s="35"/>
      <c r="T32" s="35"/>
      <c r="U32" s="35"/>
      <c r="V32" s="35">
        <f t="shared" si="65"/>
        <v>0</v>
      </c>
      <c r="W32" s="35">
        <f t="shared" si="66"/>
        <v>169837784.14094269</v>
      </c>
      <c r="X32" s="35">
        <f t="shared" ref="X32:X52" si="76">+(E32/360)*22.5</f>
        <v>5842381.67655</v>
      </c>
      <c r="Y32" s="35">
        <v>0</v>
      </c>
      <c r="Z32" s="35">
        <f t="shared" ref="Z32:Z52" si="77">+((E32/360)*2)</f>
        <v>519322.81569333334</v>
      </c>
      <c r="AA32" s="35">
        <f t="shared" si="67"/>
        <v>6361704.4922433337</v>
      </c>
      <c r="AB32" s="35"/>
      <c r="AC32" s="35"/>
      <c r="AD32" s="35"/>
      <c r="AE32" s="35"/>
      <c r="AF32" s="35">
        <f t="shared" si="68"/>
        <v>0</v>
      </c>
      <c r="AG32" s="35">
        <f t="shared" si="69"/>
        <v>6361704.4922433337</v>
      </c>
      <c r="AH32" s="35">
        <f t="shared" si="26"/>
        <v>11217372.818975998</v>
      </c>
      <c r="AI32" s="35">
        <f t="shared" si="27"/>
        <v>7976538.7876417544</v>
      </c>
      <c r="AJ32" s="35">
        <f t="shared" si="28"/>
        <v>7820136.0663154451</v>
      </c>
      <c r="AK32" s="36">
        <f t="shared" si="16"/>
        <v>4323628.562257871</v>
      </c>
      <c r="AL32" s="36">
        <f t="shared" si="17"/>
        <v>626371.56734759512</v>
      </c>
      <c r="AM32" s="35">
        <f t="shared" si="18"/>
        <v>3274977.462347406</v>
      </c>
      <c r="AN32" s="36">
        <f t="shared" si="19"/>
        <v>611063.32359097712</v>
      </c>
      <c r="AO32" s="36">
        <f t="shared" si="20"/>
        <v>611063.32359097712</v>
      </c>
      <c r="AP32" s="35">
        <f t="shared" si="21"/>
        <v>1124690.3462449631</v>
      </c>
      <c r="AQ32" s="35">
        <v>0</v>
      </c>
      <c r="AR32" s="37">
        <f t="shared" si="70"/>
        <v>37585842.258312985</v>
      </c>
      <c r="AS32" s="36">
        <f t="shared" si="22"/>
        <v>406268.3208817055</v>
      </c>
      <c r="AT32" s="36">
        <f t="shared" si="23"/>
        <v>383185.07525951747</v>
      </c>
      <c r="AU32" s="36">
        <f t="shared" si="71"/>
        <v>789453.39614122291</v>
      </c>
      <c r="AV32" s="38">
        <f t="shared" si="72"/>
        <v>213785330.89149898</v>
      </c>
    </row>
    <row r="33" spans="1:48" x14ac:dyDescent="0.25">
      <c r="A33" s="40" t="s">
        <v>84</v>
      </c>
      <c r="B33" s="33">
        <v>21</v>
      </c>
      <c r="C33" s="33">
        <v>47</v>
      </c>
      <c r="D33" s="35">
        <v>7245774.4661999997</v>
      </c>
      <c r="E33" s="35">
        <f t="shared" si="63"/>
        <v>4086616798.9367995</v>
      </c>
      <c r="F33" s="35">
        <v>0</v>
      </c>
      <c r="G33" s="35">
        <f>+(((D33*0.2)*7)/C33)*12</f>
        <v>2589978.9581310637</v>
      </c>
      <c r="H33" s="35">
        <f t="shared" si="64"/>
        <v>0</v>
      </c>
      <c r="I33" s="35">
        <f t="shared" si="8"/>
        <v>0</v>
      </c>
      <c r="J33" s="35">
        <f t="shared" si="29"/>
        <v>170701892.38437161</v>
      </c>
      <c r="K33" s="35">
        <f t="shared" si="73"/>
        <v>122743419.45742798</v>
      </c>
      <c r="L33" s="35">
        <v>0</v>
      </c>
      <c r="M33" s="35">
        <f t="shared" si="74"/>
        <v>379279726.50559026</v>
      </c>
      <c r="N33" s="35">
        <f>+(E33+H33+I33+J33/12+K33/12)/24</f>
        <v>171294607.28848401</v>
      </c>
      <c r="O33" s="35"/>
      <c r="P33" s="35"/>
      <c r="Q33" s="35">
        <f t="shared" si="37"/>
        <v>4933226423.5308046</v>
      </c>
      <c r="R33" s="35">
        <f>+(D33*0.2)*12*20</f>
        <v>347797174.37760001</v>
      </c>
      <c r="S33" s="35"/>
      <c r="T33" s="35"/>
      <c r="U33" s="35"/>
      <c r="V33" s="35">
        <f t="shared" si="65"/>
        <v>347797174.37760001</v>
      </c>
      <c r="W33" s="35">
        <f t="shared" si="66"/>
        <v>5281023597.9084044</v>
      </c>
      <c r="X33" s="35">
        <f t="shared" si="76"/>
        <v>255413549.93354997</v>
      </c>
      <c r="Y33" s="35">
        <v>0</v>
      </c>
      <c r="Z33" s="35">
        <f t="shared" si="77"/>
        <v>22703426.660759997</v>
      </c>
      <c r="AA33" s="35">
        <f t="shared" si="67"/>
        <v>278116976.59430999</v>
      </c>
      <c r="AB33" s="35"/>
      <c r="AC33" s="35"/>
      <c r="AD33" s="35"/>
      <c r="AE33" s="35"/>
      <c r="AF33" s="35">
        <f t="shared" si="68"/>
        <v>0</v>
      </c>
      <c r="AG33" s="35">
        <f t="shared" si="69"/>
        <v>278116976.59430999</v>
      </c>
      <c r="AH33" s="35">
        <f t="shared" si="26"/>
        <v>490394015.87241596</v>
      </c>
      <c r="AI33" s="35">
        <f t="shared" si="27"/>
        <v>348231860.46411806</v>
      </c>
      <c r="AJ33" s="35">
        <f t="shared" si="28"/>
        <v>341403784.76874322</v>
      </c>
      <c r="AK33" s="36">
        <f t="shared" si="16"/>
        <v>189017661.08723056</v>
      </c>
      <c r="AL33" s="36">
        <f t="shared" si="17"/>
        <v>27383316.334129583</v>
      </c>
      <c r="AM33" s="35">
        <f t="shared" si="18"/>
        <v>143173395.01592922</v>
      </c>
      <c r="AN33" s="36">
        <f t="shared" si="19"/>
        <v>26714080.207907371</v>
      </c>
      <c r="AO33" s="36">
        <f t="shared" si="20"/>
        <v>26714080.207907371</v>
      </c>
      <c r="AP33" s="35">
        <f t="shared" si="21"/>
        <v>49168501.788135633</v>
      </c>
      <c r="AQ33" s="35">
        <v>0</v>
      </c>
      <c r="AR33" s="37">
        <f t="shared" si="70"/>
        <v>1642200695.7465169</v>
      </c>
      <c r="AS33" s="36">
        <f t="shared" si="22"/>
        <v>17760981.703477886</v>
      </c>
      <c r="AT33" s="36">
        <f t="shared" si="23"/>
        <v>16751842.959253859</v>
      </c>
      <c r="AU33" s="36">
        <f t="shared" si="71"/>
        <v>34512824.662731744</v>
      </c>
      <c r="AV33" s="38">
        <f t="shared" si="72"/>
        <v>7201341270.2492313</v>
      </c>
    </row>
    <row r="34" spans="1:48" x14ac:dyDescent="0.25">
      <c r="A34" s="40" t="s">
        <v>84</v>
      </c>
      <c r="B34" s="33">
        <v>20</v>
      </c>
      <c r="C34" s="33">
        <v>20</v>
      </c>
      <c r="D34" s="35">
        <v>6798214.9545999998</v>
      </c>
      <c r="E34" s="35">
        <f t="shared" si="63"/>
        <v>1631571589.1040001</v>
      </c>
      <c r="F34" s="35">
        <v>0</v>
      </c>
      <c r="G34" s="35">
        <f>+(((D34*0.2)*7)/C34)*12</f>
        <v>5710500.5618639998</v>
      </c>
      <c r="H34" s="35">
        <f t="shared" si="64"/>
        <v>0</v>
      </c>
      <c r="I34" s="35">
        <f t="shared" si="8"/>
        <v>0</v>
      </c>
      <c r="J34" s="35">
        <f t="shared" si="29"/>
        <v>68158950.344645679</v>
      </c>
      <c r="K34" s="35">
        <f t="shared" si="73"/>
        <v>50918630.009953991</v>
      </c>
      <c r="L34" s="35">
        <v>0</v>
      </c>
      <c r="M34" s="35">
        <f t="shared" si="74"/>
        <v>151587065.23543963</v>
      </c>
      <c r="N34" s="35">
        <f t="shared" ref="N34:N84" si="78">+(E34+H34+I34+J34/12+K34/12)/24</f>
        <v>68395613.36667569</v>
      </c>
      <c r="O34" s="35"/>
      <c r="P34" s="35"/>
      <c r="Q34" s="35">
        <f t="shared" si="37"/>
        <v>1976342348.6225789</v>
      </c>
      <c r="R34" s="35">
        <f>+(D34*0.2)*12*7</f>
        <v>114210011.23728001</v>
      </c>
      <c r="S34" s="35"/>
      <c r="T34" s="35"/>
      <c r="U34" s="35"/>
      <c r="V34" s="35">
        <f t="shared" si="65"/>
        <v>114210011.23728001</v>
      </c>
      <c r="W34" s="35">
        <f t="shared" si="66"/>
        <v>2090552359.859859</v>
      </c>
      <c r="X34" s="35">
        <f t="shared" si="76"/>
        <v>101973224.31900001</v>
      </c>
      <c r="Y34" s="35">
        <v>0</v>
      </c>
      <c r="Z34" s="35">
        <f t="shared" si="77"/>
        <v>9064286.6061333343</v>
      </c>
      <c r="AA34" s="35">
        <f t="shared" si="67"/>
        <v>111037510.92513335</v>
      </c>
      <c r="AB34" s="35"/>
      <c r="AC34" s="35"/>
      <c r="AD34" s="35"/>
      <c r="AE34" s="35"/>
      <c r="AF34" s="35">
        <f t="shared" si="68"/>
        <v>0</v>
      </c>
      <c r="AG34" s="35">
        <f t="shared" si="69"/>
        <v>111037510.92513335</v>
      </c>
      <c r="AH34" s="35">
        <f t="shared" si="26"/>
        <v>195788590.69247997</v>
      </c>
      <c r="AI34" s="35">
        <f t="shared" si="27"/>
        <v>139044258.7030772</v>
      </c>
      <c r="AJ34" s="35">
        <f t="shared" si="28"/>
        <v>136317900.68929136</v>
      </c>
      <c r="AK34" s="36">
        <f t="shared" si="16"/>
        <v>75464830.896072358</v>
      </c>
      <c r="AL34" s="36">
        <f t="shared" si="17"/>
        <v>10932720.914238151</v>
      </c>
      <c r="AM34" s="35">
        <f t="shared" si="18"/>
        <v>57161621.731777877</v>
      </c>
      <c r="AN34" s="36">
        <f t="shared" si="19"/>
        <v>10665530.055963833</v>
      </c>
      <c r="AO34" s="36">
        <f t="shared" si="20"/>
        <v>10665530.055963833</v>
      </c>
      <c r="AP34" s="35">
        <f t="shared" si="21"/>
        <v>19630402.003241986</v>
      </c>
      <c r="AQ34" s="35">
        <v>0</v>
      </c>
      <c r="AR34" s="37">
        <f t="shared" si="70"/>
        <v>655671385.74210668</v>
      </c>
      <c r="AS34" s="36">
        <f t="shared" si="22"/>
        <v>7091027.7541876845</v>
      </c>
      <c r="AT34" s="36">
        <f t="shared" si="23"/>
        <v>6688131.6213845387</v>
      </c>
      <c r="AU34" s="36">
        <f t="shared" si="71"/>
        <v>13779159.375572223</v>
      </c>
      <c r="AV34" s="38">
        <f t="shared" si="72"/>
        <v>2857261256.5270987</v>
      </c>
    </row>
    <row r="35" spans="1:48" x14ac:dyDescent="0.25">
      <c r="A35" s="40" t="s">
        <v>84</v>
      </c>
      <c r="B35" s="33">
        <v>19</v>
      </c>
      <c r="C35" s="33">
        <v>44</v>
      </c>
      <c r="D35" s="35">
        <v>6315247.8443999998</v>
      </c>
      <c r="E35" s="35">
        <f t="shared" si="63"/>
        <v>3334450861.8431997</v>
      </c>
      <c r="F35" s="35">
        <v>0</v>
      </c>
      <c r="G35" s="35">
        <f>+(((D35*0.2)*6)/C35)*12</f>
        <v>2066808.3854400003</v>
      </c>
      <c r="H35" s="35">
        <f t="shared" si="64"/>
        <v>0</v>
      </c>
      <c r="I35" s="35">
        <f t="shared" si="8"/>
        <v>0</v>
      </c>
      <c r="J35" s="35">
        <f t="shared" si="29"/>
        <v>139282352.64936391</v>
      </c>
      <c r="K35" s="35">
        <f t="shared" si="73"/>
        <v>99907220.898407996</v>
      </c>
      <c r="L35" s="35">
        <v>0</v>
      </c>
      <c r="M35" s="35">
        <f t="shared" si="74"/>
        <v>309450533.94336396</v>
      </c>
      <c r="N35" s="35">
        <f t="shared" si="78"/>
        <v>139765971.92939642</v>
      </c>
      <c r="O35" s="35"/>
      <c r="P35" s="35"/>
      <c r="Q35" s="35">
        <f t="shared" si="37"/>
        <v>4024923749.6491723</v>
      </c>
      <c r="R35" s="35">
        <f>+(D35*0.2)*12*10</f>
        <v>151565948.26560003</v>
      </c>
      <c r="S35" s="35"/>
      <c r="T35" s="35"/>
      <c r="U35" s="35"/>
      <c r="V35" s="35">
        <f t="shared" si="65"/>
        <v>151565948.26560003</v>
      </c>
      <c r="W35" s="35">
        <f t="shared" si="66"/>
        <v>4176489697.9147725</v>
      </c>
      <c r="X35" s="35">
        <f t="shared" si="76"/>
        <v>208403178.86519998</v>
      </c>
      <c r="Y35" s="35">
        <v>0</v>
      </c>
      <c r="Z35" s="35">
        <f t="shared" si="77"/>
        <v>18524727.01024</v>
      </c>
      <c r="AA35" s="35">
        <f t="shared" si="67"/>
        <v>226927905.87543997</v>
      </c>
      <c r="AB35" s="35"/>
      <c r="AC35" s="35"/>
      <c r="AD35" s="35"/>
      <c r="AE35" s="35"/>
      <c r="AF35" s="35">
        <f t="shared" si="68"/>
        <v>0</v>
      </c>
      <c r="AG35" s="35">
        <f t="shared" si="69"/>
        <v>226927905.87543997</v>
      </c>
      <c r="AH35" s="35">
        <f t="shared" si="26"/>
        <v>400134103.42118394</v>
      </c>
      <c r="AI35" s="35">
        <f t="shared" si="27"/>
        <v>284135999.40470243</v>
      </c>
      <c r="AJ35" s="35">
        <f t="shared" si="28"/>
        <v>278564705.29872781</v>
      </c>
      <c r="AK35" s="36">
        <f t="shared" si="16"/>
        <v>154227845.16519308</v>
      </c>
      <c r="AL35" s="36">
        <f t="shared" si="17"/>
        <v>22343255.373055462</v>
      </c>
      <c r="AM35" s="35">
        <f t="shared" si="18"/>
        <v>116821486.79271488</v>
      </c>
      <c r="AN35" s="36">
        <f t="shared" si="19"/>
        <v>21797196.105047062</v>
      </c>
      <c r="AO35" s="36">
        <f t="shared" si="20"/>
        <v>21797196.105047062</v>
      </c>
      <c r="AP35" s="35">
        <f t="shared" si="21"/>
        <v>40118748.889213696</v>
      </c>
      <c r="AQ35" s="35">
        <v>0</v>
      </c>
      <c r="AR35" s="37">
        <f t="shared" si="70"/>
        <v>1339940536.5548854</v>
      </c>
      <c r="AS35" s="36">
        <f t="shared" si="22"/>
        <v>14491968.212862778</v>
      </c>
      <c r="AT35" s="36">
        <f t="shared" si="23"/>
        <v>13668567.409471422</v>
      </c>
      <c r="AU35" s="36">
        <f t="shared" si="71"/>
        <v>28160535.622334201</v>
      </c>
      <c r="AV35" s="38">
        <f t="shared" si="72"/>
        <v>5743358140.3450985</v>
      </c>
    </row>
    <row r="36" spans="1:48" x14ac:dyDescent="0.25">
      <c r="A36" s="40" t="s">
        <v>84</v>
      </c>
      <c r="B36" s="33">
        <v>18</v>
      </c>
      <c r="C36" s="33">
        <v>15</v>
      </c>
      <c r="D36" s="35">
        <v>5871079.8940000003</v>
      </c>
      <c r="E36" s="35">
        <f t="shared" si="63"/>
        <v>1056794380.9200001</v>
      </c>
      <c r="F36" s="35">
        <v>0</v>
      </c>
      <c r="G36" s="35">
        <f>+(((D36*0.2)*5)/C36)*12</f>
        <v>4696863.9152000006</v>
      </c>
      <c r="H36" s="35">
        <f t="shared" si="64"/>
        <v>0</v>
      </c>
      <c r="I36" s="35">
        <f t="shared" si="8"/>
        <v>0</v>
      </c>
      <c r="J36" s="35">
        <f t="shared" si="29"/>
        <v>44147259.09182778</v>
      </c>
      <c r="K36" s="35">
        <f t="shared" si="73"/>
        <v>32878047.406400003</v>
      </c>
      <c r="L36" s="35">
        <v>0</v>
      </c>
      <c r="M36" s="35">
        <f t="shared" si="74"/>
        <v>98176686.300343722</v>
      </c>
      <c r="N36" s="35">
        <f t="shared" si="78"/>
        <v>44300548.185896628</v>
      </c>
      <c r="O36" s="35"/>
      <c r="P36" s="35"/>
      <c r="Q36" s="35">
        <f t="shared" si="37"/>
        <v>1280993785.8196683</v>
      </c>
      <c r="R36" s="35">
        <f>+(D36*0.2)*12*1</f>
        <v>14090591.745600002</v>
      </c>
      <c r="S36" s="35"/>
      <c r="T36" s="35"/>
      <c r="U36" s="35"/>
      <c r="V36" s="35">
        <f t="shared" si="65"/>
        <v>14090591.745600002</v>
      </c>
      <c r="W36" s="35">
        <f t="shared" si="66"/>
        <v>1295084377.5652683</v>
      </c>
      <c r="X36" s="35">
        <f t="shared" si="76"/>
        <v>66049648.807500005</v>
      </c>
      <c r="Y36" s="35">
        <v>0</v>
      </c>
      <c r="Z36" s="35">
        <f t="shared" si="77"/>
        <v>5871079.8940000003</v>
      </c>
      <c r="AA36" s="35">
        <f t="shared" si="67"/>
        <v>71920728.701499999</v>
      </c>
      <c r="AB36" s="35"/>
      <c r="AC36" s="35"/>
      <c r="AD36" s="35"/>
      <c r="AE36" s="35"/>
      <c r="AF36" s="35">
        <f t="shared" si="68"/>
        <v>0</v>
      </c>
      <c r="AG36" s="35">
        <f t="shared" si="69"/>
        <v>71920728.701499999</v>
      </c>
      <c r="AH36" s="35">
        <f t="shared" si="26"/>
        <v>126815325.71039999</v>
      </c>
      <c r="AI36" s="35">
        <f t="shared" si="27"/>
        <v>90060408.547328681</v>
      </c>
      <c r="AJ36" s="35">
        <f t="shared" si="28"/>
        <v>88294518.18365556</v>
      </c>
      <c r="AK36" s="36">
        <f t="shared" si="16"/>
        <v>48879748.691777304</v>
      </c>
      <c r="AL36" s="36">
        <f t="shared" si="17"/>
        <v>7081293.9545473969</v>
      </c>
      <c r="AM36" s="35">
        <f t="shared" si="18"/>
        <v>37024474.472242653</v>
      </c>
      <c r="AN36" s="36">
        <f t="shared" si="19"/>
        <v>6908230.2658050861</v>
      </c>
      <c r="AO36" s="36">
        <f t="shared" si="20"/>
        <v>6908230.2658050861</v>
      </c>
      <c r="AP36" s="35">
        <f t="shared" si="21"/>
        <v>12714917.73377803</v>
      </c>
      <c r="AQ36" s="35">
        <v>0</v>
      </c>
      <c r="AR36" s="37">
        <f t="shared" si="70"/>
        <v>424687147.82533967</v>
      </c>
      <c r="AS36" s="36">
        <f t="shared" si="22"/>
        <v>4592969.3404925093</v>
      </c>
      <c r="AT36" s="36">
        <f t="shared" si="23"/>
        <v>4332007.2275921572</v>
      </c>
      <c r="AU36" s="36">
        <f t="shared" si="71"/>
        <v>8924976.5680846665</v>
      </c>
      <c r="AV36" s="38">
        <f t="shared" si="72"/>
        <v>1791692254.0921078</v>
      </c>
    </row>
    <row r="37" spans="1:48" x14ac:dyDescent="0.25">
      <c r="A37" s="40" t="s">
        <v>84</v>
      </c>
      <c r="B37" s="33">
        <v>17</v>
      </c>
      <c r="C37" s="33">
        <v>60</v>
      </c>
      <c r="D37" s="35">
        <v>5451581.7435999997</v>
      </c>
      <c r="E37" s="35">
        <f t="shared" si="63"/>
        <v>3925138855.3920002</v>
      </c>
      <c r="F37" s="35">
        <v>0</v>
      </c>
      <c r="G37" s="35">
        <f>+(((D37*0.4)*1))*12</f>
        <v>26167592.369279996</v>
      </c>
      <c r="H37" s="35">
        <f t="shared" si="64"/>
        <v>0</v>
      </c>
      <c r="I37" s="35">
        <f t="shared" si="8"/>
        <v>0</v>
      </c>
      <c r="J37" s="35">
        <f t="shared" si="29"/>
        <v>164103967.94432583</v>
      </c>
      <c r="K37" s="35">
        <f t="shared" si="73"/>
        <v>160276503.26183999</v>
      </c>
      <c r="L37" s="35">
        <v>0</v>
      </c>
      <c r="M37" s="35">
        <f t="shared" si="74"/>
        <v>367849424.99889529</v>
      </c>
      <c r="N37" s="35">
        <f t="shared" si="78"/>
        <v>164673773.38857698</v>
      </c>
      <c r="O37" s="35"/>
      <c r="P37" s="35"/>
      <c r="Q37" s="35">
        <f t="shared" si="37"/>
        <v>4808210117.3549175</v>
      </c>
      <c r="R37" s="35">
        <f>+(D37*0.2)*12*9</f>
        <v>117754165.66175997</v>
      </c>
      <c r="S37" s="35"/>
      <c r="T37" s="35"/>
      <c r="U37" s="35"/>
      <c r="V37" s="35">
        <f t="shared" si="65"/>
        <v>117754165.66175997</v>
      </c>
      <c r="W37" s="35">
        <f t="shared" si="66"/>
        <v>4925964283.0166779</v>
      </c>
      <c r="X37" s="35">
        <f t="shared" si="76"/>
        <v>245321178.46200004</v>
      </c>
      <c r="Y37" s="35">
        <v>0</v>
      </c>
      <c r="Z37" s="35">
        <f t="shared" si="77"/>
        <v>21806326.974400003</v>
      </c>
      <c r="AA37" s="35">
        <f t="shared" si="67"/>
        <v>267127505.43640006</v>
      </c>
      <c r="AB37" s="35"/>
      <c r="AC37" s="35"/>
      <c r="AD37" s="35"/>
      <c r="AE37" s="35"/>
      <c r="AF37" s="35">
        <f t="shared" si="68"/>
        <v>0</v>
      </c>
      <c r="AG37" s="35">
        <f t="shared" si="69"/>
        <v>267127505.43640006</v>
      </c>
      <c r="AH37" s="35">
        <f t="shared" si="26"/>
        <v>471016662.64703995</v>
      </c>
      <c r="AI37" s="35">
        <f t="shared" si="27"/>
        <v>334772094.60642475</v>
      </c>
      <c r="AJ37" s="35">
        <f t="shared" si="28"/>
        <v>328207935.88865167</v>
      </c>
      <c r="AK37" s="36">
        <f t="shared" si="16"/>
        <v>181548846.48881879</v>
      </c>
      <c r="AL37" s="36">
        <f t="shared" si="17"/>
        <v>26301296.211708907</v>
      </c>
      <c r="AM37" s="35">
        <f t="shared" si="18"/>
        <v>137516063.64991653</v>
      </c>
      <c r="AN37" s="36">
        <f t="shared" si="19"/>
        <v>25658504.178173922</v>
      </c>
      <c r="AO37" s="36">
        <f t="shared" si="20"/>
        <v>25658504.178173922</v>
      </c>
      <c r="AP37" s="35">
        <f t="shared" si="21"/>
        <v>47225665.220245883</v>
      </c>
      <c r="AQ37" s="35">
        <v>0</v>
      </c>
      <c r="AR37" s="37">
        <f t="shared" si="70"/>
        <v>1577905573.0691547</v>
      </c>
      <c r="AS37" s="36">
        <f t="shared" si="22"/>
        <v>17059177.022020943</v>
      </c>
      <c r="AT37" s="36">
        <f t="shared" si="23"/>
        <v>16089913.229911605</v>
      </c>
      <c r="AU37" s="36">
        <f t="shared" si="71"/>
        <v>33149090.251932546</v>
      </c>
      <c r="AV37" s="38">
        <f t="shared" si="72"/>
        <v>6770997361.522233</v>
      </c>
    </row>
    <row r="38" spans="1:48" x14ac:dyDescent="0.25">
      <c r="A38" s="40" t="s">
        <v>84</v>
      </c>
      <c r="B38" s="33">
        <v>16</v>
      </c>
      <c r="C38" s="33">
        <v>36</v>
      </c>
      <c r="D38" s="35">
        <v>5182989.8323999997</v>
      </c>
      <c r="E38" s="35">
        <f t="shared" si="63"/>
        <v>2239051607.5967999</v>
      </c>
      <c r="F38" s="35">
        <v>0</v>
      </c>
      <c r="G38" s="35">
        <f>+(((D38*0.2)*9)/C38)*12</f>
        <v>3109793.8994399998</v>
      </c>
      <c r="H38" s="35">
        <f t="shared" si="64"/>
        <v>0</v>
      </c>
      <c r="I38" s="35">
        <f t="shared" si="8"/>
        <v>0</v>
      </c>
      <c r="J38" s="35">
        <f t="shared" si="29"/>
        <v>93531910.578625873</v>
      </c>
      <c r="K38" s="35">
        <f t="shared" si="73"/>
        <v>68570955.482651994</v>
      </c>
      <c r="L38" s="35">
        <v>0</v>
      </c>
      <c r="M38" s="35">
        <f t="shared" si="74"/>
        <v>207917595.6512585</v>
      </c>
      <c r="N38" s="35">
        <f t="shared" si="78"/>
        <v>93856674.157023892</v>
      </c>
      <c r="O38" s="35"/>
      <c r="P38" s="35"/>
      <c r="Q38" s="35">
        <f t="shared" si="37"/>
        <v>2706038537.3657999</v>
      </c>
      <c r="R38" s="35">
        <f>+(D38*0.2)*12*3</f>
        <v>37317526.793279998</v>
      </c>
      <c r="S38" s="35"/>
      <c r="T38" s="35"/>
      <c r="U38" s="35"/>
      <c r="V38" s="35">
        <f t="shared" si="65"/>
        <v>37317526.793279998</v>
      </c>
      <c r="W38" s="35">
        <f t="shared" si="66"/>
        <v>2743356064.15908</v>
      </c>
      <c r="X38" s="35">
        <f t="shared" si="76"/>
        <v>139940725.47479999</v>
      </c>
      <c r="Y38" s="35">
        <v>0</v>
      </c>
      <c r="Z38" s="35">
        <f t="shared" si="77"/>
        <v>12439175.597759999</v>
      </c>
      <c r="AA38" s="35">
        <f t="shared" si="67"/>
        <v>152379901.07255998</v>
      </c>
      <c r="AB38" s="35"/>
      <c r="AC38" s="35"/>
      <c r="AD38" s="35"/>
      <c r="AE38" s="35"/>
      <c r="AF38" s="35">
        <f t="shared" si="68"/>
        <v>0</v>
      </c>
      <c r="AG38" s="35">
        <f t="shared" si="69"/>
        <v>152379901.07255998</v>
      </c>
      <c r="AH38" s="35">
        <f t="shared" si="26"/>
        <v>268686192.91161603</v>
      </c>
      <c r="AI38" s="35">
        <f t="shared" si="27"/>
        <v>190805097.5803968</v>
      </c>
      <c r="AJ38" s="35">
        <f t="shared" si="28"/>
        <v>187063821.15725175</v>
      </c>
      <c r="AK38" s="36">
        <f t="shared" si="16"/>
        <v>103562511.17835623</v>
      </c>
      <c r="AL38" s="36">
        <f t="shared" si="17"/>
        <v>15003280.580458641</v>
      </c>
      <c r="AM38" s="35">
        <f t="shared" si="18"/>
        <v>78444502.151244074</v>
      </c>
      <c r="AN38" s="36">
        <f t="shared" si="19"/>
        <v>14636607.046333902</v>
      </c>
      <c r="AO38" s="36">
        <f t="shared" si="20"/>
        <v>14636607.046333902</v>
      </c>
      <c r="AP38" s="35">
        <f t="shared" si="21"/>
        <v>26939353.110008538</v>
      </c>
      <c r="AQ38" s="35">
        <v>0</v>
      </c>
      <c r="AR38" s="37">
        <f t="shared" si="70"/>
        <v>899777972.76199985</v>
      </c>
      <c r="AS38" s="36">
        <f t="shared" si="22"/>
        <v>9731216.9435645975</v>
      </c>
      <c r="AT38" s="36">
        <f t="shared" si="23"/>
        <v>9178311.2421709988</v>
      </c>
      <c r="AU38" s="36">
        <f t="shared" si="71"/>
        <v>18909528.185735598</v>
      </c>
      <c r="AV38" s="38">
        <f t="shared" si="72"/>
        <v>3795513937.9936399</v>
      </c>
    </row>
    <row r="39" spans="1:48" x14ac:dyDescent="0.25">
      <c r="A39" s="40" t="s">
        <v>84</v>
      </c>
      <c r="B39" s="33">
        <v>15</v>
      </c>
      <c r="C39" s="33">
        <v>140</v>
      </c>
      <c r="D39" s="35">
        <v>4807337.4248000002</v>
      </c>
      <c r="E39" s="35">
        <f t="shared" si="63"/>
        <v>8076326873.6639996</v>
      </c>
      <c r="F39" s="35">
        <v>0</v>
      </c>
      <c r="G39" s="35">
        <f>+(((D39*0.2)*5)/C39)*12</f>
        <v>412057.49355428573</v>
      </c>
      <c r="H39" s="35">
        <f t="shared" si="64"/>
        <v>0</v>
      </c>
      <c r="I39" s="35">
        <f t="shared" si="8"/>
        <v>0</v>
      </c>
      <c r="J39" s="35">
        <f t="shared" si="29"/>
        <v>337337377.03431207</v>
      </c>
      <c r="K39" s="35">
        <f t="shared" si="73"/>
        <v>237242101.91387996</v>
      </c>
      <c r="L39" s="35">
        <v>0</v>
      </c>
      <c r="M39" s="35">
        <f t="shared" si="74"/>
        <v>749117919.99861908</v>
      </c>
      <c r="N39" s="35">
        <f t="shared" si="78"/>
        <v>338508687.37123674</v>
      </c>
      <c r="O39" s="35"/>
      <c r="P39" s="35"/>
      <c r="Q39" s="35">
        <f t="shared" si="37"/>
        <v>9738945017.4756012</v>
      </c>
      <c r="R39" s="35">
        <f>+(D39*0.2)*12*10</f>
        <v>115376098.1952</v>
      </c>
      <c r="S39" s="35"/>
      <c r="T39" s="35"/>
      <c r="U39" s="35"/>
      <c r="V39" s="35">
        <f t="shared" si="65"/>
        <v>115376098.1952</v>
      </c>
      <c r="W39" s="35">
        <f t="shared" si="66"/>
        <v>9854321115.6708012</v>
      </c>
      <c r="X39" s="35">
        <f t="shared" si="76"/>
        <v>504770429.60399997</v>
      </c>
      <c r="Y39" s="35">
        <v>0</v>
      </c>
      <c r="Z39" s="35">
        <f t="shared" si="77"/>
        <v>44868482.631466664</v>
      </c>
      <c r="AA39" s="35">
        <f t="shared" si="67"/>
        <v>549638912.2354666</v>
      </c>
      <c r="AB39" s="35"/>
      <c r="AC39" s="35"/>
      <c r="AD39" s="35"/>
      <c r="AE39" s="35"/>
      <c r="AF39" s="35">
        <f t="shared" si="68"/>
        <v>0</v>
      </c>
      <c r="AG39" s="35">
        <f t="shared" si="69"/>
        <v>549638912.2354666</v>
      </c>
      <c r="AH39" s="35">
        <f t="shared" si="26"/>
        <v>969159224.83967996</v>
      </c>
      <c r="AI39" s="35">
        <f t="shared" si="27"/>
        <v>688168249.14999664</v>
      </c>
      <c r="AJ39" s="35">
        <f t="shared" si="28"/>
        <v>674674754.06862414</v>
      </c>
      <c r="AK39" s="36">
        <f t="shared" si="16"/>
        <v>373553110.29726988</v>
      </c>
      <c r="AL39" s="36">
        <f t="shared" si="17"/>
        <v>54117286.861080438</v>
      </c>
      <c r="AM39" s="35">
        <f t="shared" si="18"/>
        <v>282951691.98680305</v>
      </c>
      <c r="AN39" s="36">
        <f t="shared" si="19"/>
        <v>52794684.332641423</v>
      </c>
      <c r="AO39" s="36">
        <f t="shared" si="20"/>
        <v>52794684.332641423</v>
      </c>
      <c r="AP39" s="35">
        <f t="shared" si="21"/>
        <v>97171061.508049533</v>
      </c>
      <c r="AQ39" s="35">
        <v>0</v>
      </c>
      <c r="AR39" s="37">
        <f t="shared" si="70"/>
        <v>3245384747.3767867</v>
      </c>
      <c r="AS39" s="36">
        <f t="shared" si="22"/>
        <v>35100793.857591994</v>
      </c>
      <c r="AT39" s="36">
        <f t="shared" si="23"/>
        <v>33106446.268810865</v>
      </c>
      <c r="AU39" s="36">
        <f t="shared" si="71"/>
        <v>68207240.126402855</v>
      </c>
      <c r="AV39" s="38">
        <f t="shared" si="72"/>
        <v>13649344775.283054</v>
      </c>
    </row>
    <row r="40" spans="1:48" x14ac:dyDescent="0.25">
      <c r="A40" s="40" t="s">
        <v>84</v>
      </c>
      <c r="B40" s="33">
        <v>14</v>
      </c>
      <c r="C40" s="33">
        <v>21</v>
      </c>
      <c r="D40" s="35">
        <v>4348154.1469999999</v>
      </c>
      <c r="E40" s="35">
        <f t="shared" si="63"/>
        <v>1095734845.0439999</v>
      </c>
      <c r="F40" s="35">
        <v>0</v>
      </c>
      <c r="G40" s="35">
        <f>+(((D40*0.2)*6)/C40)*12</f>
        <v>2981591.4150857143</v>
      </c>
      <c r="H40" s="35">
        <f t="shared" si="64"/>
        <v>0</v>
      </c>
      <c r="I40" s="35">
        <f t="shared" si="8"/>
        <v>0</v>
      </c>
      <c r="J40" s="35">
        <f t="shared" si="29"/>
        <v>45772928.118924268</v>
      </c>
      <c r="K40" s="35">
        <f t="shared" si="73"/>
        <v>33785157.72219</v>
      </c>
      <c r="L40" s="35">
        <v>0</v>
      </c>
      <c r="M40" s="35">
        <f t="shared" si="74"/>
        <v>101768732.73185243</v>
      </c>
      <c r="N40" s="35">
        <f t="shared" si="78"/>
        <v>45931861.897114985</v>
      </c>
      <c r="O40" s="35"/>
      <c r="P40" s="35"/>
      <c r="Q40" s="35">
        <f t="shared" si="37"/>
        <v>1325975116.9291675</v>
      </c>
      <c r="R40" s="35">
        <f>+(D40*0.2)*12*1</f>
        <v>10435569.9528</v>
      </c>
      <c r="S40" s="35"/>
      <c r="T40" s="35"/>
      <c r="U40" s="35"/>
      <c r="V40" s="35">
        <f t="shared" si="65"/>
        <v>10435569.9528</v>
      </c>
      <c r="W40" s="35">
        <f t="shared" si="66"/>
        <v>1336410686.8819675</v>
      </c>
      <c r="X40" s="35">
        <f t="shared" si="76"/>
        <v>68483427.815249994</v>
      </c>
      <c r="Y40" s="35">
        <v>0</v>
      </c>
      <c r="Z40" s="35">
        <f t="shared" si="77"/>
        <v>6087415.8057999993</v>
      </c>
      <c r="AA40" s="35">
        <f t="shared" si="67"/>
        <v>74570843.62105</v>
      </c>
      <c r="AB40" s="35"/>
      <c r="AC40" s="35"/>
      <c r="AD40" s="35"/>
      <c r="AE40" s="35"/>
      <c r="AF40" s="35">
        <f t="shared" si="68"/>
        <v>0</v>
      </c>
      <c r="AG40" s="35">
        <f t="shared" si="69"/>
        <v>74570843.62105</v>
      </c>
      <c r="AH40" s="35">
        <f t="shared" si="26"/>
        <v>131488181.40527999</v>
      </c>
      <c r="AI40" s="35">
        <f t="shared" si="27"/>
        <v>93376773.362605512</v>
      </c>
      <c r="AJ40" s="35">
        <f t="shared" si="28"/>
        <v>91545856.237848535</v>
      </c>
      <c r="AK40" s="36">
        <f t="shared" si="16"/>
        <v>50680856.016614959</v>
      </c>
      <c r="AL40" s="36">
        <f t="shared" si="17"/>
        <v>7342223.4959672671</v>
      </c>
      <c r="AM40" s="35">
        <f t="shared" si="18"/>
        <v>38388741.964506559</v>
      </c>
      <c r="AN40" s="36">
        <f t="shared" si="19"/>
        <v>7162782.8047689339</v>
      </c>
      <c r="AO40" s="36">
        <f t="shared" si="20"/>
        <v>7162782.8047689339</v>
      </c>
      <c r="AP40" s="35">
        <f t="shared" si="21"/>
        <v>13183433.470416177</v>
      </c>
      <c r="AQ40" s="35">
        <v>0</v>
      </c>
      <c r="AR40" s="37">
        <f t="shared" si="70"/>
        <v>440331631.56277686</v>
      </c>
      <c r="AS40" s="36">
        <f t="shared" si="22"/>
        <v>4762209.7916674847</v>
      </c>
      <c r="AT40" s="36">
        <f t="shared" si="23"/>
        <v>4491631.8197328793</v>
      </c>
      <c r="AU40" s="36">
        <f t="shared" si="71"/>
        <v>9253841.611400364</v>
      </c>
      <c r="AV40" s="38">
        <f t="shared" si="72"/>
        <v>1851313162.0657942</v>
      </c>
    </row>
    <row r="41" spans="1:48" x14ac:dyDescent="0.25">
      <c r="A41" s="40" t="s">
        <v>84</v>
      </c>
      <c r="B41" s="33">
        <v>13</v>
      </c>
      <c r="C41" s="33">
        <v>53</v>
      </c>
      <c r="D41" s="35">
        <v>4063164.327</v>
      </c>
      <c r="E41" s="35">
        <f t="shared" si="63"/>
        <v>2584172511.9720001</v>
      </c>
      <c r="F41" s="35">
        <v>0</v>
      </c>
      <c r="G41" s="35">
        <f>((620373*3)/C41)*12</f>
        <v>421385.43396226421</v>
      </c>
      <c r="H41" s="35">
        <f t="shared" si="64"/>
        <v>0</v>
      </c>
      <c r="I41" s="35">
        <f t="shared" si="8"/>
        <v>0</v>
      </c>
      <c r="J41" s="35">
        <f t="shared" si="29"/>
        <v>107937823.72770782</v>
      </c>
      <c r="K41" s="35">
        <f t="shared" si="73"/>
        <v>76023089.915849999</v>
      </c>
      <c r="L41" s="35">
        <v>0</v>
      </c>
      <c r="M41" s="35">
        <f t="shared" si="74"/>
        <v>239703836.12111929</v>
      </c>
      <c r="N41" s="35">
        <f t="shared" si="78"/>
        <v>108312607.83787347</v>
      </c>
      <c r="O41" s="35"/>
      <c r="P41" s="35"/>
      <c r="Q41" s="35">
        <f t="shared" si="37"/>
        <v>3116571255.0085135</v>
      </c>
      <c r="R41" s="35">
        <v>0</v>
      </c>
      <c r="S41" s="35"/>
      <c r="T41" s="35"/>
      <c r="U41" s="35"/>
      <c r="V41" s="35">
        <f t="shared" si="65"/>
        <v>0</v>
      </c>
      <c r="W41" s="35">
        <f t="shared" si="66"/>
        <v>3116571255.0085135</v>
      </c>
      <c r="X41" s="35">
        <f t="shared" si="76"/>
        <v>161510781.99825001</v>
      </c>
      <c r="Y41" s="35">
        <v>0</v>
      </c>
      <c r="Z41" s="35">
        <f t="shared" si="77"/>
        <v>14356513.955400001</v>
      </c>
      <c r="AA41" s="35">
        <f t="shared" si="67"/>
        <v>175867295.95365</v>
      </c>
      <c r="AB41" s="35"/>
      <c r="AC41" s="35"/>
      <c r="AD41" s="35"/>
      <c r="AE41" s="35"/>
      <c r="AF41" s="35">
        <f t="shared" si="68"/>
        <v>0</v>
      </c>
      <c r="AG41" s="35">
        <f t="shared" si="69"/>
        <v>175867295.95365</v>
      </c>
      <c r="AH41" s="35">
        <f t="shared" si="26"/>
        <v>310100701.43664002</v>
      </c>
      <c r="AI41" s="35">
        <f t="shared" si="27"/>
        <v>220193160.40452397</v>
      </c>
      <c r="AJ41" s="35">
        <f t="shared" si="28"/>
        <v>215875647.45541564</v>
      </c>
      <c r="AK41" s="36">
        <f t="shared" si="16"/>
        <v>119525335.52593924</v>
      </c>
      <c r="AL41" s="36">
        <f t="shared" si="17"/>
        <v>17315842.624564588</v>
      </c>
      <c r="AM41" s="35">
        <f t="shared" si="18"/>
        <v>90535709.622231007</v>
      </c>
      <c r="AN41" s="36">
        <f t="shared" si="19"/>
        <v>16892651.098054938</v>
      </c>
      <c r="AO41" s="36">
        <f t="shared" si="20"/>
        <v>16892651.098054938</v>
      </c>
      <c r="AP41" s="35">
        <f t="shared" si="21"/>
        <v>31091706.667677514</v>
      </c>
      <c r="AQ41" s="35">
        <v>0</v>
      </c>
      <c r="AR41" s="37">
        <f t="shared" si="70"/>
        <v>1038423405.9331018</v>
      </c>
      <c r="AS41" s="36">
        <f t="shared" si="22"/>
        <v>11231158.42809293</v>
      </c>
      <c r="AT41" s="36">
        <f t="shared" si="23"/>
        <v>10593029.449552994</v>
      </c>
      <c r="AU41" s="36">
        <f t="shared" si="71"/>
        <v>21824187.877645925</v>
      </c>
      <c r="AV41" s="38">
        <f t="shared" si="72"/>
        <v>4330861956.8952656</v>
      </c>
    </row>
    <row r="42" spans="1:48" x14ac:dyDescent="0.25">
      <c r="A42" s="40" t="s">
        <v>84</v>
      </c>
      <c r="B42" s="33">
        <v>12</v>
      </c>
      <c r="C42" s="33">
        <v>90</v>
      </c>
      <c r="D42" s="35">
        <v>3750183.9374000002</v>
      </c>
      <c r="E42" s="35">
        <f t="shared" si="63"/>
        <v>4050198652.3920002</v>
      </c>
      <c r="F42" s="35">
        <v>0</v>
      </c>
      <c r="G42" s="35">
        <f>((672148*2)/C42*12)</f>
        <v>179239.46666666667</v>
      </c>
      <c r="H42" s="35">
        <f t="shared" si="64"/>
        <v>0</v>
      </c>
      <c r="I42" s="35">
        <f t="shared" si="8"/>
        <v>0</v>
      </c>
      <c r="J42" s="35">
        <f t="shared" si="29"/>
        <v>169170087.24420869</v>
      </c>
      <c r="K42" s="35">
        <f t="shared" si="73"/>
        <v>118601297.62810001</v>
      </c>
      <c r="L42" s="35">
        <v>0</v>
      </c>
      <c r="M42" s="35">
        <f t="shared" si="74"/>
        <v>375643960.05373186</v>
      </c>
      <c r="N42" s="35">
        <f t="shared" si="78"/>
        <v>169757483.38047332</v>
      </c>
      <c r="O42" s="35"/>
      <c r="P42" s="35"/>
      <c r="Q42" s="35">
        <f t="shared" si="37"/>
        <v>4883550720.1651812</v>
      </c>
      <c r="R42" s="35">
        <f>+(D42*0.2)*12*4</f>
        <v>36001765.799040005</v>
      </c>
      <c r="S42" s="35"/>
      <c r="T42" s="35"/>
      <c r="U42" s="35"/>
      <c r="V42" s="35">
        <f t="shared" si="65"/>
        <v>36001765.799040005</v>
      </c>
      <c r="W42" s="35">
        <f t="shared" si="66"/>
        <v>4919552485.964221</v>
      </c>
      <c r="X42" s="35">
        <f t="shared" si="76"/>
        <v>253137415.77450001</v>
      </c>
      <c r="Y42" s="35">
        <v>0</v>
      </c>
      <c r="Z42" s="35">
        <f t="shared" si="77"/>
        <v>22501103.624400001</v>
      </c>
      <c r="AA42" s="35">
        <f t="shared" si="67"/>
        <v>275638519.39890003</v>
      </c>
      <c r="AB42" s="35"/>
      <c r="AC42" s="35"/>
      <c r="AD42" s="35"/>
      <c r="AE42" s="35"/>
      <c r="AF42" s="35">
        <f t="shared" si="68"/>
        <v>0</v>
      </c>
      <c r="AG42" s="35">
        <f t="shared" si="69"/>
        <v>275638519.39890003</v>
      </c>
      <c r="AH42" s="35">
        <f t="shared" si="26"/>
        <v>486023838.28704</v>
      </c>
      <c r="AI42" s="35">
        <f t="shared" si="27"/>
        <v>345106977.97818577</v>
      </c>
      <c r="AJ42" s="35">
        <f t="shared" si="28"/>
        <v>338340174.48841739</v>
      </c>
      <c r="AK42" s="36">
        <f t="shared" si="16"/>
        <v>187333218.13118413</v>
      </c>
      <c r="AL42" s="36">
        <f t="shared" si="17"/>
        <v>27139288.162122265</v>
      </c>
      <c r="AM42" s="35">
        <f t="shared" si="18"/>
        <v>141897496.1642524</v>
      </c>
      <c r="AN42" s="36">
        <f t="shared" si="19"/>
        <v>26476015.976371352</v>
      </c>
      <c r="AO42" s="36">
        <f t="shared" si="20"/>
        <v>26476015.976371352</v>
      </c>
      <c r="AP42" s="35">
        <f t="shared" si="21"/>
        <v>48730333.544914387</v>
      </c>
      <c r="AQ42" s="35">
        <v>0</v>
      </c>
      <c r="AR42" s="37">
        <f t="shared" si="70"/>
        <v>1627523358.7088587</v>
      </c>
      <c r="AS42" s="36">
        <f t="shared" si="22"/>
        <v>17602703.580942631</v>
      </c>
      <c r="AT42" s="36">
        <f t="shared" si="23"/>
        <v>16602557.84107388</v>
      </c>
      <c r="AU42" s="36">
        <f t="shared" si="71"/>
        <v>34205261.422016509</v>
      </c>
      <c r="AV42" s="38">
        <f t="shared" si="72"/>
        <v>6822714364.0719795</v>
      </c>
    </row>
    <row r="43" spans="1:48" x14ac:dyDescent="0.25">
      <c r="A43" s="40" t="s">
        <v>85</v>
      </c>
      <c r="B43" s="33">
        <v>11</v>
      </c>
      <c r="C43" s="33">
        <v>97</v>
      </c>
      <c r="D43" s="35">
        <v>3534751.1548000001</v>
      </c>
      <c r="E43" s="35">
        <f t="shared" si="63"/>
        <v>4114450344.1872005</v>
      </c>
      <c r="F43" s="35">
        <v>0</v>
      </c>
      <c r="G43" s="35">
        <f>+(((D43*0.2)*2)/C43)*12</f>
        <v>174915.52106226806</v>
      </c>
      <c r="H43" s="35">
        <f t="shared" si="64"/>
        <v>0</v>
      </c>
      <c r="I43" s="35">
        <f t="shared" si="8"/>
        <v>0</v>
      </c>
      <c r="J43" s="35">
        <f t="shared" si="29"/>
        <v>171853832.62886646</v>
      </c>
      <c r="K43" s="35">
        <f t="shared" si="73"/>
        <v>120499666.86713199</v>
      </c>
      <c r="L43" s="35">
        <v>0</v>
      </c>
      <c r="M43" s="35">
        <f t="shared" si="74"/>
        <v>381604532.58405781</v>
      </c>
      <c r="N43" s="35">
        <f t="shared" si="78"/>
        <v>172450547.32549447</v>
      </c>
      <c r="O43" s="35"/>
      <c r="P43" s="35"/>
      <c r="Q43" s="35">
        <f t="shared" si="37"/>
        <v>4961033839.1138144</v>
      </c>
      <c r="R43" s="35">
        <f>+(D43*0.2)*12*8</f>
        <v>67867222.17216</v>
      </c>
      <c r="S43" s="35"/>
      <c r="T43" s="35"/>
      <c r="U43" s="35"/>
      <c r="V43" s="35">
        <f t="shared" si="65"/>
        <v>67867222.17216</v>
      </c>
      <c r="W43" s="35">
        <f t="shared" si="66"/>
        <v>5028901061.2859745</v>
      </c>
      <c r="X43" s="35">
        <f t="shared" si="76"/>
        <v>257153146.51170003</v>
      </c>
      <c r="Y43" s="35">
        <v>0</v>
      </c>
      <c r="Z43" s="35">
        <f t="shared" si="77"/>
        <v>22858057.467706669</v>
      </c>
      <c r="AA43" s="35">
        <f t="shared" si="67"/>
        <v>280011203.97940671</v>
      </c>
      <c r="AB43" s="35"/>
      <c r="AC43" s="35"/>
      <c r="AD43" s="35"/>
      <c r="AE43" s="35"/>
      <c r="AF43" s="35">
        <f t="shared" si="68"/>
        <v>0</v>
      </c>
      <c r="AG43" s="35">
        <f t="shared" si="69"/>
        <v>280011203.97940671</v>
      </c>
      <c r="AH43" s="35">
        <f t="shared" si="26"/>
        <v>493734041.30246401</v>
      </c>
      <c r="AI43" s="35">
        <f t="shared" si="27"/>
        <v>350581818.56288761</v>
      </c>
      <c r="AJ43" s="35">
        <f t="shared" si="28"/>
        <v>343707665.25773293</v>
      </c>
      <c r="AK43" s="36">
        <f t="shared" si="16"/>
        <v>190305041.79402083</v>
      </c>
      <c r="AL43" s="36">
        <f t="shared" si="17"/>
        <v>27569821.409548033</v>
      </c>
      <c r="AM43" s="35">
        <f t="shared" si="18"/>
        <v>144148534.93359071</v>
      </c>
      <c r="AN43" s="36">
        <f t="shared" si="19"/>
        <v>26896027.181864671</v>
      </c>
      <c r="AO43" s="36">
        <f t="shared" si="20"/>
        <v>26896027.181864671</v>
      </c>
      <c r="AP43" s="35">
        <f t="shared" si="21"/>
        <v>49503383.619916514</v>
      </c>
      <c r="AQ43" s="35">
        <v>0</v>
      </c>
      <c r="AR43" s="37">
        <f t="shared" si="70"/>
        <v>1653342361.24389</v>
      </c>
      <c r="AS43" s="36">
        <f t="shared" si="22"/>
        <v>17881950.003726617</v>
      </c>
      <c r="AT43" s="36">
        <f t="shared" si="23"/>
        <v>16865938.114727035</v>
      </c>
      <c r="AU43" s="36">
        <f t="shared" si="71"/>
        <v>34747888.118453652</v>
      </c>
      <c r="AV43" s="38">
        <f t="shared" si="72"/>
        <v>6962254626.5092707</v>
      </c>
    </row>
    <row r="44" spans="1:48" x14ac:dyDescent="0.25">
      <c r="A44" s="40" t="s">
        <v>85</v>
      </c>
      <c r="B44" s="33">
        <v>10</v>
      </c>
      <c r="C44" s="33">
        <v>99</v>
      </c>
      <c r="D44" s="35">
        <v>3391944.1181999999</v>
      </c>
      <c r="E44" s="35">
        <f t="shared" si="63"/>
        <v>4029629612.4215999</v>
      </c>
      <c r="F44" s="35">
        <v>0</v>
      </c>
      <c r="G44" s="35">
        <f>+(((D44*0.2)*5)/C44)*12</f>
        <v>411144.74160000007</v>
      </c>
      <c r="H44" s="35">
        <f t="shared" si="64"/>
        <v>0</v>
      </c>
      <c r="I44" s="35">
        <f t="shared" si="8"/>
        <v>0</v>
      </c>
      <c r="J44" s="35">
        <f t="shared" si="29"/>
        <v>168313449.28193125</v>
      </c>
      <c r="K44" s="35">
        <f t="shared" si="73"/>
        <v>118718044.13699996</v>
      </c>
      <c r="L44" s="35">
        <v>0</v>
      </c>
      <c r="M44" s="35">
        <f t="shared" si="74"/>
        <v>373796581.40177977</v>
      </c>
      <c r="N44" s="35">
        <f t="shared" si="78"/>
        <v>168897870.98082682</v>
      </c>
      <c r="O44" s="35"/>
      <c r="P44" s="35"/>
      <c r="Q44" s="35">
        <f t="shared" si="37"/>
        <v>4859766702.9647379</v>
      </c>
      <c r="R44" s="35">
        <f>+(D44*0.2)*12*10</f>
        <v>81406658.836800009</v>
      </c>
      <c r="S44" s="35"/>
      <c r="T44" s="35"/>
      <c r="U44" s="35"/>
      <c r="V44" s="35">
        <f t="shared" si="65"/>
        <v>81406658.836800009</v>
      </c>
      <c r="W44" s="35">
        <f t="shared" si="66"/>
        <v>4941173361.8015375</v>
      </c>
      <c r="X44" s="35">
        <f t="shared" si="76"/>
        <v>251851850.77634999</v>
      </c>
      <c r="Y44" s="35">
        <v>0</v>
      </c>
      <c r="Z44" s="35">
        <f t="shared" si="77"/>
        <v>22386831.180119999</v>
      </c>
      <c r="AA44" s="35">
        <f t="shared" si="67"/>
        <v>274238681.95647001</v>
      </c>
      <c r="AB44" s="35"/>
      <c r="AC44" s="35"/>
      <c r="AD44" s="35"/>
      <c r="AE44" s="35"/>
      <c r="AF44" s="35">
        <f t="shared" si="68"/>
        <v>0</v>
      </c>
      <c r="AG44" s="35">
        <f t="shared" si="69"/>
        <v>274238681.95647001</v>
      </c>
      <c r="AH44" s="35">
        <f t="shared" si="26"/>
        <v>483555553.490592</v>
      </c>
      <c r="AI44" s="35">
        <f t="shared" si="27"/>
        <v>343359436.53513974</v>
      </c>
      <c r="AJ44" s="35">
        <f t="shared" si="28"/>
        <v>336626898.5638625</v>
      </c>
      <c r="AK44" s="36">
        <f t="shared" si="16"/>
        <v>186381841.47481984</v>
      </c>
      <c r="AL44" s="36">
        <f t="shared" si="17"/>
        <v>27001460.57614813</v>
      </c>
      <c r="AM44" s="35">
        <f t="shared" si="18"/>
        <v>141176866.0123021</v>
      </c>
      <c r="AN44" s="36">
        <f t="shared" si="19"/>
        <v>26341556.835570116</v>
      </c>
      <c r="AO44" s="36">
        <f t="shared" si="20"/>
        <v>26341556.835570116</v>
      </c>
      <c r="AP44" s="35">
        <f t="shared" si="21"/>
        <v>48482855.269283555</v>
      </c>
      <c r="AQ44" s="35">
        <v>0</v>
      </c>
      <c r="AR44" s="37">
        <f t="shared" si="70"/>
        <v>1619268025.5932882</v>
      </c>
      <c r="AS44" s="36">
        <f t="shared" si="22"/>
        <v>17513307.789620224</v>
      </c>
      <c r="AT44" s="36">
        <f t="shared" si="23"/>
        <v>16518241.316094976</v>
      </c>
      <c r="AU44" s="36">
        <f t="shared" si="71"/>
        <v>34031549.1057152</v>
      </c>
      <c r="AV44" s="38">
        <f t="shared" si="72"/>
        <v>6834680069.3512955</v>
      </c>
    </row>
    <row r="45" spans="1:48" x14ac:dyDescent="0.25">
      <c r="A45" s="40" t="s">
        <v>85</v>
      </c>
      <c r="B45" s="33">
        <v>9</v>
      </c>
      <c r="C45" s="33">
        <v>90</v>
      </c>
      <c r="D45" s="35">
        <v>3280022.5986000001</v>
      </c>
      <c r="E45" s="35">
        <f t="shared" si="63"/>
        <v>3542424406.4879999</v>
      </c>
      <c r="F45" s="35">
        <v>0</v>
      </c>
      <c r="G45" s="35">
        <f>+(((D45*0.2)*3)/C45)*12</f>
        <v>262401.80788800004</v>
      </c>
      <c r="H45" s="35">
        <f t="shared" si="64"/>
        <v>0</v>
      </c>
      <c r="I45" s="35">
        <f t="shared" si="8"/>
        <v>0</v>
      </c>
      <c r="J45" s="35">
        <f t="shared" si="29"/>
        <v>147962161.0918667</v>
      </c>
      <c r="K45" s="35">
        <f t="shared" si="73"/>
        <v>104009516.60160598</v>
      </c>
      <c r="L45" s="35">
        <v>0</v>
      </c>
      <c r="M45" s="35">
        <f t="shared" si="74"/>
        <v>328572666.89809424</v>
      </c>
      <c r="N45" s="35">
        <f t="shared" si="78"/>
        <v>148475918.59565791</v>
      </c>
      <c r="O45" s="35"/>
      <c r="P45" s="35"/>
      <c r="Q45" s="35">
        <f t="shared" si="37"/>
        <v>4271707071.4831123</v>
      </c>
      <c r="R45" s="35">
        <f>+(D45*0.2)*12*3</f>
        <v>23616162.709920004</v>
      </c>
      <c r="S45" s="35"/>
      <c r="T45" s="35"/>
      <c r="U45" s="35"/>
      <c r="V45" s="35">
        <f t="shared" si="65"/>
        <v>23616162.709920004</v>
      </c>
      <c r="W45" s="35">
        <f t="shared" si="66"/>
        <v>4295323234.1930323</v>
      </c>
      <c r="X45" s="35">
        <f t="shared" si="76"/>
        <v>221401525.40549999</v>
      </c>
      <c r="Y45" s="35">
        <v>0</v>
      </c>
      <c r="Z45" s="35">
        <f t="shared" si="77"/>
        <v>19680135.591600001</v>
      </c>
      <c r="AA45" s="35">
        <f t="shared" si="67"/>
        <v>241081660.9971</v>
      </c>
      <c r="AB45" s="35"/>
      <c r="AC45" s="35"/>
      <c r="AD45" s="35"/>
      <c r="AE45" s="35"/>
      <c r="AF45" s="35">
        <f t="shared" si="68"/>
        <v>0</v>
      </c>
      <c r="AG45" s="35">
        <f t="shared" si="69"/>
        <v>241081660.9971</v>
      </c>
      <c r="AH45" s="35">
        <f t="shared" si="26"/>
        <v>425090928.77856004</v>
      </c>
      <c r="AI45" s="35">
        <f t="shared" si="27"/>
        <v>301842808.62740809</v>
      </c>
      <c r="AJ45" s="35">
        <f t="shared" si="28"/>
        <v>295924322.1837334</v>
      </c>
      <c r="AK45" s="36">
        <f t="shared" si="16"/>
        <v>163847213.6822041</v>
      </c>
      <c r="AL45" s="36">
        <f t="shared" si="17"/>
        <v>23736829.97090384</v>
      </c>
      <c r="AM45" s="35">
        <f t="shared" si="18"/>
        <v>124107777.61108565</v>
      </c>
      <c r="AN45" s="36">
        <f t="shared" si="19"/>
        <v>23156712.356781125</v>
      </c>
      <c r="AO45" s="36">
        <f t="shared" si="20"/>
        <v>23156712.356781125</v>
      </c>
      <c r="AP45" s="35">
        <f t="shared" si="21"/>
        <v>42621001.511581704</v>
      </c>
      <c r="AQ45" s="35">
        <v>0</v>
      </c>
      <c r="AR45" s="37">
        <f t="shared" si="70"/>
        <v>1423484307.0790389</v>
      </c>
      <c r="AS45" s="36">
        <f t="shared" si="22"/>
        <v>15395848.978537884</v>
      </c>
      <c r="AT45" s="36">
        <f t="shared" si="23"/>
        <v>14521091.717714729</v>
      </c>
      <c r="AU45" s="36">
        <f t="shared" si="71"/>
        <v>29916940.696252614</v>
      </c>
      <c r="AV45" s="38">
        <f t="shared" si="72"/>
        <v>5959889202.2691708</v>
      </c>
    </row>
    <row r="46" spans="1:48" x14ac:dyDescent="0.25">
      <c r="A46" s="40" t="s">
        <v>85</v>
      </c>
      <c r="B46" s="41">
        <v>8</v>
      </c>
      <c r="C46" s="33">
        <v>21</v>
      </c>
      <c r="D46" s="35">
        <v>3144659.406</v>
      </c>
      <c r="E46" s="35">
        <f t="shared" si="63"/>
        <v>792454170.31200004</v>
      </c>
      <c r="F46" s="35">
        <v>0</v>
      </c>
      <c r="G46" s="35">
        <f>+(((D46*0.2)*4)/C46)*12</f>
        <v>1437558.5856000003</v>
      </c>
      <c r="H46" s="35">
        <f t="shared" si="64"/>
        <v>0</v>
      </c>
      <c r="I46" s="35">
        <f t="shared" si="8"/>
        <v>0</v>
      </c>
      <c r="J46" s="35">
        <f t="shared" si="29"/>
        <v>33102235.39934646</v>
      </c>
      <c r="K46" s="35">
        <f t="shared" si="73"/>
        <v>23993751.267779998</v>
      </c>
      <c r="L46" s="35">
        <v>0</v>
      </c>
      <c r="M46" s="35">
        <f t="shared" si="74"/>
        <v>73563944.224652648</v>
      </c>
      <c r="N46" s="35">
        <f t="shared" si="78"/>
        <v>33217173.716705304</v>
      </c>
      <c r="O46" s="35"/>
      <c r="P46" s="35"/>
      <c r="Q46" s="35">
        <f t="shared" si="37"/>
        <v>957768833.50608444</v>
      </c>
      <c r="R46" s="35">
        <f>+(D46*0.2)*12*2</f>
        <v>15094365.148800001</v>
      </c>
      <c r="S46" s="35"/>
      <c r="T46" s="35"/>
      <c r="U46" s="35"/>
      <c r="V46" s="35">
        <f t="shared" si="65"/>
        <v>15094365.148800001</v>
      </c>
      <c r="W46" s="35">
        <f t="shared" si="66"/>
        <v>972863198.65488446</v>
      </c>
      <c r="X46" s="35">
        <f t="shared" si="76"/>
        <v>49528385.644499995</v>
      </c>
      <c r="Y46" s="35">
        <v>0</v>
      </c>
      <c r="Z46" s="35">
        <f t="shared" si="77"/>
        <v>4402523.1683999998</v>
      </c>
      <c r="AA46" s="35">
        <f t="shared" si="67"/>
        <v>53930908.812899992</v>
      </c>
      <c r="AB46" s="35"/>
      <c r="AC46" s="35"/>
      <c r="AD46" s="35"/>
      <c r="AE46" s="35"/>
      <c r="AF46" s="35">
        <f t="shared" si="68"/>
        <v>0</v>
      </c>
      <c r="AG46" s="35">
        <f t="shared" si="69"/>
        <v>53930908.812899992</v>
      </c>
      <c r="AH46" s="35">
        <f t="shared" si="26"/>
        <v>95094500.437439993</v>
      </c>
      <c r="AI46" s="35">
        <f t="shared" si="27"/>
        <v>67528560.214666784</v>
      </c>
      <c r="AJ46" s="35">
        <f t="shared" si="28"/>
        <v>66204470.798692919</v>
      </c>
      <c r="AK46" s="36">
        <f t="shared" si="16"/>
        <v>36653261.404437497</v>
      </c>
      <c r="AL46" s="36">
        <f t="shared" si="17"/>
        <v>5310021.5394796273</v>
      </c>
      <c r="AM46" s="35">
        <f t="shared" si="18"/>
        <v>27763394.401848115</v>
      </c>
      <c r="AN46" s="36">
        <f t="shared" si="19"/>
        <v>5180246.9642646937</v>
      </c>
      <c r="AO46" s="36">
        <f t="shared" si="20"/>
        <v>5180246.9642646937</v>
      </c>
      <c r="AP46" s="35">
        <f t="shared" si="21"/>
        <v>9534484.4420299381</v>
      </c>
      <c r="AQ46" s="35">
        <v>0</v>
      </c>
      <c r="AR46" s="37">
        <f t="shared" si="70"/>
        <v>318449187.16712427</v>
      </c>
      <c r="AS46" s="36">
        <f t="shared" si="22"/>
        <v>3444111.5260471599</v>
      </c>
      <c r="AT46" s="36">
        <f t="shared" si="23"/>
        <v>3248424.9115126627</v>
      </c>
      <c r="AU46" s="36">
        <f t="shared" si="71"/>
        <v>6692536.4375598226</v>
      </c>
      <c r="AV46" s="38">
        <f t="shared" si="72"/>
        <v>1345243294.6349087</v>
      </c>
    </row>
    <row r="47" spans="1:48" x14ac:dyDescent="0.25">
      <c r="A47" s="40" t="s">
        <v>85</v>
      </c>
      <c r="B47" s="41">
        <v>7</v>
      </c>
      <c r="C47" s="33">
        <v>30</v>
      </c>
      <c r="D47" s="35">
        <v>2995711.7344</v>
      </c>
      <c r="E47" s="35">
        <f t="shared" si="63"/>
        <v>1078456224.3840001</v>
      </c>
      <c r="F47" s="35">
        <v>0</v>
      </c>
      <c r="G47" s="35">
        <f>+(((D47*0.2))/C47)*12</f>
        <v>239656.93875199999</v>
      </c>
      <c r="H47" s="35">
        <f t="shared" si="64"/>
        <v>0</v>
      </c>
      <c r="I47" s="35">
        <f t="shared" si="8"/>
        <v>0</v>
      </c>
      <c r="J47" s="35">
        <f t="shared" si="29"/>
        <v>45045622.797363222</v>
      </c>
      <c r="K47" s="35">
        <f t="shared" si="73"/>
        <v>31664673.032608002</v>
      </c>
      <c r="L47" s="35">
        <v>0</v>
      </c>
      <c r="M47" s="35">
        <f t="shared" si="74"/>
        <v>100030712.61865212</v>
      </c>
      <c r="N47" s="35">
        <f t="shared" si="78"/>
        <v>45202031.209854066</v>
      </c>
      <c r="O47" s="35"/>
      <c r="P47" s="35"/>
      <c r="Q47" s="35">
        <f t="shared" si="37"/>
        <v>1300638920.9812295</v>
      </c>
      <c r="R47" s="35">
        <v>0</v>
      </c>
      <c r="S47" s="35"/>
      <c r="T47" s="35"/>
      <c r="U47" s="35"/>
      <c r="V47" s="35">
        <f t="shared" si="65"/>
        <v>0</v>
      </c>
      <c r="W47" s="35">
        <f t="shared" si="66"/>
        <v>1300638920.9812295</v>
      </c>
      <c r="X47" s="35">
        <f t="shared" si="76"/>
        <v>67403514.024000004</v>
      </c>
      <c r="Y47" s="35">
        <v>0</v>
      </c>
      <c r="Z47" s="35">
        <f t="shared" si="77"/>
        <v>5991423.4687999999</v>
      </c>
      <c r="AA47" s="35">
        <f t="shared" si="67"/>
        <v>73394937.492799997</v>
      </c>
      <c r="AB47" s="35"/>
      <c r="AC47" s="35"/>
      <c r="AD47" s="35"/>
      <c r="AE47" s="35"/>
      <c r="AF47" s="35">
        <f t="shared" si="68"/>
        <v>0</v>
      </c>
      <c r="AG47" s="35">
        <f t="shared" si="69"/>
        <v>73394937.492799997</v>
      </c>
      <c r="AH47" s="35">
        <f t="shared" si="26"/>
        <v>129414746.92608</v>
      </c>
      <c r="AI47" s="35">
        <f t="shared" si="27"/>
        <v>91893070.506620973</v>
      </c>
      <c r="AJ47" s="35">
        <f t="shared" si="28"/>
        <v>90091245.594726443</v>
      </c>
      <c r="AK47" s="36">
        <f t="shared" si="16"/>
        <v>49881670.620808735</v>
      </c>
      <c r="AL47" s="36">
        <f t="shared" si="17"/>
        <v>7226444.1218225453</v>
      </c>
      <c r="AM47" s="35">
        <f t="shared" si="18"/>
        <v>37783390.667137995</v>
      </c>
      <c r="AN47" s="36">
        <f t="shared" si="19"/>
        <v>7049833.0272626756</v>
      </c>
      <c r="AO47" s="36">
        <f t="shared" si="20"/>
        <v>7049833.0272626756</v>
      </c>
      <c r="AP47" s="35">
        <f t="shared" si="21"/>
        <v>12975544.174057698</v>
      </c>
      <c r="AQ47" s="35">
        <v>0</v>
      </c>
      <c r="AR47" s="37">
        <f t="shared" si="70"/>
        <v>433365778.66577977</v>
      </c>
      <c r="AS47" s="36">
        <f t="shared" si="22"/>
        <v>4687114.6015622038</v>
      </c>
      <c r="AT47" s="36">
        <f t="shared" si="23"/>
        <v>4420803.3682068773</v>
      </c>
      <c r="AU47" s="36">
        <f t="shared" si="71"/>
        <v>9107917.9697690811</v>
      </c>
      <c r="AV47" s="38">
        <f t="shared" si="72"/>
        <v>1807399637.1398094</v>
      </c>
    </row>
    <row r="48" spans="1:48" x14ac:dyDescent="0.25">
      <c r="A48" s="40" t="s">
        <v>85</v>
      </c>
      <c r="B48" s="41">
        <v>6</v>
      </c>
      <c r="C48" s="33">
        <v>77</v>
      </c>
      <c r="D48" s="35">
        <v>2854404.1926000002</v>
      </c>
      <c r="E48" s="35">
        <f t="shared" si="63"/>
        <v>2637469473.9624004</v>
      </c>
      <c r="F48" s="35">
        <v>0</v>
      </c>
      <c r="G48" s="35">
        <f>+(((D48*0.2)*9)/C48)*12</f>
        <v>800715.98130077939</v>
      </c>
      <c r="H48" s="35">
        <f t="shared" si="64"/>
        <v>0</v>
      </c>
      <c r="I48" s="35">
        <f t="shared" si="8"/>
        <v>0</v>
      </c>
      <c r="J48" s="35">
        <f t="shared" si="29"/>
        <v>110167910.26104414</v>
      </c>
      <c r="K48" s="35">
        <f t="shared" si="73"/>
        <v>78724467.631908</v>
      </c>
      <c r="L48" s="35">
        <v>0</v>
      </c>
      <c r="M48" s="35">
        <f t="shared" si="74"/>
        <v>244742690.79854843</v>
      </c>
      <c r="N48" s="35">
        <f t="shared" si="78"/>
        <v>110550437.72722833</v>
      </c>
      <c r="O48" s="35"/>
      <c r="P48" s="35"/>
      <c r="Q48" s="35">
        <f t="shared" si="37"/>
        <v>3182455696.3624296</v>
      </c>
      <c r="R48" s="35">
        <f>+(D48*0.2)*12*5</f>
        <v>34252850.311200008</v>
      </c>
      <c r="S48" s="35"/>
      <c r="T48" s="35"/>
      <c r="U48" s="35"/>
      <c r="V48" s="35">
        <f t="shared" si="65"/>
        <v>34252850.311200008</v>
      </c>
      <c r="W48" s="35">
        <f t="shared" si="66"/>
        <v>3216708546.6736298</v>
      </c>
      <c r="X48" s="35">
        <f t="shared" si="76"/>
        <v>164841842.12265003</v>
      </c>
      <c r="Y48" s="35">
        <v>0</v>
      </c>
      <c r="Z48" s="35">
        <f t="shared" si="77"/>
        <v>14652608.188680002</v>
      </c>
      <c r="AA48" s="35">
        <f t="shared" si="67"/>
        <v>179494450.31133002</v>
      </c>
      <c r="AB48" s="35"/>
      <c r="AC48" s="35"/>
      <c r="AD48" s="35"/>
      <c r="AE48" s="35"/>
      <c r="AF48" s="35">
        <f t="shared" si="68"/>
        <v>0</v>
      </c>
      <c r="AG48" s="35">
        <f t="shared" si="69"/>
        <v>179494450.31133002</v>
      </c>
      <c r="AH48" s="35">
        <f t="shared" si="26"/>
        <v>316496336.87548804</v>
      </c>
      <c r="AI48" s="35">
        <f t="shared" si="27"/>
        <v>224742536.93253008</v>
      </c>
      <c r="AJ48" s="35">
        <f t="shared" si="28"/>
        <v>220335820.52208829</v>
      </c>
      <c r="AK48" s="36">
        <f t="shared" si="16"/>
        <v>121990471.74842563</v>
      </c>
      <c r="AL48" s="36">
        <f t="shared" si="17"/>
        <v>17672971.183868438</v>
      </c>
      <c r="AM48" s="35">
        <f t="shared" si="18"/>
        <v>92402952.71538955</v>
      </c>
      <c r="AN48" s="36">
        <f t="shared" si="19"/>
        <v>17241051.593501382</v>
      </c>
      <c r="AO48" s="36">
        <f t="shared" si="20"/>
        <v>17241051.593501382</v>
      </c>
      <c r="AP48" s="35">
        <f t="shared" si="21"/>
        <v>31732953.914448723</v>
      </c>
      <c r="AQ48" s="35">
        <v>0</v>
      </c>
      <c r="AR48" s="37">
        <f t="shared" si="70"/>
        <v>1059856147.0792413</v>
      </c>
      <c r="AS48" s="36">
        <f t="shared" si="22"/>
        <v>11462794.133943481</v>
      </c>
      <c r="AT48" s="36">
        <f t="shared" si="23"/>
        <v>10811504.139350381</v>
      </c>
      <c r="AU48" s="36">
        <f t="shared" si="71"/>
        <v>22274298.27329386</v>
      </c>
      <c r="AV48" s="38">
        <f t="shared" si="72"/>
        <v>4456059144.0642014</v>
      </c>
    </row>
    <row r="49" spans="1:48" x14ac:dyDescent="0.25">
      <c r="A49" s="40" t="s">
        <v>85</v>
      </c>
      <c r="B49" s="41">
        <v>5</v>
      </c>
      <c r="C49" s="33">
        <v>14</v>
      </c>
      <c r="D49" s="35">
        <v>2758355.0077999998</v>
      </c>
      <c r="E49" s="35">
        <f t="shared" si="63"/>
        <v>463403641.31040001</v>
      </c>
      <c r="F49" s="35">
        <v>0</v>
      </c>
      <c r="G49" s="35">
        <f>+(((D49*0.2)*6)/C49)*12</f>
        <v>2837165.1508800001</v>
      </c>
      <c r="H49" s="35">
        <f t="shared" si="64"/>
        <v>0</v>
      </c>
      <c r="I49" s="35">
        <f t="shared" si="8"/>
        <v>0</v>
      </c>
      <c r="J49" s="35">
        <f t="shared" si="29"/>
        <v>19359438.001271863</v>
      </c>
      <c r="K49" s="35">
        <f t="shared" si="73"/>
        <v>14674448.641495999</v>
      </c>
      <c r="L49" s="35">
        <v>0</v>
      </c>
      <c r="M49" s="35">
        <f t="shared" si="74"/>
        <v>43072015.518773131</v>
      </c>
      <c r="N49" s="35">
        <f t="shared" si="78"/>
        <v>19426658.272109609</v>
      </c>
      <c r="O49" s="35"/>
      <c r="P49" s="35"/>
      <c r="Q49" s="35">
        <f t="shared" si="37"/>
        <v>562773366.8949306</v>
      </c>
      <c r="R49" s="35">
        <v>0</v>
      </c>
      <c r="S49" s="35"/>
      <c r="T49" s="35"/>
      <c r="U49" s="35"/>
      <c r="V49" s="35">
        <f t="shared" si="65"/>
        <v>0</v>
      </c>
      <c r="W49" s="35">
        <f t="shared" si="66"/>
        <v>562773366.8949306</v>
      </c>
      <c r="X49" s="35">
        <f t="shared" si="76"/>
        <v>28962727.581899997</v>
      </c>
      <c r="Y49" s="35">
        <v>0</v>
      </c>
      <c r="Z49" s="35">
        <f t="shared" si="77"/>
        <v>2574464.6739466665</v>
      </c>
      <c r="AA49" s="35">
        <f t="shared" si="67"/>
        <v>31537192.255846664</v>
      </c>
      <c r="AB49" s="35"/>
      <c r="AC49" s="35"/>
      <c r="AD49" s="35"/>
      <c r="AE49" s="35"/>
      <c r="AF49" s="35">
        <f t="shared" si="68"/>
        <v>0</v>
      </c>
      <c r="AG49" s="35">
        <f t="shared" si="69"/>
        <v>31537192.255846664</v>
      </c>
      <c r="AH49" s="35">
        <f t="shared" si="26"/>
        <v>55608436.957247987</v>
      </c>
      <c r="AI49" s="35">
        <f t="shared" si="27"/>
        <v>39493253.522594601</v>
      </c>
      <c r="AJ49" s="35">
        <f t="shared" si="28"/>
        <v>38718876.002543725</v>
      </c>
      <c r="AK49" s="36">
        <f t="shared" si="16"/>
        <v>21433737.668426875</v>
      </c>
      <c r="AL49" s="36">
        <f t="shared" si="17"/>
        <v>3105142.7439175579</v>
      </c>
      <c r="AM49" s="35">
        <f t="shared" si="18"/>
        <v>16235207.716665566</v>
      </c>
      <c r="AN49" s="36">
        <f t="shared" si="19"/>
        <v>3029254.4301738953</v>
      </c>
      <c r="AO49" s="36">
        <f t="shared" si="20"/>
        <v>3029254.4301738953</v>
      </c>
      <c r="AP49" s="35">
        <f t="shared" si="21"/>
        <v>5575483.0676384484</v>
      </c>
      <c r="AQ49" s="35">
        <v>0</v>
      </c>
      <c r="AR49" s="37">
        <f t="shared" si="70"/>
        <v>186228646.53938258</v>
      </c>
      <c r="AS49" s="36">
        <f t="shared" si="22"/>
        <v>2014014.036447054</v>
      </c>
      <c r="AT49" s="36">
        <f t="shared" si="23"/>
        <v>1899582.321493383</v>
      </c>
      <c r="AU49" s="36">
        <f t="shared" si="71"/>
        <v>3913596.3579404373</v>
      </c>
      <c r="AV49" s="38">
        <f t="shared" si="72"/>
        <v>780539205.6901598</v>
      </c>
    </row>
    <row r="50" spans="1:48" x14ac:dyDescent="0.25">
      <c r="A50" s="40" t="s">
        <v>85</v>
      </c>
      <c r="B50" s="41">
        <v>4</v>
      </c>
      <c r="C50" s="33">
        <v>55</v>
      </c>
      <c r="D50" s="35">
        <v>2607608.5860000001</v>
      </c>
      <c r="E50" s="35">
        <f t="shared" si="63"/>
        <v>1721021666.7600002</v>
      </c>
      <c r="F50" s="35">
        <v>0</v>
      </c>
      <c r="G50" s="35">
        <f>+(((D50*0.2)*13)/C50)*12</f>
        <v>1479225.2342400001</v>
      </c>
      <c r="H50" s="35">
        <f t="shared" si="64"/>
        <v>0</v>
      </c>
      <c r="I50" s="35">
        <f t="shared" si="8"/>
        <v>0</v>
      </c>
      <c r="J50" s="35">
        <f t="shared" si="29"/>
        <v>71891768.716020003</v>
      </c>
      <c r="K50" s="35">
        <f t="shared" si="73"/>
        <v>52569389.093760006</v>
      </c>
      <c r="L50" s="35">
        <v>0</v>
      </c>
      <c r="M50" s="35">
        <f t="shared" si="74"/>
        <v>159802018.12356088</v>
      </c>
      <c r="N50" s="35">
        <f t="shared" si="78"/>
        <v>72141392.912950635</v>
      </c>
      <c r="O50" s="35"/>
      <c r="P50" s="35"/>
      <c r="Q50" s="35">
        <f t="shared" si="37"/>
        <v>2078905460.8405318</v>
      </c>
      <c r="R50" s="35">
        <f>+(D50*0.2)*12*3</f>
        <v>18774781.819200002</v>
      </c>
      <c r="S50" s="35"/>
      <c r="T50" s="35"/>
      <c r="U50" s="35"/>
      <c r="V50" s="35">
        <f t="shared" si="65"/>
        <v>18774781.819200002</v>
      </c>
      <c r="W50" s="35">
        <f t="shared" si="66"/>
        <v>2097680242.6597319</v>
      </c>
      <c r="X50" s="35">
        <f t="shared" si="76"/>
        <v>107563854.17250001</v>
      </c>
      <c r="Y50" s="35">
        <v>0</v>
      </c>
      <c r="Z50" s="35">
        <f t="shared" si="77"/>
        <v>9561231.4820000008</v>
      </c>
      <c r="AA50" s="35">
        <f t="shared" si="67"/>
        <v>117125085.65450001</v>
      </c>
      <c r="AB50" s="35"/>
      <c r="AC50" s="35"/>
      <c r="AD50" s="35"/>
      <c r="AE50" s="35"/>
      <c r="AF50" s="35">
        <f t="shared" si="68"/>
        <v>0</v>
      </c>
      <c r="AG50" s="35">
        <f t="shared" si="69"/>
        <v>117125085.65450001</v>
      </c>
      <c r="AH50" s="35">
        <f t="shared" si="26"/>
        <v>206522600.01120001</v>
      </c>
      <c r="AI50" s="35">
        <f t="shared" si="27"/>
        <v>146659208.18068084</v>
      </c>
      <c r="AJ50" s="35">
        <f t="shared" si="28"/>
        <v>143783537.43204001</v>
      </c>
      <c r="AK50" s="36">
        <f t="shared" si="16"/>
        <v>79602151.641929179</v>
      </c>
      <c r="AL50" s="36">
        <f t="shared" si="17"/>
        <v>11532101.745150404</v>
      </c>
      <c r="AM50" s="35">
        <f t="shared" si="18"/>
        <v>60295478.399175704</v>
      </c>
      <c r="AN50" s="36">
        <f t="shared" si="19"/>
        <v>11250262.284766793</v>
      </c>
      <c r="AO50" s="36">
        <f t="shared" si="20"/>
        <v>11250262.284766793</v>
      </c>
      <c r="AP50" s="35">
        <f t="shared" si="21"/>
        <v>20706628.750100698</v>
      </c>
      <c r="AQ50" s="35">
        <v>0</v>
      </c>
      <c r="AR50" s="37">
        <f t="shared" si="70"/>
        <v>691602230.72981036</v>
      </c>
      <c r="AS50" s="36">
        <f t="shared" si="22"/>
        <v>7479789.7230212269</v>
      </c>
      <c r="AT50" s="36">
        <f t="shared" si="23"/>
        <v>7054805.0158599466</v>
      </c>
      <c r="AU50" s="36">
        <f t="shared" si="71"/>
        <v>14534594.738881174</v>
      </c>
      <c r="AV50" s="38">
        <f t="shared" si="72"/>
        <v>2906407559.0440421</v>
      </c>
    </row>
    <row r="51" spans="1:48" x14ac:dyDescent="0.25">
      <c r="A51" s="40" t="s">
        <v>85</v>
      </c>
      <c r="B51" s="41">
        <v>3</v>
      </c>
      <c r="C51" s="33">
        <v>4</v>
      </c>
      <c r="D51" s="35">
        <v>2476409.2266000002</v>
      </c>
      <c r="E51" s="35">
        <f t="shared" si="63"/>
        <v>118867642.8768</v>
      </c>
      <c r="F51" s="35">
        <v>0</v>
      </c>
      <c r="G51" s="35">
        <f>+(((D51*0.2))/C51)*12</f>
        <v>1485845.5359600002</v>
      </c>
      <c r="H51" s="35">
        <f t="shared" si="64"/>
        <v>0</v>
      </c>
      <c r="I51" s="35">
        <f t="shared" si="8"/>
        <v>0</v>
      </c>
      <c r="J51" s="35">
        <f t="shared" si="29"/>
        <v>4965458.4586274372</v>
      </c>
      <c r="K51" s="35">
        <f t="shared" si="73"/>
        <v>3640321.5631019999</v>
      </c>
      <c r="L51" s="35">
        <v>0</v>
      </c>
      <c r="M51" s="35">
        <f t="shared" si="74"/>
        <v>11038010.211030038</v>
      </c>
      <c r="N51" s="35">
        <f t="shared" si="78"/>
        <v>4982699.6338310046</v>
      </c>
      <c r="O51" s="35"/>
      <c r="P51" s="35"/>
      <c r="Q51" s="35">
        <f t="shared" si="37"/>
        <v>144979978.27935049</v>
      </c>
      <c r="R51" s="35">
        <v>0</v>
      </c>
      <c r="S51" s="35"/>
      <c r="T51" s="35"/>
      <c r="U51" s="35"/>
      <c r="V51" s="35">
        <f t="shared" si="65"/>
        <v>0</v>
      </c>
      <c r="W51" s="35">
        <f t="shared" si="66"/>
        <v>144979978.27935049</v>
      </c>
      <c r="X51" s="35">
        <f t="shared" si="76"/>
        <v>7429227.6798</v>
      </c>
      <c r="Y51" s="35">
        <v>0</v>
      </c>
      <c r="Z51" s="35">
        <f t="shared" si="77"/>
        <v>660375.79376000003</v>
      </c>
      <c r="AA51" s="35">
        <f t="shared" si="67"/>
        <v>8089603.4735599998</v>
      </c>
      <c r="AB51" s="35"/>
      <c r="AC51" s="35"/>
      <c r="AD51" s="35"/>
      <c r="AE51" s="35"/>
      <c r="AF51" s="35">
        <f t="shared" si="68"/>
        <v>0</v>
      </c>
      <c r="AG51" s="35">
        <f t="shared" si="69"/>
        <v>8089603.4735599998</v>
      </c>
      <c r="AH51" s="35">
        <f t="shared" si="26"/>
        <v>14264117.145216001</v>
      </c>
      <c r="AI51" s="35">
        <f t="shared" si="27"/>
        <v>10129535.255599974</v>
      </c>
      <c r="AJ51" s="35">
        <f t="shared" si="28"/>
        <v>9930916.9172548745</v>
      </c>
      <c r="AK51" s="36">
        <f t="shared" si="16"/>
        <v>5497966.885804018</v>
      </c>
      <c r="AL51" s="36">
        <f t="shared" si="17"/>
        <v>796499.99668053002</v>
      </c>
      <c r="AM51" s="35">
        <f t="shared" si="18"/>
        <v>4164492.2500783978</v>
      </c>
      <c r="AN51" s="36">
        <f t="shared" si="19"/>
        <v>777033.88944171811</v>
      </c>
      <c r="AO51" s="36">
        <f t="shared" si="20"/>
        <v>777033.88944171811</v>
      </c>
      <c r="AP51" s="35">
        <f t="shared" si="21"/>
        <v>1430166.8590164762</v>
      </c>
      <c r="AQ51" s="35">
        <v>0</v>
      </c>
      <c r="AR51" s="37">
        <f t="shared" si="70"/>
        <v>47767763.088533714</v>
      </c>
      <c r="AS51" s="36">
        <f t="shared" si="22"/>
        <v>516614.63115887286</v>
      </c>
      <c r="AT51" s="36">
        <f t="shared" si="23"/>
        <v>487261.75816799887</v>
      </c>
      <c r="AU51" s="36">
        <f t="shared" si="71"/>
        <v>1003876.3893268717</v>
      </c>
      <c r="AV51" s="38">
        <f t="shared" si="72"/>
        <v>200837344.84144419</v>
      </c>
    </row>
    <row r="52" spans="1:48" x14ac:dyDescent="0.25">
      <c r="A52" s="40" t="s">
        <v>85</v>
      </c>
      <c r="B52" s="41">
        <v>1</v>
      </c>
      <c r="C52" s="33">
        <v>2</v>
      </c>
      <c r="D52" s="35">
        <v>2143615.7697999999</v>
      </c>
      <c r="E52" s="35">
        <f t="shared" si="63"/>
        <v>51446778.475199997</v>
      </c>
      <c r="F52" s="35">
        <v>0</v>
      </c>
      <c r="G52" s="35">
        <f>+(((D52*0.2)/C52)*12)</f>
        <v>2572338.9237600002</v>
      </c>
      <c r="H52" s="35">
        <f t="shared" si="64"/>
        <v>0</v>
      </c>
      <c r="I52" s="35">
        <f t="shared" si="8"/>
        <v>0</v>
      </c>
      <c r="J52" s="35">
        <f t="shared" si="29"/>
        <v>2149346.9647400901</v>
      </c>
      <c r="K52" s="35">
        <f t="shared" si="73"/>
        <v>1650584.1427459999</v>
      </c>
      <c r="L52" s="35">
        <v>0</v>
      </c>
      <c r="M52" s="35">
        <f t="shared" si="74"/>
        <v>4783626.6298100352</v>
      </c>
      <c r="N52" s="35">
        <f t="shared" si="78"/>
        <v>2156809.9750343268</v>
      </c>
      <c r="O52" s="35"/>
      <c r="P52" s="35"/>
      <c r="Q52" s="35">
        <f t="shared" si="37"/>
        <v>64759485.111290447</v>
      </c>
      <c r="R52" s="35">
        <v>0</v>
      </c>
      <c r="S52" s="35"/>
      <c r="T52" s="35"/>
      <c r="U52" s="35"/>
      <c r="V52" s="35">
        <f t="shared" si="65"/>
        <v>0</v>
      </c>
      <c r="W52" s="35">
        <f t="shared" si="66"/>
        <v>64759485.111290447</v>
      </c>
      <c r="X52" s="35">
        <f t="shared" si="76"/>
        <v>3215423.6546999998</v>
      </c>
      <c r="Y52" s="35">
        <v>0</v>
      </c>
      <c r="Z52" s="35">
        <f t="shared" si="77"/>
        <v>285815.43597333331</v>
      </c>
      <c r="AA52" s="35">
        <f t="shared" si="67"/>
        <v>3501239.090673333</v>
      </c>
      <c r="AB52" s="35"/>
      <c r="AC52" s="35"/>
      <c r="AD52" s="35"/>
      <c r="AE52" s="35"/>
      <c r="AF52" s="35">
        <f t="shared" si="68"/>
        <v>0</v>
      </c>
      <c r="AG52" s="35">
        <f t="shared" si="69"/>
        <v>3501239.090673333</v>
      </c>
      <c r="AH52" s="35">
        <f t="shared" si="26"/>
        <v>6173613.4170239996</v>
      </c>
      <c r="AI52" s="35">
        <f t="shared" si="27"/>
        <v>4384667.8080697842</v>
      </c>
      <c r="AJ52" s="35">
        <f t="shared" si="28"/>
        <v>4298693.9294801801</v>
      </c>
      <c r="AK52" s="36">
        <f t="shared" si="16"/>
        <v>2379559.9676449061</v>
      </c>
      <c r="AL52" s="36">
        <f t="shared" si="17"/>
        <v>344730.97886858595</v>
      </c>
      <c r="AM52" s="35">
        <f t="shared" si="18"/>
        <v>1802422.4681020128</v>
      </c>
      <c r="AN52" s="36">
        <f t="shared" si="19"/>
        <v>336305.90638752718</v>
      </c>
      <c r="AO52" s="36">
        <f t="shared" si="20"/>
        <v>336305.90638752718</v>
      </c>
      <c r="AP52" s="35">
        <f t="shared" si="21"/>
        <v>618986.59549135994</v>
      </c>
      <c r="AQ52" s="35">
        <v>0</v>
      </c>
      <c r="AR52" s="37">
        <f t="shared" si="70"/>
        <v>20675286.97745588</v>
      </c>
      <c r="AS52" s="36">
        <f t="shared" si="22"/>
        <v>223594.56150589723</v>
      </c>
      <c r="AT52" s="36">
        <f t="shared" si="23"/>
        <v>210890.4250577864</v>
      </c>
      <c r="AU52" s="36">
        <f t="shared" si="71"/>
        <v>434484.9865636836</v>
      </c>
      <c r="AV52" s="38">
        <f t="shared" si="72"/>
        <v>88936011.179419667</v>
      </c>
    </row>
    <row r="53" spans="1:48" x14ac:dyDescent="0.25">
      <c r="A53" s="25" t="s">
        <v>86</v>
      </c>
      <c r="B53" s="26"/>
      <c r="C53" s="27">
        <f t="shared" ref="C53:AV53" si="79">SUM(C54:C84)</f>
        <v>165</v>
      </c>
      <c r="D53" s="28">
        <f t="shared" si="79"/>
        <v>66572423.857799992</v>
      </c>
      <c r="E53" s="28">
        <f t="shared" si="79"/>
        <v>4213299062.1816001</v>
      </c>
      <c r="F53" s="28">
        <f t="shared" si="79"/>
        <v>0</v>
      </c>
      <c r="G53" s="28">
        <f>SUM(G54:G84)</f>
        <v>58525619.279512376</v>
      </c>
      <c r="H53" s="28">
        <f t="shared" si="79"/>
        <v>9518112</v>
      </c>
      <c r="I53" s="28">
        <f t="shared" si="79"/>
        <v>16872768</v>
      </c>
      <c r="J53" s="28">
        <f t="shared" si="79"/>
        <v>177132063.373658</v>
      </c>
      <c r="K53" s="28">
        <f t="shared" si="79"/>
        <v>137754945.43431601</v>
      </c>
      <c r="L53" s="28">
        <f t="shared" si="79"/>
        <v>317587944.01250005</v>
      </c>
      <c r="M53" s="28">
        <f t="shared" si="79"/>
        <v>392161098.0208289</v>
      </c>
      <c r="N53" s="28">
        <f t="shared" si="79"/>
        <v>177747105.26037213</v>
      </c>
      <c r="O53" s="28">
        <f t="shared" si="79"/>
        <v>0</v>
      </c>
      <c r="P53" s="28">
        <f t="shared" si="79"/>
        <v>0</v>
      </c>
      <c r="Q53" s="28">
        <f t="shared" si="79"/>
        <v>5500598717.562788</v>
      </c>
      <c r="R53" s="28">
        <f>SUM(R54:R84)</f>
        <v>19786638.336000003</v>
      </c>
      <c r="S53" s="28">
        <f t="shared" si="79"/>
        <v>0</v>
      </c>
      <c r="T53" s="28">
        <f t="shared" si="79"/>
        <v>0</v>
      </c>
      <c r="U53" s="28">
        <f t="shared" si="79"/>
        <v>0</v>
      </c>
      <c r="V53" s="28">
        <f t="shared" si="79"/>
        <v>19786638.336000003</v>
      </c>
      <c r="W53" s="28">
        <f t="shared" si="79"/>
        <v>5520385355.8987875</v>
      </c>
      <c r="X53" s="28">
        <f t="shared" si="79"/>
        <v>263331191.38635001</v>
      </c>
      <c r="Y53" s="28">
        <f>+SUM(Y54:Y84)</f>
        <v>23000000</v>
      </c>
      <c r="Z53" s="28">
        <f t="shared" si="79"/>
        <v>23407217.012120001</v>
      </c>
      <c r="AA53" s="28">
        <f t="shared" si="79"/>
        <v>309738408.39846992</v>
      </c>
      <c r="AB53" s="28">
        <f t="shared" si="79"/>
        <v>0</v>
      </c>
      <c r="AC53" s="28">
        <f t="shared" si="79"/>
        <v>0</v>
      </c>
      <c r="AD53" s="28">
        <f t="shared" si="79"/>
        <v>0</v>
      </c>
      <c r="AE53" s="28">
        <f t="shared" si="79"/>
        <v>0</v>
      </c>
      <c r="AF53" s="28">
        <f t="shared" si="79"/>
        <v>0</v>
      </c>
      <c r="AG53" s="28">
        <f t="shared" si="79"/>
        <v>309738408.39846992</v>
      </c>
      <c r="AH53" s="28">
        <f t="shared" si="79"/>
        <v>511877841.38179207</v>
      </c>
      <c r="AI53" s="28">
        <f t="shared" si="79"/>
        <v>361349409.28226244</v>
      </c>
      <c r="AJ53" s="28">
        <f t="shared" si="79"/>
        <v>354264126.747316</v>
      </c>
      <c r="AK53" s="28">
        <f t="shared" si="79"/>
        <v>194877076.41239601</v>
      </c>
      <c r="AL53" s="28">
        <f t="shared" si="79"/>
        <v>28232179.99300221</v>
      </c>
      <c r="AM53" s="28">
        <f t="shared" si="79"/>
        <v>147611670.14898753</v>
      </c>
      <c r="AN53" s="28">
        <f t="shared" si="79"/>
        <v>27542198.014823191</v>
      </c>
      <c r="AO53" s="28">
        <f t="shared" si="79"/>
        <v>27542198.014823191</v>
      </c>
      <c r="AP53" s="28">
        <f t="shared" si="79"/>
        <v>50692690.963029042</v>
      </c>
      <c r="AQ53" s="28">
        <f t="shared" si="79"/>
        <v>0</v>
      </c>
      <c r="AR53" s="29">
        <f t="shared" si="79"/>
        <v>1703989390.9584317</v>
      </c>
      <c r="AS53" s="28">
        <f t="shared" si="79"/>
        <v>18311559.717112891</v>
      </c>
      <c r="AT53" s="28">
        <f t="shared" si="79"/>
        <v>17271138.377447184</v>
      </c>
      <c r="AU53" s="30">
        <f t="shared" si="79"/>
        <v>35582698.094560072</v>
      </c>
      <c r="AV53" s="29">
        <f t="shared" si="79"/>
        <v>7534113155.2556868</v>
      </c>
    </row>
    <row r="54" spans="1:48" x14ac:dyDescent="0.25">
      <c r="A54" s="40" t="s">
        <v>87</v>
      </c>
      <c r="B54" s="33">
        <v>17</v>
      </c>
      <c r="C54" s="33">
        <v>1</v>
      </c>
      <c r="D54" s="35">
        <v>2995329.8887999998</v>
      </c>
      <c r="E54" s="35">
        <f t="shared" ref="E54:E84" si="80">D54*C54*12</f>
        <v>35943958.665600002</v>
      </c>
      <c r="F54" s="35">
        <v>0</v>
      </c>
      <c r="G54" s="35">
        <f>+(((D54*0.2)/C54)*12)</f>
        <v>7188791.73312</v>
      </c>
      <c r="H54" s="35">
        <f t="shared" ref="H54:H84" si="81">(IF(D54&gt;=2000000,0,66098))*12</f>
        <v>0</v>
      </c>
      <c r="I54" s="35"/>
      <c r="J54" s="35">
        <f t="shared" si="29"/>
        <v>1502033.1338211668</v>
      </c>
      <c r="K54" s="35">
        <f t="shared" si="73"/>
        <v>1258038.553296</v>
      </c>
      <c r="L54" s="35">
        <v>0</v>
      </c>
      <c r="M54" s="35">
        <f t="shared" si="74"/>
        <v>3350939.9066136754</v>
      </c>
      <c r="N54" s="35">
        <f t="shared" si="78"/>
        <v>1507248.5266469347</v>
      </c>
      <c r="O54" s="35"/>
      <c r="P54" s="35"/>
      <c r="Q54" s="35">
        <f t="shared" si="37"/>
        <v>50751010.519097783</v>
      </c>
      <c r="R54" s="35">
        <v>0</v>
      </c>
      <c r="S54" s="35"/>
      <c r="T54" s="35"/>
      <c r="U54" s="35"/>
      <c r="V54" s="35">
        <f>SUM(R54:U54)</f>
        <v>0</v>
      </c>
      <c r="W54" s="35">
        <f t="shared" ref="W54:W84" si="82">Q54+V54</f>
        <v>50751010.519097783</v>
      </c>
      <c r="X54" s="35">
        <f>+(E54/360)*22.5</f>
        <v>2246497.4166000001</v>
      </c>
      <c r="Y54" s="35">
        <v>23000000</v>
      </c>
      <c r="Z54" s="35">
        <f t="shared" si="60"/>
        <v>199688.65925333332</v>
      </c>
      <c r="AA54" s="35">
        <f>SUM(X54:Z54)</f>
        <v>25446186.075853333</v>
      </c>
      <c r="AB54" s="35"/>
      <c r="AC54" s="35"/>
      <c r="AD54" s="35"/>
      <c r="AE54" s="35"/>
      <c r="AF54" s="35">
        <f>SUM(AB54:AE54)</f>
        <v>0</v>
      </c>
      <c r="AG54" s="35">
        <f>AA54+AF54</f>
        <v>25446186.075853333</v>
      </c>
      <c r="AH54" s="35">
        <f t="shared" si="26"/>
        <v>4313275.0398719991</v>
      </c>
      <c r="AI54" s="35">
        <f t="shared" si="27"/>
        <v>3064147.5929951803</v>
      </c>
      <c r="AJ54" s="35">
        <f t="shared" si="28"/>
        <v>3004066.2676423336</v>
      </c>
      <c r="AK54" s="36">
        <f t="shared" si="16"/>
        <v>1662510.4166741022</v>
      </c>
      <c r="AL54" s="36">
        <f t="shared" si="17"/>
        <v>240850.76699559289</v>
      </c>
      <c r="AM54" s="35">
        <f t="shared" si="18"/>
        <v>1259285.8214171324</v>
      </c>
      <c r="AN54" s="36">
        <f t="shared" si="19"/>
        <v>234964.48089587453</v>
      </c>
      <c r="AO54" s="36">
        <f t="shared" si="20"/>
        <v>234964.48089587453</v>
      </c>
      <c r="AP54" s="35">
        <f t="shared" si="21"/>
        <v>432463.00861436815</v>
      </c>
      <c r="AQ54" s="35">
        <v>0</v>
      </c>
      <c r="AR54" s="37">
        <f>SUM(AH54:AQ54)</f>
        <v>14446527.876002459</v>
      </c>
      <c r="AS54" s="36">
        <f t="shared" si="22"/>
        <v>156217.2387624837</v>
      </c>
      <c r="AT54" s="36">
        <f t="shared" si="23"/>
        <v>147341.32915439893</v>
      </c>
      <c r="AU54" s="36">
        <f>SUM(AS54:AT54)</f>
        <v>303558.56791688263</v>
      </c>
      <c r="AV54" s="38">
        <f>W54+AG54+AR54</f>
        <v>90643724.470953584</v>
      </c>
    </row>
    <row r="55" spans="1:48" x14ac:dyDescent="0.25">
      <c r="A55" s="40" t="s">
        <v>87</v>
      </c>
      <c r="B55" s="33">
        <v>16</v>
      </c>
      <c r="C55" s="33">
        <v>6</v>
      </c>
      <c r="D55" s="35">
        <v>2798004.7393999998</v>
      </c>
      <c r="E55" s="35">
        <f t="shared" si="80"/>
        <v>201456341.23680001</v>
      </c>
      <c r="F55" s="35">
        <v>0</v>
      </c>
      <c r="G55" s="35">
        <f t="shared" ref="G55:G66" si="83">+(((D55*0.2)/C55)*12)</f>
        <v>1119201.89576</v>
      </c>
      <c r="H55" s="35">
        <f t="shared" si="81"/>
        <v>0</v>
      </c>
      <c r="I55" s="35"/>
      <c r="J55" s="35">
        <f t="shared" si="29"/>
        <v>8415096.4066878408</v>
      </c>
      <c r="K55" s="35">
        <f t="shared" ref="K55:K108" si="84">+IF(D55&lt;1687295,(((D55+(F55/12)+(G55/12))*0.5))*C55,(((D55+(F55/12)+(G55/12))*0.35))*C55)</f>
        <v>6071670.2844979996</v>
      </c>
      <c r="L55" s="35">
        <v>0</v>
      </c>
      <c r="M55" s="35">
        <f t="shared" si="74"/>
        <v>18698951.951618262</v>
      </c>
      <c r="N55" s="35">
        <f t="shared" si="78"/>
        <v>8444315.4914332852</v>
      </c>
      <c r="O55" s="35"/>
      <c r="P55" s="35"/>
      <c r="Q55" s="35">
        <f t="shared" si="37"/>
        <v>244205577.26679742</v>
      </c>
      <c r="R55" s="35">
        <v>0</v>
      </c>
      <c r="S55" s="35"/>
      <c r="T55" s="35"/>
      <c r="U55" s="35"/>
      <c r="V55" s="35">
        <f t="shared" ref="V55:V84" si="85">SUM(R55:U55)</f>
        <v>0</v>
      </c>
      <c r="W55" s="35">
        <f t="shared" si="82"/>
        <v>244205577.26679742</v>
      </c>
      <c r="X55" s="35">
        <f t="shared" ref="X55:X84" si="86">+(E55/360)*22.5</f>
        <v>12591021.327299999</v>
      </c>
      <c r="Y55" s="35">
        <v>0</v>
      </c>
      <c r="Z55" s="35">
        <f t="shared" si="60"/>
        <v>1119201.89576</v>
      </c>
      <c r="AA55" s="35">
        <f t="shared" ref="AA55:AA84" si="87">SUM(X55:Z55)</f>
        <v>13710223.223059999</v>
      </c>
      <c r="AB55" s="35"/>
      <c r="AC55" s="35"/>
      <c r="AD55" s="35"/>
      <c r="AE55" s="35"/>
      <c r="AF55" s="35">
        <f t="shared" ref="AF55:AF84" si="88">SUM(AB55:AE55)</f>
        <v>0</v>
      </c>
      <c r="AG55" s="35">
        <f t="shared" ref="AG55:AG84" si="89">AA55+AF55</f>
        <v>13710223.223059999</v>
      </c>
      <c r="AH55" s="35">
        <f t="shared" si="26"/>
        <v>24174760.948416002</v>
      </c>
      <c r="AI55" s="35">
        <f t="shared" si="27"/>
        <v>17166796.669643197</v>
      </c>
      <c r="AJ55" s="35">
        <f t="shared" si="28"/>
        <v>16830192.813375682</v>
      </c>
      <c r="AK55" s="36">
        <f t="shared" si="16"/>
        <v>9317929.3056490533</v>
      </c>
      <c r="AL55" s="36">
        <f t="shared" si="17"/>
        <v>1349904.5765775901</v>
      </c>
      <c r="AM55" s="35">
        <f t="shared" si="18"/>
        <v>7057962.5498197488</v>
      </c>
      <c r="AN55" s="36">
        <f t="shared" si="19"/>
        <v>1316913.5064465979</v>
      </c>
      <c r="AO55" s="36">
        <f t="shared" si="20"/>
        <v>1316913.5064465979</v>
      </c>
      <c r="AP55" s="35">
        <f t="shared" si="21"/>
        <v>2423840.296675208</v>
      </c>
      <c r="AQ55" s="35">
        <v>0</v>
      </c>
      <c r="AR55" s="37">
        <f t="shared" ref="AR55:AR84" si="90">SUM(AH55:AQ55)</f>
        <v>80955214.173049688</v>
      </c>
      <c r="AS55" s="36">
        <f t="shared" si="22"/>
        <v>875556.13036370184</v>
      </c>
      <c r="AT55" s="36">
        <f t="shared" si="23"/>
        <v>825809.0145429665</v>
      </c>
      <c r="AU55" s="36">
        <f t="shared" ref="AU55:AU84" si="91">SUM(AS55:AT55)</f>
        <v>1701365.1449066685</v>
      </c>
      <c r="AV55" s="38">
        <f t="shared" ref="AV55:AV84" si="92">W55+AG55+AR55</f>
        <v>338871014.66290712</v>
      </c>
    </row>
    <row r="56" spans="1:48" x14ac:dyDescent="0.25">
      <c r="A56" s="40" t="s">
        <v>87</v>
      </c>
      <c r="B56" s="33">
        <v>15</v>
      </c>
      <c r="C56" s="33">
        <v>2</v>
      </c>
      <c r="D56" s="35">
        <v>2476409.2266000002</v>
      </c>
      <c r="E56" s="35">
        <f t="shared" si="80"/>
        <v>59433821.4384</v>
      </c>
      <c r="F56" s="35">
        <v>0</v>
      </c>
      <c r="G56" s="35">
        <f t="shared" si="83"/>
        <v>2971691.0719200005</v>
      </c>
      <c r="H56" s="35">
        <f t="shared" si="81"/>
        <v>0</v>
      </c>
      <c r="I56" s="35"/>
      <c r="J56" s="35">
        <f t="shared" si="29"/>
        <v>2483030.1818238958</v>
      </c>
      <c r="K56" s="35">
        <f t="shared" si="84"/>
        <v>1906835.104482</v>
      </c>
      <c r="L56" s="35">
        <v>0</v>
      </c>
      <c r="M56" s="35">
        <f t="shared" si="74"/>
        <v>5526278.2115921313</v>
      </c>
      <c r="N56" s="35">
        <f t="shared" si="78"/>
        <v>2491651.8143996731</v>
      </c>
      <c r="O56" s="35"/>
      <c r="P56" s="35"/>
      <c r="Q56" s="35">
        <f t="shared" si="37"/>
        <v>74813307.82261771</v>
      </c>
      <c r="R56" s="35">
        <v>0</v>
      </c>
      <c r="S56" s="35"/>
      <c r="T56" s="35"/>
      <c r="U56" s="35"/>
      <c r="V56" s="35">
        <f t="shared" si="85"/>
        <v>0</v>
      </c>
      <c r="W56" s="35">
        <f t="shared" si="82"/>
        <v>74813307.82261771</v>
      </c>
      <c r="X56" s="35">
        <f t="shared" si="86"/>
        <v>3714613.8399</v>
      </c>
      <c r="Y56" s="35">
        <v>0</v>
      </c>
      <c r="Z56" s="35">
        <f t="shared" si="60"/>
        <v>330187.89688000001</v>
      </c>
      <c r="AA56" s="35">
        <f t="shared" si="87"/>
        <v>4044801.7367799999</v>
      </c>
      <c r="AB56" s="35"/>
      <c r="AC56" s="35"/>
      <c r="AD56" s="35"/>
      <c r="AE56" s="35"/>
      <c r="AF56" s="35">
        <f t="shared" si="88"/>
        <v>0</v>
      </c>
      <c r="AG56" s="35">
        <f t="shared" si="89"/>
        <v>4044801.7367799999</v>
      </c>
      <c r="AH56" s="35">
        <f t="shared" si="26"/>
        <v>7132058.5726080006</v>
      </c>
      <c r="AI56" s="35">
        <f t="shared" si="27"/>
        <v>5065381.5709207477</v>
      </c>
      <c r="AJ56" s="35">
        <f t="shared" si="28"/>
        <v>4966060.3636477916</v>
      </c>
      <c r="AK56" s="36">
        <f t="shared" si="16"/>
        <v>2748983.442902009</v>
      </c>
      <c r="AL56" s="36">
        <f t="shared" si="17"/>
        <v>398249.99834026501</v>
      </c>
      <c r="AM56" s="35">
        <f t="shared" si="18"/>
        <v>2082246.1250391989</v>
      </c>
      <c r="AN56" s="36">
        <f t="shared" si="19"/>
        <v>388516.94472085906</v>
      </c>
      <c r="AO56" s="36">
        <f t="shared" si="20"/>
        <v>388516.94472085906</v>
      </c>
      <c r="AP56" s="35">
        <f t="shared" si="21"/>
        <v>715083.4295082381</v>
      </c>
      <c r="AQ56" s="35">
        <v>0</v>
      </c>
      <c r="AR56" s="37">
        <f t="shared" si="90"/>
        <v>23885097.392407972</v>
      </c>
      <c r="AS56" s="36">
        <f t="shared" si="22"/>
        <v>258307.31557943643</v>
      </c>
      <c r="AT56" s="36">
        <f t="shared" si="23"/>
        <v>243630.87908399943</v>
      </c>
      <c r="AU56" s="36">
        <f t="shared" si="91"/>
        <v>501938.19466343586</v>
      </c>
      <c r="AV56" s="38">
        <f t="shared" si="92"/>
        <v>102743206.95180568</v>
      </c>
    </row>
    <row r="57" spans="1:48" x14ac:dyDescent="0.25">
      <c r="A57" s="40" t="s">
        <v>87</v>
      </c>
      <c r="B57" s="33">
        <v>13</v>
      </c>
      <c r="C57" s="33">
        <v>4</v>
      </c>
      <c r="D57" s="35">
        <v>2285991.6211999999</v>
      </c>
      <c r="E57" s="35">
        <f t="shared" si="80"/>
        <v>109727597.8176</v>
      </c>
      <c r="F57" s="35">
        <v>0</v>
      </c>
      <c r="G57" s="35">
        <f t="shared" si="83"/>
        <v>1371594.97272</v>
      </c>
      <c r="H57" s="35">
        <f t="shared" si="81"/>
        <v>0</v>
      </c>
      <c r="I57" s="35"/>
      <c r="J57" s="35">
        <f t="shared" si="29"/>
        <v>4583651.3246332081</v>
      </c>
      <c r="K57" s="35">
        <f t="shared" si="84"/>
        <v>3360407.6831639996</v>
      </c>
      <c r="L57" s="35">
        <v>0</v>
      </c>
      <c r="M57" s="35">
        <f t="shared" si="74"/>
        <v>10189268.633834893</v>
      </c>
      <c r="N57" s="35">
        <f t="shared" si="78"/>
        <v>4599566.7806215184</v>
      </c>
      <c r="O57" s="35"/>
      <c r="P57" s="35"/>
      <c r="Q57" s="35">
        <f t="shared" si="37"/>
        <v>133832087.21257362</v>
      </c>
      <c r="R57" s="35">
        <v>0</v>
      </c>
      <c r="S57" s="35"/>
      <c r="T57" s="35"/>
      <c r="U57" s="35"/>
      <c r="V57" s="35">
        <f t="shared" si="85"/>
        <v>0</v>
      </c>
      <c r="W57" s="35">
        <f t="shared" si="82"/>
        <v>133832087.21257362</v>
      </c>
      <c r="X57" s="35">
        <f t="shared" si="86"/>
        <v>6857974.8635999998</v>
      </c>
      <c r="Y57" s="35">
        <v>0</v>
      </c>
      <c r="Z57" s="35">
        <f t="shared" si="60"/>
        <v>609597.76565333328</v>
      </c>
      <c r="AA57" s="35">
        <f t="shared" si="87"/>
        <v>7467572.6292533334</v>
      </c>
      <c r="AB57" s="35"/>
      <c r="AC57" s="35"/>
      <c r="AD57" s="35"/>
      <c r="AE57" s="35"/>
      <c r="AF57" s="35">
        <f t="shared" si="88"/>
        <v>0</v>
      </c>
      <c r="AG57" s="35">
        <f t="shared" si="89"/>
        <v>7467572.6292533334</v>
      </c>
      <c r="AH57" s="35">
        <f t="shared" si="26"/>
        <v>13167311.738111999</v>
      </c>
      <c r="AI57" s="35">
        <f t="shared" si="27"/>
        <v>9350648.7022517454</v>
      </c>
      <c r="AJ57" s="35">
        <f t="shared" si="28"/>
        <v>9167302.6492664162</v>
      </c>
      <c r="AK57" s="36">
        <f t="shared" si="16"/>
        <v>5075213.7811401905</v>
      </c>
      <c r="AL57" s="36">
        <f t="shared" si="17"/>
        <v>735255.02131866408</v>
      </c>
      <c r="AM57" s="35">
        <f t="shared" si="18"/>
        <v>3844273.510199314</v>
      </c>
      <c r="AN57" s="36">
        <f t="shared" si="19"/>
        <v>717285.71415920043</v>
      </c>
      <c r="AO57" s="36">
        <f t="shared" si="20"/>
        <v>717285.71415920043</v>
      </c>
      <c r="AP57" s="35">
        <f t="shared" si="21"/>
        <v>1320197.5753895319</v>
      </c>
      <c r="AQ57" s="35">
        <v>0</v>
      </c>
      <c r="AR57" s="37">
        <f t="shared" si="90"/>
        <v>44094774.405996263</v>
      </c>
      <c r="AS57" s="36">
        <f t="shared" si="22"/>
        <v>476890.77618239226</v>
      </c>
      <c r="AT57" s="36">
        <f t="shared" si="23"/>
        <v>449794.92263987748</v>
      </c>
      <c r="AU57" s="36">
        <f t="shared" si="91"/>
        <v>926685.69882226968</v>
      </c>
      <c r="AV57" s="38">
        <f t="shared" si="92"/>
        <v>185394434.24782321</v>
      </c>
    </row>
    <row r="58" spans="1:48" x14ac:dyDescent="0.25">
      <c r="A58" s="40" t="s">
        <v>87</v>
      </c>
      <c r="B58" s="33">
        <v>11</v>
      </c>
      <c r="C58" s="33">
        <v>6</v>
      </c>
      <c r="D58" s="35">
        <v>2021495.9694000001</v>
      </c>
      <c r="E58" s="35">
        <f t="shared" si="80"/>
        <v>145547709.79680002</v>
      </c>
      <c r="F58" s="35">
        <v>0</v>
      </c>
      <c r="G58" s="35">
        <f t="shared" si="83"/>
        <v>808598.38776000007</v>
      </c>
      <c r="H58" s="35">
        <f t="shared" si="81"/>
        <v>0</v>
      </c>
      <c r="I58" s="35"/>
      <c r="J58" s="35">
        <f t="shared" si="29"/>
        <v>6079719.3188027712</v>
      </c>
      <c r="K58" s="35">
        <f t="shared" si="84"/>
        <v>4386646.2535979999</v>
      </c>
      <c r="L58" s="35">
        <v>0</v>
      </c>
      <c r="M58" s="35">
        <f t="shared" si="74"/>
        <v>13509575.402043931</v>
      </c>
      <c r="N58" s="35">
        <f t="shared" si="78"/>
        <v>6100829.4553263923</v>
      </c>
      <c r="O58" s="35"/>
      <c r="P58" s="35"/>
      <c r="Q58" s="35">
        <f t="shared" si="37"/>
        <v>176433078.61433113</v>
      </c>
      <c r="R58" s="35">
        <v>0</v>
      </c>
      <c r="S58" s="35"/>
      <c r="T58" s="35"/>
      <c r="U58" s="35"/>
      <c r="V58" s="35">
        <f t="shared" si="85"/>
        <v>0</v>
      </c>
      <c r="W58" s="35">
        <f t="shared" si="82"/>
        <v>176433078.61433113</v>
      </c>
      <c r="X58" s="35">
        <f t="shared" si="86"/>
        <v>9096731.8623000011</v>
      </c>
      <c r="Y58" s="35">
        <v>0</v>
      </c>
      <c r="Z58" s="35">
        <f t="shared" si="60"/>
        <v>808598.38776000007</v>
      </c>
      <c r="AA58" s="35">
        <f t="shared" si="87"/>
        <v>9905330.2500600014</v>
      </c>
      <c r="AB58" s="35"/>
      <c r="AC58" s="35"/>
      <c r="AD58" s="35"/>
      <c r="AE58" s="35"/>
      <c r="AF58" s="35">
        <f t="shared" si="88"/>
        <v>0</v>
      </c>
      <c r="AG58" s="35">
        <f t="shared" si="89"/>
        <v>9905330.2500600014</v>
      </c>
      <c r="AH58" s="35">
        <f t="shared" si="26"/>
        <v>17465725.175616</v>
      </c>
      <c r="AI58" s="35">
        <f t="shared" si="27"/>
        <v>12402627.410357654</v>
      </c>
      <c r="AJ58" s="35">
        <f t="shared" si="28"/>
        <v>12159438.637605542</v>
      </c>
      <c r="AK58" s="36">
        <f t="shared" si="16"/>
        <v>6731995.9359907657</v>
      </c>
      <c r="AL58" s="36">
        <f t="shared" si="17"/>
        <v>975275.92509059783</v>
      </c>
      <c r="AM58" s="35">
        <f t="shared" si="18"/>
        <v>5099220.4000684796</v>
      </c>
      <c r="AN58" s="36">
        <f t="shared" si="19"/>
        <v>951440.61332114949</v>
      </c>
      <c r="AO58" s="36">
        <f t="shared" si="20"/>
        <v>951440.61332114949</v>
      </c>
      <c r="AP58" s="35">
        <f t="shared" si="21"/>
        <v>1751170.5113297757</v>
      </c>
      <c r="AQ58" s="35">
        <v>0</v>
      </c>
      <c r="AR58" s="37">
        <f t="shared" si="90"/>
        <v>58488335.22270111</v>
      </c>
      <c r="AS58" s="36">
        <f t="shared" si="22"/>
        <v>632569.76072643325</v>
      </c>
      <c r="AT58" s="36">
        <f t="shared" si="23"/>
        <v>596628.57996115112</v>
      </c>
      <c r="AU58" s="36">
        <f t="shared" si="91"/>
        <v>1229198.3406875844</v>
      </c>
      <c r="AV58" s="38">
        <f t="shared" si="92"/>
        <v>244826744.08709222</v>
      </c>
    </row>
    <row r="59" spans="1:48" x14ac:dyDescent="0.25">
      <c r="A59" s="40" t="s">
        <v>88</v>
      </c>
      <c r="B59" s="33">
        <v>6</v>
      </c>
      <c r="C59" s="33">
        <v>14</v>
      </c>
      <c r="D59" s="35">
        <v>1523921.1198</v>
      </c>
      <c r="E59" s="35">
        <f t="shared" si="80"/>
        <v>256018748.12639999</v>
      </c>
      <c r="F59" s="35">
        <v>0</v>
      </c>
      <c r="G59" s="35">
        <f t="shared" si="83"/>
        <v>261243.62053714285</v>
      </c>
      <c r="H59" s="35">
        <f t="shared" si="81"/>
        <v>793176</v>
      </c>
      <c r="I59" s="35">
        <f>117172*12</f>
        <v>1406064</v>
      </c>
      <c r="J59" s="35">
        <f t="shared" si="29"/>
        <v>10796651.72731729</v>
      </c>
      <c r="K59" s="35">
        <f t="shared" si="84"/>
        <v>10819839.950580001</v>
      </c>
      <c r="L59" s="35">
        <f>+((((D59/30)/8)*50)*12)*C59</f>
        <v>53337239.192999996</v>
      </c>
      <c r="M59" s="35">
        <f t="shared" si="74"/>
        <v>24039114.992138982</v>
      </c>
      <c r="N59" s="35">
        <f t="shared" si="78"/>
        <v>10834140.101370476</v>
      </c>
      <c r="O59" s="35"/>
      <c r="P59" s="35"/>
      <c r="Q59" s="35">
        <f t="shared" si="37"/>
        <v>368306217.71134388</v>
      </c>
      <c r="R59" s="35">
        <v>0</v>
      </c>
      <c r="S59" s="35"/>
      <c r="T59" s="35"/>
      <c r="U59" s="35"/>
      <c r="V59" s="35">
        <f t="shared" si="85"/>
        <v>0</v>
      </c>
      <c r="W59" s="35">
        <f t="shared" si="82"/>
        <v>368306217.71134388</v>
      </c>
      <c r="X59" s="35">
        <f t="shared" si="86"/>
        <v>16001171.7579</v>
      </c>
      <c r="Y59" s="35">
        <v>0</v>
      </c>
      <c r="Z59" s="35">
        <f t="shared" si="60"/>
        <v>1422326.37848</v>
      </c>
      <c r="AA59" s="35">
        <f t="shared" si="87"/>
        <v>17423498.136379998</v>
      </c>
      <c r="AB59" s="35"/>
      <c r="AC59" s="35"/>
      <c r="AD59" s="35"/>
      <c r="AE59" s="35"/>
      <c r="AF59" s="35">
        <f t="shared" si="88"/>
        <v>0</v>
      </c>
      <c r="AG59" s="35">
        <f t="shared" si="89"/>
        <v>17423498.136379998</v>
      </c>
      <c r="AH59" s="35">
        <f t="shared" si="26"/>
        <v>32054785.455167998</v>
      </c>
      <c r="AI59" s="35">
        <f t="shared" si="27"/>
        <v>22025169.523727275</v>
      </c>
      <c r="AJ59" s="35">
        <f t="shared" si="28"/>
        <v>21593303.454634581</v>
      </c>
      <c r="AK59" s="36">
        <f t="shared" si="16"/>
        <v>11841595.957302116</v>
      </c>
      <c r="AL59" s="36">
        <f t="shared" si="17"/>
        <v>1715512.5406514723</v>
      </c>
      <c r="AM59" s="35">
        <f t="shared" si="18"/>
        <v>8969540.1258373857</v>
      </c>
      <c r="AN59" s="36">
        <f t="shared" si="19"/>
        <v>1673586.173765067</v>
      </c>
      <c r="AO59" s="36">
        <f t="shared" si="20"/>
        <v>1673586.173765067</v>
      </c>
      <c r="AP59" s="35">
        <f t="shared" si="21"/>
        <v>3080312.8588724374</v>
      </c>
      <c r="AQ59" s="35">
        <v>0</v>
      </c>
      <c r="AR59" s="37">
        <f t="shared" si="90"/>
        <v>104627392.2637234</v>
      </c>
      <c r="AS59" s="36">
        <f t="shared" si="22"/>
        <v>1112691.6285381389</v>
      </c>
      <c r="AT59" s="36">
        <f t="shared" si="23"/>
        <v>1049471.0109237595</v>
      </c>
      <c r="AU59" s="36">
        <f t="shared" si="91"/>
        <v>2162162.6394618982</v>
      </c>
      <c r="AV59" s="38">
        <f t="shared" si="92"/>
        <v>490357108.11144733</v>
      </c>
    </row>
    <row r="60" spans="1:48" x14ac:dyDescent="0.25">
      <c r="A60" s="40" t="s">
        <v>88</v>
      </c>
      <c r="B60" s="33">
        <v>3</v>
      </c>
      <c r="C60" s="33">
        <v>2</v>
      </c>
      <c r="D60" s="35">
        <v>1123314.6732000001</v>
      </c>
      <c r="E60" s="35">
        <f t="shared" si="80"/>
        <v>26959552.156800002</v>
      </c>
      <c r="F60" s="35">
        <v>0</v>
      </c>
      <c r="G60" s="35">
        <f t="shared" si="83"/>
        <v>1347977.6078400002</v>
      </c>
      <c r="H60" s="35">
        <f t="shared" si="81"/>
        <v>793176</v>
      </c>
      <c r="I60" s="35">
        <f>117172*12</f>
        <v>1406064</v>
      </c>
      <c r="J60" s="35">
        <f t="shared" si="29"/>
        <v>1219240.1111879167</v>
      </c>
      <c r="K60" s="35">
        <f t="shared" si="84"/>
        <v>1235646.1405200001</v>
      </c>
      <c r="L60" s="35">
        <f t="shared" ref="L60:L62" si="93">+((((D60/30)/8)*50)*12)*C60</f>
        <v>5616573.3660000004</v>
      </c>
      <c r="M60" s="35">
        <f t="shared" si="74"/>
        <v>2553159.3326920108</v>
      </c>
      <c r="N60" s="35">
        <f t="shared" si="78"/>
        <v>1223473.583796208</v>
      </c>
      <c r="O60" s="35"/>
      <c r="P60" s="35"/>
      <c r="Q60" s="35">
        <f t="shared" si="37"/>
        <v>42354862.298836142</v>
      </c>
      <c r="R60" s="35">
        <v>0</v>
      </c>
      <c r="S60" s="35"/>
      <c r="T60" s="35"/>
      <c r="U60" s="35"/>
      <c r="V60" s="35">
        <f t="shared" si="85"/>
        <v>0</v>
      </c>
      <c r="W60" s="35">
        <f t="shared" si="82"/>
        <v>42354862.298836142</v>
      </c>
      <c r="X60" s="35">
        <f t="shared" si="86"/>
        <v>1684972.0098000001</v>
      </c>
      <c r="Y60" s="35">
        <v>0</v>
      </c>
      <c r="Z60" s="35">
        <f t="shared" si="60"/>
        <v>149775.28976000001</v>
      </c>
      <c r="AA60" s="35">
        <f t="shared" si="87"/>
        <v>1834747.2995600002</v>
      </c>
      <c r="AB60" s="35"/>
      <c r="AC60" s="35"/>
      <c r="AD60" s="35"/>
      <c r="AE60" s="35"/>
      <c r="AF60" s="35">
        <f t="shared" si="88"/>
        <v>0</v>
      </c>
      <c r="AG60" s="35">
        <f t="shared" si="89"/>
        <v>1834747.2995600002</v>
      </c>
      <c r="AH60" s="35">
        <f t="shared" si="26"/>
        <v>3425508.4988159998</v>
      </c>
      <c r="AI60" s="35">
        <f t="shared" si="27"/>
        <v>2487249.8268233505</v>
      </c>
      <c r="AJ60" s="35">
        <f t="shared" si="28"/>
        <v>2438480.2223758334</v>
      </c>
      <c r="AK60" s="36">
        <f t="shared" si="16"/>
        <v>1246956.0380516476</v>
      </c>
      <c r="AL60" s="36">
        <f t="shared" si="17"/>
        <v>180648.6835585332</v>
      </c>
      <c r="AM60" s="35">
        <f t="shared" si="18"/>
        <v>944519.83151497995</v>
      </c>
      <c r="AN60" s="36">
        <f t="shared" si="19"/>
        <v>176233.70972130031</v>
      </c>
      <c r="AO60" s="36">
        <f t="shared" si="20"/>
        <v>176233.70972130031</v>
      </c>
      <c r="AP60" s="35">
        <f t="shared" si="21"/>
        <v>324366.30436546507</v>
      </c>
      <c r="AQ60" s="35">
        <v>0</v>
      </c>
      <c r="AR60" s="37">
        <f t="shared" si="90"/>
        <v>11400196.824948411</v>
      </c>
      <c r="AS60" s="36">
        <f t="shared" si="22"/>
        <v>117169.80968596262</v>
      </c>
      <c r="AT60" s="36">
        <f t="shared" si="23"/>
        <v>110512.4865389934</v>
      </c>
      <c r="AU60" s="36">
        <f t="shared" si="91"/>
        <v>227682.29622495602</v>
      </c>
      <c r="AV60" s="38">
        <f t="shared" si="92"/>
        <v>55589806.423344553</v>
      </c>
    </row>
    <row r="61" spans="1:48" x14ac:dyDescent="0.25">
      <c r="A61" s="40" t="s">
        <v>89</v>
      </c>
      <c r="B61" s="33">
        <v>17</v>
      </c>
      <c r="C61" s="33">
        <v>8</v>
      </c>
      <c r="D61" s="35">
        <v>2995329.8887999998</v>
      </c>
      <c r="E61" s="35">
        <f t="shared" si="80"/>
        <v>287551669.32480001</v>
      </c>
      <c r="F61" s="35">
        <v>0</v>
      </c>
      <c r="G61" s="35">
        <f t="shared" si="83"/>
        <v>898598.96664</v>
      </c>
      <c r="H61" s="35">
        <f t="shared" si="81"/>
        <v>0</v>
      </c>
      <c r="I61" s="35"/>
      <c r="J61" s="35">
        <f t="shared" si="29"/>
        <v>12011168.849577973</v>
      </c>
      <c r="K61" s="35">
        <f t="shared" si="84"/>
        <v>8596596.7808559984</v>
      </c>
      <c r="L61" s="35">
        <f t="shared" si="93"/>
        <v>59906597.775999993</v>
      </c>
      <c r="M61" s="35">
        <f t="shared" si="74"/>
        <v>26684359.10435053</v>
      </c>
      <c r="N61" s="35">
        <f t="shared" si="78"/>
        <v>12052874.296972342</v>
      </c>
      <c r="O61" s="35"/>
      <c r="P61" s="35"/>
      <c r="Q61" s="35">
        <f t="shared" si="37"/>
        <v>407701865.09919679</v>
      </c>
      <c r="R61" s="35">
        <v>0</v>
      </c>
      <c r="S61" s="35"/>
      <c r="T61" s="35"/>
      <c r="U61" s="35"/>
      <c r="V61" s="35">
        <f t="shared" si="85"/>
        <v>0</v>
      </c>
      <c r="W61" s="35">
        <f t="shared" si="82"/>
        <v>407701865.09919679</v>
      </c>
      <c r="X61" s="35">
        <f t="shared" si="86"/>
        <v>17971979.332800001</v>
      </c>
      <c r="Y61" s="35">
        <v>0</v>
      </c>
      <c r="Z61" s="35">
        <f t="shared" si="60"/>
        <v>1597509.2740266665</v>
      </c>
      <c r="AA61" s="35">
        <f t="shared" si="87"/>
        <v>19569488.606826667</v>
      </c>
      <c r="AB61" s="35"/>
      <c r="AC61" s="35"/>
      <c r="AD61" s="35"/>
      <c r="AE61" s="35"/>
      <c r="AF61" s="35">
        <f t="shared" si="88"/>
        <v>0</v>
      </c>
      <c r="AG61" s="35">
        <f t="shared" si="89"/>
        <v>19569488.606826667</v>
      </c>
      <c r="AH61" s="35">
        <f t="shared" si="26"/>
        <v>34506200.318975993</v>
      </c>
      <c r="AI61" s="35">
        <f t="shared" si="27"/>
        <v>24502784.453139067</v>
      </c>
      <c r="AJ61" s="35">
        <f t="shared" si="28"/>
        <v>24022337.699155945</v>
      </c>
      <c r="AK61" s="36">
        <f t="shared" si="16"/>
        <v>13300083.333392818</v>
      </c>
      <c r="AL61" s="36">
        <f t="shared" si="17"/>
        <v>1926806.1359647431</v>
      </c>
      <c r="AM61" s="35">
        <f t="shared" si="18"/>
        <v>10074286.571337059</v>
      </c>
      <c r="AN61" s="36">
        <f t="shared" si="19"/>
        <v>1879715.8471669962</v>
      </c>
      <c r="AO61" s="36">
        <f t="shared" si="20"/>
        <v>1879715.8471669962</v>
      </c>
      <c r="AP61" s="35">
        <f t="shared" si="21"/>
        <v>3459704.0689149452</v>
      </c>
      <c r="AQ61" s="35">
        <v>0</v>
      </c>
      <c r="AR61" s="37">
        <f t="shared" si="90"/>
        <v>115551634.27521457</v>
      </c>
      <c r="AS61" s="36">
        <f t="shared" si="22"/>
        <v>1249737.9100998696</v>
      </c>
      <c r="AT61" s="36">
        <f t="shared" si="23"/>
        <v>1178730.6332351915</v>
      </c>
      <c r="AU61" s="36">
        <f t="shared" si="91"/>
        <v>2428468.5433350611</v>
      </c>
      <c r="AV61" s="38">
        <f t="shared" si="92"/>
        <v>542822987.98123801</v>
      </c>
    </row>
    <row r="62" spans="1:48" x14ac:dyDescent="0.25">
      <c r="A62" s="40" t="s">
        <v>89</v>
      </c>
      <c r="B62" s="33">
        <v>16</v>
      </c>
      <c r="C62" s="33">
        <v>8</v>
      </c>
      <c r="D62" s="35">
        <v>2798004.7393999998</v>
      </c>
      <c r="E62" s="35">
        <f t="shared" si="80"/>
        <v>268608454.9824</v>
      </c>
      <c r="F62" s="35">
        <v>0</v>
      </c>
      <c r="G62" s="35">
        <f t="shared" si="83"/>
        <v>839401.42182000005</v>
      </c>
      <c r="H62" s="35">
        <f t="shared" si="81"/>
        <v>0</v>
      </c>
      <c r="I62" s="35"/>
      <c r="J62" s="35">
        <f t="shared" si="29"/>
        <v>11219901.85205166</v>
      </c>
      <c r="K62" s="35">
        <f t="shared" si="84"/>
        <v>8030273.6020779992</v>
      </c>
      <c r="L62" s="35">
        <f t="shared" si="93"/>
        <v>55960094.788000003</v>
      </c>
      <c r="M62" s="35">
        <f t="shared" si="74"/>
        <v>24926457.523426931</v>
      </c>
      <c r="N62" s="35">
        <f t="shared" si="78"/>
        <v>11258859.844593508</v>
      </c>
      <c r="O62" s="35"/>
      <c r="P62" s="35"/>
      <c r="Q62" s="35">
        <f t="shared" si="37"/>
        <v>380843444.01437014</v>
      </c>
      <c r="R62" s="35">
        <v>0</v>
      </c>
      <c r="S62" s="35"/>
      <c r="T62" s="35"/>
      <c r="U62" s="35"/>
      <c r="V62" s="35">
        <f t="shared" si="85"/>
        <v>0</v>
      </c>
      <c r="W62" s="35">
        <f t="shared" si="82"/>
        <v>380843444.01437014</v>
      </c>
      <c r="X62" s="35">
        <f t="shared" si="86"/>
        <v>16788028.4364</v>
      </c>
      <c r="Y62" s="35">
        <v>0</v>
      </c>
      <c r="Z62" s="35">
        <f t="shared" si="60"/>
        <v>1492269.1943466666</v>
      </c>
      <c r="AA62" s="35">
        <f t="shared" si="87"/>
        <v>18280297.630746666</v>
      </c>
      <c r="AB62" s="35"/>
      <c r="AC62" s="35"/>
      <c r="AD62" s="35"/>
      <c r="AE62" s="35"/>
      <c r="AF62" s="35">
        <f t="shared" si="88"/>
        <v>0</v>
      </c>
      <c r="AG62" s="35">
        <f t="shared" si="89"/>
        <v>18280297.630746666</v>
      </c>
      <c r="AH62" s="35">
        <f t="shared" si="26"/>
        <v>32233014.597888</v>
      </c>
      <c r="AI62" s="35">
        <f t="shared" si="27"/>
        <v>22888599.77818539</v>
      </c>
      <c r="AJ62" s="35">
        <f t="shared" si="28"/>
        <v>22439803.704103321</v>
      </c>
      <c r="AK62" s="36">
        <f t="shared" si="16"/>
        <v>12423905.740865404</v>
      </c>
      <c r="AL62" s="36">
        <f t="shared" si="17"/>
        <v>1799872.7687701201</v>
      </c>
      <c r="AM62" s="35">
        <f t="shared" si="18"/>
        <v>9410616.7330929991</v>
      </c>
      <c r="AN62" s="36">
        <f t="shared" si="19"/>
        <v>1755884.6752621306</v>
      </c>
      <c r="AO62" s="36">
        <f t="shared" si="20"/>
        <v>1755884.6752621306</v>
      </c>
      <c r="AP62" s="35">
        <f t="shared" si="21"/>
        <v>3231787.062233611</v>
      </c>
      <c r="AQ62" s="35">
        <v>0</v>
      </c>
      <c r="AR62" s="37">
        <f t="shared" si="90"/>
        <v>107939369.73566309</v>
      </c>
      <c r="AS62" s="36">
        <f t="shared" si="22"/>
        <v>1167408.173818269</v>
      </c>
      <c r="AT62" s="36">
        <f t="shared" si="23"/>
        <v>1101078.6860572887</v>
      </c>
      <c r="AU62" s="36">
        <f t="shared" si="91"/>
        <v>2268486.8598755579</v>
      </c>
      <c r="AV62" s="38">
        <f t="shared" si="92"/>
        <v>507063111.38077986</v>
      </c>
    </row>
    <row r="63" spans="1:48" x14ac:dyDescent="0.25">
      <c r="A63" s="40" t="s">
        <v>89</v>
      </c>
      <c r="B63" s="33">
        <v>15</v>
      </c>
      <c r="C63" s="33">
        <v>18</v>
      </c>
      <c r="D63" s="35">
        <v>2476409.2266000002</v>
      </c>
      <c r="E63" s="35">
        <f t="shared" si="80"/>
        <v>534904392.94560003</v>
      </c>
      <c r="F63" s="35">
        <v>0</v>
      </c>
      <c r="G63" s="35">
        <f t="shared" si="83"/>
        <v>330187.89688000007</v>
      </c>
      <c r="H63" s="35">
        <f t="shared" si="81"/>
        <v>0</v>
      </c>
      <c r="I63" s="35"/>
      <c r="J63" s="35">
        <f t="shared" si="29"/>
        <v>22342456.39625223</v>
      </c>
      <c r="K63" s="35">
        <f t="shared" si="84"/>
        <v>15774726.773442002</v>
      </c>
      <c r="L63" s="35">
        <v>0</v>
      </c>
      <c r="M63" s="35">
        <f t="shared" si="74"/>
        <v>49620134.207095377</v>
      </c>
      <c r="N63" s="35">
        <f t="shared" si="78"/>
        <v>22420034.369850326</v>
      </c>
      <c r="O63" s="35"/>
      <c r="P63" s="35"/>
      <c r="Q63" s="35">
        <f t="shared" si="37"/>
        <v>645391932.58911991</v>
      </c>
      <c r="R63" s="35">
        <f>+(D63*0.2)*12*1</f>
        <v>5943382.143840001</v>
      </c>
      <c r="S63" s="35"/>
      <c r="T63" s="35"/>
      <c r="U63" s="35"/>
      <c r="V63" s="35">
        <f t="shared" si="85"/>
        <v>5943382.143840001</v>
      </c>
      <c r="W63" s="35">
        <f t="shared" si="82"/>
        <v>651335314.73295987</v>
      </c>
      <c r="X63" s="35">
        <f t="shared" si="86"/>
        <v>33431524.559100002</v>
      </c>
      <c r="Y63" s="35">
        <v>0</v>
      </c>
      <c r="Z63" s="35">
        <f t="shared" si="60"/>
        <v>2971691.07192</v>
      </c>
      <c r="AA63" s="35">
        <f t="shared" si="87"/>
        <v>36403215.631020002</v>
      </c>
      <c r="AB63" s="35"/>
      <c r="AC63" s="35"/>
      <c r="AD63" s="35"/>
      <c r="AE63" s="35"/>
      <c r="AF63" s="35">
        <f t="shared" si="88"/>
        <v>0</v>
      </c>
      <c r="AG63" s="35">
        <f t="shared" si="89"/>
        <v>36403215.631020002</v>
      </c>
      <c r="AH63" s="35">
        <f t="shared" si="26"/>
        <v>64188527.153472006</v>
      </c>
      <c r="AI63" s="35">
        <f t="shared" si="27"/>
        <v>45578611.048354551</v>
      </c>
      <c r="AJ63" s="35">
        <f t="shared" si="28"/>
        <v>44684912.79250446</v>
      </c>
      <c r="AK63" s="36">
        <f t="shared" si="16"/>
        <v>24740850.986118078</v>
      </c>
      <c r="AL63" s="36">
        <f t="shared" si="17"/>
        <v>3584249.9850623854</v>
      </c>
      <c r="AM63" s="35">
        <f t="shared" si="18"/>
        <v>18740215.125352789</v>
      </c>
      <c r="AN63" s="36">
        <f t="shared" si="19"/>
        <v>3496652.5024877312</v>
      </c>
      <c r="AO63" s="36">
        <f t="shared" si="20"/>
        <v>3496652.5024877312</v>
      </c>
      <c r="AP63" s="35">
        <f t="shared" si="21"/>
        <v>6435750.8655741429</v>
      </c>
      <c r="AQ63" s="35">
        <v>0</v>
      </c>
      <c r="AR63" s="37">
        <f t="shared" si="90"/>
        <v>214946422.96141386</v>
      </c>
      <c r="AS63" s="36">
        <f t="shared" si="22"/>
        <v>2324765.8402149281</v>
      </c>
      <c r="AT63" s="36">
        <f t="shared" si="23"/>
        <v>2192677.9117559949</v>
      </c>
      <c r="AU63" s="36">
        <f t="shared" si="91"/>
        <v>4517443.7519709226</v>
      </c>
      <c r="AV63" s="38">
        <f t="shared" si="92"/>
        <v>902684953.32539368</v>
      </c>
    </row>
    <row r="64" spans="1:48" x14ac:dyDescent="0.25">
      <c r="A64" s="40" t="s">
        <v>89</v>
      </c>
      <c r="B64" s="33">
        <v>14</v>
      </c>
      <c r="C64" s="33">
        <v>1</v>
      </c>
      <c r="D64" s="35">
        <v>2369489.2407999998</v>
      </c>
      <c r="E64" s="35">
        <f t="shared" si="80"/>
        <v>28433870.889599998</v>
      </c>
      <c r="F64" s="35">
        <v>0</v>
      </c>
      <c r="G64" s="35">
        <f t="shared" si="83"/>
        <v>5686774.1779199997</v>
      </c>
      <c r="H64" s="35">
        <f t="shared" si="81"/>
        <v>0</v>
      </c>
      <c r="I64" s="35"/>
      <c r="J64" s="35">
        <f t="shared" si="29"/>
        <v>1188200.1255428332</v>
      </c>
      <c r="K64" s="35">
        <f t="shared" si="84"/>
        <v>995185.4811359999</v>
      </c>
      <c r="L64" s="35">
        <v>0</v>
      </c>
      <c r="M64" s="35">
        <f t="shared" si="74"/>
        <v>2650798.526391835</v>
      </c>
      <c r="N64" s="35">
        <f t="shared" si="78"/>
        <v>1192325.8204231902</v>
      </c>
      <c r="O64" s="35"/>
      <c r="P64" s="35"/>
      <c r="Q64" s="35">
        <f t="shared" si="37"/>
        <v>40147155.021013863</v>
      </c>
      <c r="R64" s="35">
        <v>0</v>
      </c>
      <c r="S64" s="35"/>
      <c r="T64" s="35"/>
      <c r="U64" s="35"/>
      <c r="V64" s="35">
        <f t="shared" si="85"/>
        <v>0</v>
      </c>
      <c r="W64" s="35">
        <f t="shared" si="82"/>
        <v>40147155.021013863</v>
      </c>
      <c r="X64" s="35">
        <f t="shared" si="86"/>
        <v>1777116.9305999998</v>
      </c>
      <c r="Y64" s="35">
        <v>0</v>
      </c>
      <c r="Z64" s="35">
        <f t="shared" si="60"/>
        <v>157965.94938666665</v>
      </c>
      <c r="AA64" s="35">
        <f t="shared" si="87"/>
        <v>1935082.8799866666</v>
      </c>
      <c r="AB64" s="35"/>
      <c r="AC64" s="35"/>
      <c r="AD64" s="35"/>
      <c r="AE64" s="35"/>
      <c r="AF64" s="35">
        <f t="shared" si="88"/>
        <v>0</v>
      </c>
      <c r="AG64" s="35">
        <f t="shared" si="89"/>
        <v>1935082.8799866666</v>
      </c>
      <c r="AH64" s="35">
        <f t="shared" si="26"/>
        <v>3412064.5067519993</v>
      </c>
      <c r="AI64" s="35">
        <f t="shared" si="27"/>
        <v>2423928.2561073797</v>
      </c>
      <c r="AJ64" s="35">
        <f t="shared" si="28"/>
        <v>2376400.2510856665</v>
      </c>
      <c r="AK64" s="36">
        <f t="shared" si="16"/>
        <v>1315147.4766625413</v>
      </c>
      <c r="AL64" s="36">
        <f t="shared" si="17"/>
        <v>190527.69551974736</v>
      </c>
      <c r="AM64" s="35">
        <f t="shared" si="18"/>
        <v>996172.14654619968</v>
      </c>
      <c r="AN64" s="36">
        <f t="shared" si="19"/>
        <v>185871.28300448315</v>
      </c>
      <c r="AO64" s="36">
        <f t="shared" si="20"/>
        <v>185871.28300448315</v>
      </c>
      <c r="AP64" s="35">
        <f t="shared" si="21"/>
        <v>342104.70432232379</v>
      </c>
      <c r="AQ64" s="35">
        <v>0</v>
      </c>
      <c r="AR64" s="37">
        <f t="shared" si="90"/>
        <v>11428087.603004823</v>
      </c>
      <c r="AS64" s="36">
        <f t="shared" si="22"/>
        <v>123577.39555140711</v>
      </c>
      <c r="AT64" s="36">
        <f t="shared" si="23"/>
        <v>116556.00789146696</v>
      </c>
      <c r="AU64" s="36">
        <f t="shared" si="91"/>
        <v>240133.40344287409</v>
      </c>
      <c r="AV64" s="38">
        <f t="shared" si="92"/>
        <v>53510325.50400535</v>
      </c>
    </row>
    <row r="65" spans="1:48" x14ac:dyDescent="0.25">
      <c r="A65" s="40" t="s">
        <v>89</v>
      </c>
      <c r="B65" s="33">
        <v>13</v>
      </c>
      <c r="C65" s="33">
        <v>2</v>
      </c>
      <c r="D65" s="35">
        <v>2285991.6211999999</v>
      </c>
      <c r="E65" s="35">
        <f t="shared" si="80"/>
        <v>54863798.908799998</v>
      </c>
      <c r="F65" s="35">
        <v>0</v>
      </c>
      <c r="G65" s="35">
        <f t="shared" si="83"/>
        <v>2743189.9454399999</v>
      </c>
      <c r="H65" s="35">
        <f t="shared" si="81"/>
        <v>0</v>
      </c>
      <c r="I65" s="35"/>
      <c r="J65" s="35">
        <f t="shared" si="29"/>
        <v>2292103.4737983472</v>
      </c>
      <c r="K65" s="35">
        <f t="shared" si="84"/>
        <v>1760213.5483239999</v>
      </c>
      <c r="L65" s="35">
        <v>0</v>
      </c>
      <c r="M65" s="35">
        <f t="shared" si="74"/>
        <v>5101348.1747781709</v>
      </c>
      <c r="N65" s="35">
        <f t="shared" si="78"/>
        <v>2300062.1664157021</v>
      </c>
      <c r="O65" s="35"/>
      <c r="P65" s="35"/>
      <c r="Q65" s="35">
        <f t="shared" si="37"/>
        <v>69060716.217556223</v>
      </c>
      <c r="R65" s="35">
        <v>0</v>
      </c>
      <c r="S65" s="35"/>
      <c r="T65" s="35"/>
      <c r="U65" s="35"/>
      <c r="V65" s="35">
        <f t="shared" si="85"/>
        <v>0</v>
      </c>
      <c r="W65" s="35">
        <f t="shared" si="82"/>
        <v>69060716.217556223</v>
      </c>
      <c r="X65" s="35">
        <f t="shared" si="86"/>
        <v>3428987.4317999999</v>
      </c>
      <c r="Y65" s="35">
        <v>0</v>
      </c>
      <c r="Z65" s="35">
        <f t="shared" si="60"/>
        <v>304798.88282666664</v>
      </c>
      <c r="AA65" s="35">
        <f t="shared" si="87"/>
        <v>3733786.3146266667</v>
      </c>
      <c r="AB65" s="35"/>
      <c r="AC65" s="35"/>
      <c r="AD65" s="35"/>
      <c r="AE65" s="35"/>
      <c r="AF65" s="35">
        <f t="shared" si="88"/>
        <v>0</v>
      </c>
      <c r="AG65" s="35">
        <f t="shared" si="89"/>
        <v>3733786.3146266667</v>
      </c>
      <c r="AH65" s="35">
        <f t="shared" si="26"/>
        <v>6583655.8690559994</v>
      </c>
      <c r="AI65" s="35">
        <f t="shared" si="27"/>
        <v>4675891.0865486283</v>
      </c>
      <c r="AJ65" s="35">
        <f t="shared" si="28"/>
        <v>4584206.9475966943</v>
      </c>
      <c r="AK65" s="36">
        <f t="shared" si="16"/>
        <v>2537606.8905700953</v>
      </c>
      <c r="AL65" s="36">
        <f t="shared" si="17"/>
        <v>367627.51065933204</v>
      </c>
      <c r="AM65" s="35">
        <f t="shared" si="18"/>
        <v>1922136.755099657</v>
      </c>
      <c r="AN65" s="36">
        <f t="shared" si="19"/>
        <v>358642.85707960022</v>
      </c>
      <c r="AO65" s="36">
        <f t="shared" si="20"/>
        <v>358642.85707960022</v>
      </c>
      <c r="AP65" s="35">
        <f t="shared" si="21"/>
        <v>660098.78769476595</v>
      </c>
      <c r="AQ65" s="35">
        <v>0</v>
      </c>
      <c r="AR65" s="37">
        <f t="shared" si="90"/>
        <v>22048509.561384376</v>
      </c>
      <c r="AS65" s="36">
        <f t="shared" si="22"/>
        <v>238445.38809119613</v>
      </c>
      <c r="AT65" s="36">
        <f t="shared" si="23"/>
        <v>224897.46131993874</v>
      </c>
      <c r="AU65" s="36">
        <f t="shared" si="91"/>
        <v>463342.84941113484</v>
      </c>
      <c r="AV65" s="38">
        <f t="shared" si="92"/>
        <v>94843012.093567267</v>
      </c>
    </row>
    <row r="66" spans="1:48" x14ac:dyDescent="0.25">
      <c r="A66" s="40" t="s">
        <v>89</v>
      </c>
      <c r="B66" s="33">
        <v>12</v>
      </c>
      <c r="C66" s="33">
        <v>4</v>
      </c>
      <c r="D66" s="35">
        <v>2143615.7697999999</v>
      </c>
      <c r="E66" s="35">
        <f t="shared" si="80"/>
        <v>102893556.95039999</v>
      </c>
      <c r="F66" s="35">
        <v>0</v>
      </c>
      <c r="G66" s="35">
        <f t="shared" si="83"/>
        <v>1286169.4618800001</v>
      </c>
      <c r="H66" s="35">
        <f t="shared" si="81"/>
        <v>0</v>
      </c>
      <c r="I66" s="35"/>
      <c r="J66" s="35">
        <f t="shared" si="29"/>
        <v>4298172.9117583539</v>
      </c>
      <c r="K66" s="35">
        <f t="shared" si="84"/>
        <v>3151115.1816059998</v>
      </c>
      <c r="L66" s="35">
        <v>0</v>
      </c>
      <c r="M66" s="35">
        <f t="shared" si="74"/>
        <v>9554661.8472518213</v>
      </c>
      <c r="N66" s="35">
        <f t="shared" si="78"/>
        <v>4313097.123257515</v>
      </c>
      <c r="O66" s="35"/>
      <c r="P66" s="35"/>
      <c r="Q66" s="35">
        <f t="shared" si="37"/>
        <v>125496773.47615367</v>
      </c>
      <c r="R66" s="35">
        <v>0</v>
      </c>
      <c r="S66" s="35"/>
      <c r="T66" s="35"/>
      <c r="U66" s="35"/>
      <c r="V66" s="35">
        <f t="shared" si="85"/>
        <v>0</v>
      </c>
      <c r="W66" s="35">
        <f t="shared" si="82"/>
        <v>125496773.47615367</v>
      </c>
      <c r="X66" s="35">
        <f t="shared" si="86"/>
        <v>6430847.3093999997</v>
      </c>
      <c r="Y66" s="35">
        <v>0</v>
      </c>
      <c r="Z66" s="35">
        <f t="shared" si="60"/>
        <v>571630.87194666662</v>
      </c>
      <c r="AA66" s="35">
        <f t="shared" si="87"/>
        <v>7002478.1813466661</v>
      </c>
      <c r="AB66" s="35"/>
      <c r="AC66" s="35"/>
      <c r="AD66" s="35"/>
      <c r="AE66" s="35"/>
      <c r="AF66" s="35">
        <f t="shared" si="88"/>
        <v>0</v>
      </c>
      <c r="AG66" s="35">
        <f t="shared" si="89"/>
        <v>7002478.1813466661</v>
      </c>
      <c r="AH66" s="35">
        <f t="shared" si="26"/>
        <v>12347226.834047999</v>
      </c>
      <c r="AI66" s="35">
        <f t="shared" si="27"/>
        <v>8768272.7399870418</v>
      </c>
      <c r="AJ66" s="35">
        <f t="shared" si="28"/>
        <v>8596345.8235167079</v>
      </c>
      <c r="AK66" s="36">
        <f t="shared" si="16"/>
        <v>4759119.9352898123</v>
      </c>
      <c r="AL66" s="36">
        <f t="shared" si="17"/>
        <v>689461.95773717191</v>
      </c>
      <c r="AM66" s="35">
        <f t="shared" si="18"/>
        <v>3604844.9362040255</v>
      </c>
      <c r="AN66" s="36">
        <f t="shared" si="19"/>
        <v>672611.81277505436</v>
      </c>
      <c r="AO66" s="36">
        <f t="shared" si="20"/>
        <v>672611.81277505436</v>
      </c>
      <c r="AP66" s="35">
        <f t="shared" si="21"/>
        <v>1237973.1909827199</v>
      </c>
      <c r="AQ66" s="35">
        <v>0</v>
      </c>
      <c r="AR66" s="37">
        <f t="shared" si="90"/>
        <v>41348469.043315582</v>
      </c>
      <c r="AS66" s="36">
        <f t="shared" si="22"/>
        <v>447189.12301179447</v>
      </c>
      <c r="AT66" s="36">
        <f t="shared" si="23"/>
        <v>421780.8501155728</v>
      </c>
      <c r="AU66" s="36">
        <f t="shared" si="91"/>
        <v>868969.97312736721</v>
      </c>
      <c r="AV66" s="38">
        <f t="shared" si="92"/>
        <v>173847720.70081592</v>
      </c>
    </row>
    <row r="67" spans="1:48" x14ac:dyDescent="0.25">
      <c r="A67" s="40" t="s">
        <v>89</v>
      </c>
      <c r="B67" s="33">
        <v>11</v>
      </c>
      <c r="C67" s="33">
        <v>4</v>
      </c>
      <c r="D67" s="35">
        <v>2021495.9694000001</v>
      </c>
      <c r="E67" s="35">
        <f t="shared" si="80"/>
        <v>97031806.531200007</v>
      </c>
      <c r="F67" s="35">
        <v>0</v>
      </c>
      <c r="G67" s="35">
        <f>+(((D67*0.2)/C67)*12)</f>
        <v>1212897.58164</v>
      </c>
      <c r="H67" s="35">
        <f t="shared" si="81"/>
        <v>0</v>
      </c>
      <c r="I67" s="35"/>
      <c r="J67" s="35">
        <f t="shared" si="29"/>
        <v>4053309.9911438129</v>
      </c>
      <c r="K67" s="35">
        <f t="shared" si="84"/>
        <v>2971599.0750179999</v>
      </c>
      <c r="L67" s="35">
        <v>0</v>
      </c>
      <c r="M67" s="35">
        <f t="shared" si="74"/>
        <v>9010341.6317942012</v>
      </c>
      <c r="N67" s="35">
        <f t="shared" si="78"/>
        <v>4067383.9841686175</v>
      </c>
      <c r="O67" s="35"/>
      <c r="P67" s="35"/>
      <c r="Q67" s="35">
        <f t="shared" si="37"/>
        <v>118347338.79496464</v>
      </c>
      <c r="R67" s="35">
        <v>0</v>
      </c>
      <c r="S67" s="35"/>
      <c r="T67" s="35"/>
      <c r="U67" s="35"/>
      <c r="V67" s="35">
        <f t="shared" si="85"/>
        <v>0</v>
      </c>
      <c r="W67" s="35">
        <f t="shared" si="82"/>
        <v>118347338.79496464</v>
      </c>
      <c r="X67" s="35">
        <f t="shared" si="86"/>
        <v>6064487.9082000004</v>
      </c>
      <c r="Y67" s="35">
        <v>0</v>
      </c>
      <c r="Z67" s="35">
        <f t="shared" si="60"/>
        <v>539065.59184000001</v>
      </c>
      <c r="AA67" s="35">
        <f t="shared" si="87"/>
        <v>6603553.5000400003</v>
      </c>
      <c r="AB67" s="35"/>
      <c r="AC67" s="35"/>
      <c r="AD67" s="35"/>
      <c r="AE67" s="35"/>
      <c r="AF67" s="35">
        <f t="shared" si="88"/>
        <v>0</v>
      </c>
      <c r="AG67" s="35">
        <f t="shared" si="89"/>
        <v>6603553.5000400003</v>
      </c>
      <c r="AH67" s="35">
        <f t="shared" si="26"/>
        <v>11643816.783744</v>
      </c>
      <c r="AI67" s="35">
        <f t="shared" si="27"/>
        <v>8268752.381933379</v>
      </c>
      <c r="AJ67" s="35">
        <f t="shared" si="28"/>
        <v>8106619.9822876258</v>
      </c>
      <c r="AK67" s="36">
        <f t="shared" si="16"/>
        <v>4487997.2906605108</v>
      </c>
      <c r="AL67" s="36">
        <f t="shared" si="17"/>
        <v>650183.95006039855</v>
      </c>
      <c r="AM67" s="35">
        <f t="shared" si="18"/>
        <v>3399480.2667123196</v>
      </c>
      <c r="AN67" s="36">
        <f t="shared" si="19"/>
        <v>634293.74221409962</v>
      </c>
      <c r="AO67" s="36">
        <f t="shared" si="20"/>
        <v>634293.74221409962</v>
      </c>
      <c r="AP67" s="35">
        <f t="shared" si="21"/>
        <v>1167447.0075531837</v>
      </c>
      <c r="AQ67" s="35">
        <v>0</v>
      </c>
      <c r="AR67" s="37">
        <f t="shared" si="90"/>
        <v>38992885.147379614</v>
      </c>
      <c r="AS67" s="36">
        <f t="shared" si="22"/>
        <v>421713.17381762213</v>
      </c>
      <c r="AT67" s="36">
        <f t="shared" si="23"/>
        <v>397752.38664076745</v>
      </c>
      <c r="AU67" s="36">
        <f t="shared" si="91"/>
        <v>819465.56045838958</v>
      </c>
      <c r="AV67" s="38">
        <f t="shared" si="92"/>
        <v>163943777.44238424</v>
      </c>
    </row>
    <row r="68" spans="1:48" x14ac:dyDescent="0.25">
      <c r="A68" s="40" t="s">
        <v>89</v>
      </c>
      <c r="B68" s="33">
        <v>9</v>
      </c>
      <c r="C68" s="33">
        <v>6</v>
      </c>
      <c r="D68" s="35">
        <v>1832405.1702000001</v>
      </c>
      <c r="E68" s="35">
        <f t="shared" si="80"/>
        <v>131933172.25440001</v>
      </c>
      <c r="F68" s="35">
        <v>0</v>
      </c>
      <c r="G68" s="35">
        <f>+(((D68*0.2)/C68)*12)</f>
        <v>732962.06808000011</v>
      </c>
      <c r="H68" s="35">
        <f t="shared" si="81"/>
        <v>793176</v>
      </c>
      <c r="I68" s="35">
        <f>117172*12</f>
        <v>1406064</v>
      </c>
      <c r="J68" s="35">
        <f t="shared" si="29"/>
        <v>5602657.1745560216</v>
      </c>
      <c r="K68" s="35">
        <f t="shared" si="84"/>
        <v>3976319.2193339998</v>
      </c>
      <c r="L68" s="35">
        <v>0</v>
      </c>
      <c r="M68" s="35">
        <f t="shared" si="74"/>
        <v>12261188.291132586</v>
      </c>
      <c r="N68" s="35">
        <f t="shared" si="78"/>
        <v>5622110.8453010088</v>
      </c>
      <c r="O68" s="35"/>
      <c r="P68" s="35"/>
      <c r="Q68" s="35">
        <f t="shared" si="37"/>
        <v>162327649.85280365</v>
      </c>
      <c r="R68" s="35">
        <v>0</v>
      </c>
      <c r="S68" s="35"/>
      <c r="T68" s="35"/>
      <c r="U68" s="35"/>
      <c r="V68" s="35">
        <f t="shared" si="85"/>
        <v>0</v>
      </c>
      <c r="W68" s="35">
        <f t="shared" si="82"/>
        <v>162327649.85280365</v>
      </c>
      <c r="X68" s="35">
        <f t="shared" si="86"/>
        <v>8245823.2659000009</v>
      </c>
      <c r="Y68" s="35">
        <v>0</v>
      </c>
      <c r="Z68" s="35">
        <f t="shared" si="60"/>
        <v>732962.06808000011</v>
      </c>
      <c r="AA68" s="35">
        <f t="shared" si="87"/>
        <v>8978785.3339800015</v>
      </c>
      <c r="AB68" s="35"/>
      <c r="AC68" s="35"/>
      <c r="AD68" s="35"/>
      <c r="AE68" s="35"/>
      <c r="AF68" s="35">
        <f t="shared" si="88"/>
        <v>0</v>
      </c>
      <c r="AG68" s="35">
        <f t="shared" si="89"/>
        <v>8978785.3339800015</v>
      </c>
      <c r="AH68" s="35">
        <f t="shared" si="26"/>
        <v>16403067.390528001</v>
      </c>
      <c r="AI68" s="35">
        <f t="shared" si="27"/>
        <v>11429420.636094285</v>
      </c>
      <c r="AJ68" s="35">
        <f t="shared" si="28"/>
        <v>11205314.349112043</v>
      </c>
      <c r="AK68" s="36">
        <f t="shared" si="16"/>
        <v>6102284.815604277</v>
      </c>
      <c r="AL68" s="36">
        <f t="shared" si="17"/>
        <v>884048.58310849301</v>
      </c>
      <c r="AM68" s="35">
        <f t="shared" si="18"/>
        <v>4622239.156800366</v>
      </c>
      <c r="AN68" s="36">
        <f t="shared" si="19"/>
        <v>862442.8271827813</v>
      </c>
      <c r="AO68" s="36">
        <f t="shared" si="20"/>
        <v>862442.8271827813</v>
      </c>
      <c r="AP68" s="35">
        <f t="shared" si="21"/>
        <v>1587365.9643332746</v>
      </c>
      <c r="AQ68" s="35">
        <v>0</v>
      </c>
      <c r="AR68" s="37">
        <f t="shared" si="90"/>
        <v>53958626.549946308</v>
      </c>
      <c r="AS68" s="36">
        <f t="shared" si="22"/>
        <v>573399.16458568687</v>
      </c>
      <c r="AT68" s="36">
        <f t="shared" si="23"/>
        <v>540819.9230465889</v>
      </c>
      <c r="AU68" s="36">
        <f t="shared" si="91"/>
        <v>1114219.0876322757</v>
      </c>
      <c r="AV68" s="38">
        <f t="shared" si="92"/>
        <v>225265061.73672995</v>
      </c>
    </row>
    <row r="69" spans="1:48" x14ac:dyDescent="0.25">
      <c r="A69" s="40" t="s">
        <v>89</v>
      </c>
      <c r="B69" s="33">
        <v>8</v>
      </c>
      <c r="C69" s="33">
        <v>1</v>
      </c>
      <c r="D69" s="35">
        <v>1665037.7387999999</v>
      </c>
      <c r="E69" s="35">
        <f t="shared" si="80"/>
        <v>19980452.865599997</v>
      </c>
      <c r="F69" s="35">
        <v>0</v>
      </c>
      <c r="G69" s="35">
        <f>+(((D69*0.2)/C69)*12)</f>
        <v>3996090.5731199998</v>
      </c>
      <c r="H69" s="35">
        <f t="shared" si="81"/>
        <v>793176</v>
      </c>
      <c r="I69" s="35">
        <f>117172*12</f>
        <v>1406064</v>
      </c>
      <c r="J69" s="35">
        <f t="shared" si="29"/>
        <v>927622.6980224998</v>
      </c>
      <c r="K69" s="35">
        <f t="shared" si="84"/>
        <v>999022.64327999996</v>
      </c>
      <c r="L69" s="35">
        <v>0</v>
      </c>
      <c r="M69" s="35">
        <f t="shared" si="74"/>
        <v>1903161.8180892423</v>
      </c>
      <c r="N69" s="35">
        <f t="shared" si="78"/>
        <v>930843.61016841128</v>
      </c>
      <c r="O69" s="35"/>
      <c r="P69" s="35"/>
      <c r="Q69" s="35">
        <f t="shared" si="37"/>
        <v>30936434.20828015</v>
      </c>
      <c r="R69" s="35">
        <v>0</v>
      </c>
      <c r="S69" s="35"/>
      <c r="T69" s="35"/>
      <c r="U69" s="35"/>
      <c r="V69" s="35">
        <f t="shared" si="85"/>
        <v>0</v>
      </c>
      <c r="W69" s="35">
        <f t="shared" si="82"/>
        <v>30936434.20828015</v>
      </c>
      <c r="X69" s="35">
        <f t="shared" si="86"/>
        <v>1248778.3040999998</v>
      </c>
      <c r="Y69" s="35">
        <v>0</v>
      </c>
      <c r="Z69" s="35">
        <f t="shared" si="60"/>
        <v>111002.51591999999</v>
      </c>
      <c r="AA69" s="35">
        <f t="shared" si="87"/>
        <v>1359780.8200199998</v>
      </c>
      <c r="AB69" s="35"/>
      <c r="AC69" s="35"/>
      <c r="AD69" s="35"/>
      <c r="AE69" s="35"/>
      <c r="AF69" s="35">
        <f t="shared" si="88"/>
        <v>0</v>
      </c>
      <c r="AG69" s="35">
        <f t="shared" si="89"/>
        <v>1359780.8200199998</v>
      </c>
      <c r="AH69" s="35">
        <f t="shared" si="26"/>
        <v>2492835.4638719996</v>
      </c>
      <c r="AI69" s="35">
        <f t="shared" si="27"/>
        <v>1892350.3039658999</v>
      </c>
      <c r="AJ69" s="35">
        <f t="shared" si="28"/>
        <v>1855245.3960449996</v>
      </c>
      <c r="AK69" s="36">
        <f t="shared" si="16"/>
        <v>924152.82712632231</v>
      </c>
      <c r="AL69" s="36">
        <f t="shared" si="17"/>
        <v>133883.62262403357</v>
      </c>
      <c r="AM69" s="35">
        <f t="shared" si="18"/>
        <v>700009.17910090159</v>
      </c>
      <c r="AN69" s="36">
        <f t="shared" si="19"/>
        <v>130611.56616906614</v>
      </c>
      <c r="AO69" s="36">
        <f t="shared" si="20"/>
        <v>130611.56616906614</v>
      </c>
      <c r="AP69" s="35">
        <f t="shared" si="21"/>
        <v>240396.63633389922</v>
      </c>
      <c r="AQ69" s="35">
        <v>0</v>
      </c>
      <c r="AR69" s="37">
        <f t="shared" si="90"/>
        <v>8500096.5614061877</v>
      </c>
      <c r="AS69" s="36">
        <f t="shared" si="22"/>
        <v>86837.713255974915</v>
      </c>
      <c r="AT69" s="36">
        <f t="shared" si="23"/>
        <v>81903.791113075509</v>
      </c>
      <c r="AU69" s="36">
        <f t="shared" si="91"/>
        <v>168741.50436905044</v>
      </c>
      <c r="AV69" s="38">
        <f t="shared" si="92"/>
        <v>40796311.589706339</v>
      </c>
    </row>
    <row r="70" spans="1:48" x14ac:dyDescent="0.25">
      <c r="A70" s="40" t="s">
        <v>90</v>
      </c>
      <c r="B70" s="33">
        <v>18</v>
      </c>
      <c r="C70" s="33">
        <v>5</v>
      </c>
      <c r="D70" s="35">
        <v>3291614.1867999998</v>
      </c>
      <c r="E70" s="35">
        <f t="shared" si="80"/>
        <v>197496851.20799997</v>
      </c>
      <c r="F70" s="35">
        <v>0</v>
      </c>
      <c r="G70" s="35">
        <f t="shared" ref="G70:G108" si="94">+(((D70*0.2)/C70)*12)</f>
        <v>1579974.8096639998</v>
      </c>
      <c r="H70" s="35">
        <f t="shared" si="81"/>
        <v>0</v>
      </c>
      <c r="I70" s="35"/>
      <c r="J70" s="35">
        <f t="shared" si="29"/>
        <v>8249836.639986027</v>
      </c>
      <c r="K70" s="35">
        <f t="shared" si="84"/>
        <v>5990737.8199760001</v>
      </c>
      <c r="L70" s="35">
        <f t="shared" ref="L70:L74" si="95">+((((D70/30)/8)*50)*12)*C70</f>
        <v>41145177.334999993</v>
      </c>
      <c r="M70" s="35">
        <f t="shared" si="74"/>
        <v>18334658.964504924</v>
      </c>
      <c r="N70" s="35">
        <f t="shared" si="78"/>
        <v>8278481.9060970889</v>
      </c>
      <c r="O70" s="35"/>
      <c r="P70" s="35"/>
      <c r="Q70" s="35">
        <f t="shared" si="37"/>
        <v>281075718.68322802</v>
      </c>
      <c r="R70" s="35">
        <f>+(D70*0.2)*12*1</f>
        <v>7899874.0483200001</v>
      </c>
      <c r="S70" s="35"/>
      <c r="T70" s="35"/>
      <c r="U70" s="35"/>
      <c r="V70" s="35">
        <f t="shared" si="85"/>
        <v>7899874.0483200001</v>
      </c>
      <c r="W70" s="35">
        <f t="shared" si="82"/>
        <v>288975592.73154801</v>
      </c>
      <c r="X70" s="35">
        <f t="shared" si="86"/>
        <v>12343553.200499998</v>
      </c>
      <c r="Y70" s="35">
        <v>0</v>
      </c>
      <c r="Z70" s="35">
        <f t="shared" si="60"/>
        <v>1097204.7289333332</v>
      </c>
      <c r="AA70" s="35">
        <f t="shared" si="87"/>
        <v>13440757.929433331</v>
      </c>
      <c r="AB70" s="35"/>
      <c r="AC70" s="35"/>
      <c r="AD70" s="35"/>
      <c r="AE70" s="35"/>
      <c r="AF70" s="35">
        <f t="shared" si="88"/>
        <v>0</v>
      </c>
      <c r="AG70" s="35">
        <f t="shared" si="89"/>
        <v>13440757.929433331</v>
      </c>
      <c r="AH70" s="35">
        <f t="shared" si="26"/>
        <v>23699622.144959997</v>
      </c>
      <c r="AI70" s="35">
        <f t="shared" si="27"/>
        <v>16829666.745571498</v>
      </c>
      <c r="AJ70" s="35">
        <f t="shared" si="28"/>
        <v>16499673.279972054</v>
      </c>
      <c r="AK70" s="36">
        <f t="shared" si="16"/>
        <v>9134791.6195962038</v>
      </c>
      <c r="AL70" s="36">
        <f t="shared" si="17"/>
        <v>1323373.1024230595</v>
      </c>
      <c r="AM70" s="35">
        <f t="shared" si="18"/>
        <v>6919243.0031026443</v>
      </c>
      <c r="AN70" s="36">
        <f t="shared" si="19"/>
        <v>1291030.449772605</v>
      </c>
      <c r="AO70" s="36">
        <f t="shared" si="20"/>
        <v>1291030.449772605</v>
      </c>
      <c r="AP70" s="35">
        <f t="shared" si="21"/>
        <v>2376201.3321870752</v>
      </c>
      <c r="AQ70" s="35">
        <v>0</v>
      </c>
      <c r="AR70" s="37">
        <f t="shared" si="90"/>
        <v>79364632.127357751</v>
      </c>
      <c r="AS70" s="36">
        <f t="shared" si="22"/>
        <v>858347.65856010211</v>
      </c>
      <c r="AT70" s="36">
        <f t="shared" si="23"/>
        <v>809578.28912274947</v>
      </c>
      <c r="AU70" s="36">
        <f t="shared" si="91"/>
        <v>1667925.9476828515</v>
      </c>
      <c r="AV70" s="38">
        <f t="shared" si="92"/>
        <v>381780982.78833914</v>
      </c>
    </row>
    <row r="71" spans="1:48" x14ac:dyDescent="0.25">
      <c r="A71" s="40" t="s">
        <v>90</v>
      </c>
      <c r="B71" s="33">
        <v>15</v>
      </c>
      <c r="C71" s="33">
        <v>6</v>
      </c>
      <c r="D71" s="35">
        <v>2476409.2266000002</v>
      </c>
      <c r="E71" s="35">
        <f t="shared" si="80"/>
        <v>178301464.3152</v>
      </c>
      <c r="F71" s="35">
        <v>0</v>
      </c>
      <c r="G71" s="35">
        <f t="shared" si="94"/>
        <v>990563.69064000016</v>
      </c>
      <c r="H71" s="35">
        <f t="shared" si="81"/>
        <v>0</v>
      </c>
      <c r="I71" s="35"/>
      <c r="J71" s="35">
        <f t="shared" si="29"/>
        <v>7447886.7354309792</v>
      </c>
      <c r="K71" s="35">
        <f t="shared" si="84"/>
        <v>5373808.021722001</v>
      </c>
      <c r="L71" s="35">
        <f t="shared" si="95"/>
        <v>37146138.399000004</v>
      </c>
      <c r="M71" s="35">
        <f t="shared" si="74"/>
        <v>16549742.210467944</v>
      </c>
      <c r="N71" s="35">
        <f t="shared" si="78"/>
        <v>7473747.4532623366</v>
      </c>
      <c r="O71" s="35"/>
      <c r="P71" s="35"/>
      <c r="Q71" s="35">
        <f t="shared" si="37"/>
        <v>253283350.82572323</v>
      </c>
      <c r="R71" s="35">
        <f>+(D71*0.2)*12*1</f>
        <v>5943382.143840001</v>
      </c>
      <c r="S71" s="35"/>
      <c r="T71" s="35"/>
      <c r="U71" s="35"/>
      <c r="V71" s="35">
        <f t="shared" si="85"/>
        <v>5943382.143840001</v>
      </c>
      <c r="W71" s="35">
        <f t="shared" si="82"/>
        <v>259226732.96956325</v>
      </c>
      <c r="X71" s="35">
        <f t="shared" si="86"/>
        <v>11143841.5197</v>
      </c>
      <c r="Y71" s="35">
        <v>0</v>
      </c>
      <c r="Z71" s="35">
        <f t="shared" si="60"/>
        <v>990563.69064000004</v>
      </c>
      <c r="AA71" s="35">
        <f t="shared" si="87"/>
        <v>12134405.210340001</v>
      </c>
      <c r="AB71" s="35"/>
      <c r="AC71" s="35"/>
      <c r="AD71" s="35"/>
      <c r="AE71" s="35"/>
      <c r="AF71" s="35">
        <f t="shared" si="88"/>
        <v>0</v>
      </c>
      <c r="AG71" s="35">
        <f t="shared" si="89"/>
        <v>12134405.210340001</v>
      </c>
      <c r="AH71" s="35">
        <f t="shared" si="26"/>
        <v>21396175.717824001</v>
      </c>
      <c r="AI71" s="35">
        <f t="shared" si="27"/>
        <v>15193688.940279199</v>
      </c>
      <c r="AJ71" s="35">
        <f t="shared" si="28"/>
        <v>14895773.470861958</v>
      </c>
      <c r="AK71" s="36">
        <f t="shared" si="16"/>
        <v>8246950.328706027</v>
      </c>
      <c r="AL71" s="36">
        <f t="shared" si="17"/>
        <v>1194749.9950207951</v>
      </c>
      <c r="AM71" s="35">
        <f t="shared" si="18"/>
        <v>6246738.3751175962</v>
      </c>
      <c r="AN71" s="36">
        <f t="shared" si="19"/>
        <v>1165550.8341625771</v>
      </c>
      <c r="AO71" s="36">
        <f t="shared" si="20"/>
        <v>1165550.8341625771</v>
      </c>
      <c r="AP71" s="35">
        <f t="shared" si="21"/>
        <v>2145250.2885247143</v>
      </c>
      <c r="AQ71" s="35">
        <v>0</v>
      </c>
      <c r="AR71" s="37">
        <f t="shared" si="90"/>
        <v>71650428.784659445</v>
      </c>
      <c r="AS71" s="36">
        <f t="shared" si="22"/>
        <v>774921.94673830923</v>
      </c>
      <c r="AT71" s="36">
        <f t="shared" si="23"/>
        <v>730892.6372519983</v>
      </c>
      <c r="AU71" s="36">
        <f t="shared" si="91"/>
        <v>1505814.5839903075</v>
      </c>
      <c r="AV71" s="38">
        <f t="shared" si="92"/>
        <v>343011566.96456271</v>
      </c>
    </row>
    <row r="72" spans="1:48" x14ac:dyDescent="0.25">
      <c r="A72" s="40" t="s">
        <v>90</v>
      </c>
      <c r="B72" s="33">
        <v>12</v>
      </c>
      <c r="C72" s="33">
        <v>3</v>
      </c>
      <c r="D72" s="35">
        <v>2143615.7697999999</v>
      </c>
      <c r="E72" s="35">
        <f t="shared" si="80"/>
        <v>77170167.712799996</v>
      </c>
      <c r="F72" s="35">
        <v>0</v>
      </c>
      <c r="G72" s="35">
        <f t="shared" si="94"/>
        <v>1714892.6158400001</v>
      </c>
      <c r="H72" s="35">
        <f t="shared" si="81"/>
        <v>0</v>
      </c>
      <c r="I72" s="35"/>
      <c r="J72" s="35">
        <f t="shared" si="29"/>
        <v>3223759.9382492225</v>
      </c>
      <c r="K72" s="35">
        <f t="shared" si="84"/>
        <v>2400849.6621759995</v>
      </c>
      <c r="L72" s="35">
        <f t="shared" si="95"/>
        <v>16077118.273499999</v>
      </c>
      <c r="M72" s="35">
        <f t="shared" si="74"/>
        <v>7169144.2385309283</v>
      </c>
      <c r="N72" s="35">
        <f t="shared" si="78"/>
        <v>3234953.5491459207</v>
      </c>
      <c r="O72" s="35"/>
      <c r="P72" s="35"/>
      <c r="Q72" s="35">
        <f t="shared" si="37"/>
        <v>110990885.99024206</v>
      </c>
      <c r="R72" s="35">
        <v>0</v>
      </c>
      <c r="S72" s="35"/>
      <c r="T72" s="35"/>
      <c r="U72" s="35"/>
      <c r="V72" s="35">
        <f t="shared" si="85"/>
        <v>0</v>
      </c>
      <c r="W72" s="35">
        <f t="shared" si="82"/>
        <v>110990885.99024206</v>
      </c>
      <c r="X72" s="35">
        <f t="shared" si="86"/>
        <v>4823135.4820499998</v>
      </c>
      <c r="Y72" s="35">
        <v>0</v>
      </c>
      <c r="Z72" s="35">
        <f t="shared" si="60"/>
        <v>428723.15395999997</v>
      </c>
      <c r="AA72" s="35">
        <f t="shared" si="87"/>
        <v>5251858.6360099996</v>
      </c>
      <c r="AB72" s="35"/>
      <c r="AC72" s="35"/>
      <c r="AD72" s="35"/>
      <c r="AE72" s="35"/>
      <c r="AF72" s="35">
        <f t="shared" si="88"/>
        <v>0</v>
      </c>
      <c r="AG72" s="35">
        <f t="shared" si="89"/>
        <v>5251858.6360099996</v>
      </c>
      <c r="AH72" s="35">
        <f t="shared" si="26"/>
        <v>9260420.1255359985</v>
      </c>
      <c r="AI72" s="35">
        <f t="shared" si="27"/>
        <v>6576470.2740284139</v>
      </c>
      <c r="AJ72" s="35">
        <f t="shared" si="28"/>
        <v>6447519.8764984449</v>
      </c>
      <c r="AK72" s="36">
        <f t="shared" si="16"/>
        <v>3569339.9514673594</v>
      </c>
      <c r="AL72" s="36">
        <f t="shared" si="17"/>
        <v>517096.4683028789</v>
      </c>
      <c r="AM72" s="35">
        <f t="shared" si="18"/>
        <v>2703633.7021530191</v>
      </c>
      <c r="AN72" s="36">
        <f t="shared" si="19"/>
        <v>504458.85958129074</v>
      </c>
      <c r="AO72" s="36">
        <f t="shared" si="20"/>
        <v>504458.85958129074</v>
      </c>
      <c r="AP72" s="35">
        <f t="shared" si="21"/>
        <v>928479.89323703991</v>
      </c>
      <c r="AQ72" s="35">
        <v>0</v>
      </c>
      <c r="AR72" s="37">
        <f t="shared" si="90"/>
        <v>31011878.010385741</v>
      </c>
      <c r="AS72" s="36">
        <f t="shared" si="22"/>
        <v>335391.84225884586</v>
      </c>
      <c r="AT72" s="36">
        <f t="shared" si="23"/>
        <v>316335.6375866796</v>
      </c>
      <c r="AU72" s="36">
        <f t="shared" si="91"/>
        <v>651727.47984552546</v>
      </c>
      <c r="AV72" s="38">
        <f t="shared" si="92"/>
        <v>147254622.63663781</v>
      </c>
    </row>
    <row r="73" spans="1:48" x14ac:dyDescent="0.25">
      <c r="A73" s="40" t="s">
        <v>90</v>
      </c>
      <c r="B73" s="33">
        <v>11</v>
      </c>
      <c r="C73" s="33">
        <v>7</v>
      </c>
      <c r="D73" s="35">
        <v>2021495.9694000001</v>
      </c>
      <c r="E73" s="35">
        <f t="shared" si="80"/>
        <v>169805661.4296</v>
      </c>
      <c r="F73" s="35">
        <v>0</v>
      </c>
      <c r="G73" s="35">
        <f t="shared" si="94"/>
        <v>693084.33236571436</v>
      </c>
      <c r="H73" s="35">
        <f t="shared" si="81"/>
        <v>0</v>
      </c>
      <c r="I73" s="35"/>
      <c r="J73" s="35">
        <f t="shared" si="29"/>
        <v>7092923.9826322496</v>
      </c>
      <c r="K73" s="35">
        <f t="shared" si="84"/>
        <v>5094169.8428879995</v>
      </c>
      <c r="L73" s="35">
        <f t="shared" si="95"/>
        <v>35376179.464499995</v>
      </c>
      <c r="M73" s="35">
        <f t="shared" si="74"/>
        <v>15759192.287168793</v>
      </c>
      <c r="N73" s="35">
        <f t="shared" si="78"/>
        <v>7117552.1909052776</v>
      </c>
      <c r="O73" s="35"/>
      <c r="P73" s="35"/>
      <c r="Q73" s="35">
        <f t="shared" si="37"/>
        <v>240938763.53006005</v>
      </c>
      <c r="R73" s="35">
        <v>0</v>
      </c>
      <c r="S73" s="35"/>
      <c r="T73" s="35"/>
      <c r="U73" s="35"/>
      <c r="V73" s="35">
        <f t="shared" si="85"/>
        <v>0</v>
      </c>
      <c r="W73" s="35">
        <f t="shared" si="82"/>
        <v>240938763.53006005</v>
      </c>
      <c r="X73" s="35">
        <f t="shared" si="86"/>
        <v>10612853.83935</v>
      </c>
      <c r="Y73" s="35">
        <v>0</v>
      </c>
      <c r="Z73" s="35">
        <f t="shared" si="60"/>
        <v>943364.78572000004</v>
      </c>
      <c r="AA73" s="35">
        <f t="shared" si="87"/>
        <v>11556218.62507</v>
      </c>
      <c r="AB73" s="35"/>
      <c r="AC73" s="35"/>
      <c r="AD73" s="35"/>
      <c r="AE73" s="35"/>
      <c r="AF73" s="35">
        <f t="shared" si="88"/>
        <v>0</v>
      </c>
      <c r="AG73" s="35">
        <f t="shared" si="89"/>
        <v>11556218.62507</v>
      </c>
      <c r="AH73" s="35">
        <f t="shared" si="26"/>
        <v>20376679.371551998</v>
      </c>
      <c r="AI73" s="35">
        <f t="shared" si="27"/>
        <v>14469564.924569789</v>
      </c>
      <c r="AJ73" s="35">
        <f t="shared" si="28"/>
        <v>14185847.965264499</v>
      </c>
      <c r="AK73" s="36">
        <f t="shared" si="16"/>
        <v>7853995.2586558945</v>
      </c>
      <c r="AL73" s="36">
        <f t="shared" si="17"/>
        <v>1137821.9126056975</v>
      </c>
      <c r="AM73" s="35">
        <f t="shared" si="18"/>
        <v>5949090.4667465594</v>
      </c>
      <c r="AN73" s="36">
        <f t="shared" si="19"/>
        <v>1110014.0488746744</v>
      </c>
      <c r="AO73" s="36">
        <f t="shared" si="20"/>
        <v>1110014.0488746744</v>
      </c>
      <c r="AP73" s="35">
        <f t="shared" si="21"/>
        <v>2043032.2632180713</v>
      </c>
      <c r="AQ73" s="35">
        <v>0</v>
      </c>
      <c r="AR73" s="37">
        <f t="shared" si="90"/>
        <v>68236060.260361865</v>
      </c>
      <c r="AS73" s="36">
        <f t="shared" si="22"/>
        <v>737998.05418083875</v>
      </c>
      <c r="AT73" s="36">
        <f t="shared" si="23"/>
        <v>696066.67662134301</v>
      </c>
      <c r="AU73" s="36">
        <f t="shared" si="91"/>
        <v>1434064.7308021816</v>
      </c>
      <c r="AV73" s="38">
        <f t="shared" si="92"/>
        <v>320731042.41549194</v>
      </c>
    </row>
    <row r="74" spans="1:48" x14ac:dyDescent="0.25">
      <c r="A74" s="40" t="s">
        <v>90</v>
      </c>
      <c r="B74" s="33">
        <v>10</v>
      </c>
      <c r="C74" s="33">
        <v>1</v>
      </c>
      <c r="D74" s="35">
        <v>1917515.9802000001</v>
      </c>
      <c r="E74" s="35">
        <f t="shared" si="80"/>
        <v>23010191.762400001</v>
      </c>
      <c r="F74" s="35">
        <v>0</v>
      </c>
      <c r="G74" s="35">
        <f t="shared" si="94"/>
        <v>4602038.3524800008</v>
      </c>
      <c r="H74" s="35">
        <f t="shared" si="81"/>
        <v>793176</v>
      </c>
      <c r="I74" s="35">
        <f t="shared" ref="I74:I79" si="96">117172*12</f>
        <v>1406064</v>
      </c>
      <c r="J74" s="35">
        <f t="shared" si="29"/>
        <v>1053189.367571125</v>
      </c>
      <c r="K74" s="35">
        <f t="shared" si="84"/>
        <v>805356.71168399998</v>
      </c>
      <c r="L74" s="35">
        <f t="shared" si="95"/>
        <v>4793789.9505000003</v>
      </c>
      <c r="M74" s="35">
        <f t="shared" si="74"/>
        <v>2160465.3430627114</v>
      </c>
      <c r="N74" s="35">
        <f t="shared" si="78"/>
        <v>1056846.2750974137</v>
      </c>
      <c r="O74" s="35"/>
      <c r="P74" s="35"/>
      <c r="Q74" s="35">
        <f t="shared" si="37"/>
        <v>39681117.762795255</v>
      </c>
      <c r="R74" s="35">
        <v>0</v>
      </c>
      <c r="S74" s="35"/>
      <c r="T74" s="35"/>
      <c r="U74" s="35"/>
      <c r="V74" s="35">
        <f t="shared" si="85"/>
        <v>0</v>
      </c>
      <c r="W74" s="35">
        <f t="shared" si="82"/>
        <v>39681117.762795255</v>
      </c>
      <c r="X74" s="35">
        <f t="shared" si="86"/>
        <v>1438136.9851500001</v>
      </c>
      <c r="Y74" s="35">
        <v>0</v>
      </c>
      <c r="Z74" s="35">
        <f t="shared" si="60"/>
        <v>127834.39868000001</v>
      </c>
      <c r="AA74" s="35">
        <f t="shared" si="87"/>
        <v>1565971.3838300002</v>
      </c>
      <c r="AB74" s="35"/>
      <c r="AC74" s="35"/>
      <c r="AD74" s="35"/>
      <c r="AE74" s="35"/>
      <c r="AF74" s="35">
        <f t="shared" si="88"/>
        <v>0</v>
      </c>
      <c r="AG74" s="35">
        <f t="shared" si="89"/>
        <v>1565971.3838300002</v>
      </c>
      <c r="AH74" s="35">
        <f t="shared" si="26"/>
        <v>2856404.131488</v>
      </c>
      <c r="AI74" s="35">
        <f t="shared" si="27"/>
        <v>2148506.3098450955</v>
      </c>
      <c r="AJ74" s="35">
        <f t="shared" si="28"/>
        <v>2106378.7351422501</v>
      </c>
      <c r="AK74" s="36">
        <f t="shared" si="16"/>
        <v>1064286.8764277233</v>
      </c>
      <c r="AL74" s="36">
        <f t="shared" si="17"/>
        <v>154185.08535048147</v>
      </c>
      <c r="AM74" s="35">
        <f t="shared" si="18"/>
        <v>806155.17350378435</v>
      </c>
      <c r="AN74" s="36">
        <f t="shared" si="19"/>
        <v>150416.87013570892</v>
      </c>
      <c r="AO74" s="36">
        <f t="shared" si="20"/>
        <v>150416.87013570892</v>
      </c>
      <c r="AP74" s="35">
        <f t="shared" si="21"/>
        <v>276849.21549513878</v>
      </c>
      <c r="AQ74" s="35">
        <v>0</v>
      </c>
      <c r="AR74" s="37">
        <f t="shared" si="90"/>
        <v>9713599.2675238941</v>
      </c>
      <c r="AS74" s="36">
        <f t="shared" si="22"/>
        <v>100005.36262461157</v>
      </c>
      <c r="AT74" s="36">
        <f t="shared" si="23"/>
        <v>94323.284474905056</v>
      </c>
      <c r="AU74" s="36">
        <f t="shared" si="91"/>
        <v>194328.64709951665</v>
      </c>
      <c r="AV74" s="38">
        <f t="shared" si="92"/>
        <v>50960688.41414915</v>
      </c>
    </row>
    <row r="75" spans="1:48" x14ac:dyDescent="0.25">
      <c r="A75" s="40" t="s">
        <v>90</v>
      </c>
      <c r="B75" s="33">
        <v>9</v>
      </c>
      <c r="C75" s="33">
        <v>13</v>
      </c>
      <c r="D75" s="35">
        <v>1832405.1702000001</v>
      </c>
      <c r="E75" s="35">
        <f t="shared" si="80"/>
        <v>285855206.55120003</v>
      </c>
      <c r="F75" s="35">
        <v>0</v>
      </c>
      <c r="G75" s="35">
        <f t="shared" si="94"/>
        <v>338290.18526769237</v>
      </c>
      <c r="H75" s="35">
        <f t="shared" si="81"/>
        <v>793176</v>
      </c>
      <c r="I75" s="35">
        <f t="shared" si="96"/>
        <v>1406064</v>
      </c>
      <c r="J75" s="35">
        <f t="shared" si="29"/>
        <v>12031663.439238625</v>
      </c>
      <c r="K75" s="35">
        <f t="shared" si="84"/>
        <v>8465711.8863239996</v>
      </c>
      <c r="L75" s="35">
        <v>0</v>
      </c>
      <c r="M75" s="35">
        <f t="shared" si="74"/>
        <v>26535501.82709711</v>
      </c>
      <c r="N75" s="35">
        <f t="shared" si="78"/>
        <v>12073440.048402647</v>
      </c>
      <c r="O75" s="35"/>
      <c r="P75" s="35"/>
      <c r="Q75" s="35">
        <f t="shared" si="37"/>
        <v>347499053.9375301</v>
      </c>
      <c r="R75" s="35">
        <v>0</v>
      </c>
      <c r="S75" s="35"/>
      <c r="T75" s="35"/>
      <c r="U75" s="35"/>
      <c r="V75" s="35">
        <f t="shared" si="85"/>
        <v>0</v>
      </c>
      <c r="W75" s="35">
        <f t="shared" si="82"/>
        <v>347499053.9375301</v>
      </c>
      <c r="X75" s="35">
        <f t="shared" si="86"/>
        <v>17865950.409450002</v>
      </c>
      <c r="Y75" s="35">
        <v>0</v>
      </c>
      <c r="Z75" s="35">
        <f t="shared" si="60"/>
        <v>1588084.4808400001</v>
      </c>
      <c r="AA75" s="35">
        <f t="shared" si="87"/>
        <v>19454034.890290003</v>
      </c>
      <c r="AB75" s="35"/>
      <c r="AC75" s="35"/>
      <c r="AD75" s="35"/>
      <c r="AE75" s="35"/>
      <c r="AF75" s="35">
        <f t="shared" si="88"/>
        <v>0</v>
      </c>
      <c r="AG75" s="35">
        <f t="shared" si="89"/>
        <v>19454034.890290003</v>
      </c>
      <c r="AH75" s="35">
        <f t="shared" si="26"/>
        <v>35539979.346144006</v>
      </c>
      <c r="AI75" s="35">
        <f t="shared" si="27"/>
        <v>24544593.416046798</v>
      </c>
      <c r="AJ75" s="35">
        <f t="shared" si="28"/>
        <v>24063326.878477249</v>
      </c>
      <c r="AK75" s="36">
        <f t="shared" si="16"/>
        <v>13221617.100475933</v>
      </c>
      <c r="AL75" s="36">
        <f t="shared" si="17"/>
        <v>1915438.5967350681</v>
      </c>
      <c r="AM75" s="35">
        <f t="shared" si="18"/>
        <v>10014851.506400794</v>
      </c>
      <c r="AN75" s="36">
        <f t="shared" si="19"/>
        <v>1868626.125562693</v>
      </c>
      <c r="AO75" s="36">
        <f t="shared" si="20"/>
        <v>1868626.125562693</v>
      </c>
      <c r="AP75" s="35">
        <f t="shared" si="21"/>
        <v>3439292.9227220952</v>
      </c>
      <c r="AQ75" s="35">
        <v>0</v>
      </c>
      <c r="AR75" s="37">
        <f t="shared" si="90"/>
        <v>116476352.01812735</v>
      </c>
      <c r="AS75" s="36">
        <f t="shared" si="22"/>
        <v>1242364.8566023214</v>
      </c>
      <c r="AT75" s="36">
        <f t="shared" si="23"/>
        <v>1171776.4999342761</v>
      </c>
      <c r="AU75" s="36">
        <f t="shared" si="91"/>
        <v>2414141.3565365975</v>
      </c>
      <c r="AV75" s="38">
        <f t="shared" si="92"/>
        <v>483429440.8459475</v>
      </c>
    </row>
    <row r="76" spans="1:48" x14ac:dyDescent="0.25">
      <c r="A76" s="40" t="s">
        <v>90</v>
      </c>
      <c r="B76" s="33">
        <v>8</v>
      </c>
      <c r="C76" s="33">
        <v>4</v>
      </c>
      <c r="D76" s="35">
        <v>1665037.7387999999</v>
      </c>
      <c r="E76" s="35">
        <f t="shared" si="80"/>
        <v>79921811.462399989</v>
      </c>
      <c r="F76" s="35">
        <v>0</v>
      </c>
      <c r="G76" s="35">
        <f t="shared" si="94"/>
        <v>999022.64327999996</v>
      </c>
      <c r="H76" s="35">
        <f t="shared" si="81"/>
        <v>793176</v>
      </c>
      <c r="I76" s="35">
        <f t="shared" si="96"/>
        <v>1406064</v>
      </c>
      <c r="J76" s="35">
        <f t="shared" si="29"/>
        <v>3433851.3777787494</v>
      </c>
      <c r="K76" s="35">
        <f t="shared" si="84"/>
        <v>3496579.2514800001</v>
      </c>
      <c r="L76" s="35">
        <v>0</v>
      </c>
      <c r="M76" s="35">
        <f t="shared" si="74"/>
        <v>7524834.7137082675</v>
      </c>
      <c r="N76" s="35">
        <f t="shared" si="78"/>
        <v>3445774.472840481</v>
      </c>
      <c r="O76" s="35"/>
      <c r="P76" s="35"/>
      <c r="Q76" s="35">
        <f t="shared" si="37"/>
        <v>101021113.9214875</v>
      </c>
      <c r="R76" s="35">
        <v>0</v>
      </c>
      <c r="S76" s="35"/>
      <c r="T76" s="35"/>
      <c r="U76" s="35"/>
      <c r="V76" s="35">
        <f t="shared" si="85"/>
        <v>0</v>
      </c>
      <c r="W76" s="35">
        <f t="shared" si="82"/>
        <v>101021113.9214875</v>
      </c>
      <c r="X76" s="35">
        <f t="shared" si="86"/>
        <v>4995113.2163999993</v>
      </c>
      <c r="Y76" s="35">
        <v>0</v>
      </c>
      <c r="Z76" s="35">
        <f t="shared" si="60"/>
        <v>444010.06367999996</v>
      </c>
      <c r="AA76" s="35">
        <f t="shared" si="87"/>
        <v>5439123.280079999</v>
      </c>
      <c r="AB76" s="35"/>
      <c r="AC76" s="35"/>
      <c r="AD76" s="35"/>
      <c r="AE76" s="35"/>
      <c r="AF76" s="35">
        <f t="shared" si="88"/>
        <v>0</v>
      </c>
      <c r="AG76" s="35">
        <f t="shared" si="89"/>
        <v>5439123.280079999</v>
      </c>
      <c r="AH76" s="35">
        <f t="shared" si="26"/>
        <v>9971341.8554879986</v>
      </c>
      <c r="AI76" s="35">
        <f t="shared" si="27"/>
        <v>7005056.8106686492</v>
      </c>
      <c r="AJ76" s="35">
        <f t="shared" si="28"/>
        <v>6867702.7555574989</v>
      </c>
      <c r="AK76" s="36">
        <f t="shared" si="16"/>
        <v>3696611.3085052893</v>
      </c>
      <c r="AL76" s="36">
        <f t="shared" si="17"/>
        <v>535534.49049613427</v>
      </c>
      <c r="AM76" s="35">
        <f t="shared" si="18"/>
        <v>2800036.7164036063</v>
      </c>
      <c r="AN76" s="36">
        <f t="shared" si="19"/>
        <v>522446.26467626455</v>
      </c>
      <c r="AO76" s="36">
        <f t="shared" si="20"/>
        <v>522446.26467626455</v>
      </c>
      <c r="AP76" s="35">
        <f t="shared" si="21"/>
        <v>961586.54533559689</v>
      </c>
      <c r="AQ76" s="35">
        <v>0</v>
      </c>
      <c r="AR76" s="37">
        <f t="shared" si="90"/>
        <v>32882763.011807308</v>
      </c>
      <c r="AS76" s="36">
        <f t="shared" si="22"/>
        <v>347350.85302389966</v>
      </c>
      <c r="AT76" s="36">
        <f t="shared" si="23"/>
        <v>327615.16445230204</v>
      </c>
      <c r="AU76" s="36">
        <f t="shared" si="91"/>
        <v>674966.01747620176</v>
      </c>
      <c r="AV76" s="38">
        <f t="shared" si="92"/>
        <v>139343000.21337479</v>
      </c>
    </row>
    <row r="77" spans="1:48" x14ac:dyDescent="0.25">
      <c r="A77" s="40" t="s">
        <v>90</v>
      </c>
      <c r="B77" s="33">
        <v>7</v>
      </c>
      <c r="C77" s="33">
        <v>4</v>
      </c>
      <c r="D77" s="35">
        <v>1623877.7864000001</v>
      </c>
      <c r="E77" s="35">
        <f t="shared" si="80"/>
        <v>77946133.747200012</v>
      </c>
      <c r="F77" s="35">
        <v>0</v>
      </c>
      <c r="G77" s="35">
        <f t="shared" si="94"/>
        <v>974326.6718400002</v>
      </c>
      <c r="H77" s="35">
        <f t="shared" si="81"/>
        <v>793176</v>
      </c>
      <c r="I77" s="35">
        <f t="shared" si="96"/>
        <v>1406064</v>
      </c>
      <c r="J77" s="35">
        <f t="shared" si="29"/>
        <v>3351231.3483258337</v>
      </c>
      <c r="K77" s="35">
        <f t="shared" si="84"/>
        <v>3410143.3514400003</v>
      </c>
      <c r="L77" s="35">
        <v>0</v>
      </c>
      <c r="M77" s="35">
        <f t="shared" si="74"/>
        <v>7339198.0012709284</v>
      </c>
      <c r="N77" s="35">
        <f t="shared" si="78"/>
        <v>3362867.5682852981</v>
      </c>
      <c r="O77" s="35"/>
      <c r="P77" s="35"/>
      <c r="Q77" s="35">
        <f t="shared" si="37"/>
        <v>98583140.688362077</v>
      </c>
      <c r="R77" s="35">
        <v>0</v>
      </c>
      <c r="S77" s="35"/>
      <c r="T77" s="35"/>
      <c r="U77" s="35"/>
      <c r="V77" s="35">
        <f t="shared" si="85"/>
        <v>0</v>
      </c>
      <c r="W77" s="35">
        <f t="shared" si="82"/>
        <v>98583140.688362077</v>
      </c>
      <c r="X77" s="35">
        <f t="shared" si="86"/>
        <v>4871633.3592000008</v>
      </c>
      <c r="Y77" s="35">
        <v>0</v>
      </c>
      <c r="Z77" s="35">
        <f t="shared" si="60"/>
        <v>433034.07637333334</v>
      </c>
      <c r="AA77" s="35">
        <f t="shared" si="87"/>
        <v>5304667.4355733339</v>
      </c>
      <c r="AB77" s="35"/>
      <c r="AC77" s="35"/>
      <c r="AD77" s="35"/>
      <c r="AE77" s="35"/>
      <c r="AF77" s="35">
        <f t="shared" si="88"/>
        <v>0</v>
      </c>
      <c r="AG77" s="35">
        <f t="shared" si="89"/>
        <v>5304667.4355733339</v>
      </c>
      <c r="AH77" s="35">
        <f t="shared" si="26"/>
        <v>9734260.5296639986</v>
      </c>
      <c r="AI77" s="35">
        <f t="shared" si="27"/>
        <v>6836511.9505847013</v>
      </c>
      <c r="AJ77" s="35">
        <f t="shared" si="28"/>
        <v>6702462.6966516674</v>
      </c>
      <c r="AK77" s="36">
        <f t="shared" si="16"/>
        <v>3605230.5896460065</v>
      </c>
      <c r="AL77" s="36">
        <f t="shared" si="17"/>
        <v>522296.00729318586</v>
      </c>
      <c r="AM77" s="35">
        <f t="shared" si="18"/>
        <v>2730819.4396537803</v>
      </c>
      <c r="AN77" s="36">
        <f t="shared" si="19"/>
        <v>509531.32414096431</v>
      </c>
      <c r="AO77" s="36">
        <f t="shared" si="20"/>
        <v>509531.32414096431</v>
      </c>
      <c r="AP77" s="35">
        <f t="shared" si="21"/>
        <v>937815.9991718696</v>
      </c>
      <c r="AQ77" s="35">
        <v>0</v>
      </c>
      <c r="AR77" s="37">
        <f t="shared" si="90"/>
        <v>32088459.860947143</v>
      </c>
      <c r="AS77" s="36">
        <f t="shared" si="22"/>
        <v>338764.29414694174</v>
      </c>
      <c r="AT77" s="36">
        <f t="shared" si="23"/>
        <v>319516.47439852986</v>
      </c>
      <c r="AU77" s="36">
        <f t="shared" si="91"/>
        <v>658280.7685454716</v>
      </c>
      <c r="AV77" s="38">
        <f t="shared" si="92"/>
        <v>135976267.98488256</v>
      </c>
    </row>
    <row r="78" spans="1:48" x14ac:dyDescent="0.25">
      <c r="A78" s="40" t="s">
        <v>90</v>
      </c>
      <c r="B78" s="33">
        <v>6</v>
      </c>
      <c r="C78" s="33">
        <v>2</v>
      </c>
      <c r="D78" s="35">
        <v>1523921.1198</v>
      </c>
      <c r="E78" s="35">
        <f t="shared" si="80"/>
        <v>36574106.875200003</v>
      </c>
      <c r="F78" s="35">
        <v>0</v>
      </c>
      <c r="G78" s="35">
        <f t="shared" si="94"/>
        <v>1828705.3437600001</v>
      </c>
      <c r="H78" s="35">
        <f t="shared" si="81"/>
        <v>793176</v>
      </c>
      <c r="I78" s="35">
        <f t="shared" si="96"/>
        <v>1406064</v>
      </c>
      <c r="J78" s="35">
        <f t="shared" si="29"/>
        <v>1621376.6518547917</v>
      </c>
      <c r="K78" s="35">
        <f t="shared" si="84"/>
        <v>1676313.23178</v>
      </c>
      <c r="L78" s="35">
        <v>0</v>
      </c>
      <c r="M78" s="35">
        <f t="shared" si="74"/>
        <v>3458233.5992275625</v>
      </c>
      <c r="N78" s="35">
        <f t="shared" si="78"/>
        <v>1627006.4318959543</v>
      </c>
      <c r="O78" s="35"/>
      <c r="P78" s="35"/>
      <c r="Q78" s="35">
        <f t="shared" si="37"/>
        <v>48984982.133718312</v>
      </c>
      <c r="R78" s="35">
        <v>0</v>
      </c>
      <c r="S78" s="35"/>
      <c r="T78" s="35"/>
      <c r="U78" s="35"/>
      <c r="V78" s="35">
        <f t="shared" si="85"/>
        <v>0</v>
      </c>
      <c r="W78" s="35">
        <f t="shared" si="82"/>
        <v>48984982.133718312</v>
      </c>
      <c r="X78" s="35">
        <f t="shared" si="86"/>
        <v>2285881.6797000002</v>
      </c>
      <c r="Y78" s="35">
        <v>0</v>
      </c>
      <c r="Z78" s="35">
        <f t="shared" si="60"/>
        <v>203189.48264</v>
      </c>
      <c r="AA78" s="35">
        <f t="shared" si="87"/>
        <v>2489071.1623400003</v>
      </c>
      <c r="AB78" s="35"/>
      <c r="AC78" s="35"/>
      <c r="AD78" s="35"/>
      <c r="AE78" s="35"/>
      <c r="AF78" s="35">
        <f t="shared" si="88"/>
        <v>0</v>
      </c>
      <c r="AG78" s="35">
        <f t="shared" si="89"/>
        <v>2489071.1623400003</v>
      </c>
      <c r="AH78" s="35">
        <f t="shared" si="26"/>
        <v>4579255.0650239997</v>
      </c>
      <c r="AI78" s="35">
        <f t="shared" si="27"/>
        <v>3307608.3697837754</v>
      </c>
      <c r="AJ78" s="35">
        <f t="shared" si="28"/>
        <v>3242753.3037095834</v>
      </c>
      <c r="AK78" s="36">
        <f t="shared" si="16"/>
        <v>1691656.5653288737</v>
      </c>
      <c r="AL78" s="36">
        <f t="shared" si="17"/>
        <v>245073.22009306744</v>
      </c>
      <c r="AM78" s="35">
        <f t="shared" si="18"/>
        <v>1281362.8751196265</v>
      </c>
      <c r="AN78" s="36">
        <f t="shared" si="19"/>
        <v>239083.73910929527</v>
      </c>
      <c r="AO78" s="36">
        <f t="shared" si="20"/>
        <v>239083.73910929527</v>
      </c>
      <c r="AP78" s="35">
        <f t="shared" si="21"/>
        <v>440044.69412463391</v>
      </c>
      <c r="AQ78" s="35">
        <v>0</v>
      </c>
      <c r="AR78" s="37">
        <f t="shared" si="90"/>
        <v>15265921.571402149</v>
      </c>
      <c r="AS78" s="36">
        <f t="shared" si="22"/>
        <v>158955.94693401986</v>
      </c>
      <c r="AT78" s="36">
        <f t="shared" si="23"/>
        <v>149924.43013196564</v>
      </c>
      <c r="AU78" s="36">
        <f t="shared" si="91"/>
        <v>308880.37706598546</v>
      </c>
      <c r="AV78" s="38">
        <f t="shared" si="92"/>
        <v>66739974.867460459</v>
      </c>
    </row>
    <row r="79" spans="1:48" x14ac:dyDescent="0.25">
      <c r="A79" s="40" t="s">
        <v>90</v>
      </c>
      <c r="B79" s="33">
        <v>5</v>
      </c>
      <c r="C79" s="33">
        <v>5</v>
      </c>
      <c r="D79" s="42">
        <v>1266164.6137999999</v>
      </c>
      <c r="E79" s="35">
        <f t="shared" si="80"/>
        <v>75969876.828000009</v>
      </c>
      <c r="F79" s="35">
        <v>0</v>
      </c>
      <c r="G79" s="35">
        <f t="shared" si="94"/>
        <v>607759.01462400006</v>
      </c>
      <c r="H79" s="35">
        <f t="shared" si="81"/>
        <v>793176</v>
      </c>
      <c r="I79" s="35">
        <f t="shared" si="96"/>
        <v>1406064</v>
      </c>
      <c r="J79" s="35">
        <f t="shared" si="29"/>
        <v>3268477.1872634725</v>
      </c>
      <c r="K79" s="35">
        <f t="shared" si="84"/>
        <v>3292027.9958799998</v>
      </c>
      <c r="L79" s="35">
        <v>0</v>
      </c>
      <c r="M79" s="35">
        <f t="shared" si="74"/>
        <v>7150850.67312745</v>
      </c>
      <c r="N79" s="35">
        <f t="shared" si="78"/>
        <v>3279826.0663859155</v>
      </c>
      <c r="O79" s="35"/>
      <c r="P79" s="35"/>
      <c r="Q79" s="35">
        <f t="shared" si="37"/>
        <v>95768057.765280828</v>
      </c>
      <c r="R79" s="35">
        <v>0</v>
      </c>
      <c r="S79" s="35"/>
      <c r="T79" s="35"/>
      <c r="U79" s="35"/>
      <c r="V79" s="35">
        <f t="shared" si="85"/>
        <v>0</v>
      </c>
      <c r="W79" s="35">
        <f t="shared" si="82"/>
        <v>95768057.765280828</v>
      </c>
      <c r="X79" s="35">
        <f t="shared" si="86"/>
        <v>4748117.3017500006</v>
      </c>
      <c r="Y79" s="35">
        <v>0</v>
      </c>
      <c r="Z79" s="35">
        <f t="shared" si="60"/>
        <v>422054.87126666668</v>
      </c>
      <c r="AA79" s="35">
        <f t="shared" si="87"/>
        <v>5170172.1730166674</v>
      </c>
      <c r="AB79" s="35"/>
      <c r="AC79" s="35"/>
      <c r="AD79" s="35"/>
      <c r="AE79" s="35"/>
      <c r="AF79" s="35">
        <f t="shared" si="88"/>
        <v>0</v>
      </c>
      <c r="AG79" s="35">
        <f t="shared" si="89"/>
        <v>5170172.1730166674</v>
      </c>
      <c r="AH79" s="35">
        <f t="shared" si="26"/>
        <v>9592290.8193599992</v>
      </c>
      <c r="AI79" s="35">
        <f t="shared" si="27"/>
        <v>6667693.4620174849</v>
      </c>
      <c r="AJ79" s="35">
        <f t="shared" si="28"/>
        <v>6536954.3745269449</v>
      </c>
      <c r="AK79" s="36">
        <f t="shared" si="16"/>
        <v>3513823.0809527952</v>
      </c>
      <c r="AL79" s="36">
        <f t="shared" si="17"/>
        <v>509053.64300054032</v>
      </c>
      <c r="AM79" s="35">
        <f t="shared" si="18"/>
        <v>2661581.8706653696</v>
      </c>
      <c r="AN79" s="36">
        <f t="shared" si="19"/>
        <v>496612.59736808063</v>
      </c>
      <c r="AO79" s="36">
        <f t="shared" si="20"/>
        <v>496612.59736808063</v>
      </c>
      <c r="AP79" s="35">
        <f t="shared" si="21"/>
        <v>914038.48426252417</v>
      </c>
      <c r="AQ79" s="35">
        <v>0</v>
      </c>
      <c r="AR79" s="37">
        <f t="shared" si="90"/>
        <v>31388660.929521814</v>
      </c>
      <c r="AS79" s="36">
        <f t="shared" si="22"/>
        <v>330175.21797214239</v>
      </c>
      <c r="AT79" s="36">
        <f t="shared" si="23"/>
        <v>311415.41007407685</v>
      </c>
      <c r="AU79" s="36">
        <f t="shared" si="91"/>
        <v>641590.62804621924</v>
      </c>
      <c r="AV79" s="38">
        <f t="shared" si="92"/>
        <v>132326890.86781931</v>
      </c>
    </row>
    <row r="80" spans="1:48" x14ac:dyDescent="0.25">
      <c r="A80" s="40" t="s">
        <v>91</v>
      </c>
      <c r="B80" s="33">
        <v>18</v>
      </c>
      <c r="C80" s="33">
        <v>1</v>
      </c>
      <c r="D80" s="35">
        <v>3291614.1867999998</v>
      </c>
      <c r="E80" s="35">
        <f t="shared" si="80"/>
        <v>39499370.241599999</v>
      </c>
      <c r="F80" s="35">
        <v>0</v>
      </c>
      <c r="G80" s="35">
        <f t="shared" si="94"/>
        <v>7899874.0483200001</v>
      </c>
      <c r="H80" s="35">
        <f t="shared" si="81"/>
        <v>0</v>
      </c>
      <c r="I80" s="35"/>
      <c r="J80" s="35">
        <f t="shared" si="29"/>
        <v>1650607.3640890832</v>
      </c>
      <c r="K80" s="35">
        <f t="shared" si="84"/>
        <v>1382477.9584559998</v>
      </c>
      <c r="L80" s="35">
        <f t="shared" ref="L80" si="97">+((((D80/30)/8)*50)*12)*C80</f>
        <v>8229035.4669999992</v>
      </c>
      <c r="M80" s="35">
        <f t="shared" si="74"/>
        <v>3682399.5169836599</v>
      </c>
      <c r="N80" s="35">
        <f t="shared" si="78"/>
        <v>1656338.6396588369</v>
      </c>
      <c r="O80" s="35"/>
      <c r="P80" s="35"/>
      <c r="Q80" s="35">
        <f t="shared" si="37"/>
        <v>64000103.236107588</v>
      </c>
      <c r="R80" s="35">
        <v>0</v>
      </c>
      <c r="S80" s="35"/>
      <c r="T80" s="35"/>
      <c r="U80" s="35"/>
      <c r="V80" s="35">
        <f t="shared" si="85"/>
        <v>0</v>
      </c>
      <c r="W80" s="35">
        <f t="shared" si="82"/>
        <v>64000103.236107588</v>
      </c>
      <c r="X80" s="35">
        <f t="shared" si="86"/>
        <v>2468710.6401</v>
      </c>
      <c r="Y80" s="35">
        <v>0</v>
      </c>
      <c r="Z80" s="35">
        <f t="shared" si="60"/>
        <v>219440.94578666665</v>
      </c>
      <c r="AA80" s="35">
        <f t="shared" si="87"/>
        <v>2688151.5858866666</v>
      </c>
      <c r="AB80" s="35"/>
      <c r="AC80" s="35"/>
      <c r="AD80" s="35"/>
      <c r="AE80" s="35"/>
      <c r="AF80" s="35">
        <f t="shared" si="88"/>
        <v>0</v>
      </c>
      <c r="AG80" s="35">
        <f t="shared" si="89"/>
        <v>2688151.5858866666</v>
      </c>
      <c r="AH80" s="35">
        <f t="shared" si="26"/>
        <v>4739924.4289919995</v>
      </c>
      <c r="AI80" s="35">
        <f t="shared" si="27"/>
        <v>3367239.0227417299</v>
      </c>
      <c r="AJ80" s="35">
        <f t="shared" si="28"/>
        <v>3301214.7281781663</v>
      </c>
      <c r="AK80" s="36">
        <f t="shared" si="16"/>
        <v>1826958.3239192409</v>
      </c>
      <c r="AL80" s="36">
        <f t="shared" si="17"/>
        <v>264674.62048461195</v>
      </c>
      <c r="AM80" s="35">
        <f t="shared" si="18"/>
        <v>1383848.6006205289</v>
      </c>
      <c r="AN80" s="36">
        <f t="shared" si="19"/>
        <v>258206.08995452098</v>
      </c>
      <c r="AO80" s="36">
        <f t="shared" si="20"/>
        <v>258206.08995452098</v>
      </c>
      <c r="AP80" s="35">
        <f t="shared" si="21"/>
        <v>475240.26643741503</v>
      </c>
      <c r="AQ80" s="35">
        <v>0</v>
      </c>
      <c r="AR80" s="37">
        <f t="shared" si="90"/>
        <v>15875512.171282733</v>
      </c>
      <c r="AS80" s="36">
        <f t="shared" si="22"/>
        <v>171669.53171202046</v>
      </c>
      <c r="AT80" s="36">
        <f t="shared" si="23"/>
        <v>161915.65782454991</v>
      </c>
      <c r="AU80" s="36">
        <f t="shared" si="91"/>
        <v>333585.18953657034</v>
      </c>
      <c r="AV80" s="38">
        <f t="shared" si="92"/>
        <v>82563766.993276983</v>
      </c>
    </row>
    <row r="81" spans="1:48" x14ac:dyDescent="0.25">
      <c r="A81" s="40" t="s">
        <v>91</v>
      </c>
      <c r="B81" s="33">
        <v>12</v>
      </c>
      <c r="C81" s="33">
        <v>8</v>
      </c>
      <c r="D81" s="35">
        <v>2143615.7697999999</v>
      </c>
      <c r="E81" s="35">
        <f t="shared" si="80"/>
        <v>205787113.90079999</v>
      </c>
      <c r="F81" s="35">
        <v>0</v>
      </c>
      <c r="G81" s="35">
        <f t="shared" si="94"/>
        <v>643084.73094000004</v>
      </c>
      <c r="H81" s="35">
        <f t="shared" si="81"/>
        <v>0</v>
      </c>
      <c r="I81" s="35"/>
      <c r="J81" s="35">
        <f t="shared" si="29"/>
        <v>8595824.8057948817</v>
      </c>
      <c r="K81" s="35">
        <f t="shared" si="84"/>
        <v>6152177.2593259998</v>
      </c>
      <c r="L81" s="35">
        <v>0</v>
      </c>
      <c r="M81" s="35">
        <f t="shared" si="74"/>
        <v>19096732.282135397</v>
      </c>
      <c r="N81" s="35">
        <f t="shared" si="78"/>
        <v>8625671.4197038915</v>
      </c>
      <c r="O81" s="35"/>
      <c r="P81" s="35"/>
      <c r="Q81" s="35">
        <f t="shared" si="37"/>
        <v>248900604.39870021</v>
      </c>
      <c r="R81" s="35">
        <v>0</v>
      </c>
      <c r="S81" s="35"/>
      <c r="T81" s="35"/>
      <c r="U81" s="35"/>
      <c r="V81" s="35">
        <f t="shared" si="85"/>
        <v>0</v>
      </c>
      <c r="W81" s="35">
        <f t="shared" si="82"/>
        <v>248900604.39870021</v>
      </c>
      <c r="X81" s="35">
        <f t="shared" si="86"/>
        <v>12861694.618799999</v>
      </c>
      <c r="Y81" s="35">
        <v>0</v>
      </c>
      <c r="Z81" s="35">
        <f t="shared" si="60"/>
        <v>1143261.7438933332</v>
      </c>
      <c r="AA81" s="35">
        <f t="shared" si="87"/>
        <v>14004956.362693332</v>
      </c>
      <c r="AB81" s="35"/>
      <c r="AC81" s="35"/>
      <c r="AD81" s="35"/>
      <c r="AE81" s="35"/>
      <c r="AF81" s="35">
        <f t="shared" si="88"/>
        <v>0</v>
      </c>
      <c r="AG81" s="35">
        <f t="shared" si="89"/>
        <v>14004956.362693332</v>
      </c>
      <c r="AH81" s="35">
        <f t="shared" si="26"/>
        <v>24694453.668095998</v>
      </c>
      <c r="AI81" s="35">
        <f t="shared" si="27"/>
        <v>17535482.603821557</v>
      </c>
      <c r="AJ81" s="35">
        <f t="shared" si="28"/>
        <v>17191649.611589763</v>
      </c>
      <c r="AK81" s="36">
        <f t="shared" si="16"/>
        <v>9518239.8705796245</v>
      </c>
      <c r="AL81" s="36">
        <f t="shared" si="17"/>
        <v>1378923.9154743438</v>
      </c>
      <c r="AM81" s="35">
        <f t="shared" si="18"/>
        <v>7209689.872408051</v>
      </c>
      <c r="AN81" s="36">
        <f t="shared" si="19"/>
        <v>1345223.6255501087</v>
      </c>
      <c r="AO81" s="36">
        <f t="shared" si="20"/>
        <v>1345223.6255501087</v>
      </c>
      <c r="AP81" s="35">
        <f t="shared" si="21"/>
        <v>2475946.3819654398</v>
      </c>
      <c r="AQ81" s="35">
        <v>0</v>
      </c>
      <c r="AR81" s="37">
        <f t="shared" si="90"/>
        <v>82694833.175034985</v>
      </c>
      <c r="AS81" s="36">
        <f t="shared" si="22"/>
        <v>894378.24602358893</v>
      </c>
      <c r="AT81" s="36">
        <f t="shared" si="23"/>
        <v>843561.7002311456</v>
      </c>
      <c r="AU81" s="36">
        <f t="shared" si="91"/>
        <v>1737939.9462547344</v>
      </c>
      <c r="AV81" s="38">
        <f t="shared" si="92"/>
        <v>345600393.93642855</v>
      </c>
    </row>
    <row r="82" spans="1:48" x14ac:dyDescent="0.25">
      <c r="A82" s="40" t="s">
        <v>91</v>
      </c>
      <c r="B82" s="33">
        <v>11</v>
      </c>
      <c r="C82" s="33">
        <v>5</v>
      </c>
      <c r="D82" s="35">
        <v>2021495.9694000001</v>
      </c>
      <c r="E82" s="35">
        <f t="shared" si="80"/>
        <v>121289758.164</v>
      </c>
      <c r="F82" s="35">
        <v>0</v>
      </c>
      <c r="G82" s="35">
        <f t="shared" si="94"/>
        <v>970318.06531199999</v>
      </c>
      <c r="H82" s="35">
        <f t="shared" si="81"/>
        <v>0</v>
      </c>
      <c r="I82" s="35"/>
      <c r="J82" s="35">
        <f t="shared" si="29"/>
        <v>5066514.6549732918</v>
      </c>
      <c r="K82" s="35">
        <f t="shared" si="84"/>
        <v>3679122.6643080004</v>
      </c>
      <c r="L82" s="35">
        <v>0</v>
      </c>
      <c r="M82" s="35">
        <f t="shared" si="74"/>
        <v>11259958.516919067</v>
      </c>
      <c r="N82" s="35">
        <f t="shared" si="78"/>
        <v>5084106.7197475052</v>
      </c>
      <c r="O82" s="35"/>
      <c r="P82" s="35"/>
      <c r="Q82" s="35">
        <f t="shared" si="37"/>
        <v>147349778.78525987</v>
      </c>
      <c r="R82" s="35">
        <v>0</v>
      </c>
      <c r="S82" s="35"/>
      <c r="T82" s="35"/>
      <c r="U82" s="35"/>
      <c r="V82" s="35">
        <f t="shared" si="85"/>
        <v>0</v>
      </c>
      <c r="W82" s="35">
        <f t="shared" si="82"/>
        <v>147349778.78525987</v>
      </c>
      <c r="X82" s="35">
        <f t="shared" si="86"/>
        <v>7580609.8852499994</v>
      </c>
      <c r="Y82" s="35">
        <v>0</v>
      </c>
      <c r="Z82" s="35">
        <f t="shared" si="60"/>
        <v>673831.98979999998</v>
      </c>
      <c r="AA82" s="35">
        <f t="shared" si="87"/>
        <v>8254441.875049999</v>
      </c>
      <c r="AB82" s="35"/>
      <c r="AC82" s="35"/>
      <c r="AD82" s="35"/>
      <c r="AE82" s="35"/>
      <c r="AF82" s="35">
        <f t="shared" si="88"/>
        <v>0</v>
      </c>
      <c r="AG82" s="35">
        <f t="shared" si="89"/>
        <v>8254441.875049999</v>
      </c>
      <c r="AH82" s="35">
        <f t="shared" si="26"/>
        <v>14554770.97968</v>
      </c>
      <c r="AI82" s="35">
        <f t="shared" si="27"/>
        <v>10335689.896145517</v>
      </c>
      <c r="AJ82" s="35">
        <f t="shared" si="28"/>
        <v>10133029.309946584</v>
      </c>
      <c r="AK82" s="36">
        <f t="shared" ref="AK82:AK108" si="98">+((D82*0.0462528468870403)*C82)*12</f>
        <v>5609996.6133256387</v>
      </c>
      <c r="AL82" s="36">
        <f t="shared" ref="AL82:AL108" si="99">+((D82*0.00670073013482786)*C82)*12</f>
        <v>812729.93757549836</v>
      </c>
      <c r="AM82" s="35">
        <f t="shared" ref="AM82:AM108" si="100">+(((D82*0.0350347003548701)*C82)*12)</f>
        <v>4249350.3333903998</v>
      </c>
      <c r="AN82" s="36">
        <f t="shared" ref="AN82:AN108" si="101">+(((D82*0.00653696725733068)*C82)*12)</f>
        <v>792867.1777676245</v>
      </c>
      <c r="AO82" s="36">
        <f t="shared" ref="AO82:AO108" si="102">+(((D82*0.00653696725733068)*C82)*12)</f>
        <v>792867.1777676245</v>
      </c>
      <c r="AP82" s="35">
        <f t="shared" ref="AP82:AP108" si="103">+(((D82*0.0120315909729847)*C82)*12)</f>
        <v>1459308.7594414796</v>
      </c>
      <c r="AQ82" s="35">
        <v>0</v>
      </c>
      <c r="AR82" s="37">
        <f t="shared" si="90"/>
        <v>48740610.18504037</v>
      </c>
      <c r="AS82" s="36">
        <f t="shared" ref="AS82:AS108" si="104">+(((D82*0.00434613338546905)*C82)*12)</f>
        <v>527141.46727202774</v>
      </c>
      <c r="AT82" s="36">
        <f t="shared" ref="AT82:AT108" si="105">+((D82*0.00409919593234485)*C82)*12</f>
        <v>497190.48330095934</v>
      </c>
      <c r="AU82" s="36">
        <f t="shared" si="91"/>
        <v>1024331.9505729871</v>
      </c>
      <c r="AV82" s="38">
        <f t="shared" si="92"/>
        <v>204344830.84535027</v>
      </c>
    </row>
    <row r="83" spans="1:48" x14ac:dyDescent="0.25">
      <c r="A83" s="40" t="s">
        <v>91</v>
      </c>
      <c r="B83" s="33">
        <v>10</v>
      </c>
      <c r="C83" s="33">
        <v>3</v>
      </c>
      <c r="D83" s="35">
        <v>1917515.9802000001</v>
      </c>
      <c r="E83" s="35">
        <f t="shared" si="80"/>
        <v>69030575.287200004</v>
      </c>
      <c r="F83" s="35">
        <v>0</v>
      </c>
      <c r="G83" s="35">
        <f t="shared" si="94"/>
        <v>1534012.7841600003</v>
      </c>
      <c r="H83" s="35">
        <f t="shared" si="81"/>
        <v>793176</v>
      </c>
      <c r="I83" s="35">
        <f t="shared" ref="I83:I84" si="106">117172*12</f>
        <v>1406064</v>
      </c>
      <c r="J83" s="35">
        <f t="shared" si="29"/>
        <v>2975365.9768896666</v>
      </c>
      <c r="K83" s="35">
        <f t="shared" si="84"/>
        <v>2147617.8978240001</v>
      </c>
      <c r="L83" s="35">
        <v>0</v>
      </c>
      <c r="M83" s="35">
        <f t="shared" si="74"/>
        <v>6428271.3558889618</v>
      </c>
      <c r="N83" s="35">
        <f t="shared" si="78"/>
        <v>2985697.108753867</v>
      </c>
      <c r="O83" s="35"/>
      <c r="P83" s="35"/>
      <c r="Q83" s="35">
        <f t="shared" si="37"/>
        <v>87300780.410716504</v>
      </c>
      <c r="R83" s="35">
        <v>0</v>
      </c>
      <c r="S83" s="35"/>
      <c r="T83" s="35"/>
      <c r="U83" s="35"/>
      <c r="V83" s="35">
        <f t="shared" si="85"/>
        <v>0</v>
      </c>
      <c r="W83" s="35">
        <f t="shared" si="82"/>
        <v>87300780.410716504</v>
      </c>
      <c r="X83" s="35">
        <f t="shared" si="86"/>
        <v>4314410.9554500002</v>
      </c>
      <c r="Y83" s="35">
        <v>0</v>
      </c>
      <c r="Z83" s="35">
        <f t="shared" si="60"/>
        <v>383503.19604000007</v>
      </c>
      <c r="AA83" s="35">
        <f t="shared" si="87"/>
        <v>4697914.1514900001</v>
      </c>
      <c r="AB83" s="35"/>
      <c r="AC83" s="35"/>
      <c r="AD83" s="35"/>
      <c r="AE83" s="35"/>
      <c r="AF83" s="35">
        <f t="shared" si="88"/>
        <v>0</v>
      </c>
      <c r="AG83" s="35">
        <f t="shared" si="89"/>
        <v>4697914.1514900001</v>
      </c>
      <c r="AH83" s="35">
        <f t="shared" si="26"/>
        <v>8569212.3944640011</v>
      </c>
      <c r="AI83" s="35">
        <f t="shared" si="27"/>
        <v>6069746.5928549208</v>
      </c>
      <c r="AJ83" s="35">
        <f t="shared" si="28"/>
        <v>5950731.9537793333</v>
      </c>
      <c r="AK83" s="36">
        <f t="shared" si="98"/>
        <v>3192860.6292831702</v>
      </c>
      <c r="AL83" s="36">
        <f t="shared" si="99"/>
        <v>462555.25605144445</v>
      </c>
      <c r="AM83" s="35">
        <f t="shared" si="100"/>
        <v>2418465.5205113529</v>
      </c>
      <c r="AN83" s="36">
        <f t="shared" si="101"/>
        <v>451250.61040712672</v>
      </c>
      <c r="AO83" s="36">
        <f t="shared" si="102"/>
        <v>451250.61040712672</v>
      </c>
      <c r="AP83" s="35">
        <f t="shared" si="103"/>
        <v>830547.64648541634</v>
      </c>
      <c r="AQ83" s="35">
        <v>0</v>
      </c>
      <c r="AR83" s="37">
        <f t="shared" si="90"/>
        <v>28396621.214243889</v>
      </c>
      <c r="AS83" s="36">
        <f t="shared" si="104"/>
        <v>300016.08787383471</v>
      </c>
      <c r="AT83" s="36">
        <f t="shared" si="105"/>
        <v>282969.85342471517</v>
      </c>
      <c r="AU83" s="36">
        <f t="shared" si="91"/>
        <v>582985.94129854988</v>
      </c>
      <c r="AV83" s="38">
        <f t="shared" si="92"/>
        <v>120395315.7764504</v>
      </c>
    </row>
    <row r="84" spans="1:48" x14ac:dyDescent="0.25">
      <c r="A84" s="40" t="s">
        <v>91</v>
      </c>
      <c r="B84" s="33">
        <v>7</v>
      </c>
      <c r="C84" s="33">
        <v>11</v>
      </c>
      <c r="D84" s="35">
        <v>1623877.7864000001</v>
      </c>
      <c r="E84" s="35">
        <f t="shared" si="80"/>
        <v>214351867.80480003</v>
      </c>
      <c r="F84" s="35">
        <v>0</v>
      </c>
      <c r="G84" s="35">
        <f t="shared" si="94"/>
        <v>354300.60794181825</v>
      </c>
      <c r="H84" s="35">
        <f t="shared" si="81"/>
        <v>793176</v>
      </c>
      <c r="I84" s="35">
        <f t="shared" si="106"/>
        <v>1406064</v>
      </c>
      <c r="J84" s="35">
        <f t="shared" ref="J84:J108" si="107">+(E84+H84+I84+(K84/12))/24</f>
        <v>9054538.2266022246</v>
      </c>
      <c r="K84" s="35">
        <f t="shared" si="84"/>
        <v>9093715.6038400009</v>
      </c>
      <c r="L84" s="35">
        <v>0</v>
      </c>
      <c r="M84" s="35">
        <f t="shared" si="74"/>
        <v>20132174.93589057</v>
      </c>
      <c r="N84" s="35">
        <f t="shared" si="78"/>
        <v>9085977.5954445917</v>
      </c>
      <c r="O84" s="35"/>
      <c r="P84" s="35"/>
      <c r="Q84" s="35">
        <f t="shared" si="37"/>
        <v>264271814.77451923</v>
      </c>
      <c r="R84" s="35">
        <v>0</v>
      </c>
      <c r="S84" s="35"/>
      <c r="T84" s="35"/>
      <c r="U84" s="35"/>
      <c r="V84" s="35">
        <f t="shared" si="85"/>
        <v>0</v>
      </c>
      <c r="W84" s="35">
        <f t="shared" si="82"/>
        <v>264271814.77451923</v>
      </c>
      <c r="X84" s="35">
        <f t="shared" si="86"/>
        <v>13396991.7378</v>
      </c>
      <c r="Y84" s="35">
        <v>0</v>
      </c>
      <c r="Z84" s="35">
        <f t="shared" si="60"/>
        <v>1190843.7100266668</v>
      </c>
      <c r="AA84" s="35">
        <f t="shared" si="87"/>
        <v>14587835.447826667</v>
      </c>
      <c r="AB84" s="35"/>
      <c r="AC84" s="35"/>
      <c r="AD84" s="35"/>
      <c r="AE84" s="35"/>
      <c r="AF84" s="35">
        <f t="shared" si="88"/>
        <v>0</v>
      </c>
      <c r="AG84" s="35">
        <f t="shared" si="89"/>
        <v>14587835.447826667</v>
      </c>
      <c r="AH84" s="35">
        <f t="shared" ref="AH84:AH108" si="108">+(((D84+H84/12)*12%)*12)*C84</f>
        <v>26769216.456575997</v>
      </c>
      <c r="AI84" s="35">
        <f t="shared" ref="AI84:AI108" si="109">+(E84+H84+I84+K84/12)*0.085</f>
        <v>18471257.982268538</v>
      </c>
      <c r="AJ84" s="35">
        <f t="shared" ref="AJ84" si="110">(E84+H84+I84+K84/12)/12</f>
        <v>18109076.453204449</v>
      </c>
      <c r="AK84" s="36">
        <f t="shared" si="98"/>
        <v>9914384.121526517</v>
      </c>
      <c r="AL84" s="36">
        <f t="shared" si="99"/>
        <v>1436314.0200562612</v>
      </c>
      <c r="AM84" s="35">
        <f t="shared" si="100"/>
        <v>7509753.4590478968</v>
      </c>
      <c r="AN84" s="36">
        <f t="shared" si="101"/>
        <v>1401211.1413876519</v>
      </c>
      <c r="AO84" s="36">
        <f t="shared" si="102"/>
        <v>1401211.1413876519</v>
      </c>
      <c r="AP84" s="35">
        <f t="shared" si="103"/>
        <v>2578993.9977226416</v>
      </c>
      <c r="AQ84" s="35">
        <v>0</v>
      </c>
      <c r="AR84" s="37">
        <f t="shared" si="90"/>
        <v>87591418.773177609</v>
      </c>
      <c r="AS84" s="36">
        <f t="shared" si="104"/>
        <v>931601.80890408973</v>
      </c>
      <c r="AT84" s="36">
        <f t="shared" si="105"/>
        <v>878670.30459595728</v>
      </c>
      <c r="AU84" s="36">
        <f t="shared" si="91"/>
        <v>1810272.113500047</v>
      </c>
      <c r="AV84" s="38">
        <f t="shared" si="92"/>
        <v>366451068.99552351</v>
      </c>
    </row>
    <row r="85" spans="1:48" x14ac:dyDescent="0.25">
      <c r="A85" s="25" t="s">
        <v>92</v>
      </c>
      <c r="B85" s="26"/>
      <c r="C85" s="27">
        <f t="shared" ref="C85:AV85" si="111">SUM(C86:C108)</f>
        <v>123</v>
      </c>
      <c r="D85" s="28">
        <f t="shared" si="111"/>
        <v>40788679.418200001</v>
      </c>
      <c r="E85" s="28">
        <f t="shared" si="111"/>
        <v>2331653636.1936007</v>
      </c>
      <c r="F85" s="28">
        <f t="shared" si="111"/>
        <v>0</v>
      </c>
      <c r="G85" s="28">
        <f t="shared" si="111"/>
        <v>51206358.291968226</v>
      </c>
      <c r="H85" s="28">
        <f t="shared" si="111"/>
        <v>15070344</v>
      </c>
      <c r="I85" s="28">
        <f t="shared" si="111"/>
        <v>26715216</v>
      </c>
      <c r="J85" s="28">
        <f t="shared" si="111"/>
        <v>99190675.824752808</v>
      </c>
      <c r="K85" s="28">
        <f t="shared" si="111"/>
        <v>85644283.205603987</v>
      </c>
      <c r="L85" s="28">
        <f t="shared" si="111"/>
        <v>434184023.34700006</v>
      </c>
      <c r="M85" s="28">
        <f t="shared" si="111"/>
        <v>212868287.20397934</v>
      </c>
      <c r="N85" s="28">
        <f t="shared" si="111"/>
        <v>37930851.223795086</v>
      </c>
      <c r="O85" s="28">
        <f t="shared" si="111"/>
        <v>0</v>
      </c>
      <c r="P85" s="28">
        <f t="shared" si="111"/>
        <v>0</v>
      </c>
      <c r="Q85" s="28">
        <f t="shared" si="111"/>
        <v>3294463675.290699</v>
      </c>
      <c r="R85" s="28">
        <f t="shared" si="111"/>
        <v>0</v>
      </c>
      <c r="S85" s="28">
        <f t="shared" si="111"/>
        <v>0</v>
      </c>
      <c r="T85" s="28">
        <f t="shared" si="111"/>
        <v>0</v>
      </c>
      <c r="U85" s="28">
        <f t="shared" si="111"/>
        <v>0</v>
      </c>
      <c r="V85" s="28">
        <f t="shared" si="111"/>
        <v>0</v>
      </c>
      <c r="W85" s="28">
        <f t="shared" si="111"/>
        <v>3294463675.290699</v>
      </c>
      <c r="X85" s="28">
        <f t="shared" si="111"/>
        <v>148966760.09014669</v>
      </c>
      <c r="Y85" s="28">
        <f t="shared" si="111"/>
        <v>20000000</v>
      </c>
      <c r="Z85" s="28">
        <f t="shared" si="111"/>
        <v>12953631.312186668</v>
      </c>
      <c r="AA85" s="28">
        <f t="shared" si="111"/>
        <v>181920391.40233332</v>
      </c>
      <c r="AB85" s="28">
        <f t="shared" si="111"/>
        <v>0</v>
      </c>
      <c r="AC85" s="28">
        <f t="shared" si="111"/>
        <v>0</v>
      </c>
      <c r="AD85" s="28">
        <f t="shared" si="111"/>
        <v>0</v>
      </c>
      <c r="AE85" s="28">
        <f t="shared" si="111"/>
        <v>0</v>
      </c>
      <c r="AF85" s="28">
        <f t="shared" si="111"/>
        <v>0</v>
      </c>
      <c r="AG85" s="28">
        <f t="shared" si="111"/>
        <v>181920391.40233332</v>
      </c>
      <c r="AH85" s="28">
        <f t="shared" si="111"/>
        <v>289792453.943232</v>
      </c>
      <c r="AI85" s="28">
        <f t="shared" si="111"/>
        <v>202348978.68249574</v>
      </c>
      <c r="AJ85" s="28">
        <f t="shared" si="111"/>
        <v>194304469.68279999</v>
      </c>
      <c r="AK85" s="28">
        <f t="shared" si="111"/>
        <v>107845618.62847336</v>
      </c>
      <c r="AL85" s="28">
        <f t="shared" si="111"/>
        <v>15623781.78402341</v>
      </c>
      <c r="AM85" s="28">
        <f t="shared" si="111"/>
        <v>81688786.475386083</v>
      </c>
      <c r="AN85" s="28">
        <f t="shared" si="111"/>
        <v>15241943.475233585</v>
      </c>
      <c r="AO85" s="28">
        <f t="shared" si="111"/>
        <v>15241943.475233585</v>
      </c>
      <c r="AP85" s="28">
        <f t="shared" si="111"/>
        <v>28053502.841353867</v>
      </c>
      <c r="AQ85" s="28">
        <f t="shared" si="111"/>
        <v>0</v>
      </c>
      <c r="AR85" s="29">
        <f t="shared" si="111"/>
        <v>950141478.98823154</v>
      </c>
      <c r="AS85" s="28">
        <f t="shared" si="111"/>
        <v>10133677.711611312</v>
      </c>
      <c r="AT85" s="28">
        <f t="shared" si="111"/>
        <v>9557905.1011218857</v>
      </c>
      <c r="AU85" s="30">
        <f t="shared" si="111"/>
        <v>19691582.812733192</v>
      </c>
      <c r="AV85" s="29">
        <f t="shared" si="111"/>
        <v>4426525545.6812649</v>
      </c>
    </row>
    <row r="86" spans="1:48" x14ac:dyDescent="0.25">
      <c r="A86" s="40" t="s">
        <v>93</v>
      </c>
      <c r="B86" s="33">
        <v>25</v>
      </c>
      <c r="C86" s="33">
        <v>1</v>
      </c>
      <c r="D86" s="35">
        <v>2995711.7344</v>
      </c>
      <c r="E86" s="35">
        <f t="shared" ref="E86:E108" si="112">D86*C86*12</f>
        <v>35948540.812799998</v>
      </c>
      <c r="F86" s="35">
        <v>0</v>
      </c>
      <c r="G86" s="35">
        <f t="shared" si="94"/>
        <v>7189708.1625599992</v>
      </c>
      <c r="H86" s="35">
        <f t="shared" ref="H86:H108" si="113">(IF(D86&gt;=2000000,0,66098))*12</f>
        <v>0</v>
      </c>
      <c r="I86" s="35"/>
      <c r="J86" s="35">
        <f t="shared" si="107"/>
        <v>1502224.6134793332</v>
      </c>
      <c r="K86" s="35">
        <f t="shared" si="84"/>
        <v>1258198.928448</v>
      </c>
      <c r="L86" s="35">
        <f t="shared" ref="L86:L105" si="114">+((((D86/30)/8)*50)*12)*C86</f>
        <v>7489279.3359999992</v>
      </c>
      <c r="M86" s="35">
        <f t="shared" si="74"/>
        <v>3394702.2242106618</v>
      </c>
      <c r="N86" s="35">
        <f t="shared" ref="N86:N108" si="115">+((D86+(F86/12)+(G86/12))/2+J86/12+K86/12)</f>
        <v>2027462.3358006109</v>
      </c>
      <c r="O86" s="35"/>
      <c r="P86" s="35"/>
      <c r="Q86" s="35">
        <f t="shared" si="37"/>
        <v>58810116.413298599</v>
      </c>
      <c r="R86" s="35"/>
      <c r="S86" s="35"/>
      <c r="T86" s="35"/>
      <c r="U86" s="35"/>
      <c r="V86" s="35">
        <f t="shared" ref="V86:V108" si="116">SUM(R86:U86)</f>
        <v>0</v>
      </c>
      <c r="W86" s="35">
        <f t="shared" ref="W86:W108" si="117">Q86+V86</f>
        <v>58810116.413298599</v>
      </c>
      <c r="X86" s="35">
        <f t="shared" ref="X86:X108" si="118">+(E86/360)*23</f>
        <v>2296712.3297066665</v>
      </c>
      <c r="Y86" s="35">
        <v>20000000</v>
      </c>
      <c r="Z86" s="35">
        <f t="shared" si="60"/>
        <v>199714.11562666667</v>
      </c>
      <c r="AA86" s="35">
        <f t="shared" ref="AA86:AA108" si="119">SUM(X86:Z86)</f>
        <v>22496426.445333332</v>
      </c>
      <c r="AB86" s="35"/>
      <c r="AC86" s="35"/>
      <c r="AD86" s="35"/>
      <c r="AE86" s="35"/>
      <c r="AF86" s="35">
        <f t="shared" ref="AF86:AF108" si="120">SUM(AB86:AE86)</f>
        <v>0</v>
      </c>
      <c r="AG86" s="35">
        <f t="shared" ref="AG86:AG108" si="121">AA86+AF86</f>
        <v>22496426.445333332</v>
      </c>
      <c r="AH86" s="35">
        <f t="shared" si="108"/>
        <v>4313824.8975360002</v>
      </c>
      <c r="AI86" s="35">
        <f t="shared" si="109"/>
        <v>3064538.21149784</v>
      </c>
      <c r="AJ86" s="35">
        <f t="shared" ref="AJ86:AJ108" si="122">+E86/12</f>
        <v>2995711.7344</v>
      </c>
      <c r="AK86" s="36">
        <f t="shared" si="98"/>
        <v>1662722.3540269579</v>
      </c>
      <c r="AL86" s="36">
        <f t="shared" si="99"/>
        <v>240881.4707274182</v>
      </c>
      <c r="AM86" s="35">
        <f t="shared" si="100"/>
        <v>1259446.3555712665</v>
      </c>
      <c r="AN86" s="36">
        <f t="shared" si="101"/>
        <v>234994.43424208919</v>
      </c>
      <c r="AO86" s="36">
        <f t="shared" si="102"/>
        <v>234994.43424208919</v>
      </c>
      <c r="AP86" s="35">
        <f t="shared" si="103"/>
        <v>432518.13913525653</v>
      </c>
      <c r="AQ86" s="35">
        <v>0</v>
      </c>
      <c r="AR86" s="37">
        <f t="shared" ref="AR86:AR108" si="123">SUM(AH86:AQ86)</f>
        <v>14439632.031378916</v>
      </c>
      <c r="AS86" s="36">
        <f t="shared" si="104"/>
        <v>156237.15338540677</v>
      </c>
      <c r="AT86" s="36">
        <f t="shared" si="105"/>
        <v>147360.11227356258</v>
      </c>
      <c r="AU86" s="36">
        <f t="shared" ref="AU86:AU108" si="124">SUM(AS86:AT86)</f>
        <v>303597.26565896935</v>
      </c>
      <c r="AV86" s="38">
        <f t="shared" ref="AV86:AV108" si="125">W86+AG86+AR86</f>
        <v>95746174.890010849</v>
      </c>
    </row>
    <row r="87" spans="1:48" x14ac:dyDescent="0.25">
      <c r="A87" s="40" t="s">
        <v>94</v>
      </c>
      <c r="B87" s="33">
        <v>24</v>
      </c>
      <c r="C87" s="33">
        <v>1</v>
      </c>
      <c r="D87" s="35">
        <v>2701047.0624000002</v>
      </c>
      <c r="E87" s="35">
        <f t="shared" si="112"/>
        <v>32412564.748800002</v>
      </c>
      <c r="F87" s="35">
        <v>0</v>
      </c>
      <c r="G87" s="35">
        <f t="shared" si="94"/>
        <v>6482512.9497600012</v>
      </c>
      <c r="H87" s="35">
        <f t="shared" si="113"/>
        <v>0</v>
      </c>
      <c r="I87" s="35"/>
      <c r="J87" s="35">
        <f t="shared" si="107"/>
        <v>1354462.5581660001</v>
      </c>
      <c r="K87" s="35">
        <f t="shared" si="84"/>
        <v>1134439.766208</v>
      </c>
      <c r="L87" s="35">
        <f t="shared" si="114"/>
        <v>6752617.6560000004</v>
      </c>
      <c r="M87" s="35">
        <f t="shared" si="74"/>
        <v>3060791.9864704306</v>
      </c>
      <c r="N87" s="35">
        <f t="shared" si="115"/>
        <v>1828036.7644711668</v>
      </c>
      <c r="O87" s="35"/>
      <c r="P87" s="35"/>
      <c r="Q87" s="35">
        <f t="shared" si="37"/>
        <v>53025426.429875597</v>
      </c>
      <c r="R87" s="35"/>
      <c r="S87" s="35"/>
      <c r="T87" s="35"/>
      <c r="U87" s="35"/>
      <c r="V87" s="35">
        <f t="shared" si="116"/>
        <v>0</v>
      </c>
      <c r="W87" s="35">
        <f t="shared" si="117"/>
        <v>53025426.429875597</v>
      </c>
      <c r="X87" s="35">
        <f t="shared" si="118"/>
        <v>2070802.7478400001</v>
      </c>
      <c r="Y87" s="35">
        <v>0</v>
      </c>
      <c r="Z87" s="35">
        <f t="shared" si="60"/>
        <v>180069.80416</v>
      </c>
      <c r="AA87" s="35">
        <f t="shared" si="119"/>
        <v>2250872.5520000001</v>
      </c>
      <c r="AB87" s="35"/>
      <c r="AC87" s="35"/>
      <c r="AD87" s="35"/>
      <c r="AE87" s="35"/>
      <c r="AF87" s="35">
        <f t="shared" si="120"/>
        <v>0</v>
      </c>
      <c r="AG87" s="35">
        <f t="shared" si="121"/>
        <v>2250872.5520000001</v>
      </c>
      <c r="AH87" s="35">
        <f t="shared" si="108"/>
        <v>3889507.7698559999</v>
      </c>
      <c r="AI87" s="35">
        <f t="shared" si="109"/>
        <v>2763103.6186586404</v>
      </c>
      <c r="AJ87" s="35">
        <f t="shared" si="122"/>
        <v>2701047.0624000002</v>
      </c>
      <c r="AK87" s="36">
        <f t="shared" si="98"/>
        <v>1499173.3945425265</v>
      </c>
      <c r="AL87" s="36">
        <f t="shared" si="99"/>
        <v>217187.84935934335</v>
      </c>
      <c r="AM87" s="35">
        <f t="shared" si="100"/>
        <v>1135564.4937070336</v>
      </c>
      <c r="AN87" s="36">
        <f t="shared" si="101"/>
        <v>211879.87448901622</v>
      </c>
      <c r="AO87" s="36">
        <f t="shared" si="102"/>
        <v>211879.87448901622</v>
      </c>
      <c r="AP87" s="35">
        <f t="shared" si="103"/>
        <v>389974.7214429442</v>
      </c>
      <c r="AQ87" s="35">
        <v>0</v>
      </c>
      <c r="AR87" s="37">
        <f t="shared" si="123"/>
        <v>13019318.658944519</v>
      </c>
      <c r="AS87" s="36">
        <f t="shared" si="104"/>
        <v>140869.32976343695</v>
      </c>
      <c r="AT87" s="36">
        <f t="shared" si="105"/>
        <v>132865.45357514502</v>
      </c>
      <c r="AU87" s="36">
        <f t="shared" si="124"/>
        <v>273734.78333858197</v>
      </c>
      <c r="AV87" s="38">
        <f t="shared" si="125"/>
        <v>68295617.640820116</v>
      </c>
    </row>
    <row r="88" spans="1:48" x14ac:dyDescent="0.25">
      <c r="A88" s="40" t="s">
        <v>94</v>
      </c>
      <c r="B88" s="33">
        <v>20</v>
      </c>
      <c r="C88" s="33">
        <v>15</v>
      </c>
      <c r="D88" s="35">
        <v>2028091.3868</v>
      </c>
      <c r="E88" s="35">
        <f t="shared" si="112"/>
        <v>365056449.62400001</v>
      </c>
      <c r="F88" s="35">
        <v>0</v>
      </c>
      <c r="G88" s="35">
        <f t="shared" si="94"/>
        <v>324494.62188799999</v>
      </c>
      <c r="H88" s="35">
        <f t="shared" si="113"/>
        <v>0</v>
      </c>
      <c r="I88" s="35"/>
      <c r="J88" s="35">
        <f t="shared" si="107"/>
        <v>15248148.755783945</v>
      </c>
      <c r="K88" s="35">
        <f t="shared" si="84"/>
        <v>10789446.177776</v>
      </c>
      <c r="L88" s="35">
        <f t="shared" si="114"/>
        <v>76053427.004999995</v>
      </c>
      <c r="M88" s="35">
        <f t="shared" si="74"/>
        <v>32857617.536500163</v>
      </c>
      <c r="N88" s="35">
        <f t="shared" si="115"/>
        <v>3197365.8804419953</v>
      </c>
      <c r="O88" s="35"/>
      <c r="P88" s="35"/>
      <c r="Q88" s="35">
        <f t="shared" si="37"/>
        <v>503526949.60139006</v>
      </c>
      <c r="R88" s="35"/>
      <c r="S88" s="35"/>
      <c r="T88" s="35"/>
      <c r="U88" s="35"/>
      <c r="V88" s="35">
        <f t="shared" si="116"/>
        <v>0</v>
      </c>
      <c r="W88" s="35">
        <f t="shared" si="117"/>
        <v>503526949.60139006</v>
      </c>
      <c r="X88" s="35">
        <f t="shared" si="118"/>
        <v>23323050.948199999</v>
      </c>
      <c r="Y88" s="35">
        <v>0</v>
      </c>
      <c r="Z88" s="35">
        <f t="shared" si="60"/>
        <v>2028091.3868000002</v>
      </c>
      <c r="AA88" s="35">
        <f t="shared" si="119"/>
        <v>25351142.334999997</v>
      </c>
      <c r="AB88" s="35"/>
      <c r="AC88" s="35"/>
      <c r="AD88" s="35"/>
      <c r="AE88" s="35"/>
      <c r="AF88" s="35">
        <f t="shared" si="120"/>
        <v>0</v>
      </c>
      <c r="AG88" s="35">
        <f t="shared" si="121"/>
        <v>25351142.334999997</v>
      </c>
      <c r="AH88" s="35">
        <f t="shared" si="108"/>
        <v>43806773.954879999</v>
      </c>
      <c r="AI88" s="35">
        <f t="shared" si="109"/>
        <v>31106223.461799249</v>
      </c>
      <c r="AJ88" s="35">
        <f t="shared" si="122"/>
        <v>30421370.802000001</v>
      </c>
      <c r="AK88" s="36">
        <f t="shared" si="98"/>
        <v>16884900.069585413</v>
      </c>
      <c r="AL88" s="36">
        <f t="shared" si="99"/>
        <v>2446144.7529088054</v>
      </c>
      <c r="AM88" s="35">
        <f t="shared" si="100"/>
        <v>12789643.325189572</v>
      </c>
      <c r="AN88" s="36">
        <f t="shared" si="101"/>
        <v>2386362.0582694747</v>
      </c>
      <c r="AO88" s="36">
        <f t="shared" si="102"/>
        <v>2386362.0582694747</v>
      </c>
      <c r="AP88" s="35">
        <f t="shared" si="103"/>
        <v>4392209.8839259613</v>
      </c>
      <c r="AQ88" s="35">
        <v>0</v>
      </c>
      <c r="AR88" s="37">
        <f t="shared" si="123"/>
        <v>146619990.36682796</v>
      </c>
      <c r="AS88" s="36">
        <f t="shared" si="104"/>
        <v>1586584.023291667</v>
      </c>
      <c r="AT88" s="36">
        <f t="shared" si="105"/>
        <v>1496437.9133749532</v>
      </c>
      <c r="AU88" s="36">
        <f t="shared" si="124"/>
        <v>3083021.93666662</v>
      </c>
      <c r="AV88" s="38">
        <f t="shared" si="125"/>
        <v>675498082.30321801</v>
      </c>
    </row>
    <row r="89" spans="1:48" x14ac:dyDescent="0.25">
      <c r="A89" s="40" t="s">
        <v>94</v>
      </c>
      <c r="B89" s="33">
        <v>19</v>
      </c>
      <c r="C89" s="33">
        <v>1</v>
      </c>
      <c r="D89" s="35">
        <v>1966978.9291999999</v>
      </c>
      <c r="E89" s="35">
        <f t="shared" si="112"/>
        <v>23603747.150399998</v>
      </c>
      <c r="F89" s="35">
        <v>0</v>
      </c>
      <c r="G89" s="35">
        <f t="shared" si="94"/>
        <v>4720749.4300800003</v>
      </c>
      <c r="H89" s="35">
        <f t="shared" si="113"/>
        <v>793176</v>
      </c>
      <c r="I89" s="35">
        <f>117172*12</f>
        <v>1406064</v>
      </c>
      <c r="J89" s="35">
        <f t="shared" si="107"/>
        <v>1077992.9755384165</v>
      </c>
      <c r="K89" s="35">
        <f t="shared" si="84"/>
        <v>826131.15026400005</v>
      </c>
      <c r="L89" s="35">
        <f t="shared" si="114"/>
        <v>4917447.3229999999</v>
      </c>
      <c r="M89" s="35">
        <f t="shared" si="74"/>
        <v>2237227.970350496</v>
      </c>
      <c r="N89" s="35">
        <f t="shared" si="115"/>
        <v>1338864.3680035346</v>
      </c>
      <c r="O89" s="35"/>
      <c r="P89" s="35"/>
      <c r="Q89" s="35">
        <f t="shared" si="37"/>
        <v>40921400.367636442</v>
      </c>
      <c r="R89" s="35"/>
      <c r="S89" s="35"/>
      <c r="T89" s="35"/>
      <c r="U89" s="35"/>
      <c r="V89" s="35">
        <f t="shared" si="116"/>
        <v>0</v>
      </c>
      <c r="W89" s="35">
        <f t="shared" si="117"/>
        <v>40921400.367636442</v>
      </c>
      <c r="X89" s="35">
        <f t="shared" si="118"/>
        <v>1508017.1790533331</v>
      </c>
      <c r="Y89" s="35">
        <v>0</v>
      </c>
      <c r="Z89" s="35">
        <f t="shared" si="60"/>
        <v>131131.92861333332</v>
      </c>
      <c r="AA89" s="35">
        <f t="shared" si="119"/>
        <v>1639149.1076666664</v>
      </c>
      <c r="AB89" s="35"/>
      <c r="AC89" s="35"/>
      <c r="AD89" s="35"/>
      <c r="AE89" s="35"/>
      <c r="AF89" s="35">
        <f t="shared" si="120"/>
        <v>0</v>
      </c>
      <c r="AG89" s="35">
        <f t="shared" si="121"/>
        <v>1639149.1076666664</v>
      </c>
      <c r="AH89" s="35">
        <f t="shared" si="108"/>
        <v>2927630.7780479994</v>
      </c>
      <c r="AI89" s="35">
        <f t="shared" si="109"/>
        <v>2199105.6700983699</v>
      </c>
      <c r="AJ89" s="35">
        <f t="shared" si="122"/>
        <v>1966978.9291999999</v>
      </c>
      <c r="AK89" s="36">
        <f t="shared" si="98"/>
        <v>1091740.502907865</v>
      </c>
      <c r="AL89" s="36">
        <f t="shared" si="99"/>
        <v>158162.3398255425</v>
      </c>
      <c r="AM89" s="35">
        <f t="shared" si="100"/>
        <v>826950.20866638306</v>
      </c>
      <c r="AN89" s="36">
        <f t="shared" si="101"/>
        <v>154296.92227247712</v>
      </c>
      <c r="AO89" s="36">
        <f t="shared" si="102"/>
        <v>154296.92227247712</v>
      </c>
      <c r="AP89" s="35">
        <f t="shared" si="103"/>
        <v>283990.63114336593</v>
      </c>
      <c r="AQ89" s="35">
        <v>0</v>
      </c>
      <c r="AR89" s="37">
        <f t="shared" si="123"/>
        <v>9763152.9044344798</v>
      </c>
      <c r="AS89" s="36">
        <f t="shared" si="104"/>
        <v>102585.03351252338</v>
      </c>
      <c r="AT89" s="36">
        <f t="shared" si="105"/>
        <v>96756.384307016007</v>
      </c>
      <c r="AU89" s="36">
        <f t="shared" si="124"/>
        <v>199341.41781953938</v>
      </c>
      <c r="AV89" s="38">
        <f t="shared" si="125"/>
        <v>52323702.379737586</v>
      </c>
    </row>
    <row r="90" spans="1:48" x14ac:dyDescent="0.25">
      <c r="A90" s="40" t="s">
        <v>94</v>
      </c>
      <c r="B90" s="33">
        <v>18</v>
      </c>
      <c r="C90" s="33">
        <v>14</v>
      </c>
      <c r="D90" s="35">
        <v>1917515.9802000001</v>
      </c>
      <c r="E90" s="35">
        <f t="shared" si="112"/>
        <v>322142684.67360002</v>
      </c>
      <c r="F90" s="35">
        <v>0</v>
      </c>
      <c r="G90" s="35">
        <f t="shared" si="94"/>
        <v>328717.02517714293</v>
      </c>
      <c r="H90" s="35">
        <f t="shared" si="113"/>
        <v>793176</v>
      </c>
      <c r="I90" s="35">
        <f t="shared" ref="I90:I91" si="126">117172*12</f>
        <v>1406064</v>
      </c>
      <c r="J90" s="35">
        <f t="shared" si="107"/>
        <v>13547337.328141646</v>
      </c>
      <c r="K90" s="35">
        <f t="shared" si="84"/>
        <v>9530054.4215939995</v>
      </c>
      <c r="L90" s="35">
        <f t="shared" si="114"/>
        <v>67113059.307000011</v>
      </c>
      <c r="M90" s="35">
        <f t="shared" si="74"/>
        <v>29009637.244608</v>
      </c>
      <c r="N90" s="35">
        <f t="shared" si="115"/>
        <v>2895570.5119603514</v>
      </c>
      <c r="O90" s="35"/>
      <c r="P90" s="35"/>
      <c r="Q90" s="35">
        <f t="shared" ref="Q90:Q108" si="127">SUM(E90:P90)</f>
        <v>446766300.51208115</v>
      </c>
      <c r="R90" s="35"/>
      <c r="S90" s="35"/>
      <c r="T90" s="35"/>
      <c r="U90" s="35"/>
      <c r="V90" s="35">
        <f t="shared" si="116"/>
        <v>0</v>
      </c>
      <c r="W90" s="35">
        <f t="shared" si="117"/>
        <v>446766300.51208115</v>
      </c>
      <c r="X90" s="35">
        <f t="shared" si="118"/>
        <v>20581338.187479999</v>
      </c>
      <c r="Y90" s="35">
        <v>0</v>
      </c>
      <c r="Z90" s="35">
        <f t="shared" si="60"/>
        <v>1789681.5815200002</v>
      </c>
      <c r="AA90" s="35">
        <f t="shared" si="119"/>
        <v>22371019.768999998</v>
      </c>
      <c r="AB90" s="35"/>
      <c r="AC90" s="35"/>
      <c r="AD90" s="35"/>
      <c r="AE90" s="35"/>
      <c r="AF90" s="35">
        <f t="shared" si="120"/>
        <v>0</v>
      </c>
      <c r="AG90" s="35">
        <f t="shared" si="121"/>
        <v>22371019.768999998</v>
      </c>
      <c r="AH90" s="35">
        <f t="shared" si="108"/>
        <v>39989657.840832002</v>
      </c>
      <c r="AI90" s="35">
        <f t="shared" si="109"/>
        <v>27636568.149408963</v>
      </c>
      <c r="AJ90" s="35">
        <f t="shared" si="122"/>
        <v>26845223.722800002</v>
      </c>
      <c r="AK90" s="36">
        <f t="shared" si="98"/>
        <v>14900016.269988125</v>
      </c>
      <c r="AL90" s="36">
        <f t="shared" si="99"/>
        <v>2158591.1949067404</v>
      </c>
      <c r="AM90" s="35">
        <f t="shared" si="100"/>
        <v>11286172.429052982</v>
      </c>
      <c r="AN90" s="36">
        <f t="shared" si="101"/>
        <v>2105836.1818999248</v>
      </c>
      <c r="AO90" s="36">
        <f t="shared" si="102"/>
        <v>2105836.1818999248</v>
      </c>
      <c r="AP90" s="35">
        <f t="shared" si="103"/>
        <v>3875889.0169319427</v>
      </c>
      <c r="AQ90" s="35">
        <v>0</v>
      </c>
      <c r="AR90" s="37">
        <f t="shared" si="123"/>
        <v>130903790.98772058</v>
      </c>
      <c r="AS90" s="36">
        <f t="shared" si="104"/>
        <v>1400075.076744562</v>
      </c>
      <c r="AT90" s="36">
        <f t="shared" si="105"/>
        <v>1320525.9826486707</v>
      </c>
      <c r="AU90" s="36">
        <f t="shared" si="124"/>
        <v>2720601.0593932327</v>
      </c>
      <c r="AV90" s="38">
        <f t="shared" si="125"/>
        <v>600041111.26880169</v>
      </c>
    </row>
    <row r="91" spans="1:48" x14ac:dyDescent="0.25">
      <c r="A91" s="40" t="s">
        <v>94</v>
      </c>
      <c r="B91" s="33">
        <v>16</v>
      </c>
      <c r="C91" s="33">
        <v>4</v>
      </c>
      <c r="D91" s="35">
        <v>1832405.1702000001</v>
      </c>
      <c r="E91" s="35">
        <f t="shared" si="112"/>
        <v>87955448.16960001</v>
      </c>
      <c r="F91" s="35">
        <v>0</v>
      </c>
      <c r="G91" s="35">
        <f t="shared" si="94"/>
        <v>1099443.1021200002</v>
      </c>
      <c r="H91" s="35">
        <f t="shared" si="113"/>
        <v>793176</v>
      </c>
      <c r="I91" s="35">
        <f t="shared" si="126"/>
        <v>1406064</v>
      </c>
      <c r="J91" s="35">
        <f t="shared" si="107"/>
        <v>3765798.2417895626</v>
      </c>
      <c r="K91" s="35">
        <f t="shared" si="84"/>
        <v>2693635.6001940002</v>
      </c>
      <c r="L91" s="35">
        <f t="shared" si="114"/>
        <v>18324051.702</v>
      </c>
      <c r="M91" s="35">
        <f t="shared" si="74"/>
        <v>7992931.7399531007</v>
      </c>
      <c r="N91" s="35">
        <f t="shared" si="115"/>
        <v>1500298.8678536303</v>
      </c>
      <c r="O91" s="35"/>
      <c r="P91" s="35"/>
      <c r="Q91" s="35">
        <f t="shared" si="127"/>
        <v>125530847.4235103</v>
      </c>
      <c r="R91" s="35"/>
      <c r="S91" s="35"/>
      <c r="T91" s="35"/>
      <c r="U91" s="35"/>
      <c r="V91" s="35">
        <f t="shared" si="116"/>
        <v>0</v>
      </c>
      <c r="W91" s="35">
        <f t="shared" si="117"/>
        <v>125530847.4235103</v>
      </c>
      <c r="X91" s="35">
        <f t="shared" si="118"/>
        <v>5619375.8552800007</v>
      </c>
      <c r="Y91" s="35">
        <v>0</v>
      </c>
      <c r="Z91" s="35">
        <f t="shared" si="60"/>
        <v>488641.37872000004</v>
      </c>
      <c r="AA91" s="35">
        <f t="shared" si="119"/>
        <v>6108017.2340000011</v>
      </c>
      <c r="AB91" s="35"/>
      <c r="AC91" s="35"/>
      <c r="AD91" s="35"/>
      <c r="AE91" s="35"/>
      <c r="AF91" s="35">
        <f t="shared" si="120"/>
        <v>0</v>
      </c>
      <c r="AG91" s="35">
        <f t="shared" si="121"/>
        <v>6108017.2340000011</v>
      </c>
      <c r="AH91" s="35">
        <f t="shared" si="108"/>
        <v>10935378.260352001</v>
      </c>
      <c r="AI91" s="35">
        <f t="shared" si="109"/>
        <v>7682228.413250708</v>
      </c>
      <c r="AJ91" s="35">
        <f t="shared" si="122"/>
        <v>7329620.6808000011</v>
      </c>
      <c r="AK91" s="36">
        <f t="shared" si="98"/>
        <v>4068189.877069518</v>
      </c>
      <c r="AL91" s="36">
        <f t="shared" si="99"/>
        <v>589365.72207232867</v>
      </c>
      <c r="AM91" s="35">
        <f t="shared" si="100"/>
        <v>3081492.7712002438</v>
      </c>
      <c r="AN91" s="36">
        <f t="shared" si="101"/>
        <v>574961.88478852087</v>
      </c>
      <c r="AO91" s="36">
        <f t="shared" si="102"/>
        <v>574961.88478852087</v>
      </c>
      <c r="AP91" s="35">
        <f t="shared" si="103"/>
        <v>1058243.9762221831</v>
      </c>
      <c r="AQ91" s="35">
        <v>0</v>
      </c>
      <c r="AR91" s="37">
        <f t="shared" si="123"/>
        <v>35894443.470544025</v>
      </c>
      <c r="AS91" s="36">
        <f t="shared" si="104"/>
        <v>382266.10972379125</v>
      </c>
      <c r="AT91" s="36">
        <f t="shared" si="105"/>
        <v>360546.61536439258</v>
      </c>
      <c r="AU91" s="36">
        <f t="shared" si="124"/>
        <v>742812.72508818377</v>
      </c>
      <c r="AV91" s="38">
        <f t="shared" si="125"/>
        <v>167533308.12805432</v>
      </c>
    </row>
    <row r="92" spans="1:48" x14ac:dyDescent="0.25">
      <c r="A92" s="40" t="s">
        <v>95</v>
      </c>
      <c r="B92" s="33">
        <v>26</v>
      </c>
      <c r="C92" s="33">
        <v>1</v>
      </c>
      <c r="D92" s="35">
        <v>3258954.5893999999</v>
      </c>
      <c r="E92" s="35">
        <f t="shared" si="112"/>
        <v>39107455.072799996</v>
      </c>
      <c r="F92" s="35">
        <v>0</v>
      </c>
      <c r="G92" s="35">
        <f t="shared" si="94"/>
        <v>7821491.014560001</v>
      </c>
      <c r="H92" s="35">
        <f t="shared" si="113"/>
        <v>0</v>
      </c>
      <c r="I92" s="35"/>
      <c r="J92" s="35">
        <f t="shared" si="107"/>
        <v>1634229.9368095414</v>
      </c>
      <c r="K92" s="35">
        <f t="shared" si="84"/>
        <v>1368760.9275479999</v>
      </c>
      <c r="L92" s="35">
        <f t="shared" si="114"/>
        <v>8147386.4735000003</v>
      </c>
      <c r="M92" s="35">
        <f t="shared" si="74"/>
        <v>3693005.6607911666</v>
      </c>
      <c r="N92" s="35">
        <f t="shared" si="115"/>
        <v>2205621.9923364618</v>
      </c>
      <c r="O92" s="35"/>
      <c r="P92" s="35"/>
      <c r="Q92" s="35">
        <f t="shared" si="127"/>
        <v>63977951.078345157</v>
      </c>
      <c r="R92" s="35"/>
      <c r="S92" s="35"/>
      <c r="T92" s="35"/>
      <c r="U92" s="35"/>
      <c r="V92" s="35">
        <f t="shared" si="116"/>
        <v>0</v>
      </c>
      <c r="W92" s="35">
        <f t="shared" si="117"/>
        <v>63977951.078345157</v>
      </c>
      <c r="X92" s="35">
        <f t="shared" si="118"/>
        <v>2498531.8518733331</v>
      </c>
      <c r="Y92" s="35">
        <v>0</v>
      </c>
      <c r="Z92" s="35">
        <f t="shared" ref="Z92:Z108" si="128">+((D92/30)*2)*C92</f>
        <v>217263.63929333334</v>
      </c>
      <c r="AA92" s="35">
        <f t="shared" si="119"/>
        <v>2715795.4911666666</v>
      </c>
      <c r="AB92" s="35"/>
      <c r="AC92" s="35"/>
      <c r="AD92" s="35"/>
      <c r="AE92" s="35"/>
      <c r="AF92" s="35">
        <f t="shared" si="120"/>
        <v>0</v>
      </c>
      <c r="AG92" s="35">
        <f t="shared" si="121"/>
        <v>2715795.4911666666</v>
      </c>
      <c r="AH92" s="35">
        <f t="shared" si="108"/>
        <v>4692894.608736</v>
      </c>
      <c r="AI92" s="35">
        <f t="shared" si="109"/>
        <v>3333829.0710914647</v>
      </c>
      <c r="AJ92" s="35">
        <f t="shared" si="122"/>
        <v>3258954.5893999995</v>
      </c>
      <c r="AK92" s="36">
        <f t="shared" si="98"/>
        <v>1808831.1316240262</v>
      </c>
      <c r="AL92" s="36">
        <f t="shared" si="99"/>
        <v>262048.50270273761</v>
      </c>
      <c r="AM92" s="35">
        <f t="shared" si="100"/>
        <v>1370117.9701170926</v>
      </c>
      <c r="AN92" s="36">
        <f t="shared" si="101"/>
        <v>255644.15332842417</v>
      </c>
      <c r="AO92" s="36">
        <f t="shared" si="102"/>
        <v>255644.15332842417</v>
      </c>
      <c r="AP92" s="35">
        <f t="shared" si="103"/>
        <v>470524.90343030519</v>
      </c>
      <c r="AQ92" s="35">
        <v>0</v>
      </c>
      <c r="AR92" s="37">
        <f t="shared" si="123"/>
        <v>15708489.083758473</v>
      </c>
      <c r="AS92" s="36">
        <f t="shared" si="104"/>
        <v>169966.21611262707</v>
      </c>
      <c r="AT92" s="36">
        <f t="shared" si="105"/>
        <v>160309.12075878071</v>
      </c>
      <c r="AU92" s="36">
        <f t="shared" si="124"/>
        <v>330275.33687140781</v>
      </c>
      <c r="AV92" s="38">
        <f t="shared" si="125"/>
        <v>82402235.653270304</v>
      </c>
    </row>
    <row r="93" spans="1:48" x14ac:dyDescent="0.25">
      <c r="A93" s="40" t="s">
        <v>96</v>
      </c>
      <c r="B93" s="33">
        <v>13</v>
      </c>
      <c r="C93" s="33">
        <v>5</v>
      </c>
      <c r="D93" s="35">
        <v>1665037.7387999999</v>
      </c>
      <c r="E93" s="35">
        <f t="shared" si="112"/>
        <v>99902264.328000009</v>
      </c>
      <c r="F93" s="35">
        <v>0</v>
      </c>
      <c r="G93" s="35">
        <f t="shared" si="94"/>
        <v>799218.11462400004</v>
      </c>
      <c r="H93" s="35">
        <f t="shared" si="113"/>
        <v>793176</v>
      </c>
      <c r="I93" s="35">
        <f t="shared" ref="I93:I108" si="129">117172*12</f>
        <v>1406064</v>
      </c>
      <c r="J93" s="35">
        <f t="shared" si="107"/>
        <v>4269260.9376975009</v>
      </c>
      <c r="K93" s="35">
        <f t="shared" si="84"/>
        <v>4329098.1208800003</v>
      </c>
      <c r="L93" s="35">
        <f t="shared" si="114"/>
        <v>20812971.734999996</v>
      </c>
      <c r="M93" s="35">
        <f t="shared" si="74"/>
        <v>9173581.0776918028</v>
      </c>
      <c r="N93" s="35">
        <f t="shared" si="115"/>
        <v>1582349.5457241251</v>
      </c>
      <c r="O93" s="35"/>
      <c r="P93" s="35"/>
      <c r="Q93" s="35">
        <f t="shared" si="127"/>
        <v>143067983.85961744</v>
      </c>
      <c r="R93" s="35"/>
      <c r="S93" s="35"/>
      <c r="T93" s="35"/>
      <c r="U93" s="35"/>
      <c r="V93" s="35">
        <f t="shared" si="116"/>
        <v>0</v>
      </c>
      <c r="W93" s="35">
        <f t="shared" si="117"/>
        <v>143067983.85961744</v>
      </c>
      <c r="X93" s="35">
        <f t="shared" si="118"/>
        <v>6382644.6654000003</v>
      </c>
      <c r="Y93" s="35">
        <v>0</v>
      </c>
      <c r="Z93" s="35">
        <f t="shared" si="128"/>
        <v>555012.57959999994</v>
      </c>
      <c r="AA93" s="35">
        <f t="shared" si="119"/>
        <v>6937657.2450000001</v>
      </c>
      <c r="AB93" s="35"/>
      <c r="AC93" s="35"/>
      <c r="AD93" s="35"/>
      <c r="AE93" s="35"/>
      <c r="AF93" s="35">
        <f t="shared" si="120"/>
        <v>0</v>
      </c>
      <c r="AG93" s="35">
        <f t="shared" si="121"/>
        <v>6937657.2450000001</v>
      </c>
      <c r="AH93" s="35">
        <f t="shared" si="108"/>
        <v>12464177.319359999</v>
      </c>
      <c r="AI93" s="35">
        <f t="shared" si="109"/>
        <v>8709292.3129029013</v>
      </c>
      <c r="AJ93" s="35">
        <f t="shared" si="122"/>
        <v>8325188.6940000011</v>
      </c>
      <c r="AK93" s="36">
        <f t="shared" si="98"/>
        <v>4620764.1356316116</v>
      </c>
      <c r="AL93" s="36">
        <f t="shared" si="99"/>
        <v>669418.11312016787</v>
      </c>
      <c r="AM93" s="35">
        <f t="shared" si="100"/>
        <v>3500045.8955045082</v>
      </c>
      <c r="AN93" s="36">
        <f t="shared" si="101"/>
        <v>653057.83084533073</v>
      </c>
      <c r="AO93" s="36">
        <f t="shared" si="102"/>
        <v>653057.83084533073</v>
      </c>
      <c r="AP93" s="35">
        <f t="shared" si="103"/>
        <v>1201983.181669496</v>
      </c>
      <c r="AQ93" s="35">
        <v>0</v>
      </c>
      <c r="AR93" s="37">
        <f t="shared" si="123"/>
        <v>40796985.313879348</v>
      </c>
      <c r="AS93" s="36">
        <f t="shared" si="104"/>
        <v>434188.56627987453</v>
      </c>
      <c r="AT93" s="36">
        <f t="shared" si="105"/>
        <v>409518.9555653776</v>
      </c>
      <c r="AU93" s="36">
        <f t="shared" si="124"/>
        <v>843707.52184525214</v>
      </c>
      <c r="AV93" s="38">
        <f t="shared" si="125"/>
        <v>190802626.41849679</v>
      </c>
    </row>
    <row r="94" spans="1:48" x14ac:dyDescent="0.25">
      <c r="A94" s="40" t="s">
        <v>96</v>
      </c>
      <c r="B94" s="33">
        <v>11</v>
      </c>
      <c r="C94" s="33">
        <v>4</v>
      </c>
      <c r="D94" s="35">
        <v>1502135.5412000001</v>
      </c>
      <c r="E94" s="35">
        <f t="shared" si="112"/>
        <v>72102505.977600008</v>
      </c>
      <c r="F94" s="35">
        <v>0</v>
      </c>
      <c r="G94" s="35">
        <f t="shared" si="94"/>
        <v>901281.32472000015</v>
      </c>
      <c r="H94" s="35">
        <f t="shared" si="113"/>
        <v>793176</v>
      </c>
      <c r="I94" s="35">
        <f t="shared" si="129"/>
        <v>1406064</v>
      </c>
      <c r="J94" s="35">
        <f t="shared" si="107"/>
        <v>3106859.154054584</v>
      </c>
      <c r="K94" s="35">
        <f t="shared" si="84"/>
        <v>3154484.6365200002</v>
      </c>
      <c r="L94" s="35">
        <f t="shared" si="114"/>
        <v>15021355.412</v>
      </c>
      <c r="M94" s="35">
        <f t="shared" si="74"/>
        <v>6639520.7980432613</v>
      </c>
      <c r="N94" s="35">
        <f t="shared" si="115"/>
        <v>1310399.8083445488</v>
      </c>
      <c r="O94" s="35"/>
      <c r="P94" s="35"/>
      <c r="Q94" s="35">
        <f t="shared" si="127"/>
        <v>104435647.11128239</v>
      </c>
      <c r="R94" s="35"/>
      <c r="S94" s="35"/>
      <c r="T94" s="35"/>
      <c r="U94" s="35"/>
      <c r="V94" s="35">
        <f t="shared" si="116"/>
        <v>0</v>
      </c>
      <c r="W94" s="35">
        <f t="shared" si="117"/>
        <v>104435647.11128239</v>
      </c>
      <c r="X94" s="35">
        <f t="shared" si="118"/>
        <v>4606548.9930133345</v>
      </c>
      <c r="Y94" s="35">
        <v>0</v>
      </c>
      <c r="Z94" s="35">
        <f t="shared" si="128"/>
        <v>400569.47765333334</v>
      </c>
      <c r="AA94" s="35">
        <f t="shared" si="119"/>
        <v>5007118.4706666674</v>
      </c>
      <c r="AB94" s="35"/>
      <c r="AC94" s="35"/>
      <c r="AD94" s="35"/>
      <c r="AE94" s="35"/>
      <c r="AF94" s="35">
        <f t="shared" si="120"/>
        <v>0</v>
      </c>
      <c r="AG94" s="35">
        <f t="shared" si="121"/>
        <v>5007118.4706666674</v>
      </c>
      <c r="AH94" s="35">
        <f t="shared" si="108"/>
        <v>9033025.1973120011</v>
      </c>
      <c r="AI94" s="35">
        <f t="shared" si="109"/>
        <v>6337992.6742713517</v>
      </c>
      <c r="AJ94" s="35">
        <f t="shared" si="122"/>
        <v>6008542.1648000004</v>
      </c>
      <c r="AK94" s="36">
        <f t="shared" si="98"/>
        <v>3334946.1691538412</v>
      </c>
      <c r="AL94" s="36">
        <f t="shared" si="99"/>
        <v>483139.43460071023</v>
      </c>
      <c r="AM94" s="35">
        <f t="shared" si="100"/>
        <v>2526089.6917604464</v>
      </c>
      <c r="AN94" s="36">
        <f t="shared" si="101"/>
        <v>471331.72074706084</v>
      </c>
      <c r="AO94" s="36">
        <f t="shared" si="102"/>
        <v>471331.72074706084</v>
      </c>
      <c r="AP94" s="35">
        <f t="shared" si="103"/>
        <v>867507.86004966754</v>
      </c>
      <c r="AQ94" s="35">
        <v>0</v>
      </c>
      <c r="AR94" s="37">
        <f t="shared" si="123"/>
        <v>29533906.633442141</v>
      </c>
      <c r="AS94" s="36">
        <f t="shared" si="104"/>
        <v>313367.10840522911</v>
      </c>
      <c r="AT94" s="36">
        <f t="shared" si="105"/>
        <v>295562.29921524815</v>
      </c>
      <c r="AU94" s="36">
        <f t="shared" si="124"/>
        <v>608929.40762047726</v>
      </c>
      <c r="AV94" s="38">
        <f t="shared" si="125"/>
        <v>138976672.21539119</v>
      </c>
    </row>
    <row r="95" spans="1:48" x14ac:dyDescent="0.25">
      <c r="A95" s="40" t="s">
        <v>97</v>
      </c>
      <c r="B95" s="33">
        <v>11</v>
      </c>
      <c r="C95" s="33">
        <v>8</v>
      </c>
      <c r="D95" s="35">
        <v>1502135.5412000001</v>
      </c>
      <c r="E95" s="35">
        <f t="shared" si="112"/>
        <v>144205011.95520002</v>
      </c>
      <c r="F95" s="35">
        <v>0</v>
      </c>
      <c r="G95" s="35">
        <f t="shared" si="94"/>
        <v>450640.66236000007</v>
      </c>
      <c r="H95" s="35">
        <f t="shared" si="113"/>
        <v>793176</v>
      </c>
      <c r="I95" s="35">
        <f t="shared" si="129"/>
        <v>1406064</v>
      </c>
      <c r="J95" s="35">
        <f t="shared" si="107"/>
        <v>6121561.7332684733</v>
      </c>
      <c r="K95" s="35">
        <f t="shared" si="84"/>
        <v>6158755.7189200008</v>
      </c>
      <c r="L95" s="35">
        <f t="shared" si="114"/>
        <v>30042710.824000001</v>
      </c>
      <c r="M95" s="35">
        <f t="shared" si="74"/>
        <v>13189877.804994656</v>
      </c>
      <c r="N95" s="35">
        <f t="shared" si="115"/>
        <v>1793204.2525473728</v>
      </c>
      <c r="O95" s="35"/>
      <c r="P95" s="35"/>
      <c r="Q95" s="35">
        <f t="shared" si="127"/>
        <v>204161002.95129052</v>
      </c>
      <c r="R95" s="35"/>
      <c r="S95" s="35"/>
      <c r="T95" s="35"/>
      <c r="U95" s="35"/>
      <c r="V95" s="35">
        <f t="shared" si="116"/>
        <v>0</v>
      </c>
      <c r="W95" s="35">
        <f t="shared" si="117"/>
        <v>204161002.95129052</v>
      </c>
      <c r="X95" s="35">
        <f t="shared" si="118"/>
        <v>9213097.9860266689</v>
      </c>
      <c r="Y95" s="35">
        <v>0</v>
      </c>
      <c r="Z95" s="35">
        <f t="shared" si="128"/>
        <v>801138.95530666667</v>
      </c>
      <c r="AA95" s="35">
        <f t="shared" si="119"/>
        <v>10014236.941333335</v>
      </c>
      <c r="AB95" s="35"/>
      <c r="AC95" s="35"/>
      <c r="AD95" s="35"/>
      <c r="AE95" s="35"/>
      <c r="AF95" s="35">
        <f t="shared" si="120"/>
        <v>0</v>
      </c>
      <c r="AG95" s="35">
        <f t="shared" si="121"/>
        <v>10014236.941333335</v>
      </c>
      <c r="AH95" s="35">
        <f t="shared" si="108"/>
        <v>18066050.394624002</v>
      </c>
      <c r="AI95" s="35">
        <f t="shared" si="109"/>
        <v>12487985.935867686</v>
      </c>
      <c r="AJ95" s="35">
        <f t="shared" si="122"/>
        <v>12017084.329600001</v>
      </c>
      <c r="AK95" s="36">
        <f t="shared" si="98"/>
        <v>6669892.3383076824</v>
      </c>
      <c r="AL95" s="36">
        <f t="shared" si="99"/>
        <v>966278.86920142046</v>
      </c>
      <c r="AM95" s="35">
        <f t="shared" si="100"/>
        <v>5052179.3835208928</v>
      </c>
      <c r="AN95" s="36">
        <f t="shared" si="101"/>
        <v>942663.44149412168</v>
      </c>
      <c r="AO95" s="36">
        <f t="shared" si="102"/>
        <v>942663.44149412168</v>
      </c>
      <c r="AP95" s="35">
        <f t="shared" si="103"/>
        <v>1735015.7200993351</v>
      </c>
      <c r="AQ95" s="35">
        <v>0</v>
      </c>
      <c r="AR95" s="37">
        <f t="shared" si="123"/>
        <v>58879813.854209274</v>
      </c>
      <c r="AS95" s="36">
        <f t="shared" si="104"/>
        <v>626734.21681045822</v>
      </c>
      <c r="AT95" s="36">
        <f t="shared" si="105"/>
        <v>591124.59843049629</v>
      </c>
      <c r="AU95" s="36">
        <f t="shared" si="124"/>
        <v>1217858.8152409545</v>
      </c>
      <c r="AV95" s="38">
        <f t="shared" si="125"/>
        <v>273055053.74683309</v>
      </c>
    </row>
    <row r="96" spans="1:48" x14ac:dyDescent="0.25">
      <c r="A96" s="40" t="s">
        <v>97</v>
      </c>
      <c r="B96" s="33">
        <v>9</v>
      </c>
      <c r="C96" s="33">
        <v>13</v>
      </c>
      <c r="D96" s="35">
        <v>1266164.6137999999</v>
      </c>
      <c r="E96" s="35">
        <f t="shared" si="112"/>
        <v>197521679.75279999</v>
      </c>
      <c r="F96" s="35">
        <v>0</v>
      </c>
      <c r="G96" s="35">
        <f t="shared" si="94"/>
        <v>233753.46716307692</v>
      </c>
      <c r="H96" s="35">
        <f t="shared" si="113"/>
        <v>793176</v>
      </c>
      <c r="I96" s="35">
        <f t="shared" si="129"/>
        <v>1406064</v>
      </c>
      <c r="J96" s="35">
        <f t="shared" si="107"/>
        <v>8350721.2620995827</v>
      </c>
      <c r="K96" s="35">
        <f t="shared" si="84"/>
        <v>8356686.45108</v>
      </c>
      <c r="L96" s="35">
        <f t="shared" si="114"/>
        <v>41150349.9485</v>
      </c>
      <c r="M96" s="35">
        <f t="shared" ref="M96:M108" si="130">+(E96/12)+J96/12+K96/12+N96/12</f>
        <v>18022016.123064697</v>
      </c>
      <c r="N96" s="35">
        <f t="shared" si="115"/>
        <v>2035106.0107967602</v>
      </c>
      <c r="O96" s="35"/>
      <c r="P96" s="35"/>
      <c r="Q96" s="35">
        <f t="shared" si="127"/>
        <v>277869553.01550412</v>
      </c>
      <c r="R96" s="35"/>
      <c r="S96" s="35"/>
      <c r="T96" s="35"/>
      <c r="U96" s="35"/>
      <c r="V96" s="35">
        <f t="shared" si="116"/>
        <v>0</v>
      </c>
      <c r="W96" s="35">
        <f t="shared" si="117"/>
        <v>277869553.01550412</v>
      </c>
      <c r="X96" s="35">
        <f t="shared" si="118"/>
        <v>12619440.650873333</v>
      </c>
      <c r="Y96" s="35">
        <v>0</v>
      </c>
      <c r="Z96" s="35">
        <f t="shared" si="128"/>
        <v>1097342.6652933334</v>
      </c>
      <c r="AA96" s="35">
        <f t="shared" si="119"/>
        <v>13716783.316166667</v>
      </c>
      <c r="AB96" s="35"/>
      <c r="AC96" s="35"/>
      <c r="AD96" s="35"/>
      <c r="AE96" s="35"/>
      <c r="AF96" s="35">
        <f t="shared" si="120"/>
        <v>0</v>
      </c>
      <c r="AG96" s="35">
        <f t="shared" si="121"/>
        <v>13716783.316166667</v>
      </c>
      <c r="AH96" s="35">
        <f t="shared" si="108"/>
        <v>24939956.130335998</v>
      </c>
      <c r="AI96" s="35">
        <f t="shared" si="109"/>
        <v>17035471.374683149</v>
      </c>
      <c r="AJ96" s="35">
        <f t="shared" si="122"/>
        <v>16460139.9794</v>
      </c>
      <c r="AK96" s="36">
        <f t="shared" si="98"/>
        <v>9135940.0104772672</v>
      </c>
      <c r="AL96" s="36">
        <f t="shared" si="99"/>
        <v>1323539.4718014048</v>
      </c>
      <c r="AM96" s="35">
        <f t="shared" si="100"/>
        <v>6920112.8637299612</v>
      </c>
      <c r="AN96" s="36">
        <f t="shared" si="101"/>
        <v>1291192.7531570098</v>
      </c>
      <c r="AO96" s="36">
        <f t="shared" si="102"/>
        <v>1291192.7531570098</v>
      </c>
      <c r="AP96" s="35">
        <f t="shared" si="103"/>
        <v>2376500.059082563</v>
      </c>
      <c r="AQ96" s="35">
        <v>0</v>
      </c>
      <c r="AR96" s="37">
        <f t="shared" si="123"/>
        <v>80774045.395824343</v>
      </c>
      <c r="AS96" s="36">
        <f t="shared" si="104"/>
        <v>858455.56672757026</v>
      </c>
      <c r="AT96" s="36">
        <f t="shared" si="105"/>
        <v>809680.06619259983</v>
      </c>
      <c r="AU96" s="36">
        <f t="shared" si="124"/>
        <v>1668135.6329201702</v>
      </c>
      <c r="AV96" s="38">
        <f t="shared" si="125"/>
        <v>372360381.72749507</v>
      </c>
    </row>
    <row r="97" spans="1:48" x14ac:dyDescent="0.25">
      <c r="A97" s="40" t="s">
        <v>97</v>
      </c>
      <c r="B97" s="33">
        <v>7</v>
      </c>
      <c r="C97" s="33">
        <v>9</v>
      </c>
      <c r="D97" s="35">
        <v>1123314.6732000001</v>
      </c>
      <c r="E97" s="35">
        <f t="shared" si="112"/>
        <v>121317984.70560001</v>
      </c>
      <c r="F97" s="35">
        <v>0</v>
      </c>
      <c r="G97" s="35">
        <f t="shared" si="94"/>
        <v>299550.57952000003</v>
      </c>
      <c r="H97" s="35">
        <f t="shared" si="113"/>
        <v>793176</v>
      </c>
      <c r="I97" s="35">
        <f t="shared" si="129"/>
        <v>1406064</v>
      </c>
      <c r="J97" s="35">
        <f t="shared" si="107"/>
        <v>5164492.8609858332</v>
      </c>
      <c r="K97" s="35">
        <f t="shared" si="84"/>
        <v>5167247.4967200002</v>
      </c>
      <c r="L97" s="35">
        <f t="shared" si="114"/>
        <v>25274580.147</v>
      </c>
      <c r="M97" s="35">
        <f t="shared" si="130"/>
        <v>11090403.503099555</v>
      </c>
      <c r="N97" s="35">
        <f t="shared" si="115"/>
        <v>1435116.9738888196</v>
      </c>
      <c r="O97" s="35"/>
      <c r="P97" s="35"/>
      <c r="Q97" s="35">
        <f t="shared" si="127"/>
        <v>171948616.26681423</v>
      </c>
      <c r="R97" s="35"/>
      <c r="S97" s="35"/>
      <c r="T97" s="35"/>
      <c r="U97" s="35"/>
      <c r="V97" s="35">
        <f t="shared" si="116"/>
        <v>0</v>
      </c>
      <c r="W97" s="35">
        <f t="shared" si="117"/>
        <v>171948616.26681423</v>
      </c>
      <c r="X97" s="35">
        <f t="shared" si="118"/>
        <v>7750871.2450800007</v>
      </c>
      <c r="Y97" s="35">
        <v>0</v>
      </c>
      <c r="Z97" s="35">
        <f t="shared" si="128"/>
        <v>673988.80392000009</v>
      </c>
      <c r="AA97" s="35">
        <f t="shared" si="119"/>
        <v>8424860.0490000006</v>
      </c>
      <c r="AB97" s="35"/>
      <c r="AC97" s="35"/>
      <c r="AD97" s="35"/>
      <c r="AE97" s="35"/>
      <c r="AF97" s="35">
        <f t="shared" si="120"/>
        <v>0</v>
      </c>
      <c r="AG97" s="35">
        <f t="shared" si="121"/>
        <v>8424860.0490000006</v>
      </c>
      <c r="AH97" s="35">
        <f t="shared" si="108"/>
        <v>15414788.244671999</v>
      </c>
      <c r="AI97" s="35">
        <f t="shared" si="109"/>
        <v>10535565.436411101</v>
      </c>
      <c r="AJ97" s="35">
        <f t="shared" si="122"/>
        <v>10109832.058800001</v>
      </c>
      <c r="AK97" s="36">
        <f t="shared" si="98"/>
        <v>5611302.1712324144</v>
      </c>
      <c r="AL97" s="36">
        <f t="shared" si="99"/>
        <v>812919.0760133994</v>
      </c>
      <c r="AM97" s="35">
        <f t="shared" si="100"/>
        <v>4250339.2418174101</v>
      </c>
      <c r="AN97" s="36">
        <f t="shared" si="101"/>
        <v>793051.69374585152</v>
      </c>
      <c r="AO97" s="36">
        <f t="shared" si="102"/>
        <v>793051.69374585152</v>
      </c>
      <c r="AP97" s="35">
        <f t="shared" si="103"/>
        <v>1459648.369644593</v>
      </c>
      <c r="AQ97" s="35">
        <v>0</v>
      </c>
      <c r="AR97" s="37">
        <f t="shared" si="123"/>
        <v>49780497.986082613</v>
      </c>
      <c r="AS97" s="36">
        <f t="shared" si="104"/>
        <v>527264.14358683187</v>
      </c>
      <c r="AT97" s="36">
        <f t="shared" si="105"/>
        <v>497306.18942547025</v>
      </c>
      <c r="AU97" s="36">
        <f t="shared" si="124"/>
        <v>1024570.3330123022</v>
      </c>
      <c r="AV97" s="38">
        <f t="shared" si="125"/>
        <v>230153974.30189684</v>
      </c>
    </row>
    <row r="98" spans="1:48" x14ac:dyDescent="0.25">
      <c r="A98" s="40" t="s">
        <v>98</v>
      </c>
      <c r="B98" s="33">
        <v>19</v>
      </c>
      <c r="C98" s="33">
        <v>1</v>
      </c>
      <c r="D98" s="35">
        <v>1966978.9291999999</v>
      </c>
      <c r="E98" s="35">
        <f t="shared" si="112"/>
        <v>23603747.150399998</v>
      </c>
      <c r="F98" s="35">
        <v>0</v>
      </c>
      <c r="G98" s="35">
        <f t="shared" si="94"/>
        <v>4720749.4300800003</v>
      </c>
      <c r="H98" s="35">
        <f t="shared" si="113"/>
        <v>793176</v>
      </c>
      <c r="I98" s="35">
        <f t="shared" si="129"/>
        <v>1406064</v>
      </c>
      <c r="J98" s="35">
        <f t="shared" si="107"/>
        <v>1077992.9755384165</v>
      </c>
      <c r="K98" s="35">
        <f t="shared" si="84"/>
        <v>826131.15026400005</v>
      </c>
      <c r="L98" s="35">
        <f t="shared" si="114"/>
        <v>4917447.3229999999</v>
      </c>
      <c r="M98" s="35">
        <f t="shared" si="130"/>
        <v>2237227.970350496</v>
      </c>
      <c r="N98" s="35">
        <f t="shared" si="115"/>
        <v>1338864.3680035346</v>
      </c>
      <c r="O98" s="35"/>
      <c r="P98" s="35"/>
      <c r="Q98" s="35">
        <f t="shared" si="127"/>
        <v>40921400.367636442</v>
      </c>
      <c r="R98" s="35"/>
      <c r="S98" s="35"/>
      <c r="T98" s="35"/>
      <c r="U98" s="35"/>
      <c r="V98" s="35">
        <f t="shared" si="116"/>
        <v>0</v>
      </c>
      <c r="W98" s="35">
        <f t="shared" si="117"/>
        <v>40921400.367636442</v>
      </c>
      <c r="X98" s="35">
        <f t="shared" si="118"/>
        <v>1508017.1790533331</v>
      </c>
      <c r="Y98" s="35">
        <v>0</v>
      </c>
      <c r="Z98" s="35">
        <f t="shared" si="128"/>
        <v>131131.92861333332</v>
      </c>
      <c r="AA98" s="35">
        <f t="shared" si="119"/>
        <v>1639149.1076666664</v>
      </c>
      <c r="AB98" s="35"/>
      <c r="AC98" s="35"/>
      <c r="AD98" s="35"/>
      <c r="AE98" s="35"/>
      <c r="AF98" s="35">
        <f t="shared" si="120"/>
        <v>0</v>
      </c>
      <c r="AG98" s="35">
        <f t="shared" si="121"/>
        <v>1639149.1076666664</v>
      </c>
      <c r="AH98" s="35">
        <f t="shared" si="108"/>
        <v>2927630.7780479994</v>
      </c>
      <c r="AI98" s="35">
        <f t="shared" si="109"/>
        <v>2199105.6700983699</v>
      </c>
      <c r="AJ98" s="35">
        <f t="shared" si="122"/>
        <v>1966978.9291999999</v>
      </c>
      <c r="AK98" s="36">
        <f t="shared" si="98"/>
        <v>1091740.502907865</v>
      </c>
      <c r="AL98" s="36">
        <f t="shared" si="99"/>
        <v>158162.3398255425</v>
      </c>
      <c r="AM98" s="35">
        <f t="shared" si="100"/>
        <v>826950.20866638306</v>
      </c>
      <c r="AN98" s="36">
        <f t="shared" si="101"/>
        <v>154296.92227247712</v>
      </c>
      <c r="AO98" s="36">
        <f t="shared" si="102"/>
        <v>154296.92227247712</v>
      </c>
      <c r="AP98" s="35">
        <f t="shared" si="103"/>
        <v>283990.63114336593</v>
      </c>
      <c r="AQ98" s="35">
        <v>0</v>
      </c>
      <c r="AR98" s="37">
        <f t="shared" si="123"/>
        <v>9763152.9044344798</v>
      </c>
      <c r="AS98" s="36">
        <f t="shared" si="104"/>
        <v>102585.03351252338</v>
      </c>
      <c r="AT98" s="36">
        <f t="shared" si="105"/>
        <v>96756.384307016007</v>
      </c>
      <c r="AU98" s="36">
        <f t="shared" si="124"/>
        <v>199341.41781953938</v>
      </c>
      <c r="AV98" s="38">
        <f t="shared" si="125"/>
        <v>52323702.379737586</v>
      </c>
    </row>
    <row r="99" spans="1:48" x14ac:dyDescent="0.25">
      <c r="A99" s="40" t="s">
        <v>98</v>
      </c>
      <c r="B99" s="33">
        <v>15</v>
      </c>
      <c r="C99" s="33">
        <v>2</v>
      </c>
      <c r="D99" s="35">
        <v>1754399.2626</v>
      </c>
      <c r="E99" s="35">
        <f t="shared" si="112"/>
        <v>42105582.3024</v>
      </c>
      <c r="F99" s="35">
        <v>0</v>
      </c>
      <c r="G99" s="35">
        <f t="shared" si="94"/>
        <v>2105279.1151200002</v>
      </c>
      <c r="H99" s="35">
        <f t="shared" si="113"/>
        <v>793176</v>
      </c>
      <c r="I99" s="35">
        <f t="shared" si="129"/>
        <v>1406064</v>
      </c>
      <c r="J99" s="35">
        <f t="shared" si="107"/>
        <v>1850724.8439618126</v>
      </c>
      <c r="K99" s="35">
        <f t="shared" si="84"/>
        <v>1350887.4322019999</v>
      </c>
      <c r="L99" s="35">
        <f t="shared" si="114"/>
        <v>8771996.313000001</v>
      </c>
      <c r="M99" s="35">
        <f t="shared" si="130"/>
        <v>3878242.9330006219</v>
      </c>
      <c r="N99" s="35">
        <f t="shared" si="115"/>
        <v>1231720.6174436512</v>
      </c>
      <c r="O99" s="35"/>
      <c r="P99" s="35"/>
      <c r="Q99" s="35">
        <f t="shared" si="127"/>
        <v>63493673.557128087</v>
      </c>
      <c r="R99" s="35"/>
      <c r="S99" s="35"/>
      <c r="T99" s="35"/>
      <c r="U99" s="35"/>
      <c r="V99" s="35">
        <f t="shared" si="116"/>
        <v>0</v>
      </c>
      <c r="W99" s="35">
        <f t="shared" si="117"/>
        <v>63493673.557128087</v>
      </c>
      <c r="X99" s="35">
        <f t="shared" si="118"/>
        <v>2690078.8693200001</v>
      </c>
      <c r="Y99" s="35">
        <v>0</v>
      </c>
      <c r="Z99" s="35">
        <f t="shared" si="128"/>
        <v>233919.90168000001</v>
      </c>
      <c r="AA99" s="35">
        <f t="shared" si="119"/>
        <v>2923998.7710000002</v>
      </c>
      <c r="AB99" s="35"/>
      <c r="AC99" s="35"/>
      <c r="AD99" s="35"/>
      <c r="AE99" s="35"/>
      <c r="AF99" s="35">
        <f t="shared" si="120"/>
        <v>0</v>
      </c>
      <c r="AG99" s="35">
        <f t="shared" si="121"/>
        <v>2923998.7710000002</v>
      </c>
      <c r="AH99" s="35">
        <f t="shared" si="108"/>
        <v>5243032.1162879998</v>
      </c>
      <c r="AI99" s="35">
        <f t="shared" si="109"/>
        <v>3775478.6816820977</v>
      </c>
      <c r="AJ99" s="35">
        <f t="shared" si="122"/>
        <v>3508798.5252</v>
      </c>
      <c r="AK99" s="36">
        <f t="shared" si="98"/>
        <v>1947503.0513225812</v>
      </c>
      <c r="AL99" s="36">
        <f t="shared" si="99"/>
        <v>282138.14417816635</v>
      </c>
      <c r="AM99" s="35">
        <f t="shared" si="100"/>
        <v>1475156.4592319054</v>
      </c>
      <c r="AN99" s="36">
        <f t="shared" si="101"/>
        <v>275242.81286163093</v>
      </c>
      <c r="AO99" s="36">
        <f t="shared" si="102"/>
        <v>275242.81286163093</v>
      </c>
      <c r="AP99" s="35">
        <f t="shared" si="103"/>
        <v>506597.14394182013</v>
      </c>
      <c r="AQ99" s="35">
        <v>0</v>
      </c>
      <c r="AR99" s="37">
        <f t="shared" si="123"/>
        <v>17289189.747567832</v>
      </c>
      <c r="AS99" s="36">
        <f t="shared" si="104"/>
        <v>182996.47695907543</v>
      </c>
      <c r="AT99" s="36">
        <f t="shared" si="105"/>
        <v>172599.03170300939</v>
      </c>
      <c r="AU99" s="36">
        <f t="shared" si="124"/>
        <v>355595.50866208482</v>
      </c>
      <c r="AV99" s="38">
        <f t="shared" si="125"/>
        <v>83706862.075695917</v>
      </c>
    </row>
    <row r="100" spans="1:48" x14ac:dyDescent="0.25">
      <c r="A100" s="40" t="s">
        <v>98</v>
      </c>
      <c r="B100" s="33">
        <v>11</v>
      </c>
      <c r="C100" s="33">
        <v>8</v>
      </c>
      <c r="D100" s="35">
        <v>1502135.5412000001</v>
      </c>
      <c r="E100" s="35">
        <f t="shared" si="112"/>
        <v>144205011.95520002</v>
      </c>
      <c r="F100" s="35">
        <v>0</v>
      </c>
      <c r="G100" s="35">
        <f t="shared" si="94"/>
        <v>450640.66236000007</v>
      </c>
      <c r="H100" s="35">
        <f t="shared" si="113"/>
        <v>793176</v>
      </c>
      <c r="I100" s="35">
        <f t="shared" si="129"/>
        <v>1406064</v>
      </c>
      <c r="J100" s="35">
        <f t="shared" si="107"/>
        <v>6121561.7332684733</v>
      </c>
      <c r="K100" s="35">
        <f t="shared" si="84"/>
        <v>6158755.7189200008</v>
      </c>
      <c r="L100" s="35">
        <f t="shared" si="114"/>
        <v>30042710.824000001</v>
      </c>
      <c r="M100" s="35">
        <f t="shared" si="130"/>
        <v>13189877.804994656</v>
      </c>
      <c r="N100" s="35">
        <f t="shared" si="115"/>
        <v>1793204.2525473728</v>
      </c>
      <c r="O100" s="35"/>
      <c r="P100" s="35"/>
      <c r="Q100" s="35">
        <f t="shared" si="127"/>
        <v>204161002.95129052</v>
      </c>
      <c r="R100" s="35"/>
      <c r="S100" s="35"/>
      <c r="T100" s="35"/>
      <c r="U100" s="35"/>
      <c r="V100" s="35">
        <f t="shared" si="116"/>
        <v>0</v>
      </c>
      <c r="W100" s="35">
        <f t="shared" si="117"/>
        <v>204161002.95129052</v>
      </c>
      <c r="X100" s="35">
        <f t="shared" si="118"/>
        <v>9213097.9860266689</v>
      </c>
      <c r="Y100" s="35">
        <v>0</v>
      </c>
      <c r="Z100" s="35">
        <f t="shared" si="128"/>
        <v>801138.95530666667</v>
      </c>
      <c r="AA100" s="35">
        <f t="shared" si="119"/>
        <v>10014236.941333335</v>
      </c>
      <c r="AB100" s="35"/>
      <c r="AC100" s="35"/>
      <c r="AD100" s="35"/>
      <c r="AE100" s="35"/>
      <c r="AF100" s="35">
        <f t="shared" si="120"/>
        <v>0</v>
      </c>
      <c r="AG100" s="35">
        <f t="shared" si="121"/>
        <v>10014236.941333335</v>
      </c>
      <c r="AH100" s="35">
        <f t="shared" si="108"/>
        <v>18066050.394624002</v>
      </c>
      <c r="AI100" s="35">
        <f t="shared" si="109"/>
        <v>12487985.935867686</v>
      </c>
      <c r="AJ100" s="35">
        <f t="shared" si="122"/>
        <v>12017084.329600001</v>
      </c>
      <c r="AK100" s="36">
        <f t="shared" si="98"/>
        <v>6669892.3383076824</v>
      </c>
      <c r="AL100" s="36">
        <f t="shared" si="99"/>
        <v>966278.86920142046</v>
      </c>
      <c r="AM100" s="35">
        <f t="shared" si="100"/>
        <v>5052179.3835208928</v>
      </c>
      <c r="AN100" s="36">
        <f t="shared" si="101"/>
        <v>942663.44149412168</v>
      </c>
      <c r="AO100" s="36">
        <f t="shared" si="102"/>
        <v>942663.44149412168</v>
      </c>
      <c r="AP100" s="35">
        <f t="shared" si="103"/>
        <v>1735015.7200993351</v>
      </c>
      <c r="AQ100" s="35">
        <v>0</v>
      </c>
      <c r="AR100" s="37">
        <f t="shared" si="123"/>
        <v>58879813.854209274</v>
      </c>
      <c r="AS100" s="36">
        <f t="shared" si="104"/>
        <v>626734.21681045822</v>
      </c>
      <c r="AT100" s="36">
        <f t="shared" si="105"/>
        <v>591124.59843049629</v>
      </c>
      <c r="AU100" s="36">
        <f t="shared" si="124"/>
        <v>1217858.8152409545</v>
      </c>
      <c r="AV100" s="38">
        <f t="shared" si="125"/>
        <v>273055053.74683309</v>
      </c>
    </row>
    <row r="101" spans="1:48" x14ac:dyDescent="0.25">
      <c r="A101" s="40" t="s">
        <v>99</v>
      </c>
      <c r="B101" s="33">
        <v>7</v>
      </c>
      <c r="C101" s="33">
        <v>6</v>
      </c>
      <c r="D101" s="35">
        <v>1123314.6732000001</v>
      </c>
      <c r="E101" s="35">
        <f t="shared" si="112"/>
        <v>80878656.470400006</v>
      </c>
      <c r="F101" s="35">
        <v>0</v>
      </c>
      <c r="G101" s="35">
        <f t="shared" si="94"/>
        <v>449325.86928000004</v>
      </c>
      <c r="H101" s="35">
        <f t="shared" si="113"/>
        <v>793176</v>
      </c>
      <c r="I101" s="35">
        <f t="shared" si="129"/>
        <v>1406064</v>
      </c>
      <c r="J101" s="35">
        <f t="shared" si="107"/>
        <v>3473670.2539295834</v>
      </c>
      <c r="K101" s="35">
        <f t="shared" si="84"/>
        <v>3482275.4869200001</v>
      </c>
      <c r="L101" s="35">
        <f t="shared" si="114"/>
        <v>16849720.098000001</v>
      </c>
      <c r="M101" s="35">
        <f t="shared" si="130"/>
        <v>7416220.3003450315</v>
      </c>
      <c r="N101" s="35">
        <f t="shared" si="115"/>
        <v>1160041.3928907986</v>
      </c>
      <c r="O101" s="35"/>
      <c r="P101" s="35"/>
      <c r="Q101" s="35">
        <f t="shared" si="127"/>
        <v>115909149.87176542</v>
      </c>
      <c r="R101" s="35"/>
      <c r="S101" s="35"/>
      <c r="T101" s="35"/>
      <c r="U101" s="35"/>
      <c r="V101" s="35">
        <f t="shared" si="116"/>
        <v>0</v>
      </c>
      <c r="W101" s="35">
        <f t="shared" si="117"/>
        <v>115909149.87176542</v>
      </c>
      <c r="X101" s="35">
        <f t="shared" si="118"/>
        <v>5167247.4967200002</v>
      </c>
      <c r="Y101" s="35">
        <v>0</v>
      </c>
      <c r="Z101" s="35">
        <f t="shared" si="128"/>
        <v>449325.86928000004</v>
      </c>
      <c r="AA101" s="35">
        <f t="shared" si="119"/>
        <v>5616573.3660000004</v>
      </c>
      <c r="AB101" s="35"/>
      <c r="AC101" s="35"/>
      <c r="AD101" s="35"/>
      <c r="AE101" s="35"/>
      <c r="AF101" s="35">
        <f t="shared" si="120"/>
        <v>0</v>
      </c>
      <c r="AG101" s="35">
        <f t="shared" si="121"/>
        <v>5616573.3660000004</v>
      </c>
      <c r="AH101" s="35">
        <f t="shared" si="108"/>
        <v>10276525.496447999</v>
      </c>
      <c r="AI101" s="35">
        <f t="shared" si="109"/>
        <v>7086287.3180163503</v>
      </c>
      <c r="AJ101" s="35">
        <f t="shared" si="122"/>
        <v>6739888.0392000005</v>
      </c>
      <c r="AK101" s="36">
        <f t="shared" si="98"/>
        <v>3740868.1141549428</v>
      </c>
      <c r="AL101" s="36">
        <f t="shared" si="99"/>
        <v>541946.0506755996</v>
      </c>
      <c r="AM101" s="35">
        <f t="shared" si="100"/>
        <v>2833559.4945449401</v>
      </c>
      <c r="AN101" s="36">
        <f t="shared" si="101"/>
        <v>528701.12916390097</v>
      </c>
      <c r="AO101" s="36">
        <f t="shared" si="102"/>
        <v>528701.12916390097</v>
      </c>
      <c r="AP101" s="35">
        <f t="shared" si="103"/>
        <v>973098.9130963952</v>
      </c>
      <c r="AQ101" s="35">
        <v>0</v>
      </c>
      <c r="AR101" s="37">
        <f t="shared" si="123"/>
        <v>33249575.684464034</v>
      </c>
      <c r="AS101" s="36">
        <f t="shared" si="104"/>
        <v>351509.42905788787</v>
      </c>
      <c r="AT101" s="36">
        <f t="shared" si="105"/>
        <v>331537.45961698017</v>
      </c>
      <c r="AU101" s="36">
        <f t="shared" si="124"/>
        <v>683046.88867486804</v>
      </c>
      <c r="AV101" s="38">
        <f t="shared" si="125"/>
        <v>154775298.92222944</v>
      </c>
    </row>
    <row r="102" spans="1:48" x14ac:dyDescent="0.25">
      <c r="A102" s="40" t="s">
        <v>100</v>
      </c>
      <c r="B102" s="33">
        <v>16</v>
      </c>
      <c r="C102" s="33">
        <v>5</v>
      </c>
      <c r="D102" s="35">
        <v>1832405.1702000001</v>
      </c>
      <c r="E102" s="35">
        <f t="shared" si="112"/>
        <v>109944310.212</v>
      </c>
      <c r="F102" s="35">
        <v>0</v>
      </c>
      <c r="G102" s="35">
        <f t="shared" si="94"/>
        <v>879554.48169600021</v>
      </c>
      <c r="H102" s="35">
        <f t="shared" si="113"/>
        <v>793176</v>
      </c>
      <c r="I102" s="35">
        <f t="shared" si="129"/>
        <v>1406064</v>
      </c>
      <c r="J102" s="35">
        <f t="shared" si="107"/>
        <v>4684227.7081727916</v>
      </c>
      <c r="K102" s="35">
        <f t="shared" si="84"/>
        <v>3334977.4097640002</v>
      </c>
      <c r="L102" s="35">
        <f t="shared" si="114"/>
        <v>22905064.627499998</v>
      </c>
      <c r="M102" s="35">
        <f t="shared" si="130"/>
        <v>9965386.0926335156</v>
      </c>
      <c r="N102" s="35">
        <f t="shared" si="115"/>
        <v>1621117.7816653992</v>
      </c>
      <c r="O102" s="35"/>
      <c r="P102" s="35"/>
      <c r="Q102" s="35">
        <f t="shared" si="127"/>
        <v>155533878.31343171</v>
      </c>
      <c r="R102" s="35"/>
      <c r="S102" s="35"/>
      <c r="T102" s="35"/>
      <c r="U102" s="35"/>
      <c r="V102" s="35">
        <f t="shared" si="116"/>
        <v>0</v>
      </c>
      <c r="W102" s="35">
        <f t="shared" si="117"/>
        <v>155533878.31343171</v>
      </c>
      <c r="X102" s="35">
        <f t="shared" si="118"/>
        <v>7024219.8191</v>
      </c>
      <c r="Y102" s="35">
        <v>0</v>
      </c>
      <c r="Z102" s="35">
        <f t="shared" si="128"/>
        <v>610801.72340000002</v>
      </c>
      <c r="AA102" s="35">
        <f t="shared" si="119"/>
        <v>7635021.5425000004</v>
      </c>
      <c r="AB102" s="35"/>
      <c r="AC102" s="35"/>
      <c r="AD102" s="35"/>
      <c r="AE102" s="35"/>
      <c r="AF102" s="35">
        <f t="shared" si="120"/>
        <v>0</v>
      </c>
      <c r="AG102" s="35">
        <f t="shared" si="121"/>
        <v>7635021.5425000004</v>
      </c>
      <c r="AH102" s="35">
        <f t="shared" si="108"/>
        <v>13669222.825440001</v>
      </c>
      <c r="AI102" s="35">
        <f t="shared" si="109"/>
        <v>9555824.5246724952</v>
      </c>
      <c r="AJ102" s="35">
        <f t="shared" si="122"/>
        <v>9162025.8509999998</v>
      </c>
      <c r="AK102" s="36">
        <f t="shared" si="98"/>
        <v>5085237.3463368975</v>
      </c>
      <c r="AL102" s="36">
        <f t="shared" si="99"/>
        <v>736707.1525904109</v>
      </c>
      <c r="AM102" s="35">
        <f t="shared" si="100"/>
        <v>3851865.9640003047</v>
      </c>
      <c r="AN102" s="36">
        <f t="shared" si="101"/>
        <v>718702.35598565103</v>
      </c>
      <c r="AO102" s="36">
        <f t="shared" si="102"/>
        <v>718702.35598565103</v>
      </c>
      <c r="AP102" s="35">
        <f t="shared" si="103"/>
        <v>1322804.9702777287</v>
      </c>
      <c r="AQ102" s="35">
        <v>0</v>
      </c>
      <c r="AR102" s="37">
        <f t="shared" si="123"/>
        <v>44821093.346289136</v>
      </c>
      <c r="AS102" s="36">
        <f t="shared" si="104"/>
        <v>477832.637154739</v>
      </c>
      <c r="AT102" s="36">
        <f t="shared" si="105"/>
        <v>450683.26920549071</v>
      </c>
      <c r="AU102" s="36">
        <f t="shared" si="124"/>
        <v>928515.90636022971</v>
      </c>
      <c r="AV102" s="38">
        <f t="shared" si="125"/>
        <v>207989993.20222083</v>
      </c>
    </row>
    <row r="103" spans="1:48" x14ac:dyDescent="0.25">
      <c r="A103" s="40" t="s">
        <v>100</v>
      </c>
      <c r="B103" s="33">
        <v>15</v>
      </c>
      <c r="C103" s="33">
        <v>2</v>
      </c>
      <c r="D103" s="35">
        <v>1754399.2626</v>
      </c>
      <c r="E103" s="35">
        <f t="shared" si="112"/>
        <v>42105582.3024</v>
      </c>
      <c r="F103" s="35">
        <v>0</v>
      </c>
      <c r="G103" s="35">
        <f t="shared" si="94"/>
        <v>2105279.1151200002</v>
      </c>
      <c r="H103" s="35">
        <f t="shared" si="113"/>
        <v>793176</v>
      </c>
      <c r="I103" s="35">
        <f t="shared" si="129"/>
        <v>1406064</v>
      </c>
      <c r="J103" s="35">
        <f t="shared" si="107"/>
        <v>1850724.8439618126</v>
      </c>
      <c r="K103" s="35">
        <f t="shared" si="84"/>
        <v>1350887.4322019999</v>
      </c>
      <c r="L103" s="35">
        <f t="shared" si="114"/>
        <v>8771996.313000001</v>
      </c>
      <c r="M103" s="35">
        <f t="shared" si="130"/>
        <v>3878242.9330006219</v>
      </c>
      <c r="N103" s="35">
        <f t="shared" si="115"/>
        <v>1231720.6174436512</v>
      </c>
      <c r="O103" s="35"/>
      <c r="P103" s="35"/>
      <c r="Q103" s="35">
        <f t="shared" si="127"/>
        <v>63493673.557128087</v>
      </c>
      <c r="R103" s="35"/>
      <c r="S103" s="35"/>
      <c r="T103" s="35"/>
      <c r="U103" s="35"/>
      <c r="V103" s="35">
        <f t="shared" si="116"/>
        <v>0</v>
      </c>
      <c r="W103" s="35">
        <f t="shared" si="117"/>
        <v>63493673.557128087</v>
      </c>
      <c r="X103" s="35">
        <f t="shared" si="118"/>
        <v>2690078.8693200001</v>
      </c>
      <c r="Y103" s="35">
        <v>0</v>
      </c>
      <c r="Z103" s="35">
        <f t="shared" si="128"/>
        <v>233919.90168000001</v>
      </c>
      <c r="AA103" s="35">
        <f t="shared" si="119"/>
        <v>2923998.7710000002</v>
      </c>
      <c r="AB103" s="35"/>
      <c r="AC103" s="35"/>
      <c r="AD103" s="35"/>
      <c r="AE103" s="35"/>
      <c r="AF103" s="35">
        <f t="shared" si="120"/>
        <v>0</v>
      </c>
      <c r="AG103" s="35">
        <f t="shared" si="121"/>
        <v>2923998.7710000002</v>
      </c>
      <c r="AH103" s="35">
        <f t="shared" si="108"/>
        <v>5243032.1162879998</v>
      </c>
      <c r="AI103" s="35">
        <f t="shared" si="109"/>
        <v>3775478.6816820977</v>
      </c>
      <c r="AJ103" s="35">
        <f t="shared" si="122"/>
        <v>3508798.5252</v>
      </c>
      <c r="AK103" s="36">
        <f t="shared" si="98"/>
        <v>1947503.0513225812</v>
      </c>
      <c r="AL103" s="36">
        <f t="shared" si="99"/>
        <v>282138.14417816635</v>
      </c>
      <c r="AM103" s="35">
        <f t="shared" si="100"/>
        <v>1475156.4592319054</v>
      </c>
      <c r="AN103" s="36">
        <f t="shared" si="101"/>
        <v>275242.81286163093</v>
      </c>
      <c r="AO103" s="36">
        <f t="shared" si="102"/>
        <v>275242.81286163093</v>
      </c>
      <c r="AP103" s="35">
        <f t="shared" si="103"/>
        <v>506597.14394182013</v>
      </c>
      <c r="AQ103" s="35">
        <v>0</v>
      </c>
      <c r="AR103" s="37">
        <f t="shared" si="123"/>
        <v>17289189.747567832</v>
      </c>
      <c r="AS103" s="36">
        <f t="shared" si="104"/>
        <v>182996.47695907543</v>
      </c>
      <c r="AT103" s="36">
        <f t="shared" si="105"/>
        <v>172599.03170300939</v>
      </c>
      <c r="AU103" s="36">
        <f t="shared" si="124"/>
        <v>355595.50866208482</v>
      </c>
      <c r="AV103" s="38">
        <f t="shared" si="125"/>
        <v>83706862.075695917</v>
      </c>
    </row>
    <row r="104" spans="1:48" x14ac:dyDescent="0.25">
      <c r="A104" s="40" t="s">
        <v>100</v>
      </c>
      <c r="B104" s="33">
        <v>14</v>
      </c>
      <c r="C104" s="33">
        <v>3</v>
      </c>
      <c r="D104" s="35">
        <v>1701513.6469999999</v>
      </c>
      <c r="E104" s="35">
        <f t="shared" si="112"/>
        <v>61254491.291999996</v>
      </c>
      <c r="F104" s="35">
        <v>0</v>
      </c>
      <c r="G104" s="35">
        <f t="shared" si="94"/>
        <v>1361210.9176</v>
      </c>
      <c r="H104" s="35">
        <f t="shared" si="113"/>
        <v>793176</v>
      </c>
      <c r="I104" s="35">
        <f t="shared" si="129"/>
        <v>1406064</v>
      </c>
      <c r="J104" s="35">
        <f t="shared" si="107"/>
        <v>2650522.4680161108</v>
      </c>
      <c r="K104" s="35">
        <f t="shared" si="84"/>
        <v>1905695.2846399997</v>
      </c>
      <c r="L104" s="35">
        <f t="shared" si="114"/>
        <v>12761352.352499999</v>
      </c>
      <c r="M104" s="35">
        <f t="shared" si="130"/>
        <v>5591488.9835370099</v>
      </c>
      <c r="N104" s="35">
        <f t="shared" si="115"/>
        <v>1287158.7577880092</v>
      </c>
      <c r="O104" s="35"/>
      <c r="P104" s="35"/>
      <c r="Q104" s="35">
        <f t="shared" si="127"/>
        <v>89011160.056081101</v>
      </c>
      <c r="R104" s="35"/>
      <c r="S104" s="35"/>
      <c r="T104" s="35"/>
      <c r="U104" s="35"/>
      <c r="V104" s="35">
        <f t="shared" si="116"/>
        <v>0</v>
      </c>
      <c r="W104" s="35">
        <f t="shared" si="117"/>
        <v>89011160.056081101</v>
      </c>
      <c r="X104" s="35">
        <f t="shared" si="118"/>
        <v>3913481.3880999996</v>
      </c>
      <c r="Y104" s="35">
        <v>0</v>
      </c>
      <c r="Z104" s="35">
        <f t="shared" si="128"/>
        <v>340302.72939999995</v>
      </c>
      <c r="AA104" s="35">
        <f t="shared" si="119"/>
        <v>4253784.1174999997</v>
      </c>
      <c r="AB104" s="35"/>
      <c r="AC104" s="35"/>
      <c r="AD104" s="35"/>
      <c r="AE104" s="35"/>
      <c r="AF104" s="35">
        <f t="shared" si="120"/>
        <v>0</v>
      </c>
      <c r="AG104" s="35">
        <f t="shared" si="121"/>
        <v>4253784.1174999997</v>
      </c>
      <c r="AH104" s="35">
        <f t="shared" si="108"/>
        <v>7636082.3150399998</v>
      </c>
      <c r="AI104" s="35">
        <f t="shared" si="109"/>
        <v>5407065.834752867</v>
      </c>
      <c r="AJ104" s="35">
        <f t="shared" si="122"/>
        <v>5104540.9409999996</v>
      </c>
      <c r="AK104" s="36">
        <f t="shared" si="98"/>
        <v>2833194.6068724194</v>
      </c>
      <c r="AL104" s="36">
        <f t="shared" si="99"/>
        <v>410449.81569385511</v>
      </c>
      <c r="AM104" s="35">
        <f t="shared" si="100"/>
        <v>2146032.7478052196</v>
      </c>
      <c r="AN104" s="36">
        <f t="shared" si="101"/>
        <v>400418.60394025123</v>
      </c>
      <c r="AO104" s="36">
        <f t="shared" si="102"/>
        <v>400418.60394025123</v>
      </c>
      <c r="AP104" s="35">
        <f t="shared" si="103"/>
        <v>736988.9844835971</v>
      </c>
      <c r="AQ104" s="35">
        <v>0</v>
      </c>
      <c r="AR104" s="37">
        <f t="shared" si="123"/>
        <v>25075192.45352846</v>
      </c>
      <c r="AS104" s="36">
        <f t="shared" si="104"/>
        <v>266220.18961408443</v>
      </c>
      <c r="AT104" s="36">
        <f t="shared" si="105"/>
        <v>251094.1615420194</v>
      </c>
      <c r="AU104" s="36">
        <f t="shared" si="124"/>
        <v>517314.35115610383</v>
      </c>
      <c r="AV104" s="38">
        <f t="shared" si="125"/>
        <v>118340136.62710956</v>
      </c>
    </row>
    <row r="105" spans="1:48" x14ac:dyDescent="0.25">
      <c r="A105" s="40" t="s">
        <v>100</v>
      </c>
      <c r="B105" s="33">
        <v>12</v>
      </c>
      <c r="C105" s="33">
        <v>2</v>
      </c>
      <c r="D105" s="35">
        <v>1612899.7253999999</v>
      </c>
      <c r="E105" s="35">
        <f t="shared" si="112"/>
        <v>38709593.409599997</v>
      </c>
      <c r="F105" s="35">
        <v>0</v>
      </c>
      <c r="G105" s="35">
        <f t="shared" si="94"/>
        <v>1935479.6704799999</v>
      </c>
      <c r="H105" s="35">
        <f t="shared" si="113"/>
        <v>793176</v>
      </c>
      <c r="I105" s="35">
        <f t="shared" si="129"/>
        <v>1406064</v>
      </c>
      <c r="J105" s="35">
        <f t="shared" si="107"/>
        <v>1710695.1062956247</v>
      </c>
      <c r="K105" s="35">
        <f t="shared" si="84"/>
        <v>1774189.6979399999</v>
      </c>
      <c r="L105" s="35">
        <f t="shared" si="114"/>
        <v>8064498.6269999994</v>
      </c>
      <c r="M105" s="35">
        <f t="shared" si="130"/>
        <v>3614331.6774854381</v>
      </c>
      <c r="N105" s="35">
        <f t="shared" si="115"/>
        <v>1177501.9159896353</v>
      </c>
      <c r="O105" s="35"/>
      <c r="P105" s="35"/>
      <c r="Q105" s="35">
        <f t="shared" si="127"/>
        <v>59185530.104790688</v>
      </c>
      <c r="R105" s="35"/>
      <c r="S105" s="35"/>
      <c r="T105" s="35"/>
      <c r="U105" s="35"/>
      <c r="V105" s="35">
        <f t="shared" si="116"/>
        <v>0</v>
      </c>
      <c r="W105" s="35">
        <f t="shared" si="117"/>
        <v>59185530.104790688</v>
      </c>
      <c r="X105" s="35">
        <f t="shared" si="118"/>
        <v>2473112.9122799998</v>
      </c>
      <c r="Y105" s="35">
        <v>0</v>
      </c>
      <c r="Z105" s="35">
        <f t="shared" si="128"/>
        <v>215053.29671999998</v>
      </c>
      <c r="AA105" s="35">
        <f t="shared" si="119"/>
        <v>2688166.2089999998</v>
      </c>
      <c r="AB105" s="35"/>
      <c r="AC105" s="35"/>
      <c r="AD105" s="35"/>
      <c r="AE105" s="35"/>
      <c r="AF105" s="35">
        <f t="shared" si="120"/>
        <v>0</v>
      </c>
      <c r="AG105" s="35">
        <f t="shared" si="121"/>
        <v>2688166.2089999998</v>
      </c>
      <c r="AH105" s="35">
        <f t="shared" si="108"/>
        <v>4835513.4491519993</v>
      </c>
      <c r="AI105" s="35">
        <f t="shared" si="109"/>
        <v>3489818.0168430749</v>
      </c>
      <c r="AJ105" s="35">
        <f t="shared" si="122"/>
        <v>3225799.4507999998</v>
      </c>
      <c r="AK105" s="36">
        <f t="shared" si="98"/>
        <v>1790428.8970338129</v>
      </c>
      <c r="AL105" s="36">
        <f t="shared" si="99"/>
        <v>259382.53906664063</v>
      </c>
      <c r="AM105" s="35">
        <f t="shared" si="100"/>
        <v>1356179.0059641905</v>
      </c>
      <c r="AN105" s="36">
        <f t="shared" si="101"/>
        <v>253043.34466313862</v>
      </c>
      <c r="AO105" s="36">
        <f t="shared" si="102"/>
        <v>253043.34466313862</v>
      </c>
      <c r="AP105" s="35">
        <f t="shared" si="103"/>
        <v>465737.99463485135</v>
      </c>
      <c r="AQ105" s="35">
        <v>0</v>
      </c>
      <c r="AR105" s="37">
        <f t="shared" si="123"/>
        <v>15928946.042820849</v>
      </c>
      <c r="AS105" s="36">
        <f t="shared" si="104"/>
        <v>168237.05625539526</v>
      </c>
      <c r="AT105" s="36">
        <f t="shared" si="105"/>
        <v>158678.20784735531</v>
      </c>
      <c r="AU105" s="36">
        <f t="shared" si="124"/>
        <v>326915.26410275057</v>
      </c>
      <c r="AV105" s="38">
        <f t="shared" si="125"/>
        <v>77802642.356611535</v>
      </c>
    </row>
    <row r="106" spans="1:48" x14ac:dyDescent="0.25">
      <c r="A106" s="40" t="s">
        <v>100</v>
      </c>
      <c r="B106" s="33">
        <v>10</v>
      </c>
      <c r="C106" s="33">
        <v>1</v>
      </c>
      <c r="D106" s="35">
        <v>1391660.959</v>
      </c>
      <c r="E106" s="35">
        <f t="shared" si="112"/>
        <v>16699931.508000001</v>
      </c>
      <c r="F106" s="35">
        <v>0</v>
      </c>
      <c r="G106" s="35">
        <f t="shared" si="94"/>
        <v>3339986.3016000004</v>
      </c>
      <c r="H106" s="35">
        <f t="shared" si="113"/>
        <v>793176</v>
      </c>
      <c r="I106" s="35">
        <f t="shared" si="129"/>
        <v>1406064</v>
      </c>
      <c r="J106" s="35">
        <f t="shared" si="107"/>
        <v>790364.77316458337</v>
      </c>
      <c r="K106" s="35">
        <f t="shared" si="84"/>
        <v>834996.57539999997</v>
      </c>
      <c r="L106" s="35">
        <v>0</v>
      </c>
      <c r="M106" s="35">
        <f t="shared" si="130"/>
        <v>1607978.0175843027</v>
      </c>
      <c r="N106" s="35">
        <f t="shared" si="115"/>
        <v>970443.35444704862</v>
      </c>
      <c r="O106" s="35"/>
      <c r="P106" s="35"/>
      <c r="Q106" s="35">
        <f t="shared" si="127"/>
        <v>26442940.530195937</v>
      </c>
      <c r="R106" s="35"/>
      <c r="S106" s="35"/>
      <c r="T106" s="35"/>
      <c r="U106" s="35"/>
      <c r="V106" s="35">
        <f t="shared" si="116"/>
        <v>0</v>
      </c>
      <c r="W106" s="35">
        <f t="shared" si="117"/>
        <v>26442940.530195937</v>
      </c>
      <c r="X106" s="35">
        <f t="shared" si="118"/>
        <v>1066940.0685666667</v>
      </c>
      <c r="Y106" s="35">
        <v>0</v>
      </c>
      <c r="Z106" s="35">
        <f t="shared" si="128"/>
        <v>92777.397266666667</v>
      </c>
      <c r="AA106" s="35">
        <f t="shared" si="119"/>
        <v>1159717.4658333333</v>
      </c>
      <c r="AB106" s="35"/>
      <c r="AC106" s="35"/>
      <c r="AD106" s="35"/>
      <c r="AE106" s="35"/>
      <c r="AF106" s="35">
        <f t="shared" si="120"/>
        <v>0</v>
      </c>
      <c r="AG106" s="35">
        <f t="shared" si="121"/>
        <v>1159717.4658333333</v>
      </c>
      <c r="AH106" s="35">
        <f t="shared" si="108"/>
        <v>2099172.9009600002</v>
      </c>
      <c r="AI106" s="35">
        <f t="shared" si="109"/>
        <v>1612344.1372557501</v>
      </c>
      <c r="AJ106" s="35">
        <f t="shared" si="122"/>
        <v>1391660.959</v>
      </c>
      <c r="AK106" s="36">
        <f t="shared" si="98"/>
        <v>772419.37506358407</v>
      </c>
      <c r="AL106" s="36">
        <f t="shared" si="99"/>
        <v>111901.73430521687</v>
      </c>
      <c r="AM106" s="35">
        <f t="shared" si="100"/>
        <v>585077.09632963396</v>
      </c>
      <c r="AN106" s="36">
        <f t="shared" si="101"/>
        <v>109166.90546746095</v>
      </c>
      <c r="AO106" s="36">
        <f t="shared" si="102"/>
        <v>109166.90546746095</v>
      </c>
      <c r="AP106" s="35">
        <f t="shared" si="103"/>
        <v>200926.74518111555</v>
      </c>
      <c r="AQ106" s="35">
        <v>0</v>
      </c>
      <c r="AR106" s="37">
        <f t="shared" si="123"/>
        <v>6991836.7590302229</v>
      </c>
      <c r="AS106" s="36">
        <f t="shared" si="104"/>
        <v>72580.12986196531</v>
      </c>
      <c r="AT106" s="36">
        <f t="shared" si="105"/>
        <v>68456.291308031199</v>
      </c>
      <c r="AU106" s="36">
        <f t="shared" si="124"/>
        <v>141036.42116999649</v>
      </c>
      <c r="AV106" s="38">
        <f t="shared" si="125"/>
        <v>34594494.755059496</v>
      </c>
    </row>
    <row r="107" spans="1:48" x14ac:dyDescent="0.25">
      <c r="A107" s="40" t="s">
        <v>100</v>
      </c>
      <c r="B107" s="33">
        <v>9</v>
      </c>
      <c r="C107" s="33">
        <v>1</v>
      </c>
      <c r="D107" s="35">
        <v>1266164.6137999999</v>
      </c>
      <c r="E107" s="35">
        <f t="shared" si="112"/>
        <v>15193975.365599999</v>
      </c>
      <c r="F107" s="35">
        <v>0</v>
      </c>
      <c r="G107" s="35">
        <f t="shared" si="94"/>
        <v>3038795.0731199998</v>
      </c>
      <c r="H107" s="35">
        <f t="shared" si="113"/>
        <v>793176</v>
      </c>
      <c r="I107" s="35">
        <f t="shared" si="129"/>
        <v>1406064</v>
      </c>
      <c r="J107" s="35">
        <f t="shared" si="107"/>
        <v>727355.14984541654</v>
      </c>
      <c r="K107" s="35">
        <f t="shared" si="84"/>
        <v>759698.76827999996</v>
      </c>
      <c r="L107" s="35">
        <v>0</v>
      </c>
      <c r="M107" s="35">
        <f t="shared" si="130"/>
        <v>1463720.7676541</v>
      </c>
      <c r="N107" s="35">
        <f t="shared" si="115"/>
        <v>883619.92812378472</v>
      </c>
      <c r="O107" s="35"/>
      <c r="P107" s="35"/>
      <c r="Q107" s="35">
        <f t="shared" si="127"/>
        <v>24266405.052623298</v>
      </c>
      <c r="R107" s="35"/>
      <c r="S107" s="35"/>
      <c r="T107" s="35"/>
      <c r="U107" s="35"/>
      <c r="V107" s="35">
        <f t="shared" si="116"/>
        <v>0</v>
      </c>
      <c r="W107" s="35">
        <f t="shared" si="117"/>
        <v>24266405.052623298</v>
      </c>
      <c r="X107" s="35">
        <f t="shared" si="118"/>
        <v>970726.20391333336</v>
      </c>
      <c r="Y107" s="35">
        <v>0</v>
      </c>
      <c r="Z107" s="35">
        <f t="shared" si="128"/>
        <v>84410.974253333334</v>
      </c>
      <c r="AA107" s="35">
        <f t="shared" si="119"/>
        <v>1055137.1781666668</v>
      </c>
      <c r="AB107" s="35"/>
      <c r="AC107" s="35"/>
      <c r="AD107" s="35"/>
      <c r="AE107" s="35"/>
      <c r="AF107" s="35">
        <f t="shared" si="120"/>
        <v>0</v>
      </c>
      <c r="AG107" s="35">
        <f t="shared" si="121"/>
        <v>1055137.1781666668</v>
      </c>
      <c r="AH107" s="35">
        <f t="shared" si="108"/>
        <v>1918458.1638719998</v>
      </c>
      <c r="AI107" s="35">
        <f t="shared" si="109"/>
        <v>1483804.5056846498</v>
      </c>
      <c r="AJ107" s="35">
        <f t="shared" si="122"/>
        <v>1266164.6137999999</v>
      </c>
      <c r="AK107" s="36">
        <f t="shared" si="98"/>
        <v>702764.616190559</v>
      </c>
      <c r="AL107" s="36">
        <f t="shared" si="99"/>
        <v>101810.72860010806</v>
      </c>
      <c r="AM107" s="35">
        <f t="shared" si="100"/>
        <v>532316.37413307384</v>
      </c>
      <c r="AN107" s="36">
        <f t="shared" si="101"/>
        <v>99322.519473616136</v>
      </c>
      <c r="AO107" s="36">
        <f t="shared" si="102"/>
        <v>99322.519473616136</v>
      </c>
      <c r="AP107" s="35">
        <f t="shared" si="103"/>
        <v>182807.69685250486</v>
      </c>
      <c r="AQ107" s="35">
        <v>0</v>
      </c>
      <c r="AR107" s="37">
        <f t="shared" si="123"/>
        <v>6386771.7380801281</v>
      </c>
      <c r="AS107" s="36">
        <f t="shared" si="104"/>
        <v>66035.043594428484</v>
      </c>
      <c r="AT107" s="36">
        <f t="shared" si="105"/>
        <v>62283.082014815373</v>
      </c>
      <c r="AU107" s="36">
        <f t="shared" si="124"/>
        <v>128318.12560924386</v>
      </c>
      <c r="AV107" s="38">
        <f t="shared" si="125"/>
        <v>31708313.968870092</v>
      </c>
    </row>
    <row r="108" spans="1:48" x14ac:dyDescent="0.25">
      <c r="A108" s="40" t="s">
        <v>100</v>
      </c>
      <c r="B108" s="33">
        <v>7</v>
      </c>
      <c r="C108" s="33">
        <v>16</v>
      </c>
      <c r="D108" s="35">
        <v>1123314.6732000001</v>
      </c>
      <c r="E108" s="35">
        <f t="shared" si="112"/>
        <v>215676417.25440001</v>
      </c>
      <c r="F108" s="35">
        <v>0</v>
      </c>
      <c r="G108" s="35">
        <f t="shared" si="94"/>
        <v>168497.20098000002</v>
      </c>
      <c r="H108" s="35">
        <f t="shared" si="113"/>
        <v>793176</v>
      </c>
      <c r="I108" s="35">
        <f t="shared" si="129"/>
        <v>1406064</v>
      </c>
      <c r="J108" s="35">
        <f t="shared" si="107"/>
        <v>9109745.6107837502</v>
      </c>
      <c r="K108" s="35">
        <f t="shared" si="84"/>
        <v>9098848.8529200014</v>
      </c>
      <c r="L108" s="35">
        <v>0</v>
      </c>
      <c r="M108" s="35">
        <f t="shared" si="130"/>
        <v>19664256.053615548</v>
      </c>
      <c r="N108" s="35">
        <f t="shared" si="115"/>
        <v>2086060.9252828127</v>
      </c>
      <c r="O108" s="35"/>
      <c r="P108" s="35"/>
      <c r="Q108" s="35">
        <f t="shared" si="127"/>
        <v>258003065.89798212</v>
      </c>
      <c r="R108" s="35"/>
      <c r="S108" s="35"/>
      <c r="T108" s="35"/>
      <c r="U108" s="35"/>
      <c r="V108" s="35">
        <f t="shared" si="116"/>
        <v>0</v>
      </c>
      <c r="W108" s="35">
        <f t="shared" si="117"/>
        <v>258003065.89798212</v>
      </c>
      <c r="X108" s="35">
        <f t="shared" si="118"/>
        <v>13779326.657920001</v>
      </c>
      <c r="Y108" s="35">
        <v>0</v>
      </c>
      <c r="Z108" s="35">
        <f t="shared" si="128"/>
        <v>1198202.3180800001</v>
      </c>
      <c r="AA108" s="35">
        <f t="shared" si="119"/>
        <v>14977528.976000002</v>
      </c>
      <c r="AB108" s="35"/>
      <c r="AC108" s="35"/>
      <c r="AD108" s="35"/>
      <c r="AE108" s="35"/>
      <c r="AF108" s="35">
        <f t="shared" si="120"/>
        <v>0</v>
      </c>
      <c r="AG108" s="35">
        <f t="shared" si="121"/>
        <v>14977528.976000002</v>
      </c>
      <c r="AH108" s="35">
        <f t="shared" si="108"/>
        <v>27404067.990527999</v>
      </c>
      <c r="AI108" s="35">
        <f t="shared" si="109"/>
        <v>18583881.045998853</v>
      </c>
      <c r="AJ108" s="35">
        <f t="shared" si="122"/>
        <v>17973034.771200001</v>
      </c>
      <c r="AK108" s="36">
        <f t="shared" si="98"/>
        <v>9975648.3044131808</v>
      </c>
      <c r="AL108" s="36">
        <f t="shared" si="99"/>
        <v>1445189.4684682656</v>
      </c>
      <c r="AM108" s="35">
        <f t="shared" si="100"/>
        <v>7556158.6521198396</v>
      </c>
      <c r="AN108" s="36">
        <f t="shared" si="101"/>
        <v>1409869.6777704025</v>
      </c>
      <c r="AO108" s="36">
        <f t="shared" si="102"/>
        <v>1409869.6777704025</v>
      </c>
      <c r="AP108" s="35">
        <f t="shared" si="103"/>
        <v>2594930.4349237205</v>
      </c>
      <c r="AQ108" s="35">
        <v>0</v>
      </c>
      <c r="AR108" s="37">
        <f t="shared" si="123"/>
        <v>88352650.023192674</v>
      </c>
      <c r="AS108" s="36">
        <f t="shared" si="104"/>
        <v>937358.47748770099</v>
      </c>
      <c r="AT108" s="36">
        <f t="shared" si="105"/>
        <v>884099.89231194719</v>
      </c>
      <c r="AU108" s="36">
        <f t="shared" si="124"/>
        <v>1821458.3697996482</v>
      </c>
      <c r="AV108" s="38">
        <f t="shared" si="125"/>
        <v>361333244.89717484</v>
      </c>
    </row>
    <row r="109" spans="1:48" x14ac:dyDescent="0.25">
      <c r="A109" s="43" t="s">
        <v>101</v>
      </c>
      <c r="B109" s="44"/>
      <c r="C109" s="45">
        <f t="shared" ref="C109:AV109" si="131">+C85+C53+C30+C25+C15</f>
        <v>1361</v>
      </c>
      <c r="D109" s="46">
        <f t="shared" si="131"/>
        <v>308880716.1142</v>
      </c>
      <c r="E109" s="46">
        <f t="shared" si="131"/>
        <v>62286567627.371994</v>
      </c>
      <c r="F109" s="46">
        <f t="shared" si="131"/>
        <v>199027752</v>
      </c>
      <c r="G109" s="46">
        <f t="shared" si="131"/>
        <v>988212880.68033862</v>
      </c>
      <c r="H109" s="46">
        <f t="shared" si="131"/>
        <v>24588456</v>
      </c>
      <c r="I109" s="46">
        <f t="shared" si="131"/>
        <v>43587984</v>
      </c>
      <c r="J109" s="46">
        <f t="shared" si="131"/>
        <v>2620212993.032455</v>
      </c>
      <c r="K109" s="46">
        <f t="shared" si="131"/>
        <v>1947082712.4446924</v>
      </c>
      <c r="L109" s="46">
        <f t="shared" si="131"/>
        <v>751771967.35950017</v>
      </c>
      <c r="M109" s="46">
        <f t="shared" si="131"/>
        <v>6012047913.7670479</v>
      </c>
      <c r="N109" s="46">
        <f t="shared" si="131"/>
        <v>3056938645.0027127</v>
      </c>
      <c r="O109" s="46">
        <f t="shared" si="131"/>
        <v>0</v>
      </c>
      <c r="P109" s="46">
        <f t="shared" si="131"/>
        <v>0</v>
      </c>
      <c r="Q109" s="46">
        <f t="shared" si="131"/>
        <v>77930038931.658752</v>
      </c>
      <c r="R109" s="46">
        <f>+R85+R53+R30+R25+R15</f>
        <v>1220829826.7563198</v>
      </c>
      <c r="S109" s="46">
        <f>+S85+S53+S30+S25+S15</f>
        <v>296124081.59280002</v>
      </c>
      <c r="T109" s="46">
        <f>+T85+T53+T30+T25+T15</f>
        <v>1071717550.7425199</v>
      </c>
      <c r="U109" s="46">
        <f t="shared" si="131"/>
        <v>0</v>
      </c>
      <c r="V109" s="46">
        <f t="shared" si="131"/>
        <v>2588671459.09164</v>
      </c>
      <c r="W109" s="46">
        <f t="shared" si="131"/>
        <v>80518710390.750366</v>
      </c>
      <c r="X109" s="46">
        <f t="shared" si="131"/>
        <v>4135026143.4223442</v>
      </c>
      <c r="Y109" s="46">
        <f t="shared" si="131"/>
        <v>103000000</v>
      </c>
      <c r="Z109" s="46">
        <f t="shared" si="131"/>
        <v>347713583.61873329</v>
      </c>
      <c r="AA109" s="46">
        <f>+AA85+AA53+AA30+AA25+AA15</f>
        <v>4585739727.0410767</v>
      </c>
      <c r="AB109" s="46">
        <f t="shared" si="131"/>
        <v>0</v>
      </c>
      <c r="AC109" s="46">
        <f t="shared" si="131"/>
        <v>0</v>
      </c>
      <c r="AD109" s="46">
        <f t="shared" si="131"/>
        <v>0</v>
      </c>
      <c r="AE109" s="46">
        <f t="shared" si="131"/>
        <v>0</v>
      </c>
      <c r="AF109" s="46">
        <f t="shared" si="131"/>
        <v>0</v>
      </c>
      <c r="AG109" s="46">
        <f>+AG85+AG53+AG30+AG25+AG15</f>
        <v>4133071386.8082829</v>
      </c>
      <c r="AH109" s="46">
        <f t="shared" si="131"/>
        <v>7534979780.8509321</v>
      </c>
      <c r="AI109" s="46">
        <f t="shared" si="131"/>
        <v>5345234505.7862082</v>
      </c>
      <c r="AJ109" s="46">
        <f t="shared" si="131"/>
        <v>5236349104.0982046</v>
      </c>
      <c r="AK109" s="46">
        <f t="shared" si="131"/>
        <v>2880931075.5881181</v>
      </c>
      <c r="AL109" s="46">
        <f t="shared" si="131"/>
        <v>417365480.69572502</v>
      </c>
      <c r="AM109" s="46">
        <f t="shared" si="131"/>
        <v>2182191232.9583306</v>
      </c>
      <c r="AN109" s="46">
        <f t="shared" si="131"/>
        <v>407165253.15164381</v>
      </c>
      <c r="AO109" s="46">
        <f t="shared" si="131"/>
        <v>407165253.15164381</v>
      </c>
      <c r="AP109" s="46">
        <f t="shared" si="131"/>
        <v>749406504.80368996</v>
      </c>
      <c r="AQ109" s="46">
        <f t="shared" si="131"/>
        <v>0</v>
      </c>
      <c r="AR109" s="46">
        <f t="shared" si="131"/>
        <v>25160788191.084499</v>
      </c>
      <c r="AS109" s="46">
        <f t="shared" si="131"/>
        <v>270705731.0315972</v>
      </c>
      <c r="AT109" s="46">
        <f t="shared" si="131"/>
        <v>255324844.65784577</v>
      </c>
      <c r="AU109" s="46">
        <f t="shared" si="131"/>
        <v>526030575.68944293</v>
      </c>
      <c r="AV109" s="46">
        <f t="shared" si="131"/>
        <v>109812569968.64313</v>
      </c>
    </row>
    <row r="110" spans="1:48" x14ac:dyDescent="0.25">
      <c r="A110" s="18" t="s">
        <v>102</v>
      </c>
      <c r="B110" s="47"/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9"/>
      <c r="AI110" s="49"/>
      <c r="AJ110" s="49"/>
      <c r="AK110" s="49"/>
      <c r="AL110" s="49"/>
      <c r="AM110" s="49"/>
      <c r="AN110" s="49"/>
      <c r="AO110" s="49"/>
      <c r="AP110" s="48"/>
      <c r="AQ110" s="48"/>
      <c r="AR110" s="50"/>
      <c r="AS110" s="49"/>
      <c r="AT110" s="49"/>
      <c r="AU110" s="49"/>
      <c r="AV110" s="50"/>
    </row>
    <row r="111" spans="1:48" x14ac:dyDescent="0.25">
      <c r="A111" s="40" t="s">
        <v>103</v>
      </c>
      <c r="B111" s="33"/>
      <c r="C111" s="33">
        <v>0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>
        <f>SUM(E111:O111)</f>
        <v>0</v>
      </c>
      <c r="R111" s="35"/>
      <c r="S111" s="35"/>
      <c r="T111" s="35"/>
      <c r="U111" s="35"/>
      <c r="V111" s="35">
        <f t="shared" ref="V111" si="132">SUM(R111:U111)</f>
        <v>0</v>
      </c>
      <c r="W111" s="35">
        <f>Q111+V111</f>
        <v>0</v>
      </c>
      <c r="X111" s="35"/>
      <c r="Y111" s="35"/>
      <c r="Z111" s="35"/>
      <c r="AA111" s="35">
        <f>SUM(X111:Z111)</f>
        <v>0</v>
      </c>
      <c r="AB111" s="35"/>
      <c r="AC111" s="35"/>
      <c r="AD111" s="35"/>
      <c r="AE111" s="35"/>
      <c r="AF111" s="35">
        <f>SUM(AB111:AE111)</f>
        <v>0</v>
      </c>
      <c r="AG111" s="35">
        <f>AA111+AF111</f>
        <v>0</v>
      </c>
      <c r="AH111" s="36"/>
      <c r="AI111" s="36"/>
      <c r="AJ111" s="36"/>
      <c r="AK111" s="36"/>
      <c r="AL111" s="36"/>
      <c r="AM111" s="36"/>
      <c r="AN111" s="36"/>
      <c r="AO111" s="36"/>
      <c r="AP111" s="35"/>
      <c r="AQ111" s="35"/>
      <c r="AR111" s="37">
        <f>SUM(AH111:AQ111)</f>
        <v>0</v>
      </c>
      <c r="AS111" s="36"/>
      <c r="AT111" s="36"/>
      <c r="AU111" s="36">
        <f>SUM(AS111:AT111)</f>
        <v>0</v>
      </c>
      <c r="AV111" s="38"/>
    </row>
    <row r="112" spans="1:48" x14ac:dyDescent="0.25">
      <c r="A112" s="43" t="s">
        <v>104</v>
      </c>
      <c r="B112" s="44"/>
      <c r="C112" s="45">
        <f t="shared" ref="C112:AU112" si="133">SUM(C111:C111)</f>
        <v>0</v>
      </c>
      <c r="D112" s="51">
        <f t="shared" si="133"/>
        <v>0</v>
      </c>
      <c r="E112" s="51">
        <f t="shared" si="133"/>
        <v>0</v>
      </c>
      <c r="F112" s="51">
        <f t="shared" si="133"/>
        <v>0</v>
      </c>
      <c r="G112" s="51">
        <f t="shared" si="133"/>
        <v>0</v>
      </c>
      <c r="H112" s="51">
        <f t="shared" si="133"/>
        <v>0</v>
      </c>
      <c r="I112" s="51">
        <f t="shared" si="133"/>
        <v>0</v>
      </c>
      <c r="J112" s="51">
        <f t="shared" si="133"/>
        <v>0</v>
      </c>
      <c r="K112" s="51">
        <f t="shared" si="133"/>
        <v>0</v>
      </c>
      <c r="L112" s="51">
        <f t="shared" si="133"/>
        <v>0</v>
      </c>
      <c r="M112" s="51">
        <f t="shared" si="133"/>
        <v>0</v>
      </c>
      <c r="N112" s="51">
        <f t="shared" si="133"/>
        <v>0</v>
      </c>
      <c r="O112" s="51">
        <f t="shared" si="133"/>
        <v>0</v>
      </c>
      <c r="P112" s="51">
        <f t="shared" si="133"/>
        <v>0</v>
      </c>
      <c r="Q112" s="51">
        <f t="shared" si="133"/>
        <v>0</v>
      </c>
      <c r="R112" s="51">
        <f t="shared" si="133"/>
        <v>0</v>
      </c>
      <c r="S112" s="51">
        <f t="shared" si="133"/>
        <v>0</v>
      </c>
      <c r="T112" s="51">
        <f t="shared" si="133"/>
        <v>0</v>
      </c>
      <c r="U112" s="51">
        <f t="shared" si="133"/>
        <v>0</v>
      </c>
      <c r="V112" s="52">
        <f t="shared" si="133"/>
        <v>0</v>
      </c>
      <c r="W112" s="53">
        <f t="shared" si="133"/>
        <v>0</v>
      </c>
      <c r="X112" s="51">
        <f t="shared" si="133"/>
        <v>0</v>
      </c>
      <c r="Y112" s="51">
        <f t="shared" si="133"/>
        <v>0</v>
      </c>
      <c r="Z112" s="51">
        <f t="shared" si="133"/>
        <v>0</v>
      </c>
      <c r="AA112" s="51">
        <f t="shared" si="133"/>
        <v>0</v>
      </c>
      <c r="AB112" s="51">
        <f t="shared" si="133"/>
        <v>0</v>
      </c>
      <c r="AC112" s="51">
        <f t="shared" si="133"/>
        <v>0</v>
      </c>
      <c r="AD112" s="51">
        <f t="shared" si="133"/>
        <v>0</v>
      </c>
      <c r="AE112" s="51">
        <f t="shared" si="133"/>
        <v>0</v>
      </c>
      <c r="AF112" s="51">
        <f t="shared" si="133"/>
        <v>0</v>
      </c>
      <c r="AG112" s="51">
        <f t="shared" si="133"/>
        <v>0</v>
      </c>
      <c r="AH112" s="51">
        <f t="shared" si="133"/>
        <v>0</v>
      </c>
      <c r="AI112" s="51">
        <f t="shared" si="133"/>
        <v>0</v>
      </c>
      <c r="AJ112" s="51">
        <f t="shared" si="133"/>
        <v>0</v>
      </c>
      <c r="AK112" s="51">
        <f t="shared" si="133"/>
        <v>0</v>
      </c>
      <c r="AL112" s="51">
        <f t="shared" si="133"/>
        <v>0</v>
      </c>
      <c r="AM112" s="51">
        <f t="shared" si="133"/>
        <v>0</v>
      </c>
      <c r="AN112" s="51">
        <f t="shared" si="133"/>
        <v>0</v>
      </c>
      <c r="AO112" s="51">
        <f t="shared" si="133"/>
        <v>0</v>
      </c>
      <c r="AP112" s="51">
        <f t="shared" si="133"/>
        <v>0</v>
      </c>
      <c r="AQ112" s="51">
        <f t="shared" si="133"/>
        <v>0</v>
      </c>
      <c r="AR112" s="52">
        <f t="shared" si="133"/>
        <v>0</v>
      </c>
      <c r="AS112" s="51">
        <f t="shared" si="133"/>
        <v>0</v>
      </c>
      <c r="AT112" s="51">
        <f t="shared" si="133"/>
        <v>0</v>
      </c>
      <c r="AU112" s="51">
        <f t="shared" si="133"/>
        <v>0</v>
      </c>
      <c r="AV112" s="52">
        <f>W112+AG112+AR112</f>
        <v>0</v>
      </c>
    </row>
    <row r="113" spans="1:48" x14ac:dyDescent="0.25">
      <c r="A113" s="54" t="s">
        <v>105</v>
      </c>
      <c r="B113" s="55"/>
      <c r="C113" s="56">
        <f t="shared" ref="C113:P113" si="134">C109+C112</f>
        <v>1361</v>
      </c>
      <c r="D113" s="57">
        <f t="shared" si="134"/>
        <v>308880716.1142</v>
      </c>
      <c r="E113" s="57">
        <f t="shared" si="134"/>
        <v>62286567627.371994</v>
      </c>
      <c r="F113" s="57">
        <f t="shared" si="134"/>
        <v>199027752</v>
      </c>
      <c r="G113" s="57">
        <f t="shared" si="134"/>
        <v>988212880.68033862</v>
      </c>
      <c r="H113" s="57">
        <f t="shared" si="134"/>
        <v>24588456</v>
      </c>
      <c r="I113" s="57">
        <f t="shared" si="134"/>
        <v>43587984</v>
      </c>
      <c r="J113" s="57">
        <f t="shared" si="134"/>
        <v>2620212993.032455</v>
      </c>
      <c r="K113" s="57">
        <f t="shared" si="134"/>
        <v>1947082712.4446924</v>
      </c>
      <c r="L113" s="57">
        <f t="shared" si="134"/>
        <v>751771967.35950017</v>
      </c>
      <c r="M113" s="57">
        <f t="shared" si="134"/>
        <v>6012047913.7670479</v>
      </c>
      <c r="N113" s="57">
        <f t="shared" si="134"/>
        <v>3056938645.0027127</v>
      </c>
      <c r="O113" s="57">
        <f t="shared" si="134"/>
        <v>0</v>
      </c>
      <c r="P113" s="57">
        <f t="shared" si="134"/>
        <v>0</v>
      </c>
      <c r="Q113" s="57">
        <f>SUM(E113:O113)</f>
        <v>77930038931.658737</v>
      </c>
      <c r="R113" s="57">
        <f>R109+R112</f>
        <v>1220829826.7563198</v>
      </c>
      <c r="S113" s="57">
        <f>S109+S112</f>
        <v>296124081.59280002</v>
      </c>
      <c r="T113" s="57">
        <f>T109+T112</f>
        <v>1071717550.7425199</v>
      </c>
      <c r="U113" s="57">
        <f>U109+U112</f>
        <v>0</v>
      </c>
      <c r="V113" s="58">
        <f>SUM(R113:U113)</f>
        <v>2588671459.0916395</v>
      </c>
      <c r="W113" s="59">
        <f>Q113+V113</f>
        <v>80518710390.750381</v>
      </c>
      <c r="X113" s="57">
        <f>X109+X112</f>
        <v>4135026143.4223442</v>
      </c>
      <c r="Y113" s="57">
        <f>Y109+Y112</f>
        <v>103000000</v>
      </c>
      <c r="Z113" s="57">
        <f>Z109+Z112</f>
        <v>347713583.61873329</v>
      </c>
      <c r="AA113" s="57">
        <f>SUM(X113:Z113)</f>
        <v>4585739727.0410776</v>
      </c>
      <c r="AB113" s="57">
        <f>AB109+AB112</f>
        <v>0</v>
      </c>
      <c r="AC113" s="57">
        <f>AC109+AC112</f>
        <v>0</v>
      </c>
      <c r="AD113" s="57">
        <f>AD109+AD112</f>
        <v>0</v>
      </c>
      <c r="AE113" s="57">
        <f>AE109+AE112</f>
        <v>0</v>
      </c>
      <c r="AF113" s="57">
        <f>SUM(AB113:AE113)</f>
        <v>0</v>
      </c>
      <c r="AG113" s="57">
        <f>+AG112+AG109</f>
        <v>4133071386.8082829</v>
      </c>
      <c r="AH113" s="57">
        <f t="shared" ref="AH113:AQ113" si="135">AH109+AH112</f>
        <v>7534979780.8509321</v>
      </c>
      <c r="AI113" s="57">
        <f t="shared" si="135"/>
        <v>5345234505.7862082</v>
      </c>
      <c r="AJ113" s="57">
        <f t="shared" si="135"/>
        <v>5236349104.0982046</v>
      </c>
      <c r="AK113" s="57">
        <f t="shared" si="135"/>
        <v>2880931075.5881181</v>
      </c>
      <c r="AL113" s="57">
        <f t="shared" si="135"/>
        <v>417365480.69572502</v>
      </c>
      <c r="AM113" s="57">
        <f t="shared" si="135"/>
        <v>2182191232.9583306</v>
      </c>
      <c r="AN113" s="57">
        <f t="shared" si="135"/>
        <v>407165253.15164381</v>
      </c>
      <c r="AO113" s="57">
        <f t="shared" si="135"/>
        <v>407165253.15164381</v>
      </c>
      <c r="AP113" s="57">
        <f t="shared" si="135"/>
        <v>749406504.80368996</v>
      </c>
      <c r="AQ113" s="57">
        <f t="shared" si="135"/>
        <v>0</v>
      </c>
      <c r="AR113" s="58">
        <f>SUM(AH113:AQ113)</f>
        <v>25160788191.084503</v>
      </c>
      <c r="AS113" s="57">
        <f>AS109+AS112</f>
        <v>270705731.0315972</v>
      </c>
      <c r="AT113" s="57">
        <f>AT109+AT112</f>
        <v>255324844.65784577</v>
      </c>
      <c r="AU113" s="60">
        <f>SUM(AS113:AT113)</f>
        <v>526030575.68944299</v>
      </c>
      <c r="AV113" s="58">
        <f>W113+AG113+AR113</f>
        <v>109812569968.64317</v>
      </c>
    </row>
    <row r="114" spans="1:48" x14ac:dyDescent="0.25">
      <c r="A114" s="61"/>
      <c r="B114" s="62"/>
      <c r="C114" s="62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4"/>
      <c r="Y114" s="4"/>
      <c r="Z114" s="4"/>
      <c r="AA114" s="4"/>
      <c r="AB114" s="4"/>
      <c r="AC114" s="4"/>
      <c r="AD114" s="4"/>
      <c r="AE114" s="4"/>
      <c r="AF114" s="4"/>
      <c r="AG114" s="64"/>
      <c r="AH114" s="4"/>
      <c r="AI114" s="63"/>
      <c r="AJ114" s="63"/>
      <c r="AK114" s="63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64"/>
    </row>
    <row r="115" spans="1:48" x14ac:dyDescent="0.25">
      <c r="A115" s="2"/>
      <c r="B115" s="2"/>
      <c r="C115" s="65" t="s">
        <v>106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</row>
    <row r="116" spans="1:48" x14ac:dyDescent="0.25">
      <c r="A116" s="2"/>
      <c r="B116" s="2"/>
      <c r="C116" s="148"/>
      <c r="D116" s="148"/>
      <c r="E116" s="148"/>
      <c r="F116" s="148"/>
      <c r="G116" s="148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</row>
    <row r="117" spans="1:48" x14ac:dyDescent="0.25">
      <c r="A117" s="2"/>
      <c r="B117" s="2"/>
      <c r="C117" s="149" t="s">
        <v>107</v>
      </c>
      <c r="D117" s="150"/>
      <c r="E117" s="150"/>
      <c r="F117" s="151"/>
      <c r="G117" s="158" t="s">
        <v>108</v>
      </c>
      <c r="H117" s="159"/>
      <c r="I117" s="159"/>
      <c r="J117" s="159"/>
      <c r="K117" s="159"/>
      <c r="L117" s="160"/>
      <c r="M117" s="161" t="s">
        <v>105</v>
      </c>
      <c r="N117" s="162"/>
      <c r="O117" s="163"/>
      <c r="P117" s="66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</row>
    <row r="118" spans="1:48" x14ac:dyDescent="0.25">
      <c r="A118" s="2"/>
      <c r="B118" s="2"/>
      <c r="C118" s="152"/>
      <c r="D118" s="153"/>
      <c r="E118" s="153"/>
      <c r="F118" s="154"/>
      <c r="G118" s="170" t="s">
        <v>109</v>
      </c>
      <c r="H118" s="171"/>
      <c r="I118" s="172"/>
      <c r="J118" s="170" t="s">
        <v>110</v>
      </c>
      <c r="K118" s="171"/>
      <c r="L118" s="172"/>
      <c r="M118" s="164"/>
      <c r="N118" s="165"/>
      <c r="O118" s="166"/>
      <c r="P118" s="66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</row>
    <row r="119" spans="1:48" x14ac:dyDescent="0.25">
      <c r="A119" s="2"/>
      <c r="B119" s="2"/>
      <c r="C119" s="155"/>
      <c r="D119" s="156"/>
      <c r="E119" s="156"/>
      <c r="F119" s="157"/>
      <c r="G119" s="173"/>
      <c r="H119" s="174"/>
      <c r="I119" s="175"/>
      <c r="J119" s="176"/>
      <c r="K119" s="177"/>
      <c r="L119" s="178"/>
      <c r="M119" s="167"/>
      <c r="N119" s="168"/>
      <c r="O119" s="169"/>
      <c r="P119" s="66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</row>
    <row r="120" spans="1:48" x14ac:dyDescent="0.25">
      <c r="A120" s="2"/>
      <c r="B120" s="2"/>
      <c r="C120" s="124" t="s">
        <v>111</v>
      </c>
      <c r="D120" s="125"/>
      <c r="E120" s="125"/>
      <c r="F120" s="126"/>
      <c r="G120" s="130">
        <f>G122+G128+G134</f>
        <v>110265238308.87598</v>
      </c>
      <c r="H120" s="131"/>
      <c r="I120" s="132"/>
      <c r="J120" s="118">
        <f>J122+J128+J134</f>
        <v>0</v>
      </c>
      <c r="K120" s="119"/>
      <c r="L120" s="120"/>
      <c r="M120" s="136">
        <f>M122+M128+M134</f>
        <v>110265238308.87598</v>
      </c>
      <c r="N120" s="137"/>
      <c r="O120" s="138"/>
      <c r="P120" s="67"/>
      <c r="Q120" s="68"/>
      <c r="R120" s="69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</row>
    <row r="121" spans="1:48" x14ac:dyDescent="0.25">
      <c r="A121" s="2"/>
      <c r="B121" s="2"/>
      <c r="C121" s="127"/>
      <c r="D121" s="128"/>
      <c r="E121" s="128"/>
      <c r="F121" s="129"/>
      <c r="G121" s="133"/>
      <c r="H121" s="134"/>
      <c r="I121" s="135"/>
      <c r="J121" s="121"/>
      <c r="K121" s="122"/>
      <c r="L121" s="123"/>
      <c r="M121" s="139"/>
      <c r="N121" s="140"/>
      <c r="O121" s="141"/>
      <c r="P121" s="67"/>
      <c r="Q121" s="68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</row>
    <row r="122" spans="1:48" x14ac:dyDescent="0.25">
      <c r="A122" s="2"/>
      <c r="B122" s="2"/>
      <c r="C122" s="112" t="s">
        <v>112</v>
      </c>
      <c r="D122" s="113"/>
      <c r="E122" s="113"/>
      <c r="F122" s="114"/>
      <c r="G122" s="130">
        <f>G124+G126</f>
        <v>80518710390.750397</v>
      </c>
      <c r="H122" s="131"/>
      <c r="I122" s="132"/>
      <c r="J122" s="130">
        <f>J124+J126</f>
        <v>0</v>
      </c>
      <c r="K122" s="131"/>
      <c r="L122" s="132"/>
      <c r="M122" s="142">
        <f>SUM(M124:O127)</f>
        <v>80518710390.750397</v>
      </c>
      <c r="N122" s="143"/>
      <c r="O122" s="144"/>
      <c r="P122" s="70"/>
      <c r="Q122" s="68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</row>
    <row r="123" spans="1:48" x14ac:dyDescent="0.25">
      <c r="A123" s="2"/>
      <c r="B123" s="2"/>
      <c r="C123" s="115"/>
      <c r="D123" s="116"/>
      <c r="E123" s="116"/>
      <c r="F123" s="117"/>
      <c r="G123" s="133"/>
      <c r="H123" s="134"/>
      <c r="I123" s="135"/>
      <c r="J123" s="133"/>
      <c r="K123" s="134"/>
      <c r="L123" s="135"/>
      <c r="M123" s="145"/>
      <c r="N123" s="146"/>
      <c r="O123" s="147"/>
      <c r="P123" s="70"/>
      <c r="Q123" s="68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</row>
    <row r="124" spans="1:48" x14ac:dyDescent="0.25">
      <c r="A124" s="2"/>
      <c r="B124" s="2"/>
      <c r="C124" s="112" t="s">
        <v>113</v>
      </c>
      <c r="D124" s="113"/>
      <c r="E124" s="113"/>
      <c r="F124" s="114"/>
      <c r="G124" s="118">
        <f>Q109</f>
        <v>77930038931.658752</v>
      </c>
      <c r="H124" s="119"/>
      <c r="I124" s="120"/>
      <c r="J124" s="118">
        <f>Q112</f>
        <v>0</v>
      </c>
      <c r="K124" s="119"/>
      <c r="L124" s="120"/>
      <c r="M124" s="136">
        <f>G124+J124</f>
        <v>77930038931.658752</v>
      </c>
      <c r="N124" s="137"/>
      <c r="O124" s="138"/>
      <c r="P124" s="67"/>
      <c r="Q124" s="68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</row>
    <row r="125" spans="1:48" x14ac:dyDescent="0.25">
      <c r="A125" s="2"/>
      <c r="B125" s="2"/>
      <c r="C125" s="115"/>
      <c r="D125" s="116"/>
      <c r="E125" s="116"/>
      <c r="F125" s="117"/>
      <c r="G125" s="121"/>
      <c r="H125" s="122"/>
      <c r="I125" s="123"/>
      <c r="J125" s="121"/>
      <c r="K125" s="122"/>
      <c r="L125" s="123"/>
      <c r="M125" s="139"/>
      <c r="N125" s="140"/>
      <c r="O125" s="141"/>
      <c r="P125" s="67"/>
      <c r="Q125" s="68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</row>
    <row r="126" spans="1:48" x14ac:dyDescent="0.25">
      <c r="A126" s="2"/>
      <c r="B126" s="2"/>
      <c r="C126" s="112" t="s">
        <v>114</v>
      </c>
      <c r="D126" s="113"/>
      <c r="E126" s="113"/>
      <c r="F126" s="114"/>
      <c r="G126" s="118">
        <f>V109</f>
        <v>2588671459.09164</v>
      </c>
      <c r="H126" s="119"/>
      <c r="I126" s="120"/>
      <c r="J126" s="118">
        <f>V112</f>
        <v>0</v>
      </c>
      <c r="K126" s="119"/>
      <c r="L126" s="120"/>
      <c r="M126" s="136">
        <f>G126+J126</f>
        <v>2588671459.09164</v>
      </c>
      <c r="N126" s="137"/>
      <c r="O126" s="138"/>
      <c r="P126" s="67"/>
      <c r="Q126" s="68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</row>
    <row r="127" spans="1:48" x14ac:dyDescent="0.25">
      <c r="A127" s="2"/>
      <c r="B127" s="2"/>
      <c r="C127" s="115"/>
      <c r="D127" s="116"/>
      <c r="E127" s="116"/>
      <c r="F127" s="117"/>
      <c r="G127" s="121"/>
      <c r="H127" s="122"/>
      <c r="I127" s="123"/>
      <c r="J127" s="121"/>
      <c r="K127" s="122"/>
      <c r="L127" s="123"/>
      <c r="M127" s="139"/>
      <c r="N127" s="140"/>
      <c r="O127" s="141"/>
      <c r="P127" s="67"/>
      <c r="Q127" s="68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8" x14ac:dyDescent="0.25">
      <c r="A128" s="2"/>
      <c r="B128" s="2"/>
      <c r="C128" s="112" t="s">
        <v>115</v>
      </c>
      <c r="D128" s="113"/>
      <c r="E128" s="113"/>
      <c r="F128" s="114"/>
      <c r="G128" s="130">
        <f>G130+G132</f>
        <v>4585739727.0410767</v>
      </c>
      <c r="H128" s="131"/>
      <c r="I128" s="132"/>
      <c r="J128" s="130">
        <f>J130+J132</f>
        <v>0</v>
      </c>
      <c r="K128" s="131"/>
      <c r="L128" s="132"/>
      <c r="M128" s="142">
        <f>SUM(M130:O133)</f>
        <v>4585739727.0410767</v>
      </c>
      <c r="N128" s="143"/>
      <c r="O128" s="144"/>
      <c r="P128" s="70"/>
      <c r="Q128" s="68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x14ac:dyDescent="0.25">
      <c r="A129" s="2"/>
      <c r="B129" s="2"/>
      <c r="C129" s="115"/>
      <c r="D129" s="116"/>
      <c r="E129" s="116"/>
      <c r="F129" s="117"/>
      <c r="G129" s="133"/>
      <c r="H129" s="134"/>
      <c r="I129" s="135"/>
      <c r="J129" s="133"/>
      <c r="K129" s="134"/>
      <c r="L129" s="135"/>
      <c r="M129" s="145"/>
      <c r="N129" s="146"/>
      <c r="O129" s="147"/>
      <c r="P129" s="70"/>
      <c r="Q129" s="68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1:48" x14ac:dyDescent="0.25">
      <c r="A130" s="2"/>
      <c r="B130" s="2"/>
      <c r="C130" s="112" t="s">
        <v>116</v>
      </c>
      <c r="D130" s="113"/>
      <c r="E130" s="113"/>
      <c r="F130" s="114"/>
      <c r="G130" s="118">
        <f>AA109</f>
        <v>4585739727.0410767</v>
      </c>
      <c r="H130" s="119"/>
      <c r="I130" s="120"/>
      <c r="J130" s="118">
        <f>AA112</f>
        <v>0</v>
      </c>
      <c r="K130" s="119"/>
      <c r="L130" s="120"/>
      <c r="M130" s="136">
        <f>G130+J130</f>
        <v>4585739727.0410767</v>
      </c>
      <c r="N130" s="137"/>
      <c r="O130" s="138"/>
      <c r="P130" s="67"/>
      <c r="Q130" s="68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1:48" x14ac:dyDescent="0.25">
      <c r="A131" s="2"/>
      <c r="B131" s="2"/>
      <c r="C131" s="115"/>
      <c r="D131" s="116"/>
      <c r="E131" s="116"/>
      <c r="F131" s="117"/>
      <c r="G131" s="121"/>
      <c r="H131" s="122"/>
      <c r="I131" s="123"/>
      <c r="J131" s="121"/>
      <c r="K131" s="122"/>
      <c r="L131" s="123"/>
      <c r="M131" s="139"/>
      <c r="N131" s="140"/>
      <c r="O131" s="141"/>
      <c r="P131" s="67"/>
      <c r="Q131" s="68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1:48" x14ac:dyDescent="0.25">
      <c r="A132" s="2"/>
      <c r="B132" s="2"/>
      <c r="C132" s="112" t="s">
        <v>117</v>
      </c>
      <c r="D132" s="113"/>
      <c r="E132" s="113"/>
      <c r="F132" s="114"/>
      <c r="G132" s="118">
        <f>AF109</f>
        <v>0</v>
      </c>
      <c r="H132" s="119"/>
      <c r="I132" s="120"/>
      <c r="J132" s="118">
        <f>AF112</f>
        <v>0</v>
      </c>
      <c r="K132" s="119"/>
      <c r="L132" s="120"/>
      <c r="M132" s="136">
        <f>G132+J132</f>
        <v>0</v>
      </c>
      <c r="N132" s="137"/>
      <c r="O132" s="138"/>
      <c r="P132" s="67"/>
      <c r="Q132" s="68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1:48" x14ac:dyDescent="0.25">
      <c r="A133" s="2"/>
      <c r="B133" s="2"/>
      <c r="C133" s="115"/>
      <c r="D133" s="116"/>
      <c r="E133" s="116"/>
      <c r="F133" s="117"/>
      <c r="G133" s="121"/>
      <c r="H133" s="122"/>
      <c r="I133" s="123"/>
      <c r="J133" s="121"/>
      <c r="K133" s="122"/>
      <c r="L133" s="123"/>
      <c r="M133" s="139"/>
      <c r="N133" s="140"/>
      <c r="O133" s="141"/>
      <c r="P133" s="67"/>
      <c r="Q133" s="68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1:48" x14ac:dyDescent="0.25">
      <c r="A134" s="2"/>
      <c r="B134" s="2"/>
      <c r="C134" s="112" t="s">
        <v>118</v>
      </c>
      <c r="D134" s="113"/>
      <c r="E134" s="113"/>
      <c r="F134" s="114"/>
      <c r="G134" s="130">
        <f>AR109</f>
        <v>25160788191.084499</v>
      </c>
      <c r="H134" s="131"/>
      <c r="I134" s="132"/>
      <c r="J134" s="130">
        <f>AR112</f>
        <v>0</v>
      </c>
      <c r="K134" s="131"/>
      <c r="L134" s="132"/>
      <c r="M134" s="142">
        <f>G134+J134</f>
        <v>25160788191.084499</v>
      </c>
      <c r="N134" s="143"/>
      <c r="O134" s="144"/>
      <c r="P134" s="70"/>
      <c r="Q134" s="68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x14ac:dyDescent="0.25">
      <c r="A135" s="2"/>
      <c r="B135" s="2"/>
      <c r="C135" s="115"/>
      <c r="D135" s="116"/>
      <c r="E135" s="116"/>
      <c r="F135" s="117"/>
      <c r="G135" s="133"/>
      <c r="H135" s="134"/>
      <c r="I135" s="135"/>
      <c r="J135" s="133"/>
      <c r="K135" s="134"/>
      <c r="L135" s="135"/>
      <c r="M135" s="145"/>
      <c r="N135" s="146"/>
      <c r="O135" s="147"/>
      <c r="P135" s="70"/>
      <c r="Q135" s="68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1:48" x14ac:dyDescent="0.25">
      <c r="A136" s="2"/>
      <c r="B136" s="2"/>
      <c r="C136" s="124" t="s">
        <v>119</v>
      </c>
      <c r="D136" s="125"/>
      <c r="E136" s="125"/>
      <c r="F136" s="126"/>
      <c r="G136" s="130">
        <f>G138</f>
        <v>526030575.68944299</v>
      </c>
      <c r="H136" s="131"/>
      <c r="I136" s="132"/>
      <c r="J136" s="130">
        <f>J138</f>
        <v>0</v>
      </c>
      <c r="K136" s="131"/>
      <c r="L136" s="132"/>
      <c r="M136" s="136">
        <f>M138</f>
        <v>526030575.68944299</v>
      </c>
      <c r="N136" s="137"/>
      <c r="O136" s="138"/>
      <c r="P136" s="67"/>
      <c r="Q136" s="68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1:48" x14ac:dyDescent="0.25">
      <c r="A137" s="2"/>
      <c r="B137" s="2"/>
      <c r="C137" s="127"/>
      <c r="D137" s="128"/>
      <c r="E137" s="128"/>
      <c r="F137" s="129"/>
      <c r="G137" s="133"/>
      <c r="H137" s="134"/>
      <c r="I137" s="135"/>
      <c r="J137" s="133"/>
      <c r="K137" s="134"/>
      <c r="L137" s="135"/>
      <c r="M137" s="139"/>
      <c r="N137" s="140"/>
      <c r="O137" s="141"/>
      <c r="P137" s="67"/>
      <c r="Q137" s="68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1:48" x14ac:dyDescent="0.25">
      <c r="A138" s="2"/>
      <c r="B138" s="2"/>
      <c r="C138" s="112" t="s">
        <v>120</v>
      </c>
      <c r="D138" s="113"/>
      <c r="E138" s="113"/>
      <c r="F138" s="114"/>
      <c r="G138" s="118">
        <f>G140+G142</f>
        <v>526030575.68944299</v>
      </c>
      <c r="H138" s="119"/>
      <c r="I138" s="120"/>
      <c r="J138" s="118">
        <f>J140+J142</f>
        <v>0</v>
      </c>
      <c r="K138" s="119"/>
      <c r="L138" s="120"/>
      <c r="M138" s="142">
        <f>G138+J138</f>
        <v>526030575.68944299</v>
      </c>
      <c r="N138" s="143"/>
      <c r="O138" s="144"/>
      <c r="P138" s="70"/>
      <c r="Q138" s="68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1:48" x14ac:dyDescent="0.25">
      <c r="A139" s="2"/>
      <c r="B139" s="2"/>
      <c r="C139" s="115"/>
      <c r="D139" s="116"/>
      <c r="E139" s="116"/>
      <c r="F139" s="117"/>
      <c r="G139" s="121"/>
      <c r="H139" s="122"/>
      <c r="I139" s="123"/>
      <c r="J139" s="121"/>
      <c r="K139" s="122"/>
      <c r="L139" s="123"/>
      <c r="M139" s="145"/>
      <c r="N139" s="146"/>
      <c r="O139" s="147"/>
      <c r="P139" s="70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1:48" x14ac:dyDescent="0.25">
      <c r="A140" s="2"/>
      <c r="B140" s="2"/>
      <c r="C140" s="112" t="s">
        <v>121</v>
      </c>
      <c r="D140" s="113"/>
      <c r="E140" s="113"/>
      <c r="F140" s="114"/>
      <c r="G140" s="118">
        <f>AS109</f>
        <v>270705731.0315972</v>
      </c>
      <c r="H140" s="119"/>
      <c r="I140" s="120"/>
      <c r="J140" s="118">
        <f>AS112</f>
        <v>0</v>
      </c>
      <c r="K140" s="119"/>
      <c r="L140" s="120"/>
      <c r="M140" s="118">
        <f>G140+J140</f>
        <v>270705731.0315972</v>
      </c>
      <c r="N140" s="119"/>
      <c r="O140" s="120"/>
      <c r="P140" s="71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1:48" x14ac:dyDescent="0.25">
      <c r="A141" s="2"/>
      <c r="B141" s="2"/>
      <c r="C141" s="115"/>
      <c r="D141" s="116"/>
      <c r="E141" s="116"/>
      <c r="F141" s="117"/>
      <c r="G141" s="121"/>
      <c r="H141" s="122"/>
      <c r="I141" s="123"/>
      <c r="J141" s="121"/>
      <c r="K141" s="122"/>
      <c r="L141" s="123"/>
      <c r="M141" s="121"/>
      <c r="N141" s="122"/>
      <c r="O141" s="123"/>
      <c r="P141" s="71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1:48" x14ac:dyDescent="0.25">
      <c r="A142" s="2"/>
      <c r="B142" s="2"/>
      <c r="C142" s="112" t="s">
        <v>122</v>
      </c>
      <c r="D142" s="113"/>
      <c r="E142" s="113"/>
      <c r="F142" s="114"/>
      <c r="G142" s="118">
        <f>AT109</f>
        <v>255324844.65784577</v>
      </c>
      <c r="H142" s="119"/>
      <c r="I142" s="120"/>
      <c r="J142" s="118">
        <f>AT112</f>
        <v>0</v>
      </c>
      <c r="K142" s="119"/>
      <c r="L142" s="120"/>
      <c r="M142" s="118">
        <f>G142+J142</f>
        <v>255324844.65784577</v>
      </c>
      <c r="N142" s="119"/>
      <c r="O142" s="120"/>
      <c r="P142" s="71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1:48" x14ac:dyDescent="0.25">
      <c r="A143" s="2"/>
      <c r="B143" s="2"/>
      <c r="C143" s="115"/>
      <c r="D143" s="116"/>
      <c r="E143" s="116"/>
      <c r="F143" s="117"/>
      <c r="G143" s="121"/>
      <c r="H143" s="122"/>
      <c r="I143" s="123"/>
      <c r="J143" s="121"/>
      <c r="K143" s="122"/>
      <c r="L143" s="123"/>
      <c r="M143" s="121"/>
      <c r="N143" s="122"/>
      <c r="O143" s="123"/>
      <c r="P143" s="71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</row>
  </sheetData>
  <mergeCells count="115">
    <mergeCell ref="A1:AV1"/>
    <mergeCell ref="A2:AV2"/>
    <mergeCell ref="A3:AV3"/>
    <mergeCell ref="B4:L4"/>
    <mergeCell ref="B5:L5"/>
    <mergeCell ref="D7:K7"/>
    <mergeCell ref="A9:A12"/>
    <mergeCell ref="B9:B12"/>
    <mergeCell ref="C9:C12"/>
    <mergeCell ref="D9:W9"/>
    <mergeCell ref="X9:AG9"/>
    <mergeCell ref="AH9:AR9"/>
    <mergeCell ref="AJ10:AJ12"/>
    <mergeCell ref="AK10:AK12"/>
    <mergeCell ref="AL10:AL12"/>
    <mergeCell ref="AM10:AM12"/>
    <mergeCell ref="AS9:AU9"/>
    <mergeCell ref="AV9:AV12"/>
    <mergeCell ref="D10:Q10"/>
    <mergeCell ref="R10:V10"/>
    <mergeCell ref="W10:W12"/>
    <mergeCell ref="X10:AA10"/>
    <mergeCell ref="AB10:AF10"/>
    <mergeCell ref="AG10:AG12"/>
    <mergeCell ref="AH10:AH12"/>
    <mergeCell ref="AI10:AI12"/>
    <mergeCell ref="R11:R12"/>
    <mergeCell ref="AT10:AT12"/>
    <mergeCell ref="AU10:AU12"/>
    <mergeCell ref="D11:E11"/>
    <mergeCell ref="F11:F12"/>
    <mergeCell ref="G11:G12"/>
    <mergeCell ref="H11:H12"/>
    <mergeCell ref="I11:I12"/>
    <mergeCell ref="J11:J12"/>
    <mergeCell ref="K11:K12"/>
    <mergeCell ref="L11:L12"/>
    <mergeCell ref="AN10:AN12"/>
    <mergeCell ref="AO10:AO12"/>
    <mergeCell ref="AP10:AP12"/>
    <mergeCell ref="AQ10:AQ12"/>
    <mergeCell ref="AR10:AR12"/>
    <mergeCell ref="AS10:AS12"/>
    <mergeCell ref="AF11:AF12"/>
    <mergeCell ref="AC11:AC12"/>
    <mergeCell ref="AD11:AD12"/>
    <mergeCell ref="AE11:AE12"/>
    <mergeCell ref="C116:G116"/>
    <mergeCell ref="C117:F119"/>
    <mergeCell ref="G117:L117"/>
    <mergeCell ref="M117:O119"/>
    <mergeCell ref="G118:I119"/>
    <mergeCell ref="J118:L119"/>
    <mergeCell ref="Z11:Z12"/>
    <mergeCell ref="AA11:AA12"/>
    <mergeCell ref="AB11:AB12"/>
    <mergeCell ref="S11:S12"/>
    <mergeCell ref="T11:T12"/>
    <mergeCell ref="U11:U12"/>
    <mergeCell ref="V11:V12"/>
    <mergeCell ref="X11:X12"/>
    <mergeCell ref="Y11:Y12"/>
    <mergeCell ref="M11:M12"/>
    <mergeCell ref="N11:N12"/>
    <mergeCell ref="O11:O12"/>
    <mergeCell ref="P11:P12"/>
    <mergeCell ref="Q11:Q12"/>
    <mergeCell ref="C124:F125"/>
    <mergeCell ref="G124:I125"/>
    <mergeCell ref="J124:L125"/>
    <mergeCell ref="M124:O125"/>
    <mergeCell ref="C126:F127"/>
    <mergeCell ref="G126:I127"/>
    <mergeCell ref="J126:L127"/>
    <mergeCell ref="M126:O127"/>
    <mergeCell ref="C120:F121"/>
    <mergeCell ref="G120:I121"/>
    <mergeCell ref="J120:L121"/>
    <mergeCell ref="M120:O121"/>
    <mergeCell ref="C122:F123"/>
    <mergeCell ref="G122:I123"/>
    <mergeCell ref="J122:L123"/>
    <mergeCell ref="M122:O123"/>
    <mergeCell ref="C132:F133"/>
    <mergeCell ref="G132:I133"/>
    <mergeCell ref="J132:L133"/>
    <mergeCell ref="M132:O133"/>
    <mergeCell ref="C134:F135"/>
    <mergeCell ref="G134:I135"/>
    <mergeCell ref="J134:L135"/>
    <mergeCell ref="M134:O135"/>
    <mergeCell ref="C128:F129"/>
    <mergeCell ref="G128:I129"/>
    <mergeCell ref="J128:L129"/>
    <mergeCell ref="M128:O129"/>
    <mergeCell ref="C130:F131"/>
    <mergeCell ref="G130:I131"/>
    <mergeCell ref="J130:L131"/>
    <mergeCell ref="M130:O131"/>
    <mergeCell ref="C140:F141"/>
    <mergeCell ref="G140:I141"/>
    <mergeCell ref="J140:L141"/>
    <mergeCell ref="M140:O141"/>
    <mergeCell ref="C142:F143"/>
    <mergeCell ref="G142:I143"/>
    <mergeCell ref="J142:L143"/>
    <mergeCell ref="M142:O143"/>
    <mergeCell ref="C136:F137"/>
    <mergeCell ref="G136:I137"/>
    <mergeCell ref="J136:L137"/>
    <mergeCell ref="M136:O137"/>
    <mergeCell ref="C138:F139"/>
    <mergeCell ref="G138:I139"/>
    <mergeCell ref="J138:L139"/>
    <mergeCell ref="M138:O13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64C4C-C568-40C1-BE2D-3B3866A42D86}">
  <dimension ref="A1:J127"/>
  <sheetViews>
    <sheetView topLeftCell="A113" workbookViewId="0">
      <selection activeCell="B126" sqref="B126"/>
    </sheetView>
  </sheetViews>
  <sheetFormatPr baseColWidth="10" defaultColWidth="9.140625" defaultRowHeight="15" x14ac:dyDescent="0.25"/>
  <cols>
    <col min="2" max="2" width="37.140625" bestFit="1" customWidth="1"/>
    <col min="3" max="3" width="5.140625" bestFit="1" customWidth="1"/>
    <col min="6" max="6" width="7.85546875" bestFit="1" customWidth="1"/>
  </cols>
  <sheetData>
    <row r="1" spans="1:10" x14ac:dyDescent="0.25">
      <c r="A1" s="206" t="s">
        <v>0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x14ac:dyDescent="0.25">
      <c r="A2" s="206" t="s">
        <v>1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x14ac:dyDescent="0.25">
      <c r="A3" s="206" t="s">
        <v>123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x14ac:dyDescent="0.25">
      <c r="A4" s="72"/>
      <c r="B4" s="73"/>
      <c r="C4" s="74"/>
      <c r="D4" s="74"/>
      <c r="E4" s="74"/>
      <c r="F4" s="74"/>
      <c r="G4" s="74"/>
      <c r="H4" s="74"/>
      <c r="I4" s="74"/>
      <c r="J4" s="75"/>
    </row>
    <row r="5" spans="1:10" x14ac:dyDescent="0.25">
      <c r="A5" s="76"/>
      <c r="B5" s="77" t="s">
        <v>3</v>
      </c>
      <c r="C5" s="187">
        <v>40101</v>
      </c>
      <c r="D5" s="187"/>
      <c r="E5" s="187"/>
      <c r="F5" s="187"/>
      <c r="G5" s="187"/>
      <c r="H5" s="187"/>
      <c r="I5" s="187"/>
      <c r="J5" s="78"/>
    </row>
    <row r="6" spans="1:10" x14ac:dyDescent="0.25">
      <c r="A6" s="79"/>
      <c r="B6" s="77" t="s">
        <v>5</v>
      </c>
      <c r="C6" s="207" t="s">
        <v>6</v>
      </c>
      <c r="D6" s="208"/>
      <c r="E6" s="208"/>
      <c r="F6" s="208"/>
      <c r="G6" s="208"/>
      <c r="H6" s="208"/>
      <c r="I6" s="209"/>
      <c r="J6" s="75"/>
    </row>
    <row r="7" spans="1:10" x14ac:dyDescent="0.25">
      <c r="A7" s="72"/>
      <c r="B7" s="80"/>
      <c r="C7" s="75"/>
      <c r="D7" s="75"/>
      <c r="E7" s="75"/>
      <c r="F7" s="75"/>
      <c r="G7" s="75"/>
      <c r="H7" s="75"/>
      <c r="I7" s="75"/>
      <c r="J7" s="75"/>
    </row>
    <row r="8" spans="1:10" x14ac:dyDescent="0.25">
      <c r="A8" s="72"/>
      <c r="B8" s="203" t="s">
        <v>124</v>
      </c>
      <c r="C8" s="204"/>
      <c r="D8" s="204"/>
      <c r="E8" s="205"/>
      <c r="F8" s="81"/>
      <c r="G8" s="81"/>
      <c r="H8" s="82">
        <v>2023</v>
      </c>
      <c r="I8" s="75"/>
      <c r="J8" s="75"/>
    </row>
    <row r="9" spans="1:10" ht="15.75" x14ac:dyDescent="0.25">
      <c r="A9" s="72"/>
      <c r="B9" s="83"/>
      <c r="C9" s="75"/>
      <c r="D9" s="75"/>
      <c r="E9" s="75"/>
      <c r="F9" s="75"/>
      <c r="G9" s="75"/>
      <c r="H9" s="75"/>
      <c r="I9" s="75"/>
      <c r="J9" s="75"/>
    </row>
    <row r="10" spans="1:10" x14ac:dyDescent="0.25">
      <c r="A10" s="72"/>
      <c r="B10" s="212" t="s">
        <v>125</v>
      </c>
      <c r="C10" s="212" t="s">
        <v>10</v>
      </c>
      <c r="D10" s="212" t="s">
        <v>126</v>
      </c>
      <c r="E10" s="212" t="s">
        <v>127</v>
      </c>
      <c r="F10" s="212"/>
      <c r="G10" s="212"/>
      <c r="H10" s="212" t="s">
        <v>128</v>
      </c>
      <c r="I10" s="212" t="s">
        <v>129</v>
      </c>
      <c r="J10" s="75"/>
    </row>
    <row r="11" spans="1:10" x14ac:dyDescent="0.25">
      <c r="A11" s="72"/>
      <c r="B11" s="212"/>
      <c r="C11" s="212"/>
      <c r="D11" s="212"/>
      <c r="E11" s="212" t="s">
        <v>130</v>
      </c>
      <c r="F11" s="212" t="s">
        <v>131</v>
      </c>
      <c r="G11" s="212"/>
      <c r="H11" s="212"/>
      <c r="I11" s="212"/>
      <c r="J11" s="75"/>
    </row>
    <row r="12" spans="1:10" ht="22.5" x14ac:dyDescent="0.25">
      <c r="A12" s="72"/>
      <c r="B12" s="212"/>
      <c r="C12" s="212"/>
      <c r="D12" s="212"/>
      <c r="E12" s="212"/>
      <c r="F12" s="84" t="s">
        <v>132</v>
      </c>
      <c r="G12" s="84" t="s">
        <v>133</v>
      </c>
      <c r="H12" s="212"/>
      <c r="I12" s="212"/>
      <c r="J12" s="75"/>
    </row>
    <row r="13" spans="1:10" x14ac:dyDescent="0.25">
      <c r="A13" s="72"/>
      <c r="B13" s="84"/>
      <c r="C13" s="84"/>
      <c r="D13" s="84">
        <v>1</v>
      </c>
      <c r="E13" s="84">
        <v>2</v>
      </c>
      <c r="F13" s="84">
        <v>3</v>
      </c>
      <c r="G13" s="84">
        <v>4</v>
      </c>
      <c r="H13" s="84" t="s">
        <v>134</v>
      </c>
      <c r="I13" s="84" t="s">
        <v>135</v>
      </c>
      <c r="J13" s="75"/>
    </row>
    <row r="14" spans="1:10" x14ac:dyDescent="0.25">
      <c r="A14" s="72"/>
      <c r="B14" s="85" t="s">
        <v>136</v>
      </c>
      <c r="C14" s="86"/>
      <c r="D14" s="86"/>
      <c r="E14" s="86"/>
      <c r="F14" s="86"/>
      <c r="G14" s="86"/>
      <c r="H14" s="86"/>
      <c r="I14" s="86"/>
      <c r="J14" s="75"/>
    </row>
    <row r="15" spans="1:10" x14ac:dyDescent="0.25">
      <c r="A15" s="72"/>
      <c r="B15" s="87" t="s">
        <v>69</v>
      </c>
      <c r="C15" s="87"/>
      <c r="D15" s="87">
        <f>SUM(D16:D24)</f>
        <v>19</v>
      </c>
      <c r="E15" s="87">
        <f>SUM(E16:E24)</f>
        <v>19</v>
      </c>
      <c r="F15" s="87">
        <f>SUM(F16:F24)</f>
        <v>0</v>
      </c>
      <c r="G15" s="87">
        <f>SUM(G16:G24)</f>
        <v>0</v>
      </c>
      <c r="H15" s="87">
        <f>F15+E15+G15</f>
        <v>19</v>
      </c>
      <c r="I15" s="87">
        <f>D15-H15</f>
        <v>0</v>
      </c>
      <c r="J15" s="75"/>
    </row>
    <row r="16" spans="1:10" x14ac:dyDescent="0.25">
      <c r="A16" s="72"/>
      <c r="B16" s="88" t="s">
        <v>70</v>
      </c>
      <c r="C16" s="89" t="s">
        <v>137</v>
      </c>
      <c r="D16" s="90">
        <v>1</v>
      </c>
      <c r="E16" s="91">
        <v>1</v>
      </c>
      <c r="F16" s="91">
        <v>0</v>
      </c>
      <c r="G16" s="91">
        <v>0</v>
      </c>
      <c r="H16" s="91">
        <f t="shared" ref="H16:H80" si="0">F16+E16+G16</f>
        <v>1</v>
      </c>
      <c r="I16" s="91">
        <f t="shared" ref="I16:I80" si="1">D16-H16</f>
        <v>0</v>
      </c>
      <c r="J16" s="75"/>
    </row>
    <row r="17" spans="1:10" x14ac:dyDescent="0.25">
      <c r="A17" s="72"/>
      <c r="B17" s="92" t="s">
        <v>71</v>
      </c>
      <c r="C17" s="89" t="s">
        <v>137</v>
      </c>
      <c r="D17" s="90">
        <v>1</v>
      </c>
      <c r="E17" s="91">
        <v>1</v>
      </c>
      <c r="F17" s="91">
        <v>0</v>
      </c>
      <c r="G17" s="91">
        <v>0</v>
      </c>
      <c r="H17" s="91">
        <f t="shared" si="0"/>
        <v>1</v>
      </c>
      <c r="I17" s="91">
        <f t="shared" si="1"/>
        <v>0</v>
      </c>
      <c r="J17" s="75"/>
    </row>
    <row r="18" spans="1:10" ht="23.25" x14ac:dyDescent="0.25">
      <c r="A18" s="72"/>
      <c r="B18" s="92" t="s">
        <v>72</v>
      </c>
      <c r="C18" s="89" t="s">
        <v>138</v>
      </c>
      <c r="D18" s="90">
        <v>1</v>
      </c>
      <c r="E18" s="91">
        <v>1</v>
      </c>
      <c r="F18" s="91">
        <v>0</v>
      </c>
      <c r="G18" s="91">
        <v>0</v>
      </c>
      <c r="H18" s="91">
        <f t="shared" si="0"/>
        <v>1</v>
      </c>
      <c r="I18" s="91">
        <f t="shared" si="1"/>
        <v>0</v>
      </c>
      <c r="J18" s="75"/>
    </row>
    <row r="19" spans="1:10" x14ac:dyDescent="0.25">
      <c r="A19" s="72"/>
      <c r="B19" s="92" t="s">
        <v>73</v>
      </c>
      <c r="C19" s="89" t="s">
        <v>139</v>
      </c>
      <c r="D19" s="90">
        <v>6</v>
      </c>
      <c r="E19" s="91">
        <v>6</v>
      </c>
      <c r="F19" s="91">
        <v>0</v>
      </c>
      <c r="G19" s="91">
        <v>0</v>
      </c>
      <c r="H19" s="91">
        <f t="shared" si="0"/>
        <v>6</v>
      </c>
      <c r="I19" s="91">
        <f t="shared" si="1"/>
        <v>0</v>
      </c>
      <c r="J19" s="75"/>
    </row>
    <row r="20" spans="1:10" x14ac:dyDescent="0.25">
      <c r="A20" s="72"/>
      <c r="B20" s="93" t="s">
        <v>74</v>
      </c>
      <c r="C20" s="89" t="s">
        <v>140</v>
      </c>
      <c r="D20" s="90">
        <v>6</v>
      </c>
      <c r="E20" s="91">
        <v>6</v>
      </c>
      <c r="F20" s="91">
        <v>0</v>
      </c>
      <c r="G20" s="91">
        <v>0</v>
      </c>
      <c r="H20" s="91">
        <f t="shared" si="0"/>
        <v>6</v>
      </c>
      <c r="I20" s="91">
        <f t="shared" si="1"/>
        <v>0</v>
      </c>
      <c r="J20" s="75"/>
    </row>
    <row r="21" spans="1:10" x14ac:dyDescent="0.25">
      <c r="A21" s="72"/>
      <c r="B21" s="93" t="s">
        <v>77</v>
      </c>
      <c r="C21" s="89" t="s">
        <v>140</v>
      </c>
      <c r="D21" s="90">
        <v>1</v>
      </c>
      <c r="E21" s="91">
        <v>1</v>
      </c>
      <c r="F21" s="91">
        <v>0</v>
      </c>
      <c r="G21" s="91">
        <v>0</v>
      </c>
      <c r="H21" s="91">
        <f t="shared" si="0"/>
        <v>1</v>
      </c>
      <c r="I21" s="91">
        <f t="shared" si="1"/>
        <v>0</v>
      </c>
      <c r="J21" s="75"/>
    </row>
    <row r="22" spans="1:10" x14ac:dyDescent="0.25">
      <c r="A22" s="72"/>
      <c r="B22" s="93" t="s">
        <v>78</v>
      </c>
      <c r="C22" s="89" t="s">
        <v>140</v>
      </c>
      <c r="D22" s="90">
        <v>1</v>
      </c>
      <c r="E22" s="91">
        <v>1</v>
      </c>
      <c r="F22" s="91">
        <v>0</v>
      </c>
      <c r="G22" s="91">
        <v>0</v>
      </c>
      <c r="H22" s="91">
        <f t="shared" si="0"/>
        <v>1</v>
      </c>
      <c r="I22" s="91">
        <f t="shared" si="1"/>
        <v>0</v>
      </c>
      <c r="J22" s="75"/>
    </row>
    <row r="23" spans="1:10" x14ac:dyDescent="0.25">
      <c r="A23" s="72"/>
      <c r="B23" s="93" t="s">
        <v>76</v>
      </c>
      <c r="C23" s="89" t="s">
        <v>140</v>
      </c>
      <c r="D23" s="90">
        <v>1</v>
      </c>
      <c r="E23" s="91">
        <v>1</v>
      </c>
      <c r="F23" s="91">
        <v>0</v>
      </c>
      <c r="G23" s="91">
        <v>0</v>
      </c>
      <c r="H23" s="91">
        <f t="shared" si="0"/>
        <v>1</v>
      </c>
      <c r="I23" s="91">
        <f t="shared" si="1"/>
        <v>0</v>
      </c>
      <c r="J23" s="75"/>
    </row>
    <row r="24" spans="1:10" x14ac:dyDescent="0.25">
      <c r="A24" s="72"/>
      <c r="B24" s="92" t="s">
        <v>75</v>
      </c>
      <c r="C24" s="89" t="s">
        <v>140</v>
      </c>
      <c r="D24" s="90">
        <v>1</v>
      </c>
      <c r="E24" s="91">
        <v>1</v>
      </c>
      <c r="F24" s="91">
        <v>0</v>
      </c>
      <c r="G24" s="91">
        <v>0</v>
      </c>
      <c r="H24" s="91">
        <f t="shared" si="0"/>
        <v>1</v>
      </c>
      <c r="I24" s="91">
        <f t="shared" si="1"/>
        <v>0</v>
      </c>
      <c r="J24" s="75"/>
    </row>
    <row r="25" spans="1:10" x14ac:dyDescent="0.25">
      <c r="A25" s="72"/>
      <c r="B25" s="87" t="s">
        <v>79</v>
      </c>
      <c r="C25" s="87"/>
      <c r="D25" s="87">
        <f t="shared" ref="D25" si="2">SUM(D26:D29)</f>
        <v>37</v>
      </c>
      <c r="E25" s="87">
        <f>SUM(E26:E29)</f>
        <v>23</v>
      </c>
      <c r="F25" s="87">
        <f>SUM(F26:F29)</f>
        <v>13</v>
      </c>
      <c r="G25" s="87">
        <f>SUM(G26:G29)</f>
        <v>0</v>
      </c>
      <c r="H25" s="87">
        <f t="shared" si="0"/>
        <v>36</v>
      </c>
      <c r="I25" s="87">
        <f t="shared" si="1"/>
        <v>1</v>
      </c>
      <c r="J25" s="75"/>
    </row>
    <row r="26" spans="1:10" x14ac:dyDescent="0.25">
      <c r="A26" s="72"/>
      <c r="B26" s="94" t="s">
        <v>80</v>
      </c>
      <c r="C26" s="89">
        <v>13</v>
      </c>
      <c r="D26" s="89">
        <v>1</v>
      </c>
      <c r="E26" s="91">
        <v>1</v>
      </c>
      <c r="F26" s="91">
        <v>0</v>
      </c>
      <c r="G26" s="91">
        <v>0</v>
      </c>
      <c r="H26" s="91">
        <f t="shared" si="0"/>
        <v>1</v>
      </c>
      <c r="I26" s="91">
        <f t="shared" si="1"/>
        <v>0</v>
      </c>
      <c r="J26" s="75"/>
    </row>
    <row r="27" spans="1:10" x14ac:dyDescent="0.25">
      <c r="A27" s="72"/>
      <c r="B27" s="94" t="s">
        <v>141</v>
      </c>
      <c r="C27" s="89">
        <v>13</v>
      </c>
      <c r="D27" s="89">
        <v>1</v>
      </c>
      <c r="E27" s="91">
        <v>1</v>
      </c>
      <c r="F27" s="91">
        <v>0</v>
      </c>
      <c r="G27" s="91">
        <v>0</v>
      </c>
      <c r="H27" s="91">
        <f t="shared" si="0"/>
        <v>1</v>
      </c>
      <c r="I27" s="91">
        <f t="shared" si="1"/>
        <v>0</v>
      </c>
      <c r="J27" s="75"/>
    </row>
    <row r="28" spans="1:10" x14ac:dyDescent="0.25">
      <c r="A28" s="72"/>
      <c r="B28" s="94" t="s">
        <v>82</v>
      </c>
      <c r="C28" s="89">
        <v>13</v>
      </c>
      <c r="D28" s="89">
        <v>10</v>
      </c>
      <c r="E28" s="91">
        <v>8</v>
      </c>
      <c r="F28" s="91">
        <v>1</v>
      </c>
      <c r="G28" s="91">
        <v>0</v>
      </c>
      <c r="H28" s="91">
        <f t="shared" si="0"/>
        <v>9</v>
      </c>
      <c r="I28" s="91">
        <f t="shared" si="1"/>
        <v>1</v>
      </c>
      <c r="J28" s="75"/>
    </row>
    <row r="29" spans="1:10" x14ac:dyDescent="0.25">
      <c r="A29" s="72"/>
      <c r="B29" s="94" t="s">
        <v>82</v>
      </c>
      <c r="C29" s="89">
        <v>8</v>
      </c>
      <c r="D29" s="89">
        <v>25</v>
      </c>
      <c r="E29" s="91">
        <v>13</v>
      </c>
      <c r="F29" s="91">
        <v>12</v>
      </c>
      <c r="G29" s="91">
        <v>0</v>
      </c>
      <c r="H29" s="91">
        <f t="shared" si="0"/>
        <v>25</v>
      </c>
      <c r="I29" s="91">
        <f t="shared" si="1"/>
        <v>0</v>
      </c>
      <c r="J29" s="75"/>
    </row>
    <row r="30" spans="1:10" x14ac:dyDescent="0.25">
      <c r="A30" s="72"/>
      <c r="B30" s="87" t="s">
        <v>83</v>
      </c>
      <c r="C30" s="87"/>
      <c r="D30" s="87">
        <f>SUM(D31:D52)</f>
        <v>1017</v>
      </c>
      <c r="E30" s="87">
        <f>SUM(E31:E52)</f>
        <v>17</v>
      </c>
      <c r="F30" s="87">
        <f>SUM(F31:F52)</f>
        <v>500</v>
      </c>
      <c r="G30" s="87">
        <f>SUM(G31:G52)</f>
        <v>247</v>
      </c>
      <c r="H30" s="87">
        <f t="shared" si="0"/>
        <v>764</v>
      </c>
      <c r="I30" s="87">
        <f t="shared" si="1"/>
        <v>253</v>
      </c>
      <c r="J30" s="75"/>
    </row>
    <row r="31" spans="1:10" x14ac:dyDescent="0.25">
      <c r="A31" s="72"/>
      <c r="B31" s="94" t="s">
        <v>84</v>
      </c>
      <c r="C31" s="89">
        <v>24</v>
      </c>
      <c r="D31" s="89">
        <v>1</v>
      </c>
      <c r="E31" s="91">
        <v>1</v>
      </c>
      <c r="F31" s="91">
        <v>0</v>
      </c>
      <c r="G31" s="91">
        <v>0</v>
      </c>
      <c r="H31" s="91">
        <f t="shared" si="0"/>
        <v>1</v>
      </c>
      <c r="I31" s="91">
        <f t="shared" si="1"/>
        <v>0</v>
      </c>
      <c r="J31" s="75"/>
    </row>
    <row r="32" spans="1:10" x14ac:dyDescent="0.25">
      <c r="A32" s="72"/>
      <c r="B32" s="94" t="s">
        <v>84</v>
      </c>
      <c r="C32" s="89">
        <v>22</v>
      </c>
      <c r="D32" s="89">
        <v>1</v>
      </c>
      <c r="E32" s="91">
        <v>0</v>
      </c>
      <c r="F32" s="91">
        <v>1</v>
      </c>
      <c r="G32" s="91">
        <v>0</v>
      </c>
      <c r="H32" s="91">
        <f t="shared" si="0"/>
        <v>1</v>
      </c>
      <c r="I32" s="91">
        <f t="shared" si="1"/>
        <v>0</v>
      </c>
      <c r="J32" s="75"/>
    </row>
    <row r="33" spans="1:10" x14ac:dyDescent="0.25">
      <c r="A33" s="72"/>
      <c r="B33" s="95" t="s">
        <v>84</v>
      </c>
      <c r="C33" s="89">
        <v>21</v>
      </c>
      <c r="D33" s="89">
        <v>47</v>
      </c>
      <c r="E33" s="91">
        <v>0</v>
      </c>
      <c r="F33" s="91">
        <v>47</v>
      </c>
      <c r="G33" s="91">
        <v>0</v>
      </c>
      <c r="H33" s="91">
        <f t="shared" si="0"/>
        <v>47</v>
      </c>
      <c r="I33" s="91">
        <f t="shared" si="1"/>
        <v>0</v>
      </c>
      <c r="J33" s="75"/>
    </row>
    <row r="34" spans="1:10" x14ac:dyDescent="0.25">
      <c r="A34" s="72"/>
      <c r="B34" s="94" t="s">
        <v>84</v>
      </c>
      <c r="C34" s="89">
        <v>20</v>
      </c>
      <c r="D34" s="89">
        <v>20</v>
      </c>
      <c r="E34" s="91">
        <v>10</v>
      </c>
      <c r="F34" s="91">
        <v>8</v>
      </c>
      <c r="G34" s="91">
        <v>0</v>
      </c>
      <c r="H34" s="91">
        <f t="shared" si="0"/>
        <v>18</v>
      </c>
      <c r="I34" s="91">
        <f t="shared" si="1"/>
        <v>2</v>
      </c>
      <c r="J34" s="75"/>
    </row>
    <row r="35" spans="1:10" x14ac:dyDescent="0.25">
      <c r="A35" s="72"/>
      <c r="B35" s="94" t="s">
        <v>84</v>
      </c>
      <c r="C35" s="89">
        <v>19</v>
      </c>
      <c r="D35" s="89">
        <v>44</v>
      </c>
      <c r="E35" s="91">
        <v>2</v>
      </c>
      <c r="F35" s="91">
        <v>35</v>
      </c>
      <c r="G35" s="91">
        <v>1</v>
      </c>
      <c r="H35" s="91">
        <f t="shared" si="0"/>
        <v>38</v>
      </c>
      <c r="I35" s="91">
        <v>6</v>
      </c>
      <c r="J35" s="75"/>
    </row>
    <row r="36" spans="1:10" x14ac:dyDescent="0.25">
      <c r="A36" s="72"/>
      <c r="B36" s="94" t="s">
        <v>84</v>
      </c>
      <c r="C36" s="89">
        <v>18</v>
      </c>
      <c r="D36" s="89">
        <v>15</v>
      </c>
      <c r="E36" s="91">
        <v>0</v>
      </c>
      <c r="F36" s="91">
        <v>11</v>
      </c>
      <c r="G36" s="91">
        <v>0</v>
      </c>
      <c r="H36" s="91">
        <f t="shared" si="0"/>
        <v>11</v>
      </c>
      <c r="I36" s="91">
        <v>4</v>
      </c>
      <c r="J36" s="75"/>
    </row>
    <row r="37" spans="1:10" x14ac:dyDescent="0.25">
      <c r="A37" s="72"/>
      <c r="B37" s="94" t="s">
        <v>84</v>
      </c>
      <c r="C37" s="89">
        <v>17</v>
      </c>
      <c r="D37" s="89">
        <v>60</v>
      </c>
      <c r="E37" s="91">
        <v>1</v>
      </c>
      <c r="F37" s="91">
        <v>41</v>
      </c>
      <c r="G37" s="91">
        <v>3</v>
      </c>
      <c r="H37" s="91">
        <f t="shared" si="0"/>
        <v>45</v>
      </c>
      <c r="I37" s="91">
        <f t="shared" si="1"/>
        <v>15</v>
      </c>
      <c r="J37" s="75"/>
    </row>
    <row r="38" spans="1:10" x14ac:dyDescent="0.25">
      <c r="A38" s="72"/>
      <c r="B38" s="94" t="s">
        <v>84</v>
      </c>
      <c r="C38" s="89">
        <v>16</v>
      </c>
      <c r="D38" s="89">
        <v>36</v>
      </c>
      <c r="E38" s="91">
        <v>2</v>
      </c>
      <c r="F38" s="91">
        <v>16</v>
      </c>
      <c r="G38" s="91">
        <v>13</v>
      </c>
      <c r="H38" s="91">
        <f t="shared" si="0"/>
        <v>31</v>
      </c>
      <c r="I38" s="91">
        <f t="shared" si="1"/>
        <v>5</v>
      </c>
      <c r="J38" s="75"/>
    </row>
    <row r="39" spans="1:10" x14ac:dyDescent="0.25">
      <c r="A39" s="72"/>
      <c r="B39" s="94" t="s">
        <v>84</v>
      </c>
      <c r="C39" s="89">
        <v>15</v>
      </c>
      <c r="D39" s="89">
        <v>140</v>
      </c>
      <c r="E39" s="91">
        <v>0</v>
      </c>
      <c r="F39" s="91">
        <v>77</v>
      </c>
      <c r="G39" s="91">
        <v>41</v>
      </c>
      <c r="H39" s="91">
        <f t="shared" si="0"/>
        <v>118</v>
      </c>
      <c r="I39" s="91">
        <f t="shared" si="1"/>
        <v>22</v>
      </c>
      <c r="J39" s="75"/>
    </row>
    <row r="40" spans="1:10" x14ac:dyDescent="0.25">
      <c r="A40" s="72"/>
      <c r="B40" s="94" t="s">
        <v>84</v>
      </c>
      <c r="C40" s="89">
        <v>14</v>
      </c>
      <c r="D40" s="89">
        <v>21</v>
      </c>
      <c r="E40" s="91">
        <v>1</v>
      </c>
      <c r="F40" s="91">
        <v>11</v>
      </c>
      <c r="G40" s="91">
        <v>7</v>
      </c>
      <c r="H40" s="91">
        <f t="shared" si="0"/>
        <v>19</v>
      </c>
      <c r="I40" s="91">
        <f t="shared" si="1"/>
        <v>2</v>
      </c>
      <c r="J40" s="75"/>
    </row>
    <row r="41" spans="1:10" x14ac:dyDescent="0.25">
      <c r="A41" s="72"/>
      <c r="B41" s="94" t="s">
        <v>84</v>
      </c>
      <c r="C41" s="89">
        <v>13</v>
      </c>
      <c r="D41" s="89">
        <v>53</v>
      </c>
      <c r="E41" s="91">
        <v>0</v>
      </c>
      <c r="F41" s="91">
        <v>24</v>
      </c>
      <c r="G41" s="91">
        <v>22</v>
      </c>
      <c r="H41" s="91">
        <f t="shared" si="0"/>
        <v>46</v>
      </c>
      <c r="I41" s="91">
        <f t="shared" si="1"/>
        <v>7</v>
      </c>
      <c r="J41" s="75"/>
    </row>
    <row r="42" spans="1:10" x14ac:dyDescent="0.25">
      <c r="A42" s="72"/>
      <c r="B42" s="96" t="s">
        <v>84</v>
      </c>
      <c r="C42" s="89">
        <v>12</v>
      </c>
      <c r="D42" s="89">
        <v>90</v>
      </c>
      <c r="E42" s="91">
        <v>0</v>
      </c>
      <c r="F42" s="91">
        <v>57</v>
      </c>
      <c r="G42" s="91">
        <v>25</v>
      </c>
      <c r="H42" s="91">
        <f t="shared" si="0"/>
        <v>82</v>
      </c>
      <c r="I42" s="91">
        <f t="shared" si="1"/>
        <v>8</v>
      </c>
      <c r="J42" s="75"/>
    </row>
    <row r="43" spans="1:10" x14ac:dyDescent="0.25">
      <c r="A43" s="72"/>
      <c r="B43" s="96" t="s">
        <v>85</v>
      </c>
      <c r="C43" s="89">
        <v>11</v>
      </c>
      <c r="D43" s="89">
        <v>97</v>
      </c>
      <c r="E43" s="91">
        <v>0</v>
      </c>
      <c r="F43" s="91">
        <v>49</v>
      </c>
      <c r="G43" s="91">
        <v>21</v>
      </c>
      <c r="H43" s="91">
        <f t="shared" si="0"/>
        <v>70</v>
      </c>
      <c r="I43" s="91">
        <f t="shared" si="1"/>
        <v>27</v>
      </c>
      <c r="J43" s="75"/>
    </row>
    <row r="44" spans="1:10" x14ac:dyDescent="0.25">
      <c r="A44" s="72"/>
      <c r="B44" s="96" t="s">
        <v>85</v>
      </c>
      <c r="C44" s="89">
        <v>10</v>
      </c>
      <c r="D44" s="89">
        <v>99</v>
      </c>
      <c r="E44" s="91">
        <v>0</v>
      </c>
      <c r="F44" s="91">
        <v>46</v>
      </c>
      <c r="G44" s="91">
        <v>27</v>
      </c>
      <c r="H44" s="91">
        <f t="shared" si="0"/>
        <v>73</v>
      </c>
      <c r="I44" s="91">
        <f t="shared" si="1"/>
        <v>26</v>
      </c>
      <c r="J44" s="75"/>
    </row>
    <row r="45" spans="1:10" x14ac:dyDescent="0.25">
      <c r="A45" s="72"/>
      <c r="B45" s="96" t="s">
        <v>85</v>
      </c>
      <c r="C45" s="97" t="s">
        <v>142</v>
      </c>
      <c r="D45" s="89">
        <v>90</v>
      </c>
      <c r="E45" s="91">
        <v>0</v>
      </c>
      <c r="F45" s="91">
        <v>38</v>
      </c>
      <c r="G45" s="91">
        <v>13</v>
      </c>
      <c r="H45" s="91">
        <f t="shared" si="0"/>
        <v>51</v>
      </c>
      <c r="I45" s="91">
        <f t="shared" si="1"/>
        <v>39</v>
      </c>
      <c r="J45" s="75"/>
    </row>
    <row r="46" spans="1:10" x14ac:dyDescent="0.25">
      <c r="A46" s="72"/>
      <c r="B46" s="96" t="s">
        <v>85</v>
      </c>
      <c r="C46" s="97" t="s">
        <v>143</v>
      </c>
      <c r="D46" s="89">
        <v>21</v>
      </c>
      <c r="E46" s="91">
        <v>0</v>
      </c>
      <c r="F46" s="91">
        <v>6</v>
      </c>
      <c r="G46" s="91">
        <v>6</v>
      </c>
      <c r="H46" s="91">
        <f t="shared" si="0"/>
        <v>12</v>
      </c>
      <c r="I46" s="91">
        <f t="shared" si="1"/>
        <v>9</v>
      </c>
      <c r="J46" s="75"/>
    </row>
    <row r="47" spans="1:10" x14ac:dyDescent="0.25">
      <c r="A47" s="72"/>
      <c r="B47" s="96" t="s">
        <v>85</v>
      </c>
      <c r="C47" s="97" t="s">
        <v>144</v>
      </c>
      <c r="D47" s="89">
        <v>30</v>
      </c>
      <c r="E47" s="91">
        <v>0</v>
      </c>
      <c r="F47" s="91">
        <v>5</v>
      </c>
      <c r="G47" s="91">
        <v>8</v>
      </c>
      <c r="H47" s="91">
        <f t="shared" si="0"/>
        <v>13</v>
      </c>
      <c r="I47" s="91">
        <f t="shared" si="1"/>
        <v>17</v>
      </c>
      <c r="J47" s="75"/>
    </row>
    <row r="48" spans="1:10" x14ac:dyDescent="0.25">
      <c r="A48" s="72"/>
      <c r="B48" s="96" t="s">
        <v>85</v>
      </c>
      <c r="C48" s="97" t="s">
        <v>145</v>
      </c>
      <c r="D48" s="89">
        <v>77</v>
      </c>
      <c r="E48" s="91">
        <v>0</v>
      </c>
      <c r="F48" s="91">
        <v>12</v>
      </c>
      <c r="G48" s="91">
        <v>34</v>
      </c>
      <c r="H48" s="91">
        <f t="shared" si="0"/>
        <v>46</v>
      </c>
      <c r="I48" s="91">
        <f t="shared" si="1"/>
        <v>31</v>
      </c>
      <c r="J48" s="75"/>
    </row>
    <row r="49" spans="1:10" x14ac:dyDescent="0.25">
      <c r="A49" s="72"/>
      <c r="B49" s="96" t="s">
        <v>85</v>
      </c>
      <c r="C49" s="97" t="s">
        <v>146</v>
      </c>
      <c r="D49" s="89">
        <v>14</v>
      </c>
      <c r="E49" s="91">
        <v>0</v>
      </c>
      <c r="F49" s="91">
        <v>1</v>
      </c>
      <c r="G49" s="91">
        <v>7</v>
      </c>
      <c r="H49" s="91">
        <f t="shared" si="0"/>
        <v>8</v>
      </c>
      <c r="I49" s="91">
        <f t="shared" si="1"/>
        <v>6</v>
      </c>
      <c r="J49" s="75"/>
    </row>
    <row r="50" spans="1:10" x14ac:dyDescent="0.25">
      <c r="A50" s="72"/>
      <c r="B50" s="96" t="s">
        <v>85</v>
      </c>
      <c r="C50" s="97" t="s">
        <v>147</v>
      </c>
      <c r="D50" s="89">
        <v>55</v>
      </c>
      <c r="E50" s="91">
        <v>0</v>
      </c>
      <c r="F50" s="91">
        <v>13</v>
      </c>
      <c r="G50" s="91">
        <v>19</v>
      </c>
      <c r="H50" s="91">
        <f t="shared" si="0"/>
        <v>32</v>
      </c>
      <c r="I50" s="91">
        <f t="shared" si="1"/>
        <v>23</v>
      </c>
      <c r="J50" s="75"/>
    </row>
    <row r="51" spans="1:10" x14ac:dyDescent="0.25">
      <c r="A51" s="72"/>
      <c r="B51" s="96" t="s">
        <v>85</v>
      </c>
      <c r="C51" s="97" t="s">
        <v>148</v>
      </c>
      <c r="D51" s="89">
        <v>4</v>
      </c>
      <c r="E51" s="91">
        <v>0</v>
      </c>
      <c r="F51" s="91">
        <v>1</v>
      </c>
      <c r="G51" s="91">
        <v>0</v>
      </c>
      <c r="H51" s="91">
        <f t="shared" si="0"/>
        <v>1</v>
      </c>
      <c r="I51" s="91">
        <f t="shared" si="1"/>
        <v>3</v>
      </c>
      <c r="J51" s="75"/>
    </row>
    <row r="52" spans="1:10" x14ac:dyDescent="0.25">
      <c r="A52" s="72"/>
      <c r="B52" s="96" t="s">
        <v>85</v>
      </c>
      <c r="C52" s="97" t="s">
        <v>149</v>
      </c>
      <c r="D52" s="96">
        <v>2</v>
      </c>
      <c r="E52" s="91">
        <v>0</v>
      </c>
      <c r="F52" s="91">
        <v>1</v>
      </c>
      <c r="G52" s="91">
        <v>0</v>
      </c>
      <c r="H52" s="91">
        <f t="shared" si="0"/>
        <v>1</v>
      </c>
      <c r="I52" s="91">
        <f t="shared" si="1"/>
        <v>1</v>
      </c>
      <c r="J52" s="75"/>
    </row>
    <row r="53" spans="1:10" x14ac:dyDescent="0.25">
      <c r="A53" s="72"/>
      <c r="B53" s="87" t="s">
        <v>86</v>
      </c>
      <c r="C53" s="87"/>
      <c r="D53" s="87">
        <f>SUM(D54:D84)</f>
        <v>165</v>
      </c>
      <c r="E53" s="87">
        <f>SUM(E54:E84)</f>
        <v>1</v>
      </c>
      <c r="F53" s="87">
        <f>SUM(F54:F84)</f>
        <v>87</v>
      </c>
      <c r="G53" s="87">
        <f>SUM(G54:G84)</f>
        <v>47</v>
      </c>
      <c r="H53" s="87">
        <f t="shared" si="0"/>
        <v>135</v>
      </c>
      <c r="I53" s="87">
        <f t="shared" si="1"/>
        <v>30</v>
      </c>
      <c r="J53" s="75"/>
    </row>
    <row r="54" spans="1:10" x14ac:dyDescent="0.25">
      <c r="A54" s="72"/>
      <c r="B54" s="94" t="s">
        <v>87</v>
      </c>
      <c r="C54" s="89">
        <v>17</v>
      </c>
      <c r="D54" s="89">
        <v>1</v>
      </c>
      <c r="E54" s="91">
        <v>0</v>
      </c>
      <c r="F54" s="91">
        <v>1</v>
      </c>
      <c r="G54" s="91">
        <v>0</v>
      </c>
      <c r="H54" s="91">
        <f t="shared" si="0"/>
        <v>1</v>
      </c>
      <c r="I54" s="91">
        <f t="shared" si="1"/>
        <v>0</v>
      </c>
      <c r="J54" s="75"/>
    </row>
    <row r="55" spans="1:10" x14ac:dyDescent="0.25">
      <c r="A55" s="72"/>
      <c r="B55" s="94" t="s">
        <v>87</v>
      </c>
      <c r="C55" s="97">
        <v>16</v>
      </c>
      <c r="D55" s="89">
        <v>6</v>
      </c>
      <c r="E55" s="91">
        <v>0</v>
      </c>
      <c r="F55" s="91">
        <v>4</v>
      </c>
      <c r="G55" s="91">
        <v>0</v>
      </c>
      <c r="H55" s="91">
        <f t="shared" si="0"/>
        <v>4</v>
      </c>
      <c r="I55" s="91">
        <f t="shared" si="1"/>
        <v>2</v>
      </c>
      <c r="J55" s="75"/>
    </row>
    <row r="56" spans="1:10" x14ac:dyDescent="0.25">
      <c r="A56" s="72"/>
      <c r="B56" s="94" t="s">
        <v>87</v>
      </c>
      <c r="C56" s="97">
        <v>15</v>
      </c>
      <c r="D56" s="89">
        <v>2</v>
      </c>
      <c r="E56" s="91">
        <v>0</v>
      </c>
      <c r="F56" s="91">
        <v>0</v>
      </c>
      <c r="G56" s="91">
        <v>0</v>
      </c>
      <c r="H56" s="91">
        <f t="shared" si="0"/>
        <v>0</v>
      </c>
      <c r="I56" s="91">
        <f t="shared" si="1"/>
        <v>2</v>
      </c>
      <c r="J56" s="75"/>
    </row>
    <row r="57" spans="1:10" x14ac:dyDescent="0.25">
      <c r="A57" s="72"/>
      <c r="B57" s="94" t="s">
        <v>87</v>
      </c>
      <c r="C57" s="97">
        <v>13</v>
      </c>
      <c r="D57" s="89">
        <v>4</v>
      </c>
      <c r="E57" s="91">
        <v>0</v>
      </c>
      <c r="F57" s="91">
        <v>3</v>
      </c>
      <c r="G57" s="91">
        <v>1</v>
      </c>
      <c r="H57" s="91">
        <f t="shared" si="0"/>
        <v>4</v>
      </c>
      <c r="I57" s="91">
        <f t="shared" si="1"/>
        <v>0</v>
      </c>
      <c r="J57" s="75"/>
    </row>
    <row r="58" spans="1:10" x14ac:dyDescent="0.25">
      <c r="A58" s="72"/>
      <c r="B58" s="94" t="s">
        <v>87</v>
      </c>
      <c r="C58" s="97">
        <v>11</v>
      </c>
      <c r="D58" s="89">
        <v>6</v>
      </c>
      <c r="E58" s="91">
        <v>0</v>
      </c>
      <c r="F58" s="91">
        <v>1</v>
      </c>
      <c r="G58" s="91">
        <v>4</v>
      </c>
      <c r="H58" s="91">
        <f t="shared" si="0"/>
        <v>5</v>
      </c>
      <c r="I58" s="91">
        <f t="shared" si="1"/>
        <v>1</v>
      </c>
      <c r="J58" s="75"/>
    </row>
    <row r="59" spans="1:10" x14ac:dyDescent="0.25">
      <c r="A59" s="72"/>
      <c r="B59" s="94" t="s">
        <v>88</v>
      </c>
      <c r="C59" s="97" t="s">
        <v>145</v>
      </c>
      <c r="D59" s="89">
        <v>14</v>
      </c>
      <c r="E59" s="91">
        <v>0</v>
      </c>
      <c r="F59" s="91">
        <v>3</v>
      </c>
      <c r="G59" s="91">
        <v>9</v>
      </c>
      <c r="H59" s="91">
        <f t="shared" si="0"/>
        <v>12</v>
      </c>
      <c r="I59" s="91">
        <f t="shared" si="1"/>
        <v>2</v>
      </c>
      <c r="J59" s="75"/>
    </row>
    <row r="60" spans="1:10" x14ac:dyDescent="0.25">
      <c r="A60" s="72"/>
      <c r="B60" s="94" t="s">
        <v>88</v>
      </c>
      <c r="C60" s="97" t="s">
        <v>148</v>
      </c>
      <c r="D60" s="89">
        <v>2</v>
      </c>
      <c r="E60" s="91">
        <v>0</v>
      </c>
      <c r="F60" s="91">
        <v>0</v>
      </c>
      <c r="G60" s="91">
        <v>1</v>
      </c>
      <c r="H60" s="91">
        <f t="shared" si="0"/>
        <v>1</v>
      </c>
      <c r="I60" s="91">
        <f t="shared" si="1"/>
        <v>1</v>
      </c>
      <c r="J60" s="75"/>
    </row>
    <row r="61" spans="1:10" x14ac:dyDescent="0.25">
      <c r="A61" s="72"/>
      <c r="B61" s="94" t="s">
        <v>89</v>
      </c>
      <c r="C61" s="97" t="s">
        <v>150</v>
      </c>
      <c r="D61" s="89">
        <v>8</v>
      </c>
      <c r="E61" s="91">
        <v>1</v>
      </c>
      <c r="F61" s="91">
        <v>7</v>
      </c>
      <c r="G61" s="91">
        <v>0</v>
      </c>
      <c r="H61" s="91">
        <f t="shared" si="0"/>
        <v>8</v>
      </c>
      <c r="I61" s="91">
        <f t="shared" si="1"/>
        <v>0</v>
      </c>
      <c r="J61" s="75"/>
    </row>
    <row r="62" spans="1:10" x14ac:dyDescent="0.25">
      <c r="A62" s="72"/>
      <c r="B62" s="94" t="s">
        <v>89</v>
      </c>
      <c r="C62" s="97">
        <v>16</v>
      </c>
      <c r="D62" s="89">
        <v>8</v>
      </c>
      <c r="E62" s="91">
        <v>0</v>
      </c>
      <c r="F62" s="91">
        <v>6</v>
      </c>
      <c r="G62" s="91">
        <v>0</v>
      </c>
      <c r="H62" s="91">
        <f t="shared" si="0"/>
        <v>6</v>
      </c>
      <c r="I62" s="91">
        <f t="shared" si="1"/>
        <v>2</v>
      </c>
      <c r="J62" s="75"/>
    </row>
    <row r="63" spans="1:10" x14ac:dyDescent="0.25">
      <c r="A63" s="72"/>
      <c r="B63" s="94" t="s">
        <v>89</v>
      </c>
      <c r="C63" s="97">
        <v>15</v>
      </c>
      <c r="D63" s="89">
        <v>18</v>
      </c>
      <c r="E63" s="91">
        <v>0</v>
      </c>
      <c r="F63" s="91">
        <v>16</v>
      </c>
      <c r="G63" s="91">
        <v>0</v>
      </c>
      <c r="H63" s="91">
        <f t="shared" si="0"/>
        <v>16</v>
      </c>
      <c r="I63" s="91">
        <f t="shared" si="1"/>
        <v>2</v>
      </c>
      <c r="J63" s="75"/>
    </row>
    <row r="64" spans="1:10" x14ac:dyDescent="0.25">
      <c r="A64" s="72"/>
      <c r="B64" s="94" t="s">
        <v>89</v>
      </c>
      <c r="C64" s="97">
        <v>14</v>
      </c>
      <c r="D64" s="89">
        <v>1</v>
      </c>
      <c r="E64" s="91">
        <v>0</v>
      </c>
      <c r="F64" s="91">
        <v>1</v>
      </c>
      <c r="G64" s="91">
        <v>0</v>
      </c>
      <c r="H64" s="91">
        <f t="shared" si="0"/>
        <v>1</v>
      </c>
      <c r="I64" s="91">
        <f t="shared" si="1"/>
        <v>0</v>
      </c>
      <c r="J64" s="75"/>
    </row>
    <row r="65" spans="1:10" x14ac:dyDescent="0.25">
      <c r="A65" s="72"/>
      <c r="B65" s="94" t="s">
        <v>89</v>
      </c>
      <c r="C65" s="97">
        <v>13</v>
      </c>
      <c r="D65" s="89">
        <v>2</v>
      </c>
      <c r="E65" s="91">
        <v>0</v>
      </c>
      <c r="F65" s="91">
        <v>0</v>
      </c>
      <c r="G65" s="91">
        <v>2</v>
      </c>
      <c r="H65" s="91">
        <f t="shared" si="0"/>
        <v>2</v>
      </c>
      <c r="I65" s="91">
        <f t="shared" si="1"/>
        <v>0</v>
      </c>
      <c r="J65" s="75"/>
    </row>
    <row r="66" spans="1:10" x14ac:dyDescent="0.25">
      <c r="A66" s="72"/>
      <c r="B66" s="94" t="s">
        <v>89</v>
      </c>
      <c r="C66" s="97">
        <v>12</v>
      </c>
      <c r="D66" s="89">
        <v>4</v>
      </c>
      <c r="E66" s="91">
        <v>0</v>
      </c>
      <c r="F66" s="91">
        <v>2</v>
      </c>
      <c r="G66" s="91">
        <v>1</v>
      </c>
      <c r="H66" s="91">
        <f t="shared" si="0"/>
        <v>3</v>
      </c>
      <c r="I66" s="91">
        <f t="shared" si="1"/>
        <v>1</v>
      </c>
      <c r="J66" s="75"/>
    </row>
    <row r="67" spans="1:10" x14ac:dyDescent="0.25">
      <c r="A67" s="72"/>
      <c r="B67" s="94" t="s">
        <v>89</v>
      </c>
      <c r="C67" s="97">
        <v>11</v>
      </c>
      <c r="D67" s="89">
        <v>4</v>
      </c>
      <c r="E67" s="91">
        <v>0</v>
      </c>
      <c r="F67" s="91">
        <v>1</v>
      </c>
      <c r="G67" s="91">
        <v>3</v>
      </c>
      <c r="H67" s="91">
        <f t="shared" si="0"/>
        <v>4</v>
      </c>
      <c r="I67" s="91">
        <f t="shared" si="1"/>
        <v>0</v>
      </c>
      <c r="J67" s="75"/>
    </row>
    <row r="68" spans="1:10" x14ac:dyDescent="0.25">
      <c r="A68" s="72"/>
      <c r="B68" s="94" t="s">
        <v>89</v>
      </c>
      <c r="C68" s="97" t="s">
        <v>142</v>
      </c>
      <c r="D68" s="89">
        <v>6</v>
      </c>
      <c r="E68" s="91">
        <v>0</v>
      </c>
      <c r="F68" s="91">
        <v>3</v>
      </c>
      <c r="G68" s="91">
        <v>3</v>
      </c>
      <c r="H68" s="91">
        <f t="shared" si="0"/>
        <v>6</v>
      </c>
      <c r="I68" s="91">
        <f t="shared" si="1"/>
        <v>0</v>
      </c>
      <c r="J68" s="75"/>
    </row>
    <row r="69" spans="1:10" x14ac:dyDescent="0.25">
      <c r="A69" s="72"/>
      <c r="B69" s="94" t="s">
        <v>89</v>
      </c>
      <c r="C69" s="97" t="s">
        <v>143</v>
      </c>
      <c r="D69" s="89">
        <v>1</v>
      </c>
      <c r="E69" s="91">
        <v>0</v>
      </c>
      <c r="F69" s="91">
        <v>1</v>
      </c>
      <c r="G69" s="91">
        <v>0</v>
      </c>
      <c r="H69" s="91">
        <f t="shared" si="0"/>
        <v>1</v>
      </c>
      <c r="I69" s="91">
        <f t="shared" si="1"/>
        <v>0</v>
      </c>
      <c r="J69" s="75"/>
    </row>
    <row r="70" spans="1:10" x14ac:dyDescent="0.25">
      <c r="A70" s="72"/>
      <c r="B70" s="94" t="s">
        <v>90</v>
      </c>
      <c r="C70" s="97" t="s">
        <v>151</v>
      </c>
      <c r="D70" s="89">
        <v>5</v>
      </c>
      <c r="E70" s="91">
        <v>0</v>
      </c>
      <c r="F70" s="91">
        <v>5</v>
      </c>
      <c r="G70" s="91">
        <v>0</v>
      </c>
      <c r="H70" s="91">
        <f t="shared" si="0"/>
        <v>5</v>
      </c>
      <c r="I70" s="91">
        <f t="shared" si="1"/>
        <v>0</v>
      </c>
      <c r="J70" s="75"/>
    </row>
    <row r="71" spans="1:10" x14ac:dyDescent="0.25">
      <c r="A71" s="72"/>
      <c r="B71" s="94" t="s">
        <v>90</v>
      </c>
      <c r="C71" s="97" t="s">
        <v>152</v>
      </c>
      <c r="D71" s="89">
        <v>6</v>
      </c>
      <c r="E71" s="91">
        <v>0</v>
      </c>
      <c r="F71" s="91">
        <v>5</v>
      </c>
      <c r="G71" s="91">
        <v>0</v>
      </c>
      <c r="H71" s="91">
        <f t="shared" si="0"/>
        <v>5</v>
      </c>
      <c r="I71" s="91">
        <f t="shared" si="1"/>
        <v>1</v>
      </c>
      <c r="J71" s="75"/>
    </row>
    <row r="72" spans="1:10" x14ac:dyDescent="0.25">
      <c r="A72" s="72"/>
      <c r="B72" s="94" t="s">
        <v>90</v>
      </c>
      <c r="C72" s="97" t="s">
        <v>153</v>
      </c>
      <c r="D72" s="89">
        <v>3</v>
      </c>
      <c r="E72" s="91">
        <v>0</v>
      </c>
      <c r="F72" s="91">
        <v>2</v>
      </c>
      <c r="G72" s="91">
        <v>1</v>
      </c>
      <c r="H72" s="91">
        <f t="shared" si="0"/>
        <v>3</v>
      </c>
      <c r="I72" s="91">
        <f t="shared" si="1"/>
        <v>0</v>
      </c>
      <c r="J72" s="75"/>
    </row>
    <row r="73" spans="1:10" x14ac:dyDescent="0.25">
      <c r="A73" s="72"/>
      <c r="B73" s="94" t="s">
        <v>90</v>
      </c>
      <c r="C73" s="97" t="s">
        <v>154</v>
      </c>
      <c r="D73" s="89">
        <v>7</v>
      </c>
      <c r="E73" s="91">
        <v>0</v>
      </c>
      <c r="F73" s="91">
        <v>2</v>
      </c>
      <c r="G73" s="91">
        <v>3</v>
      </c>
      <c r="H73" s="91">
        <f t="shared" si="0"/>
        <v>5</v>
      </c>
      <c r="I73" s="91">
        <f t="shared" si="1"/>
        <v>2</v>
      </c>
      <c r="J73" s="75"/>
    </row>
    <row r="74" spans="1:10" x14ac:dyDescent="0.25">
      <c r="A74" s="72"/>
      <c r="B74" s="94" t="s">
        <v>90</v>
      </c>
      <c r="C74" s="97" t="s">
        <v>155</v>
      </c>
      <c r="D74" s="89">
        <v>1</v>
      </c>
      <c r="E74" s="91">
        <v>0</v>
      </c>
      <c r="F74" s="91">
        <v>0</v>
      </c>
      <c r="G74" s="91">
        <v>1</v>
      </c>
      <c r="H74" s="91">
        <f t="shared" si="0"/>
        <v>1</v>
      </c>
      <c r="I74" s="91">
        <f t="shared" si="1"/>
        <v>0</v>
      </c>
      <c r="J74" s="75"/>
    </row>
    <row r="75" spans="1:10" x14ac:dyDescent="0.25">
      <c r="A75" s="72"/>
      <c r="B75" s="94" t="s">
        <v>90</v>
      </c>
      <c r="C75" s="97" t="s">
        <v>142</v>
      </c>
      <c r="D75" s="89">
        <v>13</v>
      </c>
      <c r="E75" s="91">
        <v>0</v>
      </c>
      <c r="F75" s="91">
        <v>9</v>
      </c>
      <c r="G75" s="91">
        <v>1</v>
      </c>
      <c r="H75" s="91">
        <f t="shared" si="0"/>
        <v>10</v>
      </c>
      <c r="I75" s="91">
        <f t="shared" si="1"/>
        <v>3</v>
      </c>
      <c r="J75" s="75"/>
    </row>
    <row r="76" spans="1:10" x14ac:dyDescent="0.25">
      <c r="A76" s="72"/>
      <c r="B76" s="94" t="s">
        <v>90</v>
      </c>
      <c r="C76" s="97" t="s">
        <v>143</v>
      </c>
      <c r="D76" s="89">
        <v>4</v>
      </c>
      <c r="E76" s="91">
        <v>0</v>
      </c>
      <c r="F76" s="91">
        <v>1</v>
      </c>
      <c r="G76" s="91">
        <v>1</v>
      </c>
      <c r="H76" s="91">
        <f t="shared" si="0"/>
        <v>2</v>
      </c>
      <c r="I76" s="91">
        <f t="shared" si="1"/>
        <v>2</v>
      </c>
      <c r="J76" s="75"/>
    </row>
    <row r="77" spans="1:10" x14ac:dyDescent="0.25">
      <c r="A77" s="72"/>
      <c r="B77" s="94" t="s">
        <v>90</v>
      </c>
      <c r="C77" s="97" t="s">
        <v>144</v>
      </c>
      <c r="D77" s="89">
        <v>4</v>
      </c>
      <c r="E77" s="91">
        <v>0</v>
      </c>
      <c r="F77" s="91">
        <v>1</v>
      </c>
      <c r="G77" s="91">
        <v>2</v>
      </c>
      <c r="H77" s="91">
        <f t="shared" si="0"/>
        <v>3</v>
      </c>
      <c r="I77" s="91">
        <f t="shared" si="1"/>
        <v>1</v>
      </c>
      <c r="J77" s="75"/>
    </row>
    <row r="78" spans="1:10" x14ac:dyDescent="0.25">
      <c r="A78" s="72"/>
      <c r="B78" s="94" t="s">
        <v>90</v>
      </c>
      <c r="C78" s="97" t="s">
        <v>145</v>
      </c>
      <c r="D78" s="89">
        <v>2</v>
      </c>
      <c r="E78" s="91">
        <v>0</v>
      </c>
      <c r="F78" s="91">
        <v>1</v>
      </c>
      <c r="G78" s="91">
        <v>1</v>
      </c>
      <c r="H78" s="91">
        <f t="shared" si="0"/>
        <v>2</v>
      </c>
      <c r="I78" s="91">
        <f t="shared" si="1"/>
        <v>0</v>
      </c>
      <c r="J78" s="75"/>
    </row>
    <row r="79" spans="1:10" x14ac:dyDescent="0.25">
      <c r="A79" s="72"/>
      <c r="B79" s="94" t="s">
        <v>90</v>
      </c>
      <c r="C79" s="97" t="s">
        <v>146</v>
      </c>
      <c r="D79" s="89">
        <v>5</v>
      </c>
      <c r="E79" s="91">
        <v>0</v>
      </c>
      <c r="F79" s="91">
        <v>1</v>
      </c>
      <c r="G79" s="91">
        <v>2</v>
      </c>
      <c r="H79" s="91">
        <f t="shared" si="0"/>
        <v>3</v>
      </c>
      <c r="I79" s="91">
        <f t="shared" si="1"/>
        <v>2</v>
      </c>
      <c r="J79" s="75"/>
    </row>
    <row r="80" spans="1:10" x14ac:dyDescent="0.25">
      <c r="A80" s="72"/>
      <c r="B80" s="94" t="s">
        <v>91</v>
      </c>
      <c r="C80" s="97" t="s">
        <v>151</v>
      </c>
      <c r="D80" s="89">
        <v>1</v>
      </c>
      <c r="E80" s="91">
        <v>0</v>
      </c>
      <c r="F80" s="91">
        <v>1</v>
      </c>
      <c r="G80" s="91">
        <v>0</v>
      </c>
      <c r="H80" s="91">
        <f t="shared" si="0"/>
        <v>1</v>
      </c>
      <c r="I80" s="91">
        <f t="shared" si="1"/>
        <v>0</v>
      </c>
      <c r="J80" s="75"/>
    </row>
    <row r="81" spans="1:10" x14ac:dyDescent="0.25">
      <c r="A81" s="72"/>
      <c r="B81" s="94" t="s">
        <v>91</v>
      </c>
      <c r="C81" s="97" t="s">
        <v>153</v>
      </c>
      <c r="D81" s="89">
        <v>8</v>
      </c>
      <c r="E81" s="91">
        <v>0</v>
      </c>
      <c r="F81" s="91">
        <v>6</v>
      </c>
      <c r="G81" s="91">
        <v>0</v>
      </c>
      <c r="H81" s="91">
        <f t="shared" ref="H81:H109" si="3">F81+E81+G81</f>
        <v>6</v>
      </c>
      <c r="I81" s="91">
        <f t="shared" ref="I81:I109" si="4">D81-H81</f>
        <v>2</v>
      </c>
      <c r="J81" s="75"/>
    </row>
    <row r="82" spans="1:10" x14ac:dyDescent="0.25">
      <c r="A82" s="72"/>
      <c r="B82" s="94" t="s">
        <v>91</v>
      </c>
      <c r="C82" s="97" t="s">
        <v>154</v>
      </c>
      <c r="D82" s="89">
        <v>5</v>
      </c>
      <c r="E82" s="91">
        <v>0</v>
      </c>
      <c r="F82" s="91">
        <v>1</v>
      </c>
      <c r="G82" s="91">
        <v>3</v>
      </c>
      <c r="H82" s="91">
        <f t="shared" si="3"/>
        <v>4</v>
      </c>
      <c r="I82" s="91">
        <f t="shared" si="4"/>
        <v>1</v>
      </c>
      <c r="J82" s="75"/>
    </row>
    <row r="83" spans="1:10" x14ac:dyDescent="0.25">
      <c r="A83" s="72"/>
      <c r="B83" s="94" t="s">
        <v>91</v>
      </c>
      <c r="C83" s="97" t="s">
        <v>155</v>
      </c>
      <c r="D83" s="89">
        <v>3</v>
      </c>
      <c r="E83" s="91">
        <v>0</v>
      </c>
      <c r="F83" s="91">
        <v>1</v>
      </c>
      <c r="G83" s="91">
        <v>1</v>
      </c>
      <c r="H83" s="91">
        <f t="shared" si="3"/>
        <v>2</v>
      </c>
      <c r="I83" s="91">
        <f t="shared" si="4"/>
        <v>1</v>
      </c>
      <c r="J83" s="75"/>
    </row>
    <row r="84" spans="1:10" x14ac:dyDescent="0.25">
      <c r="A84" s="72"/>
      <c r="B84" s="94" t="s">
        <v>91</v>
      </c>
      <c r="C84" s="97" t="s">
        <v>144</v>
      </c>
      <c r="D84" s="89">
        <v>11</v>
      </c>
      <c r="E84" s="91">
        <v>0</v>
      </c>
      <c r="F84" s="91">
        <v>2</v>
      </c>
      <c r="G84" s="91">
        <v>7</v>
      </c>
      <c r="H84" s="91">
        <f t="shared" si="3"/>
        <v>9</v>
      </c>
      <c r="I84" s="91">
        <f t="shared" si="4"/>
        <v>2</v>
      </c>
      <c r="J84" s="75"/>
    </row>
    <row r="85" spans="1:10" x14ac:dyDescent="0.25">
      <c r="A85" s="72"/>
      <c r="B85" s="98" t="s">
        <v>92</v>
      </c>
      <c r="C85" s="99"/>
      <c r="D85" s="87">
        <f t="shared" ref="D85" si="5">SUM(D86:D108)</f>
        <v>123</v>
      </c>
      <c r="E85" s="87">
        <f>SUM(E86:E108)</f>
        <v>6</v>
      </c>
      <c r="F85" s="87">
        <f>SUM(F86:F108)</f>
        <v>45</v>
      </c>
      <c r="G85" s="87">
        <f>SUM(G86:G108)</f>
        <v>41</v>
      </c>
      <c r="H85" s="87">
        <f t="shared" si="3"/>
        <v>92</v>
      </c>
      <c r="I85" s="87">
        <f t="shared" si="4"/>
        <v>31</v>
      </c>
      <c r="J85" s="75"/>
    </row>
    <row r="86" spans="1:10" x14ac:dyDescent="0.25">
      <c r="A86" s="100"/>
      <c r="B86" s="101" t="s">
        <v>93</v>
      </c>
      <c r="C86" s="102">
        <v>25</v>
      </c>
      <c r="D86" s="102">
        <v>1</v>
      </c>
      <c r="E86" s="103">
        <v>1</v>
      </c>
      <c r="F86" s="103">
        <v>0</v>
      </c>
      <c r="G86" s="103">
        <v>0</v>
      </c>
      <c r="H86" s="103">
        <f t="shared" si="3"/>
        <v>1</v>
      </c>
      <c r="I86" s="103">
        <f t="shared" si="4"/>
        <v>0</v>
      </c>
      <c r="J86" s="104"/>
    </row>
    <row r="87" spans="1:10" x14ac:dyDescent="0.25">
      <c r="A87" s="72"/>
      <c r="B87" s="94" t="s">
        <v>94</v>
      </c>
      <c r="C87" s="89">
        <v>24</v>
      </c>
      <c r="D87" s="89">
        <v>1</v>
      </c>
      <c r="E87" s="91">
        <v>1</v>
      </c>
      <c r="F87" s="91">
        <v>0</v>
      </c>
      <c r="G87" s="91">
        <v>0</v>
      </c>
      <c r="H87" s="91">
        <f t="shared" si="3"/>
        <v>1</v>
      </c>
      <c r="I87" s="91">
        <f t="shared" si="4"/>
        <v>0</v>
      </c>
      <c r="J87" s="75"/>
    </row>
    <row r="88" spans="1:10" x14ac:dyDescent="0.25">
      <c r="A88" s="72"/>
      <c r="B88" s="94" t="s">
        <v>94</v>
      </c>
      <c r="C88" s="89">
        <v>20</v>
      </c>
      <c r="D88" s="89">
        <v>15</v>
      </c>
      <c r="E88" s="91">
        <v>0</v>
      </c>
      <c r="F88" s="91">
        <v>10</v>
      </c>
      <c r="G88" s="91">
        <v>3</v>
      </c>
      <c r="H88" s="91">
        <f t="shared" si="3"/>
        <v>13</v>
      </c>
      <c r="I88" s="91">
        <f t="shared" si="4"/>
        <v>2</v>
      </c>
      <c r="J88" s="75"/>
    </row>
    <row r="89" spans="1:10" x14ac:dyDescent="0.25">
      <c r="A89" s="72"/>
      <c r="B89" s="94" t="s">
        <v>94</v>
      </c>
      <c r="C89" s="89">
        <v>19</v>
      </c>
      <c r="D89" s="89">
        <v>1</v>
      </c>
      <c r="E89" s="91">
        <v>0</v>
      </c>
      <c r="F89" s="91">
        <v>1</v>
      </c>
      <c r="G89" s="91">
        <v>0</v>
      </c>
      <c r="H89" s="91">
        <f t="shared" si="3"/>
        <v>1</v>
      </c>
      <c r="I89" s="91">
        <f t="shared" si="4"/>
        <v>0</v>
      </c>
      <c r="J89" s="75"/>
    </row>
    <row r="90" spans="1:10" x14ac:dyDescent="0.25">
      <c r="A90" s="72"/>
      <c r="B90" s="94" t="s">
        <v>94</v>
      </c>
      <c r="C90" s="89">
        <v>18</v>
      </c>
      <c r="D90" s="89">
        <v>14</v>
      </c>
      <c r="E90" s="91">
        <v>0</v>
      </c>
      <c r="F90" s="91">
        <v>9</v>
      </c>
      <c r="G90" s="91">
        <v>3</v>
      </c>
      <c r="H90" s="91">
        <f t="shared" si="3"/>
        <v>12</v>
      </c>
      <c r="I90" s="91">
        <f t="shared" si="4"/>
        <v>2</v>
      </c>
      <c r="J90" s="75"/>
    </row>
    <row r="91" spans="1:10" x14ac:dyDescent="0.25">
      <c r="A91" s="72"/>
      <c r="B91" s="94" t="s">
        <v>94</v>
      </c>
      <c r="C91" s="89">
        <v>16</v>
      </c>
      <c r="D91" s="89">
        <v>4</v>
      </c>
      <c r="E91" s="91">
        <v>0</v>
      </c>
      <c r="F91" s="91">
        <v>2</v>
      </c>
      <c r="G91" s="91">
        <v>1</v>
      </c>
      <c r="H91" s="91">
        <f t="shared" si="3"/>
        <v>3</v>
      </c>
      <c r="I91" s="91">
        <f t="shared" si="4"/>
        <v>1</v>
      </c>
      <c r="J91" s="75"/>
    </row>
    <row r="92" spans="1:10" x14ac:dyDescent="0.25">
      <c r="A92" s="72"/>
      <c r="B92" s="94" t="s">
        <v>95</v>
      </c>
      <c r="C92" s="89">
        <v>26</v>
      </c>
      <c r="D92" s="89">
        <v>1</v>
      </c>
      <c r="E92" s="91">
        <v>1</v>
      </c>
      <c r="F92" s="91">
        <v>0</v>
      </c>
      <c r="G92" s="91">
        <v>0</v>
      </c>
      <c r="H92" s="91">
        <f t="shared" si="3"/>
        <v>1</v>
      </c>
      <c r="I92" s="91">
        <f t="shared" si="4"/>
        <v>0</v>
      </c>
      <c r="J92" s="75"/>
    </row>
    <row r="93" spans="1:10" x14ac:dyDescent="0.25">
      <c r="A93" s="72"/>
      <c r="B93" s="94" t="s">
        <v>96</v>
      </c>
      <c r="C93" s="89">
        <v>13</v>
      </c>
      <c r="D93" s="89">
        <v>5</v>
      </c>
      <c r="E93" s="91">
        <v>0</v>
      </c>
      <c r="F93" s="91">
        <v>1</v>
      </c>
      <c r="G93" s="91">
        <v>2</v>
      </c>
      <c r="H93" s="91">
        <f t="shared" si="3"/>
        <v>3</v>
      </c>
      <c r="I93" s="91">
        <f t="shared" si="4"/>
        <v>2</v>
      </c>
      <c r="J93" s="75"/>
    </row>
    <row r="94" spans="1:10" x14ac:dyDescent="0.25">
      <c r="A94" s="72"/>
      <c r="B94" s="94" t="s">
        <v>96</v>
      </c>
      <c r="C94" s="89">
        <v>11</v>
      </c>
      <c r="D94" s="89">
        <v>4</v>
      </c>
      <c r="E94" s="91">
        <v>0</v>
      </c>
      <c r="F94" s="91">
        <v>2</v>
      </c>
      <c r="G94" s="91">
        <v>0</v>
      </c>
      <c r="H94" s="91">
        <f t="shared" si="3"/>
        <v>2</v>
      </c>
      <c r="I94" s="91">
        <f t="shared" si="4"/>
        <v>2</v>
      </c>
      <c r="J94" s="75"/>
    </row>
    <row r="95" spans="1:10" x14ac:dyDescent="0.25">
      <c r="A95" s="72"/>
      <c r="B95" s="94" t="s">
        <v>97</v>
      </c>
      <c r="C95" s="89">
        <v>11</v>
      </c>
      <c r="D95" s="89">
        <v>8</v>
      </c>
      <c r="E95" s="91">
        <v>0</v>
      </c>
      <c r="F95" s="91">
        <v>1</v>
      </c>
      <c r="G95" s="91">
        <v>4</v>
      </c>
      <c r="H95" s="91">
        <f t="shared" si="3"/>
        <v>5</v>
      </c>
      <c r="I95" s="91">
        <f t="shared" si="4"/>
        <v>3</v>
      </c>
      <c r="J95" s="75"/>
    </row>
    <row r="96" spans="1:10" x14ac:dyDescent="0.25">
      <c r="A96" s="72"/>
      <c r="B96" s="94" t="s">
        <v>97</v>
      </c>
      <c r="C96" s="97" t="s">
        <v>142</v>
      </c>
      <c r="D96" s="89">
        <v>13</v>
      </c>
      <c r="E96" s="91">
        <v>0</v>
      </c>
      <c r="F96" s="91">
        <v>4</v>
      </c>
      <c r="G96" s="91">
        <v>5</v>
      </c>
      <c r="H96" s="91">
        <f t="shared" si="3"/>
        <v>9</v>
      </c>
      <c r="I96" s="91">
        <f t="shared" si="4"/>
        <v>4</v>
      </c>
      <c r="J96" s="75"/>
    </row>
    <row r="97" spans="1:10" x14ac:dyDescent="0.25">
      <c r="A97" s="72"/>
      <c r="B97" s="94" t="s">
        <v>97</v>
      </c>
      <c r="C97" s="97" t="s">
        <v>144</v>
      </c>
      <c r="D97" s="89">
        <v>9</v>
      </c>
      <c r="E97" s="91">
        <v>0</v>
      </c>
      <c r="F97" s="91">
        <v>1</v>
      </c>
      <c r="G97" s="91">
        <v>2</v>
      </c>
      <c r="H97" s="91">
        <f t="shared" si="3"/>
        <v>3</v>
      </c>
      <c r="I97" s="91">
        <f t="shared" si="4"/>
        <v>6</v>
      </c>
      <c r="J97" s="75"/>
    </row>
    <row r="98" spans="1:10" x14ac:dyDescent="0.25">
      <c r="A98" s="72"/>
      <c r="B98" s="94" t="s">
        <v>98</v>
      </c>
      <c r="C98" s="97" t="s">
        <v>140</v>
      </c>
      <c r="D98" s="89">
        <v>1</v>
      </c>
      <c r="E98" s="91">
        <v>1</v>
      </c>
      <c r="F98" s="91">
        <v>0</v>
      </c>
      <c r="G98" s="91">
        <v>0</v>
      </c>
      <c r="H98" s="91">
        <f t="shared" si="3"/>
        <v>1</v>
      </c>
      <c r="I98" s="91">
        <f t="shared" si="4"/>
        <v>0</v>
      </c>
      <c r="J98" s="75"/>
    </row>
    <row r="99" spans="1:10" x14ac:dyDescent="0.25">
      <c r="A99" s="72"/>
      <c r="B99" s="94" t="s">
        <v>98</v>
      </c>
      <c r="C99" s="97">
        <v>15</v>
      </c>
      <c r="D99" s="89">
        <v>2</v>
      </c>
      <c r="E99" s="91">
        <v>1</v>
      </c>
      <c r="F99" s="91">
        <v>1</v>
      </c>
      <c r="G99" s="91">
        <v>0</v>
      </c>
      <c r="H99" s="91">
        <f t="shared" si="3"/>
        <v>2</v>
      </c>
      <c r="I99" s="91">
        <f t="shared" si="4"/>
        <v>0</v>
      </c>
      <c r="J99" s="75"/>
    </row>
    <row r="100" spans="1:10" x14ac:dyDescent="0.25">
      <c r="A100" s="72"/>
      <c r="B100" s="94" t="s">
        <v>98</v>
      </c>
      <c r="C100" s="97">
        <v>11</v>
      </c>
      <c r="D100" s="89">
        <v>8</v>
      </c>
      <c r="E100" s="91">
        <v>0</v>
      </c>
      <c r="F100" s="91">
        <v>4</v>
      </c>
      <c r="G100" s="91">
        <v>2</v>
      </c>
      <c r="H100" s="91">
        <f t="shared" si="3"/>
        <v>6</v>
      </c>
      <c r="I100" s="91">
        <f t="shared" si="4"/>
        <v>2</v>
      </c>
      <c r="J100" s="75"/>
    </row>
    <row r="101" spans="1:10" x14ac:dyDescent="0.25">
      <c r="A101" s="72"/>
      <c r="B101" s="94" t="s">
        <v>99</v>
      </c>
      <c r="C101" s="97" t="s">
        <v>144</v>
      </c>
      <c r="D101" s="89">
        <v>6</v>
      </c>
      <c r="E101" s="91">
        <v>0</v>
      </c>
      <c r="F101" s="91">
        <v>1</v>
      </c>
      <c r="G101" s="91">
        <v>3</v>
      </c>
      <c r="H101" s="91">
        <f t="shared" si="3"/>
        <v>4</v>
      </c>
      <c r="I101" s="91">
        <f t="shared" si="4"/>
        <v>2</v>
      </c>
      <c r="J101" s="75"/>
    </row>
    <row r="102" spans="1:10" x14ac:dyDescent="0.25">
      <c r="A102" s="72"/>
      <c r="B102" s="94" t="s">
        <v>100</v>
      </c>
      <c r="C102" s="97" t="s">
        <v>156</v>
      </c>
      <c r="D102" s="89">
        <v>5</v>
      </c>
      <c r="E102" s="91">
        <v>1</v>
      </c>
      <c r="F102" s="91">
        <v>1</v>
      </c>
      <c r="G102" s="91">
        <v>3</v>
      </c>
      <c r="H102" s="91">
        <f t="shared" si="3"/>
        <v>5</v>
      </c>
      <c r="I102" s="91">
        <f t="shared" si="4"/>
        <v>0</v>
      </c>
      <c r="J102" s="75"/>
    </row>
    <row r="103" spans="1:10" x14ac:dyDescent="0.25">
      <c r="A103" s="72"/>
      <c r="B103" s="94" t="s">
        <v>100</v>
      </c>
      <c r="C103" s="97" t="s">
        <v>152</v>
      </c>
      <c r="D103" s="89">
        <v>2</v>
      </c>
      <c r="E103" s="91">
        <v>0</v>
      </c>
      <c r="F103" s="91">
        <v>2</v>
      </c>
      <c r="G103" s="91">
        <v>0</v>
      </c>
      <c r="H103" s="91">
        <f t="shared" si="3"/>
        <v>2</v>
      </c>
      <c r="I103" s="91">
        <f t="shared" si="4"/>
        <v>0</v>
      </c>
      <c r="J103" s="75"/>
    </row>
    <row r="104" spans="1:10" x14ac:dyDescent="0.25">
      <c r="A104" s="72"/>
      <c r="B104" s="94" t="s">
        <v>100</v>
      </c>
      <c r="C104" s="97" t="s">
        <v>157</v>
      </c>
      <c r="D104" s="89">
        <v>3</v>
      </c>
      <c r="E104" s="91">
        <v>0</v>
      </c>
      <c r="F104" s="91">
        <v>2</v>
      </c>
      <c r="G104" s="91">
        <v>1</v>
      </c>
      <c r="H104" s="91">
        <f t="shared" si="3"/>
        <v>3</v>
      </c>
      <c r="I104" s="91">
        <f t="shared" si="4"/>
        <v>0</v>
      </c>
      <c r="J104" s="75"/>
    </row>
    <row r="105" spans="1:10" x14ac:dyDescent="0.25">
      <c r="A105" s="72"/>
      <c r="B105" s="94" t="s">
        <v>100</v>
      </c>
      <c r="C105" s="97" t="s">
        <v>153</v>
      </c>
      <c r="D105" s="89">
        <v>2</v>
      </c>
      <c r="E105" s="91">
        <v>0</v>
      </c>
      <c r="F105" s="91">
        <v>0</v>
      </c>
      <c r="G105" s="91">
        <v>1</v>
      </c>
      <c r="H105" s="91">
        <f t="shared" si="3"/>
        <v>1</v>
      </c>
      <c r="I105" s="91">
        <f t="shared" si="4"/>
        <v>1</v>
      </c>
      <c r="J105" s="75"/>
    </row>
    <row r="106" spans="1:10" x14ac:dyDescent="0.25">
      <c r="A106" s="72"/>
      <c r="B106" s="94" t="s">
        <v>100</v>
      </c>
      <c r="C106" s="97" t="s">
        <v>155</v>
      </c>
      <c r="D106" s="89">
        <v>1</v>
      </c>
      <c r="E106" s="91">
        <v>0</v>
      </c>
      <c r="F106" s="91">
        <v>1</v>
      </c>
      <c r="G106" s="91">
        <v>0</v>
      </c>
      <c r="H106" s="91">
        <f t="shared" si="3"/>
        <v>1</v>
      </c>
      <c r="I106" s="91">
        <f t="shared" si="4"/>
        <v>0</v>
      </c>
      <c r="J106" s="75"/>
    </row>
    <row r="107" spans="1:10" x14ac:dyDescent="0.25">
      <c r="A107" s="72"/>
      <c r="B107" s="94" t="s">
        <v>100</v>
      </c>
      <c r="C107" s="97" t="s">
        <v>142</v>
      </c>
      <c r="D107" s="89">
        <v>1</v>
      </c>
      <c r="E107" s="91">
        <v>0</v>
      </c>
      <c r="F107" s="91">
        <v>0</v>
      </c>
      <c r="G107" s="91">
        <v>1</v>
      </c>
      <c r="H107" s="91">
        <f t="shared" si="3"/>
        <v>1</v>
      </c>
      <c r="I107" s="91">
        <f t="shared" si="4"/>
        <v>0</v>
      </c>
      <c r="J107" s="75"/>
    </row>
    <row r="108" spans="1:10" x14ac:dyDescent="0.25">
      <c r="A108" s="72"/>
      <c r="B108" s="94" t="s">
        <v>100</v>
      </c>
      <c r="C108" s="97" t="s">
        <v>144</v>
      </c>
      <c r="D108" s="89">
        <v>16</v>
      </c>
      <c r="E108" s="91">
        <v>0</v>
      </c>
      <c r="F108" s="91">
        <v>2</v>
      </c>
      <c r="G108" s="91">
        <v>10</v>
      </c>
      <c r="H108" s="91">
        <f t="shared" si="3"/>
        <v>12</v>
      </c>
      <c r="I108" s="91">
        <f t="shared" si="4"/>
        <v>4</v>
      </c>
      <c r="J108" s="75"/>
    </row>
    <row r="109" spans="1:10" x14ac:dyDescent="0.25">
      <c r="A109" s="72"/>
      <c r="B109" s="105" t="s">
        <v>158</v>
      </c>
      <c r="C109" s="105"/>
      <c r="D109" s="106">
        <f>D85+D53+D30+D25+D15</f>
        <v>1361</v>
      </c>
      <c r="E109" s="106">
        <f>E85+E53+E30+E25+E15</f>
        <v>66</v>
      </c>
      <c r="F109" s="106">
        <f>F85+F53+F30+F25+F15</f>
        <v>645</v>
      </c>
      <c r="G109" s="106">
        <f>G85+G53+G30+G25+G15</f>
        <v>335</v>
      </c>
      <c r="H109" s="106">
        <f t="shared" si="3"/>
        <v>1046</v>
      </c>
      <c r="I109" s="106">
        <f t="shared" si="4"/>
        <v>315</v>
      </c>
      <c r="J109" s="75"/>
    </row>
    <row r="110" spans="1:10" x14ac:dyDescent="0.25">
      <c r="A110" s="72"/>
      <c r="B110" s="85" t="s">
        <v>159</v>
      </c>
      <c r="C110" s="86"/>
      <c r="D110" s="86"/>
      <c r="E110" s="86"/>
      <c r="F110" s="86"/>
      <c r="G110" s="86"/>
      <c r="H110" s="86"/>
      <c r="I110" s="86"/>
      <c r="J110" s="75"/>
    </row>
    <row r="111" spans="1:10" x14ac:dyDescent="0.25">
      <c r="A111" s="72"/>
      <c r="B111" s="91"/>
      <c r="C111" s="91"/>
      <c r="D111" s="91"/>
      <c r="E111" s="91"/>
      <c r="F111" s="91"/>
      <c r="G111" s="91"/>
      <c r="H111" s="91">
        <f>E111+F111+G111</f>
        <v>0</v>
      </c>
      <c r="I111" s="91">
        <f>D111-H111</f>
        <v>0</v>
      </c>
      <c r="J111" s="75"/>
    </row>
    <row r="112" spans="1:10" x14ac:dyDescent="0.25">
      <c r="A112" s="72"/>
      <c r="B112" s="91"/>
      <c r="C112" s="91"/>
      <c r="D112" s="91"/>
      <c r="E112" s="91"/>
      <c r="F112" s="91"/>
      <c r="G112" s="91"/>
      <c r="H112" s="91">
        <f>E112+F112+G112</f>
        <v>0</v>
      </c>
      <c r="I112" s="91">
        <f t="shared" ref="I112:I117" si="6">D112-H112</f>
        <v>0</v>
      </c>
      <c r="J112" s="75"/>
    </row>
    <row r="113" spans="1:10" x14ac:dyDescent="0.25">
      <c r="A113" s="72"/>
      <c r="B113" s="91"/>
      <c r="C113" s="91"/>
      <c r="D113" s="91"/>
      <c r="E113" s="91"/>
      <c r="F113" s="91"/>
      <c r="G113" s="91"/>
      <c r="H113" s="91">
        <f t="shared" ref="H113:H117" si="7">E113+F113+G113</f>
        <v>0</v>
      </c>
      <c r="I113" s="91">
        <f t="shared" si="6"/>
        <v>0</v>
      </c>
      <c r="J113" s="75"/>
    </row>
    <row r="114" spans="1:10" x14ac:dyDescent="0.25">
      <c r="A114" s="72"/>
      <c r="B114" s="91"/>
      <c r="C114" s="91"/>
      <c r="D114" s="91"/>
      <c r="E114" s="91"/>
      <c r="F114" s="91"/>
      <c r="G114" s="91"/>
      <c r="H114" s="91">
        <f t="shared" si="7"/>
        <v>0</v>
      </c>
      <c r="I114" s="91">
        <f t="shared" si="6"/>
        <v>0</v>
      </c>
      <c r="J114" s="75"/>
    </row>
    <row r="115" spans="1:10" x14ac:dyDescent="0.25">
      <c r="A115" s="72"/>
      <c r="B115" s="91"/>
      <c r="C115" s="91"/>
      <c r="D115" s="91"/>
      <c r="E115" s="91"/>
      <c r="F115" s="91"/>
      <c r="G115" s="91"/>
      <c r="H115" s="91">
        <f t="shared" si="7"/>
        <v>0</v>
      </c>
      <c r="I115" s="91">
        <f t="shared" si="6"/>
        <v>0</v>
      </c>
      <c r="J115" s="75"/>
    </row>
    <row r="116" spans="1:10" x14ac:dyDescent="0.25">
      <c r="A116" s="72"/>
      <c r="B116" s="91"/>
      <c r="C116" s="91"/>
      <c r="D116" s="91"/>
      <c r="E116" s="91"/>
      <c r="F116" s="91"/>
      <c r="G116" s="91"/>
      <c r="H116" s="91">
        <f t="shared" si="7"/>
        <v>0</v>
      </c>
      <c r="I116" s="91">
        <f>D116-H116</f>
        <v>0</v>
      </c>
      <c r="J116" s="75"/>
    </row>
    <row r="117" spans="1:10" x14ac:dyDescent="0.25">
      <c r="A117" s="72"/>
      <c r="B117" s="91"/>
      <c r="C117" s="91"/>
      <c r="D117" s="91"/>
      <c r="E117" s="91"/>
      <c r="F117" s="91"/>
      <c r="G117" s="91"/>
      <c r="H117" s="91">
        <f t="shared" si="7"/>
        <v>0</v>
      </c>
      <c r="I117" s="91">
        <f t="shared" si="6"/>
        <v>0</v>
      </c>
      <c r="J117" s="75"/>
    </row>
    <row r="118" spans="1:10" x14ac:dyDescent="0.25">
      <c r="A118" s="72"/>
      <c r="B118" s="105" t="s">
        <v>160</v>
      </c>
      <c r="C118" s="105"/>
      <c r="D118" s="107">
        <f>SUM(D111:D117)</f>
        <v>0</v>
      </c>
      <c r="E118" s="107">
        <f t="shared" ref="E118:G118" si="8">SUM(E111:E117)</f>
        <v>0</v>
      </c>
      <c r="F118" s="107">
        <f t="shared" si="8"/>
        <v>0</v>
      </c>
      <c r="G118" s="107">
        <f t="shared" si="8"/>
        <v>0</v>
      </c>
      <c r="H118" s="107">
        <f>SUM(H111:H117)</f>
        <v>0</v>
      </c>
      <c r="I118" s="107">
        <f>SUM(I111:I117)</f>
        <v>0</v>
      </c>
      <c r="J118" s="75"/>
    </row>
    <row r="119" spans="1:10" x14ac:dyDescent="0.25">
      <c r="A119" s="72"/>
      <c r="B119" s="108" t="s">
        <v>161</v>
      </c>
      <c r="C119" s="108"/>
      <c r="D119" s="109">
        <f>D109+D118</f>
        <v>1361</v>
      </c>
      <c r="E119" s="109">
        <f t="shared" ref="E119:I119" si="9">E109+E118</f>
        <v>66</v>
      </c>
      <c r="F119" s="109">
        <f t="shared" si="9"/>
        <v>645</v>
      </c>
      <c r="G119" s="109">
        <f t="shared" si="9"/>
        <v>335</v>
      </c>
      <c r="H119" s="109">
        <f t="shared" si="9"/>
        <v>1046</v>
      </c>
      <c r="I119" s="109">
        <f t="shared" si="9"/>
        <v>315</v>
      </c>
      <c r="J119" s="75"/>
    </row>
    <row r="120" spans="1:10" x14ac:dyDescent="0.25">
      <c r="A120" s="72"/>
      <c r="B120" s="75"/>
      <c r="C120" s="75"/>
      <c r="D120" s="75"/>
      <c r="E120" s="75"/>
      <c r="F120" s="75"/>
      <c r="G120" s="75"/>
      <c r="H120" s="75"/>
      <c r="I120" s="75"/>
      <c r="J120" s="75"/>
    </row>
    <row r="121" spans="1:10" x14ac:dyDescent="0.25">
      <c r="A121" s="72"/>
      <c r="B121" s="75"/>
      <c r="C121" s="75"/>
      <c r="D121" s="75"/>
      <c r="E121" s="75"/>
      <c r="F121" s="75"/>
      <c r="G121" s="75"/>
      <c r="H121" s="75"/>
      <c r="I121" s="75"/>
      <c r="J121" s="75"/>
    </row>
    <row r="122" spans="1:10" x14ac:dyDescent="0.25">
      <c r="A122" s="72"/>
      <c r="B122" s="75"/>
      <c r="C122" s="75"/>
      <c r="D122" s="75"/>
      <c r="E122" s="75"/>
      <c r="F122" s="75"/>
      <c r="G122" s="75"/>
      <c r="H122" s="75"/>
      <c r="I122" s="75"/>
      <c r="J122" s="75"/>
    </row>
    <row r="123" spans="1:10" x14ac:dyDescent="0.25">
      <c r="A123" s="72"/>
      <c r="B123" s="75"/>
      <c r="C123" s="75"/>
      <c r="D123" s="75"/>
      <c r="E123" s="75"/>
      <c r="F123" s="75"/>
      <c r="G123" s="75"/>
      <c r="H123" s="75"/>
      <c r="I123" s="75"/>
      <c r="J123" s="75"/>
    </row>
    <row r="124" spans="1:10" x14ac:dyDescent="0.25">
      <c r="A124" s="72"/>
      <c r="B124" s="75"/>
      <c r="C124" s="75"/>
      <c r="D124" s="75"/>
      <c r="E124" s="75"/>
      <c r="F124" s="75"/>
      <c r="G124" s="75"/>
      <c r="H124" s="75"/>
      <c r="I124" s="75"/>
      <c r="J124" s="75"/>
    </row>
    <row r="125" spans="1:10" x14ac:dyDescent="0.25">
      <c r="A125" s="72"/>
      <c r="B125" s="75"/>
      <c r="C125" s="75"/>
      <c r="D125" s="75"/>
      <c r="E125" s="75"/>
      <c r="F125" s="75"/>
      <c r="G125" s="75"/>
      <c r="H125" s="75"/>
      <c r="I125" s="75"/>
      <c r="J125" s="75"/>
    </row>
    <row r="126" spans="1:10" x14ac:dyDescent="0.25">
      <c r="A126" s="72"/>
      <c r="B126" s="110" t="s">
        <v>162</v>
      </c>
      <c r="C126" s="75"/>
      <c r="D126" s="75"/>
      <c r="E126" s="75"/>
      <c r="F126" s="75"/>
      <c r="G126" s="75"/>
      <c r="H126" s="210"/>
      <c r="I126" s="210"/>
      <c r="J126" s="75"/>
    </row>
    <row r="127" spans="1:10" x14ac:dyDescent="0.25">
      <c r="A127" s="72"/>
      <c r="B127" s="111" t="s">
        <v>163</v>
      </c>
      <c r="C127" s="75"/>
      <c r="D127" s="75"/>
      <c r="E127" s="75"/>
      <c r="F127" s="75"/>
      <c r="G127" s="75"/>
      <c r="H127" s="211" t="s">
        <v>164</v>
      </c>
      <c r="I127" s="211"/>
      <c r="J127" s="75"/>
    </row>
  </sheetData>
  <mergeCells count="16">
    <mergeCell ref="H126:I126"/>
    <mergeCell ref="H127:I127"/>
    <mergeCell ref="B10:B12"/>
    <mergeCell ref="C10:C12"/>
    <mergeCell ref="D10:D12"/>
    <mergeCell ref="E10:G10"/>
    <mergeCell ref="H10:H12"/>
    <mergeCell ref="I10:I12"/>
    <mergeCell ref="E11:E12"/>
    <mergeCell ref="F11:G11"/>
    <mergeCell ref="B8:E8"/>
    <mergeCell ref="A1:J1"/>
    <mergeCell ref="A2:J2"/>
    <mergeCell ref="A3:J3"/>
    <mergeCell ref="C5:I5"/>
    <mergeCell ref="C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Formulario planta 2023</vt:lpstr>
      <vt:lpstr>Formulario 4A - Nómina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Ivonne_Y</cp:lastModifiedBy>
  <cp:revision/>
  <dcterms:created xsi:type="dcterms:W3CDTF">2022-03-07T20:07:11Z</dcterms:created>
  <dcterms:modified xsi:type="dcterms:W3CDTF">2022-03-29T23:03:12Z</dcterms:modified>
  <cp:category/>
  <cp:contentStatus/>
</cp:coreProperties>
</file>