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44" windowHeight="11676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PAGAR'!$A$1:$P$50</definedName>
    <definedName name="_xlnm.Print_Area" localSheetId="1">'Gastos Dane '!$A$1:$AP$73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<sst xmlns="http://schemas.openxmlformats.org/spreadsheetml/2006/main" count="431" uniqueCount="193">
  <si>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</si>
  <si>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</si>
  <si>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</si>
  <si>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</si>
  <si>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</si>
  <si>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</si>
  <si>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</si>
  <si>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</si>
  <si>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</si>
  <si>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</si>
  <si>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</si>
  <si>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</si>
  <si>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</si>
  <si>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</si>
  <si>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</si>
  <si>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</si>
  <si>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</si>
  <si>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</si>
  <si>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</si>
  <si>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</si>
  <si>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</si>
  <si>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</si>
  <si>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</si>
  <si>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</si>
  <si>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</si>
  <si>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</si>
  <si>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</si>
  <si>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</si>
  <si>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</si>
  <si>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</si>
  <si>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</si>
  <si>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</si>
  <si>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</si>
  <si>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</si>
  <si>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</si>
  <si>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</si>
  <si>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</si>
  <si>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</si>
  <si>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</si>
  <si>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</si>
  <si>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</si>
  <si>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</si>
  <si>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</si>
  <si>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</si>
  <si>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</si>
  <si>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</si>
  <si>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</si>
  <si>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</si>
  <si>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</si>
  <si>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</si>
  <si>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</si>
  <si>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</si>
  <si>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</si>
  <si>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</si>
  <si>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</si>
  <si>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</si>
  <si>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</si>
  <si>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</si>
  <si>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</si>
  <si>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</si>
  <si>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</si>
  <si>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</si>
  <si>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</si>
  <si>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</si>
  <si>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</si>
  <si>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</si>
  <si>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>A|1|0|5|2|||10</t>
  </si>
  <si>
    <t>A|1|0|5|6|||10</t>
  </si>
  <si>
    <t>A|1|0|5|7|||10</t>
  </si>
  <si>
    <t>A|1|0|5|8|||10</t>
  </si>
  <si>
    <t>A|1|0|5|9|||10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</si>
  <si>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</si>
  <si>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</si>
  <si>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</si>
  <si>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</si>
  <si>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</si>
  <si>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</si>
  <si>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</si>
  <si>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</si>
  <si>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</si>
  <si>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MEJORAMIENTO DE LA CAPACIDAD TECNICA Y ADMINISTRATIVA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</si>
  <si>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</si>
  <si>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</si>
  <si>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</si>
  <si>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</si>
  <si>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</si>
  <si>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</si>
  <si>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</si>
  <si>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</si>
  <si>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</si>
  <si>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</si>
  <si>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</si>
  <si>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</si>
  <si>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</si>
  <si>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</si>
  <si>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</si>
  <si>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</si>
  <si>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</si>
  <si>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</si>
  <si>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</si>
  <si>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A|3|2|1|1|11</t>
  </si>
  <si>
    <t xml:space="preserve">ADQUISICION DE BIENES Y SERVICIOS </t>
  </si>
  <si>
    <t>A|1|0|2|12|10</t>
  </si>
  <si>
    <t xml:space="preserve"> </t>
  </si>
  <si>
    <t>Preparó : M.S.R.</t>
  </si>
  <si>
    <t>A|2|0|4|01|10</t>
  </si>
  <si>
    <t xml:space="preserve">COMPRA DE EQUIPO </t>
  </si>
  <si>
    <t xml:space="preserve">VIATICOS Y GASTOS DE VIAJES </t>
  </si>
  <si>
    <t>A|2|0|4|11|10</t>
  </si>
  <si>
    <t>C|450|1003|2|11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</si>
  <si>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</si>
  <si>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</si>
  <si>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</si>
  <si>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</si>
  <si>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OTRAS TRANSFERENCIAS -PREVIO CONCEPTO DGPNN</t>
  </si>
  <si>
    <t>A|2|0|4|| |10</t>
  </si>
  <si>
    <t>A|2|0|4||10</t>
  </si>
  <si>
    <t>C|520|1000|130-1|11</t>
  </si>
  <si>
    <t>A|3|6|3 ||20|10</t>
  </si>
  <si>
    <t>A|2|0|4|1|10</t>
  </si>
  <si>
    <t>C|410|1000|12|11</t>
  </si>
  <si>
    <t xml:space="preserve">LEV. RECOP, SEGUIM. Y ACTUL.  ENCUESTA LONGITUDINAL  PROT.SOC. COL.  NAL. </t>
  </si>
  <si>
    <t>C|450|1003|1|11</t>
  </si>
  <si>
    <t>C|450|1003|3|11</t>
  </si>
  <si>
    <t>C|450|1003|4|11</t>
  </si>
  <si>
    <t>C|450|1003|5|11</t>
  </si>
  <si>
    <t>C|450|1003|6|11</t>
  </si>
  <si>
    <t>C|450|1003|7|11</t>
  </si>
  <si>
    <t>C|450|1003|8|11</t>
  </si>
  <si>
    <t>C|450|1003|9|11</t>
  </si>
  <si>
    <t>C|450|1003|10|11</t>
  </si>
  <si>
    <t>C|450|1003|11|11</t>
  </si>
  <si>
    <t>LEV. RECOP Y ACTUAL.  INF CUENTAS NALES Y MACROECONOMIA  A NIV.NAL.</t>
  </si>
  <si>
    <t>LEV. RECOP Y ACTUAL.INF PLANIFICACION Y ARMON ESTADISTICA A NIV.NAL.</t>
  </si>
  <si>
    <t>C|450|1003|12|11</t>
  </si>
  <si>
    <t>LEV. Y ACTUAL.  DE INF AGROPECUARIA A NIV.NAL.</t>
  </si>
  <si>
    <t>C|450|1003|13|11</t>
  </si>
  <si>
    <t>LEV. RECOP Y ACTUAL. INF POBLACIONAL Y DEMOGRAFICA  NAL.</t>
  </si>
  <si>
    <t>C|450|1003|14|11</t>
  </si>
  <si>
    <t>C|450|1003|15|11</t>
  </si>
  <si>
    <t>DESARROLLO TERCER  CENSO NAL.  AGROPECUARIO -PREVIO CONCEPTO DNP.</t>
  </si>
  <si>
    <t>C|450|1003|16|11</t>
  </si>
  <si>
    <t>FORT.SIST. INF. PRECIOS Y ABASTECIMIENTO SECT.AGROPECUARIO SIPSA EN COL.</t>
  </si>
  <si>
    <t>C|450|1003|17|11</t>
  </si>
  <si>
    <t xml:space="preserve">LEV. RECOP Y ACTUAL. DE LAS ESTADISTICAS  DEL SECTOR TURISMO NAL. </t>
  </si>
  <si>
    <t>LEV. DE INF. ESTADIS. PARA GENERAR LA ENCUESTA  DE VICTIMIZACION NAL.</t>
  </si>
  <si>
    <t>C|450|1003|1|10</t>
  </si>
  <si>
    <t>C|450|1003|2|10</t>
  </si>
  <si>
    <t>C|450|1003|310</t>
  </si>
  <si>
    <t>C|450|1003|4|10</t>
  </si>
  <si>
    <t>C|450|1003|5|10</t>
  </si>
  <si>
    <t>C|450|1003|6|10</t>
  </si>
  <si>
    <t>C|450|1003|7|10</t>
  </si>
  <si>
    <t>C|450|1003|8|10</t>
  </si>
  <si>
    <t>C|450|1003|9|10</t>
  </si>
  <si>
    <t>C|450|1003|10|10</t>
  </si>
  <si>
    <t>C|450|1003|11|10</t>
  </si>
  <si>
    <t>C|450|1003|12|10</t>
  </si>
  <si>
    <t>LEV. Y ACTUAL.  DE INF AGROPECUARIA A NI.NAL.</t>
  </si>
  <si>
    <t>C|450|1003|13|10</t>
  </si>
  <si>
    <t>LEV. RECOP Y ACTUAL. INF POBLACIONAL Y DEMOGRAFICA  NAL</t>
  </si>
  <si>
    <t>C|450|1003|14|10</t>
  </si>
  <si>
    <t>C|450|1003|17|10</t>
  </si>
  <si>
    <t xml:space="preserve">LEV. RECOP Y ACTUAL. DE LAS ESTADISTICASS  DEL SECTOR TURISMO NAL. </t>
  </si>
  <si>
    <t>C|520|1000|122|11</t>
  </si>
  <si>
    <t xml:space="preserve">LEV. DE INF. ENCUESTA LONGITUDINAL  PROT. SOCIAL PARA COLOMBIA </t>
  </si>
  <si>
    <t xml:space="preserve">LEV. DE INF. ESTADIS. PARA LA ENCUESTA  NAL. DE VICTIMIZACION </t>
  </si>
  <si>
    <t>C|520|1000|130-4|11</t>
  </si>
  <si>
    <t>MEJORAMIENTO TEMATICO  GRAN ENCUESTA  INT. DE HOGARES A NIV. NAL.</t>
  </si>
  <si>
    <t>C|520|1000|130-5|11</t>
  </si>
  <si>
    <t>LEV.DE PRODUCTOS PARA EL DESARROLLO TERCER CENSO NAL. AGROPECUARIO</t>
  </si>
  <si>
    <t>C|520|1000|130-6|11</t>
  </si>
  <si>
    <t xml:space="preserve">LEV. DE LA GRAN ENCUESTA INTEG.  DE HOGARES-GEIH EN LOS NVOS DPTOS. NAL. </t>
  </si>
  <si>
    <t>LEV.DE PRODUCTOS PARA EL DESAR.TERCER CENSO NAL. AGROPECUARIO</t>
  </si>
  <si>
    <t xml:space="preserve">LEV. DE LA GRAN ENCUESTA INTEG. HOGARES-GEIH EN LOS NVOS DPTOS. NAL. </t>
  </si>
  <si>
    <t>A|1|0|1|5|10</t>
  </si>
  <si>
    <t xml:space="preserve">OTROS </t>
  </si>
  <si>
    <t>A|1|0|1|9|10</t>
  </si>
  <si>
    <t xml:space="preserve">HORAS EXTRAS, DIAS FESTIVOS E INDEMNIZACION  POR VACACIONES </t>
  </si>
  <si>
    <t>A|3|4|1 |144|10</t>
  </si>
  <si>
    <t>ORGANIZACIÓN COOPERACION Y DESARROLLO ECONOMICO  OCDE</t>
  </si>
  <si>
    <t>A|2|0|4|6|10</t>
  </si>
  <si>
    <t>SENTENCIAS Y CONCILIACIONES</t>
  </si>
  <si>
    <t xml:space="preserve">COMUNICACIONES Y TRANSPORTE </t>
  </si>
  <si>
    <t>A|2|0|4|2|10</t>
  </si>
  <si>
    <t xml:space="preserve">ENSERES Y EQUIPO DE OFICINA </t>
  </si>
  <si>
    <t>C|520|1000|131|11</t>
  </si>
  <si>
    <t xml:space="preserve">COORDINADOR  PRESUPUESTO </t>
  </si>
  <si>
    <t xml:space="preserve">COORDINADOR   PRESUPUESTO </t>
  </si>
  <si>
    <t>A  AGOSTO</t>
  </si>
  <si>
    <t xml:space="preserve">A AGOSTO </t>
  </si>
  <si>
    <t xml:space="preserve">A   AGOSTO </t>
  </si>
  <si>
    <t xml:space="preserve">NOTA: MEDIANTE RESOLUCION 1030 DE 2013 SE EFECTUO UN TRASLADO  EN EL PPTO DE FUNCIONAMIENTO DANE POR VALOR DE $200.000.000  DE  SUELDOS  A : HORAS EXTRAS $60.000.000 Y INDEMNIZACION VACIONES $140.000.000; POR OFICIO DE  LA COORDINACION AREA DMINISTRATIVA DE FECHA  9 DE AGOSTO SOLICITA  TRASLADAR  LA SUMA DE $3.532.222, ASI: MATERIALES  Y SUMINISTROS $303,  MANTENIMIENTO $26.200, COMPRA DE EQUIPO $3,459,963  A : SERVICIOS PÚBLICOS $26.503,  Y  MANTENIMIENTO $3.459,963; POR OFICIO DE LA SECRETARIA  GENERAL DE FECHA 27 DE AGOSTO SOLICITA  TRASLADAR  LA SUMA DE $6.000.000 DE REMUNERACION SERV. TECNICOS A : HONORARIOS; POR RESOLUCION 1242 DE FECHA 26 DE AGOSTO  SE EFECTUO UN TRASLADO  EN EL PTPTO DE FUNCIONAMIENTO DANE POR VALOR DE $172.000.000 DE ORGANIZACION PARA COOPERACION  Y EL DESARROLLO  ECONOMICO  A: SENTENCIAS  Y CONCILIACIONES  Y POR OFICIO DE LA COORDINACION AREA  ADMINISTRATIVA DE FECHA 29 DE AGOSTO/13  SOLICITA TRASLADAR LA SUMA DE $1.040.000 DE MANTENIMIENTO  A ARRENDAMIENTOS. MEDIANTE  OFOCIO DE  FECHA 27 DE JUNIO DE 2013 DE MINHACIENDA, SE  LIBERA  LA SUMA DE $22.000.000  POR EL RUBRO COMPRA DE  EQUIPO TRASLADO QUE NO FUE APROBADO. 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</si>
</sst>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$&quot;\ #,##0.00"/>
    <numFmt numFmtId="210" formatCode="[$-1240A]&quot;$&quot;\ #,##0.00;\(&quot;$&quot;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209" fontId="3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9" fontId="10" fillId="0" borderId="49" xfId="0" applyNumberFormat="1" applyFont="1" applyBorder="1" applyAlignment="1" applyProtection="1">
      <alignment horizontal="right" vertical="center" wrapText="1" readingOrder="1"/>
      <protection locked="0"/>
    </xf>
    <xf numFmtId="43" fontId="1" fillId="0" borderId="0" xfId="48" applyFont="1" applyAlignment="1">
      <alignment/>
    </xf>
    <xf numFmtId="43" fontId="0" fillId="0" borderId="0" xfId="48" applyFont="1" applyAlignment="1">
      <alignment/>
    </xf>
    <xf numFmtId="20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="90" zoomScaleNormal="90" zoomScalePageLayoutView="0" workbookViewId="0" topLeftCell="C6">
      <selection activeCell="Q6" sqref="Q1:Q16384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17.57421875" style="1" customWidth="1"/>
    <col min="19" max="19" width="21.421875" style="1" customWidth="1"/>
    <col min="20" max="16384" width="11.421875" style="1" customWidth="1"/>
  </cols>
  <sheetData>
    <row r="1" spans="1:16" s="22" customFormat="1" ht="13.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</row>
    <row r="2" spans="1:16" s="22" customFormat="1" ht="13.5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16" s="22" customFormat="1" ht="13.5">
      <c r="A3" s="129" t="s">
        <v>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1:16" s="22" customFormat="1" ht="13.5">
      <c r="A4" s="129" t="s">
        <v>84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1:16" s="22" customFormat="1" ht="13.5">
      <c r="A5" s="129" t="s">
        <v>38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</row>
    <row r="6" spans="1:16" s="22" customFormat="1" ht="13.5">
      <c r="A6" s="132" t="s">
        <v>2</v>
      </c>
      <c r="B6" s="133"/>
      <c r="C6" s="27" t="s">
        <v>39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 t="s">
        <v>191</v>
      </c>
    </row>
    <row r="7" spans="1:16" s="22" customFormat="1" ht="15" customHeight="1" thickBot="1">
      <c r="A7" s="132" t="s">
        <v>3</v>
      </c>
      <c r="B7" s="133"/>
      <c r="C7" s="23" t="s">
        <v>37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0">
        <v>2013</v>
      </c>
    </row>
    <row r="8" spans="1:16" s="22" customFormat="1" ht="14.25" hidden="1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6" s="22" customFormat="1" ht="13.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s="22" customFormat="1" ht="13.5">
      <c r="A10" s="64" t="s">
        <v>24</v>
      </c>
      <c r="B10" s="64" t="s">
        <v>26</v>
      </c>
      <c r="C10" s="64" t="s">
        <v>27</v>
      </c>
      <c r="D10" s="64" t="s">
        <v>30</v>
      </c>
      <c r="E10" s="64" t="s">
        <v>30</v>
      </c>
      <c r="F10" s="64" t="s">
        <v>30</v>
      </c>
      <c r="G10" s="64" t="s">
        <v>30</v>
      </c>
      <c r="H10" s="64" t="s">
        <v>30</v>
      </c>
      <c r="I10" s="64" t="s">
        <v>30</v>
      </c>
      <c r="J10" s="64" t="s">
        <v>30</v>
      </c>
      <c r="K10" s="64" t="s">
        <v>30</v>
      </c>
      <c r="L10" s="64" t="s">
        <v>30</v>
      </c>
      <c r="M10" s="64" t="s">
        <v>30</v>
      </c>
      <c r="N10" s="64" t="s">
        <v>30</v>
      </c>
      <c r="O10" s="64" t="s">
        <v>30</v>
      </c>
      <c r="P10" s="64" t="s">
        <v>30</v>
      </c>
    </row>
    <row r="11" spans="1:16" s="22" customFormat="1" ht="14.25" thickBot="1">
      <c r="A11" s="65" t="s">
        <v>25</v>
      </c>
      <c r="B11" s="65"/>
      <c r="C11" s="65" t="s">
        <v>6</v>
      </c>
      <c r="D11" s="65" t="s">
        <v>7</v>
      </c>
      <c r="E11" s="65" t="s">
        <v>8</v>
      </c>
      <c r="F11" s="65" t="s">
        <v>9</v>
      </c>
      <c r="G11" s="65" t="s">
        <v>10</v>
      </c>
      <c r="H11" s="65" t="s">
        <v>20</v>
      </c>
      <c r="I11" s="65" t="s">
        <v>21</v>
      </c>
      <c r="J11" s="65" t="s">
        <v>22</v>
      </c>
      <c r="K11" s="65" t="s">
        <v>14</v>
      </c>
      <c r="L11" s="65" t="s">
        <v>15</v>
      </c>
      <c r="M11" s="65" t="s">
        <v>23</v>
      </c>
      <c r="N11" s="65" t="s">
        <v>17</v>
      </c>
      <c r="O11" s="65" t="s">
        <v>18</v>
      </c>
      <c r="P11" s="65" t="s">
        <v>19</v>
      </c>
    </row>
    <row r="12" spans="1:16" s="22" customFormat="1" ht="14.25" thickBot="1">
      <c r="A12" s="66">
        <v>1</v>
      </c>
      <c r="B12" s="66">
        <v>2</v>
      </c>
      <c r="C12" s="66"/>
      <c r="D12" s="66">
        <v>7</v>
      </c>
      <c r="E12" s="66">
        <v>7</v>
      </c>
      <c r="F12" s="66">
        <v>7</v>
      </c>
      <c r="G12" s="66">
        <v>7</v>
      </c>
      <c r="H12" s="66">
        <v>7</v>
      </c>
      <c r="I12" s="66">
        <v>7</v>
      </c>
      <c r="J12" s="66">
        <v>7</v>
      </c>
      <c r="K12" s="66">
        <v>7</v>
      </c>
      <c r="L12" s="66">
        <v>7</v>
      </c>
      <c r="M12" s="66">
        <v>7</v>
      </c>
      <c r="N12" s="66">
        <v>7</v>
      </c>
      <c r="O12" s="66">
        <v>7</v>
      </c>
      <c r="P12" s="66">
        <v>8</v>
      </c>
    </row>
    <row r="13" spans="1:16" s="14" customFormat="1" ht="13.5" thickBot="1">
      <c r="A13" s="34"/>
      <c r="B13" s="35" t="s">
        <v>45</v>
      </c>
      <c r="C13" s="36">
        <f aca="true" t="shared" si="0" ref="C13:P13">SUM(C14+C19)</f>
        <v>3983978089</v>
      </c>
      <c r="D13" s="36">
        <f t="shared" si="0"/>
        <v>1571693438</v>
      </c>
      <c r="E13" s="36">
        <f t="shared" si="0"/>
        <v>2412284651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3983978089</v>
      </c>
    </row>
    <row r="14" spans="1:16" s="14" customFormat="1" ht="12.75">
      <c r="A14" s="34"/>
      <c r="B14" s="35" t="s">
        <v>42</v>
      </c>
      <c r="C14" s="36">
        <f aca="true" t="shared" si="1" ref="C14:P14">SUM(C15:C18)</f>
        <v>439173069</v>
      </c>
      <c r="D14" s="36">
        <f t="shared" si="1"/>
        <v>415517724</v>
      </c>
      <c r="E14" s="36">
        <f t="shared" si="1"/>
        <v>23655345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439173069</v>
      </c>
    </row>
    <row r="15" spans="1:16" s="14" customFormat="1" ht="12.75">
      <c r="A15" s="15" t="s">
        <v>112</v>
      </c>
      <c r="B15" s="40" t="s">
        <v>113</v>
      </c>
      <c r="C15" s="41">
        <v>3123556</v>
      </c>
      <c r="D15" s="41">
        <v>3123556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/>
      <c r="N15" s="41"/>
      <c r="O15" s="41"/>
      <c r="P15" s="51">
        <f>SUM(D15:O15)</f>
        <v>3123556</v>
      </c>
    </row>
    <row r="16" spans="1:16" s="14" customFormat="1" ht="12.75">
      <c r="A16" s="15" t="s">
        <v>175</v>
      </c>
      <c r="B16" s="40" t="s">
        <v>176</v>
      </c>
      <c r="C16" s="41">
        <f>50106327-2022931</f>
        <v>48083396</v>
      </c>
      <c r="D16" s="41">
        <v>50106327</v>
      </c>
      <c r="E16" s="42">
        <v>-2022931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/>
      <c r="N16" s="41"/>
      <c r="O16" s="41"/>
      <c r="P16" s="51">
        <f>SUM(D16:O16)</f>
        <v>48083396</v>
      </c>
    </row>
    <row r="17" spans="1:16" s="14" customFormat="1" ht="12.75">
      <c r="A17" s="15" t="s">
        <v>177</v>
      </c>
      <c r="B17" s="40" t="s">
        <v>178</v>
      </c>
      <c r="C17" s="41">
        <f>81693533-1790955</f>
        <v>79902578</v>
      </c>
      <c r="D17" s="41">
        <v>81693533</v>
      </c>
      <c r="E17" s="42">
        <v>-1790955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/>
      <c r="N17" s="41"/>
      <c r="O17" s="41"/>
      <c r="P17" s="51">
        <f>SUM(D17:O17)</f>
        <v>79902578</v>
      </c>
    </row>
    <row r="18" spans="1:16" s="14" customFormat="1" ht="13.5" thickBot="1">
      <c r="A18" s="15" t="s">
        <v>102</v>
      </c>
      <c r="B18" s="40" t="s">
        <v>32</v>
      </c>
      <c r="C18" s="41">
        <v>308063539</v>
      </c>
      <c r="D18" s="41">
        <v>280594308</v>
      </c>
      <c r="E18" s="42">
        <v>27469231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/>
      <c r="N18" s="41"/>
      <c r="O18" s="41"/>
      <c r="P18" s="51">
        <f>SUM(D18:O18)</f>
        <v>308063539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3544805020</v>
      </c>
      <c r="D19" s="47">
        <f t="shared" si="2"/>
        <v>1156175714</v>
      </c>
      <c r="E19" s="47">
        <f t="shared" si="2"/>
        <v>2388629306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3544805020</v>
      </c>
    </row>
    <row r="20" spans="1:16" s="14" customFormat="1" ht="13.5" thickBot="1">
      <c r="A20" s="16" t="s">
        <v>116</v>
      </c>
      <c r="B20" s="48" t="s">
        <v>101</v>
      </c>
      <c r="C20" s="102">
        <v>3544805020</v>
      </c>
      <c r="D20" s="44">
        <v>1156175714</v>
      </c>
      <c r="E20" s="44">
        <v>2388629306</v>
      </c>
      <c r="F20" s="44">
        <v>0</v>
      </c>
      <c r="G20" s="44"/>
      <c r="H20" s="44">
        <v>0</v>
      </c>
      <c r="I20" s="44">
        <v>0</v>
      </c>
      <c r="J20" s="44">
        <v>0</v>
      </c>
      <c r="K20" s="44">
        <v>0</v>
      </c>
      <c r="L20" s="44"/>
      <c r="M20" s="44"/>
      <c r="N20" s="44"/>
      <c r="O20" s="44"/>
      <c r="P20" s="51">
        <f>SUM(D20:O20)</f>
        <v>3544805020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9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  <c r="S23" s="53"/>
    </row>
    <row r="24" spans="1:19" s="14" customFormat="1" ht="18" customHeight="1" thickBot="1">
      <c r="A24" s="21"/>
      <c r="B24" s="46" t="s">
        <v>97</v>
      </c>
      <c r="C24" s="47">
        <f aca="true" t="shared" si="4" ref="C24:P24">SUM(C25:C45)</f>
        <v>10034312277</v>
      </c>
      <c r="D24" s="47">
        <f t="shared" si="4"/>
        <v>7855671659.5</v>
      </c>
      <c r="E24" s="47">
        <f t="shared" si="4"/>
        <v>2178640617.5</v>
      </c>
      <c r="F24" s="47">
        <f t="shared" si="4"/>
        <v>0</v>
      </c>
      <c r="G24" s="47"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10034312277</v>
      </c>
      <c r="R24" s="113"/>
      <c r="S24" s="113"/>
    </row>
    <row r="25" spans="1:19" s="10" customFormat="1" ht="12.75">
      <c r="A25" s="82" t="s">
        <v>146</v>
      </c>
      <c r="B25" s="13" t="s">
        <v>80</v>
      </c>
      <c r="C25" s="53">
        <v>1317370332.5</v>
      </c>
      <c r="D25" s="44">
        <v>1245030788</v>
      </c>
      <c r="E25" s="53">
        <v>72339544.5</v>
      </c>
      <c r="F25" s="53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/>
      <c r="M25" s="44"/>
      <c r="N25" s="44"/>
      <c r="O25" s="44"/>
      <c r="P25" s="43">
        <f>SUM(D25:O25)</f>
        <v>1317370332.5</v>
      </c>
      <c r="R25" s="118"/>
      <c r="S25" s="113"/>
    </row>
    <row r="26" spans="1:19" s="10" customFormat="1" ht="12.75">
      <c r="A26" s="82" t="s">
        <v>147</v>
      </c>
      <c r="B26" s="13" t="s">
        <v>81</v>
      </c>
      <c r="C26" s="101">
        <v>819820530.5</v>
      </c>
      <c r="D26" s="101">
        <v>656602899.5</v>
      </c>
      <c r="E26" s="101">
        <v>163217631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/>
      <c r="M26" s="101"/>
      <c r="N26" s="101"/>
      <c r="O26" s="101"/>
      <c r="P26" s="43">
        <f aca="true" t="shared" si="5" ref="P26:P45">SUM(D26:O26)</f>
        <v>819820530.5</v>
      </c>
      <c r="R26" s="118"/>
      <c r="S26" s="113"/>
    </row>
    <row r="27" spans="1:19" s="10" customFormat="1" ht="12.75">
      <c r="A27" s="82" t="s">
        <v>109</v>
      </c>
      <c r="B27" s="13" t="s">
        <v>81</v>
      </c>
      <c r="C27" s="102">
        <v>71113515</v>
      </c>
      <c r="D27" s="102">
        <v>60603779</v>
      </c>
      <c r="E27" s="102">
        <v>10509736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/>
      <c r="M27" s="102"/>
      <c r="N27" s="102"/>
      <c r="O27" s="102"/>
      <c r="P27" s="43">
        <f t="shared" si="5"/>
        <v>71113515</v>
      </c>
      <c r="R27" s="118"/>
      <c r="S27" s="113"/>
    </row>
    <row r="28" spans="1:19" s="10" customFormat="1" ht="12.75">
      <c r="A28" s="82" t="s">
        <v>148</v>
      </c>
      <c r="B28" s="13" t="s">
        <v>82</v>
      </c>
      <c r="C28" s="102">
        <v>477908690.65</v>
      </c>
      <c r="D28" s="102">
        <v>437205436.65</v>
      </c>
      <c r="E28" s="102">
        <v>40703254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/>
      <c r="M28" s="102"/>
      <c r="N28" s="102"/>
      <c r="O28" s="102"/>
      <c r="P28" s="43">
        <f t="shared" si="5"/>
        <v>477908690.65</v>
      </c>
      <c r="R28" s="118"/>
      <c r="S28" s="113"/>
    </row>
    <row r="29" spans="1:19" s="10" customFormat="1" ht="12.75">
      <c r="A29" s="82" t="s">
        <v>149</v>
      </c>
      <c r="B29" s="13" t="s">
        <v>87</v>
      </c>
      <c r="C29" s="102">
        <v>239290646</v>
      </c>
      <c r="D29" s="102">
        <v>216093912</v>
      </c>
      <c r="E29" s="102">
        <v>23196734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/>
      <c r="M29" s="102"/>
      <c r="N29" s="102"/>
      <c r="O29" s="102"/>
      <c r="P29" s="43">
        <f>SUM(D29:O29)</f>
        <v>239290646</v>
      </c>
      <c r="R29" s="118"/>
      <c r="S29" s="113"/>
    </row>
    <row r="30" spans="1:19" s="10" customFormat="1" ht="12.75">
      <c r="A30" s="82" t="s">
        <v>150</v>
      </c>
      <c r="B30" s="13" t="s">
        <v>88</v>
      </c>
      <c r="C30" s="102">
        <v>286155745.85</v>
      </c>
      <c r="D30" s="102">
        <v>266588964.85</v>
      </c>
      <c r="E30" s="102">
        <v>19566781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/>
      <c r="M30" s="102"/>
      <c r="N30" s="102"/>
      <c r="O30" s="102"/>
      <c r="P30" s="43">
        <f t="shared" si="5"/>
        <v>286155745.85</v>
      </c>
      <c r="R30" s="118"/>
      <c r="S30" s="113"/>
    </row>
    <row r="31" spans="1:19" s="10" customFormat="1" ht="12.75">
      <c r="A31" s="82" t="s">
        <v>151</v>
      </c>
      <c r="B31" s="13" t="s">
        <v>89</v>
      </c>
      <c r="C31" s="102">
        <v>518246369</v>
      </c>
      <c r="D31" s="102">
        <v>379971436</v>
      </c>
      <c r="E31" s="102">
        <v>138274933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/>
      <c r="M31" s="102"/>
      <c r="N31" s="102"/>
      <c r="O31" s="102"/>
      <c r="P31" s="43">
        <f t="shared" si="5"/>
        <v>518246369</v>
      </c>
      <c r="R31" s="118"/>
      <c r="S31" s="113"/>
    </row>
    <row r="32" spans="1:19" s="10" customFormat="1" ht="12.75">
      <c r="A32" s="82" t="s">
        <v>152</v>
      </c>
      <c r="B32" s="13" t="s">
        <v>90</v>
      </c>
      <c r="C32" s="102">
        <v>15241433</v>
      </c>
      <c r="D32" s="102">
        <v>15241433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/>
      <c r="M32" s="102"/>
      <c r="N32" s="102"/>
      <c r="O32" s="102"/>
      <c r="P32" s="43">
        <f t="shared" si="5"/>
        <v>15241433</v>
      </c>
      <c r="R32" s="118"/>
      <c r="S32" s="113"/>
    </row>
    <row r="33" spans="1:19" s="10" customFormat="1" ht="12.75">
      <c r="A33" s="82" t="s">
        <v>153</v>
      </c>
      <c r="B33" s="13" t="s">
        <v>110</v>
      </c>
      <c r="C33" s="102">
        <v>44783645</v>
      </c>
      <c r="D33" s="102">
        <v>42919895</v>
      </c>
      <c r="E33" s="102">
        <v>1863750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/>
      <c r="M33" s="102"/>
      <c r="N33" s="102"/>
      <c r="O33" s="102"/>
      <c r="P33" s="43">
        <f>SUM(D33:O33)</f>
        <v>44783645</v>
      </c>
      <c r="R33" s="118"/>
      <c r="S33" s="113"/>
    </row>
    <row r="34" spans="1:19" s="10" customFormat="1" ht="12.75">
      <c r="A34" s="82" t="s">
        <v>154</v>
      </c>
      <c r="B34" s="13" t="s">
        <v>91</v>
      </c>
      <c r="C34" s="102">
        <v>52375895</v>
      </c>
      <c r="D34" s="102">
        <v>41590831</v>
      </c>
      <c r="E34" s="102">
        <v>10785064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/>
      <c r="M34" s="102"/>
      <c r="N34" s="102"/>
      <c r="O34" s="102"/>
      <c r="P34" s="43">
        <f t="shared" si="5"/>
        <v>52375895</v>
      </c>
      <c r="R34" s="118"/>
      <c r="S34" s="113"/>
    </row>
    <row r="35" spans="1:19" s="10" customFormat="1" ht="12.75">
      <c r="A35" s="82" t="s">
        <v>155</v>
      </c>
      <c r="B35" s="13" t="s">
        <v>92</v>
      </c>
      <c r="C35" s="102">
        <v>92744652</v>
      </c>
      <c r="D35" s="102">
        <v>68210326</v>
      </c>
      <c r="E35" s="102">
        <v>24534326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/>
      <c r="M35" s="102"/>
      <c r="N35" s="102"/>
      <c r="O35" s="102"/>
      <c r="P35" s="43">
        <f t="shared" si="5"/>
        <v>92744652</v>
      </c>
      <c r="R35" s="118"/>
      <c r="S35" s="113"/>
    </row>
    <row r="36" spans="1:19" s="10" customFormat="1" ht="12.75">
      <c r="A36" s="82" t="s">
        <v>156</v>
      </c>
      <c r="B36" s="13" t="s">
        <v>93</v>
      </c>
      <c r="C36" s="102">
        <v>684845038.5</v>
      </c>
      <c r="D36" s="102">
        <v>588207462.5</v>
      </c>
      <c r="E36" s="102">
        <v>96637576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/>
      <c r="M36" s="102"/>
      <c r="N36" s="102"/>
      <c r="O36" s="102"/>
      <c r="P36" s="43">
        <f t="shared" si="5"/>
        <v>684845038.5</v>
      </c>
      <c r="R36" s="118"/>
      <c r="S36" s="113"/>
    </row>
    <row r="37" spans="1:19" s="10" customFormat="1" ht="12.75">
      <c r="A37" s="82" t="s">
        <v>157</v>
      </c>
      <c r="B37" s="13" t="s">
        <v>158</v>
      </c>
      <c r="C37" s="102">
        <v>1689551777</v>
      </c>
      <c r="D37" s="102">
        <v>1247834125</v>
      </c>
      <c r="E37" s="102">
        <v>441717652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/>
      <c r="M37" s="102"/>
      <c r="N37" s="102"/>
      <c r="O37" s="102"/>
      <c r="P37" s="43">
        <f t="shared" si="5"/>
        <v>1689551777</v>
      </c>
      <c r="R37" s="118"/>
      <c r="S37" s="113"/>
    </row>
    <row r="38" spans="1:19" s="10" customFormat="1" ht="12.75">
      <c r="A38" s="82" t="s">
        <v>159</v>
      </c>
      <c r="B38" s="13" t="s">
        <v>160</v>
      </c>
      <c r="C38" s="102">
        <v>181304009</v>
      </c>
      <c r="D38" s="102">
        <v>157822594</v>
      </c>
      <c r="E38" s="102">
        <v>23481415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/>
      <c r="M38" s="102"/>
      <c r="N38" s="102"/>
      <c r="O38" s="102"/>
      <c r="P38" s="43">
        <f t="shared" si="5"/>
        <v>181304009</v>
      </c>
      <c r="R38" s="118"/>
      <c r="S38" s="113"/>
    </row>
    <row r="39" spans="1:19" s="10" customFormat="1" ht="12.75">
      <c r="A39" s="82" t="s">
        <v>161</v>
      </c>
      <c r="B39" s="13" t="s">
        <v>111</v>
      </c>
      <c r="C39" s="102">
        <v>486511521</v>
      </c>
      <c r="D39" s="102">
        <v>393550339</v>
      </c>
      <c r="E39" s="102">
        <v>92961182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/>
      <c r="M39" s="102"/>
      <c r="N39" s="102"/>
      <c r="O39" s="102"/>
      <c r="P39" s="43">
        <f t="shared" si="5"/>
        <v>486511521</v>
      </c>
      <c r="R39" s="118"/>
      <c r="S39" s="113"/>
    </row>
    <row r="40" spans="1:19" s="10" customFormat="1" ht="12.75">
      <c r="A40" s="82" t="s">
        <v>162</v>
      </c>
      <c r="B40" s="13" t="s">
        <v>163</v>
      </c>
      <c r="C40" s="102">
        <v>124365082</v>
      </c>
      <c r="D40" s="102">
        <v>118441917</v>
      </c>
      <c r="E40" s="102">
        <v>5923165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/>
      <c r="M40" s="102"/>
      <c r="N40" s="102"/>
      <c r="O40" s="102"/>
      <c r="P40" s="43">
        <f t="shared" si="5"/>
        <v>124365082</v>
      </c>
      <c r="R40" s="118"/>
      <c r="S40" s="113"/>
    </row>
    <row r="41" spans="1:19" s="10" customFormat="1" ht="12.75">
      <c r="A41" s="82" t="s">
        <v>164</v>
      </c>
      <c r="B41" s="13" t="s">
        <v>165</v>
      </c>
      <c r="C41" s="102">
        <v>509820879</v>
      </c>
      <c r="D41" s="102">
        <v>343138971</v>
      </c>
      <c r="E41" s="102">
        <v>166681908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/>
      <c r="M41" s="102"/>
      <c r="N41" s="102"/>
      <c r="O41" s="102"/>
      <c r="P41" s="43">
        <f t="shared" si="5"/>
        <v>509820879</v>
      </c>
      <c r="R41" s="118"/>
      <c r="S41" s="113"/>
    </row>
    <row r="42" spans="1:19" s="10" customFormat="1" ht="12.75">
      <c r="A42" s="82" t="s">
        <v>117</v>
      </c>
      <c r="B42" s="13" t="s">
        <v>166</v>
      </c>
      <c r="C42" s="58">
        <v>19221006</v>
      </c>
      <c r="D42" s="58">
        <v>14815582</v>
      </c>
      <c r="E42" s="58">
        <v>4405424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/>
      <c r="M42" s="58"/>
      <c r="N42" s="58"/>
      <c r="O42" s="58"/>
      <c r="P42" s="43">
        <f>SUM(D42:O42)</f>
        <v>19221006</v>
      </c>
      <c r="R42" s="118"/>
      <c r="S42" s="113"/>
    </row>
    <row r="43" spans="1:19" s="10" customFormat="1" ht="12.75">
      <c r="A43" s="82" t="s">
        <v>167</v>
      </c>
      <c r="B43" s="13" t="s">
        <v>168</v>
      </c>
      <c r="C43" s="102">
        <v>315022796</v>
      </c>
      <c r="D43" s="102">
        <v>312795119</v>
      </c>
      <c r="E43" s="102">
        <v>2227677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/>
      <c r="M43" s="102"/>
      <c r="N43" s="102"/>
      <c r="O43" s="102"/>
      <c r="P43" s="43">
        <f>SUM(D43:O43)</f>
        <v>315022796</v>
      </c>
      <c r="R43" s="118"/>
      <c r="S43" s="113"/>
    </row>
    <row r="44" spans="1:19" s="10" customFormat="1" ht="12.75">
      <c r="A44" s="82" t="s">
        <v>169</v>
      </c>
      <c r="B44" s="13" t="s">
        <v>170</v>
      </c>
      <c r="C44" s="58">
        <v>1102503030</v>
      </c>
      <c r="D44" s="58">
        <v>829127329</v>
      </c>
      <c r="E44" s="102">
        <v>273375701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/>
      <c r="M44" s="102"/>
      <c r="N44" s="102"/>
      <c r="O44" s="102"/>
      <c r="P44" s="43">
        <f>SUM(D44:O44)</f>
        <v>1102503030</v>
      </c>
      <c r="R44" s="118"/>
      <c r="S44" s="119"/>
    </row>
    <row r="45" spans="1:16" s="10" customFormat="1" ht="13.5" thickBot="1">
      <c r="A45" s="82" t="s">
        <v>171</v>
      </c>
      <c r="B45" s="13" t="s">
        <v>172</v>
      </c>
      <c r="C45" s="44">
        <v>986115684</v>
      </c>
      <c r="D45" s="44">
        <v>419878520</v>
      </c>
      <c r="E45" s="44">
        <v>566237164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3">
        <f t="shared" si="5"/>
        <v>986115684</v>
      </c>
    </row>
    <row r="46" spans="1:16" s="11" customFormat="1" ht="13.5" thickBot="1">
      <c r="A46" s="134" t="s">
        <v>33</v>
      </c>
      <c r="B46" s="135"/>
      <c r="C46" s="47">
        <f aca="true" t="shared" si="6" ref="C46:P46">SUM(C13+C24)</f>
        <v>14018290366</v>
      </c>
      <c r="D46" s="47">
        <f t="shared" si="6"/>
        <v>9427365097.5</v>
      </c>
      <c r="E46" s="47">
        <f t="shared" si="6"/>
        <v>4590925268.5</v>
      </c>
      <c r="F46" s="47">
        <f t="shared" si="6"/>
        <v>0</v>
      </c>
      <c r="G46" s="47">
        <f t="shared" si="6"/>
        <v>0</v>
      </c>
      <c r="H46" s="47">
        <f t="shared" si="6"/>
        <v>0</v>
      </c>
      <c r="I46" s="47">
        <f t="shared" si="6"/>
        <v>0</v>
      </c>
      <c r="J46" s="47">
        <f t="shared" si="6"/>
        <v>0</v>
      </c>
      <c r="K46" s="47">
        <f t="shared" si="6"/>
        <v>0</v>
      </c>
      <c r="L46" s="47">
        <f t="shared" si="6"/>
        <v>0</v>
      </c>
      <c r="M46" s="47">
        <f t="shared" si="6"/>
        <v>0</v>
      </c>
      <c r="N46" s="47">
        <f t="shared" si="6"/>
        <v>0</v>
      </c>
      <c r="O46" s="47">
        <f t="shared" si="6"/>
        <v>0</v>
      </c>
      <c r="P46" s="47">
        <f t="shared" si="6"/>
        <v>14018290366</v>
      </c>
    </row>
    <row r="47" spans="1:16" ht="12" customHeight="1">
      <c r="A47" s="69" t="s">
        <v>104</v>
      </c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9"/>
    </row>
    <row r="48" spans="1:16" ht="0" customHeight="1" hidden="1">
      <c r="A48" s="60"/>
      <c r="B48" s="5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1:16" ht="13.5" customHeight="1">
      <c r="A49" s="126">
        <f ca="1">TODAY()</f>
        <v>41533</v>
      </c>
      <c r="B49" s="5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3.5" customHeight="1" thickBot="1">
      <c r="A50" s="99"/>
      <c r="B50" s="100" t="s">
        <v>188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</row>
    <row r="51" spans="1:16" ht="0.75" customHeight="1" hidden="1" thickBot="1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</sheetData>
  <sheetProtection/>
  <mergeCells count="9">
    <mergeCell ref="C50:P50"/>
    <mergeCell ref="A5:P5"/>
    <mergeCell ref="A6:B6"/>
    <mergeCell ref="A7:B7"/>
    <mergeCell ref="A46:B46"/>
    <mergeCell ref="A1:P1"/>
    <mergeCell ref="A2:P2"/>
    <mergeCell ref="A3:P3"/>
    <mergeCell ref="A4:P4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1"/>
  <sheetViews>
    <sheetView tabSelected="1" zoomScale="80" zoomScaleNormal="80" zoomScalePageLayoutView="0" workbookViewId="0" topLeftCell="A4">
      <pane ySplit="1788" topLeftCell="A43" activePane="bottomLeft" state="split"/>
      <selection pane="topLeft" activeCell="AQ4" sqref="AQ1:AT16384"/>
      <selection pane="bottomLeft" activeCell="C14" sqref="C14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21.7109375" style="1" bestFit="1" customWidth="1"/>
    <col min="4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customWidth="1"/>
    <col min="12" max="12" width="17.140625" style="1" hidden="1" customWidth="1"/>
    <col min="13" max="13" width="18.57421875" style="1" hidden="1" customWidth="1"/>
    <col min="14" max="14" width="17.00390625" style="1" hidden="1" customWidth="1"/>
    <col min="15" max="15" width="17.57421875" style="1" hidden="1" customWidth="1"/>
    <col min="16" max="16" width="18.140625" style="1" customWidth="1"/>
    <col min="17" max="22" width="16.28125" style="1" hidden="1" customWidth="1"/>
    <col min="23" max="23" width="16.421875" style="1" hidden="1" customWidth="1"/>
    <col min="24" max="24" width="17.00390625" style="1" customWidth="1"/>
    <col min="25" max="25" width="19.5742187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5" width="16.28125" style="1" hidden="1" customWidth="1"/>
    <col min="36" max="36" width="17.28125" style="1" hidden="1" customWidth="1"/>
    <col min="37" max="37" width="19.140625" style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21.7109375" style="1" customWidth="1"/>
    <col min="44" max="44" width="24.00390625" style="1" customWidth="1"/>
    <col min="45" max="45" width="16.28125" style="1" bestFit="1" customWidth="1"/>
    <col min="46" max="46" width="16.28125" style="1" customWidth="1"/>
    <col min="47" max="47" width="13.7109375" style="1" bestFit="1" customWidth="1"/>
    <col min="48" max="48" width="16.28125" style="1" bestFit="1" customWidth="1"/>
    <col min="49" max="16384" width="11.421875" style="1" customWidth="1"/>
  </cols>
  <sheetData>
    <row r="1" spans="1:42" ht="12.7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4"/>
    </row>
    <row r="2" spans="1:42" ht="12.75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1"/>
    </row>
    <row r="3" spans="1:42" ht="12.75">
      <c r="A3" s="139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1"/>
    </row>
    <row r="4" spans="1:42" ht="12.75">
      <c r="A4" s="139" t="s">
        <v>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1"/>
    </row>
    <row r="5" spans="1:42" ht="12.75">
      <c r="A5" s="139" t="s">
        <v>38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1"/>
    </row>
    <row r="6" spans="1:42" ht="12.75">
      <c r="A6" s="86" t="s">
        <v>2</v>
      </c>
      <c r="B6" s="87"/>
      <c r="C6" s="18" t="s">
        <v>103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189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2013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4" s="14" customFormat="1" ht="13.5" thickBot="1">
      <c r="A12" s="34"/>
      <c r="B12" s="35" t="s">
        <v>45</v>
      </c>
      <c r="C12" s="36">
        <f>SUM(C13,C24,C38)</f>
        <v>50134112089</v>
      </c>
      <c r="D12" s="36">
        <f>SUM(D13,D24,D38)</f>
        <v>4440418309.88</v>
      </c>
      <c r="E12" s="36">
        <f>SUM(E13,E24,E38)</f>
        <v>3295140782.19</v>
      </c>
      <c r="F12" s="36">
        <f>SUM(F13,F24,F38)</f>
        <v>3263287198.11</v>
      </c>
      <c r="G12" s="36">
        <f>SUM(G13,G24,G38)</f>
        <v>2784770208.35</v>
      </c>
      <c r="H12" s="36">
        <f>SUM(H13,H24,H38)</f>
        <v>3017040857.93</v>
      </c>
      <c r="I12" s="36">
        <f>SUM(I13,I24,I38)</f>
        <v>3256789853.16</v>
      </c>
      <c r="J12" s="36">
        <f>SUM(J13,J24,J38)</f>
        <v>2998217744.99</v>
      </c>
      <c r="K12" s="36">
        <f>SUM(K13,K24,K38)</f>
        <v>3157967266.0299997</v>
      </c>
      <c r="L12" s="36">
        <f>SUM(L13,L24,L38)</f>
        <v>0</v>
      </c>
      <c r="M12" s="36">
        <f>SUM(M13,M24,M38)</f>
        <v>0</v>
      </c>
      <c r="N12" s="36">
        <f>SUM(N13,N24,N38)</f>
        <v>0</v>
      </c>
      <c r="O12" s="36">
        <f>SUM(O13,O24,O38)</f>
        <v>0</v>
      </c>
      <c r="P12" s="36">
        <f>SUM(P13,P24,P38)</f>
        <v>26213632220.64</v>
      </c>
      <c r="Q12" s="36">
        <f>SUM(Q13,Q24,Q38)</f>
        <v>2365223413.88</v>
      </c>
      <c r="R12" s="36">
        <f>SUM(R13,R24,R38)</f>
        <v>3243284573.19</v>
      </c>
      <c r="S12" s="36">
        <f>SUM(S13,S24,S38)</f>
        <v>3267026791.11</v>
      </c>
      <c r="T12" s="36">
        <f>SUM(T13,T24,T38)</f>
        <v>2900967680.35</v>
      </c>
      <c r="U12" s="36">
        <f>SUM(U13,U24,U38)</f>
        <v>3295485636.93</v>
      </c>
      <c r="V12" s="36">
        <f>SUM(V13,V24,V38)</f>
        <v>3274083228.26</v>
      </c>
      <c r="W12" s="36">
        <f>SUM(W13,W24,W38)</f>
        <v>3337577166.89</v>
      </c>
      <c r="X12" s="36">
        <f>SUM(X13,X24,X38)</f>
        <v>3125780220.0299997</v>
      </c>
      <c r="Y12" s="36">
        <f>SUM(Y13,Y24,Y38)</f>
        <v>0</v>
      </c>
      <c r="Z12" s="36">
        <f>SUM(Z13,Z24,Z38)</f>
        <v>0</v>
      </c>
      <c r="AA12" s="36">
        <f>SUM(AA13,AA24,AA38)</f>
        <v>0</v>
      </c>
      <c r="AB12" s="36">
        <f>SUM(AB13,AB24,AB38)</f>
        <v>0</v>
      </c>
      <c r="AC12" s="36">
        <f>SUM(AC13,AC24,AC38)</f>
        <v>24809428710.64</v>
      </c>
      <c r="AD12" s="36">
        <f>SUM(AD13,AD24,AD38)</f>
        <v>2102141564.88</v>
      </c>
      <c r="AE12" s="36">
        <f>SUM(AE13,AE24,AE38)</f>
        <v>3500055132.19</v>
      </c>
      <c r="AF12" s="36">
        <f>SUM(AF13,AF24,AF38)</f>
        <v>3272181932.11</v>
      </c>
      <c r="AG12" s="36">
        <f>SUM(AG13,AG24,AG38)</f>
        <v>2901502149.35</v>
      </c>
      <c r="AH12" s="36">
        <f>SUM(AH13,AH24,AH38)</f>
        <v>3296107316.93</v>
      </c>
      <c r="AI12" s="36">
        <f>SUM(AI13,AI24,AI38)</f>
        <v>3242373986.26</v>
      </c>
      <c r="AJ12" s="36">
        <f>SUM(AJ13,AJ24,AJ38)</f>
        <v>3233438166.89</v>
      </c>
      <c r="AK12" s="36">
        <f>SUM(AK13,AK24,AK38)</f>
        <v>3261628462.0299997</v>
      </c>
      <c r="AL12" s="36">
        <f>SUM(AL13,AL24,AL38)</f>
        <v>0</v>
      </c>
      <c r="AM12" s="36">
        <f>SUM(AM13,AM24,AM38)</f>
        <v>0</v>
      </c>
      <c r="AN12" s="36">
        <f>SUM(AN13,AN24,AN38)</f>
        <v>0</v>
      </c>
      <c r="AO12" s="36">
        <f>SUM(AO13,AO24,AO38)</f>
        <v>0</v>
      </c>
      <c r="AP12" s="36">
        <f>SUM(AP13,AP24,AP38)</f>
        <v>24809428710.64</v>
      </c>
      <c r="AR12" s="123"/>
    </row>
    <row r="13" spans="1:42" s="14" customFormat="1" ht="13.5" thickBot="1">
      <c r="A13" s="34"/>
      <c r="B13" s="35" t="s">
        <v>42</v>
      </c>
      <c r="C13" s="36">
        <f>SUM(C14:C23)</f>
        <v>42703512089</v>
      </c>
      <c r="D13" s="36">
        <f>SUM(D14:D23)</f>
        <v>2317161505</v>
      </c>
      <c r="E13" s="36">
        <f>SUM(E14:E23)</f>
        <v>2547714065</v>
      </c>
      <c r="F13" s="36">
        <f>SUM(F14:F23)</f>
        <v>2569449155</v>
      </c>
      <c r="G13" s="36">
        <f>SUM(G14:G23)</f>
        <v>2553903014</v>
      </c>
      <c r="H13" s="36">
        <f>SUM(H14:H23)</f>
        <v>2555748300</v>
      </c>
      <c r="I13" s="36">
        <f>SUM(I14:I23)</f>
        <v>3072229805</v>
      </c>
      <c r="J13" s="36">
        <f>SUM(J14:J23)</f>
        <v>2859611853</v>
      </c>
      <c r="K13" s="36">
        <f>SUM(K14:K23)</f>
        <v>2624597364</v>
      </c>
      <c r="L13" s="36">
        <f>SUM(L14:L23)</f>
        <v>0</v>
      </c>
      <c r="M13" s="36">
        <f>SUM(M14:M23)</f>
        <v>0</v>
      </c>
      <c r="N13" s="36">
        <f>SUM(N14:N23)</f>
        <v>0</v>
      </c>
      <c r="O13" s="36">
        <f>SUM(O14:O23)</f>
        <v>0</v>
      </c>
      <c r="P13" s="36">
        <f>SUM(P14:P23)</f>
        <v>21100415061</v>
      </c>
      <c r="Q13" s="36">
        <f>SUM(Q14:Q23)</f>
        <v>2317161505</v>
      </c>
      <c r="R13" s="36">
        <f>SUM(R14:R23)</f>
        <v>2547714065</v>
      </c>
      <c r="S13" s="36">
        <f>SUM(S14:S23)</f>
        <v>2393171233</v>
      </c>
      <c r="T13" s="36">
        <f>SUM(T14:T23)</f>
        <v>2549658881</v>
      </c>
      <c r="U13" s="36">
        <f>SUM(U14:U23)</f>
        <v>2736270355</v>
      </c>
      <c r="V13" s="36">
        <f>SUM(V14:V23)</f>
        <v>2894253213</v>
      </c>
      <c r="W13" s="36">
        <f>SUM(W14:W23)</f>
        <v>2859411453</v>
      </c>
      <c r="X13" s="36">
        <f>SUM(X14:X23)</f>
        <v>2757125557</v>
      </c>
      <c r="Y13" s="36">
        <f>SUM(Y14:Y23)</f>
        <v>0</v>
      </c>
      <c r="Z13" s="36">
        <f>SUM(Z14:Z23)</f>
        <v>0</v>
      </c>
      <c r="AA13" s="36">
        <f>SUM(AA14:AA23)</f>
        <v>0</v>
      </c>
      <c r="AB13" s="36">
        <f>SUM(AB14:AB23)</f>
        <v>0</v>
      </c>
      <c r="AC13" s="36">
        <f>SUM(AC14:AC23)</f>
        <v>21054766262</v>
      </c>
      <c r="AD13" s="36">
        <f>SUM(AD14:AD23)</f>
        <v>2055941851</v>
      </c>
      <c r="AE13" s="36">
        <f>SUM(AE14:AE23)</f>
        <v>2808933719</v>
      </c>
      <c r="AF13" s="36">
        <f>SUM(AF14:AF23)</f>
        <v>2393171233</v>
      </c>
      <c r="AG13" s="36">
        <f>SUM(AG14:AG23)</f>
        <v>2549658881</v>
      </c>
      <c r="AH13" s="36">
        <f>SUM(AH14:AH23)</f>
        <v>2736270355</v>
      </c>
      <c r="AI13" s="36">
        <f>SUM(AI14:AI23)</f>
        <v>2862868638</v>
      </c>
      <c r="AJ13" s="36">
        <f>SUM(AJ14:AJ23)</f>
        <v>2763884178</v>
      </c>
      <c r="AK13" s="36">
        <f>SUM(AK14:AK23)</f>
        <v>2884037407</v>
      </c>
      <c r="AL13" s="36">
        <f>SUM(AL14:AL23)</f>
        <v>0</v>
      </c>
      <c r="AM13" s="36">
        <f>SUM(AM14:AM23)</f>
        <v>0</v>
      </c>
      <c r="AN13" s="36">
        <f>SUM(AN14:AN23)</f>
        <v>0</v>
      </c>
      <c r="AO13" s="36">
        <f>SUM(AO14:AO23)</f>
        <v>0</v>
      </c>
      <c r="AP13" s="37">
        <f>SUM(AP14:AP23)</f>
        <v>21054766262</v>
      </c>
    </row>
    <row r="14" spans="1:44" s="12" customFormat="1" ht="12.75">
      <c r="A14" s="38" t="s">
        <v>51</v>
      </c>
      <c r="B14" s="39" t="s">
        <v>53</v>
      </c>
      <c r="C14" s="104">
        <f>26678850000+6297008650-3000000-30000000-200000000</f>
        <v>32742858650</v>
      </c>
      <c r="D14" s="104">
        <v>1828626884</v>
      </c>
      <c r="E14" s="104">
        <v>1979141602</v>
      </c>
      <c r="F14" s="104">
        <v>2008185715</v>
      </c>
      <c r="G14" s="104">
        <v>2047360490</v>
      </c>
      <c r="H14" s="104">
        <v>2031140431</v>
      </c>
      <c r="I14" s="104">
        <v>2436566459</v>
      </c>
      <c r="J14" s="104">
        <v>2050099519</v>
      </c>
      <c r="K14" s="104">
        <v>2036245690</v>
      </c>
      <c r="L14" s="104"/>
      <c r="M14" s="104"/>
      <c r="N14" s="104"/>
      <c r="O14" s="104"/>
      <c r="P14" s="71">
        <f>SUM(D14:O14)</f>
        <v>16417366790</v>
      </c>
      <c r="Q14" s="104">
        <v>1828626884</v>
      </c>
      <c r="R14" s="104">
        <v>1979141602</v>
      </c>
      <c r="S14" s="104">
        <v>2008185715</v>
      </c>
      <c r="T14" s="104">
        <v>2047360490</v>
      </c>
      <c r="U14" s="104">
        <v>2031140431</v>
      </c>
      <c r="V14" s="104">
        <v>2258589867</v>
      </c>
      <c r="W14" s="104">
        <v>2050099519</v>
      </c>
      <c r="X14" s="104">
        <v>2214222282</v>
      </c>
      <c r="Y14" s="104"/>
      <c r="Z14" s="104"/>
      <c r="AA14" s="104"/>
      <c r="AB14" s="104"/>
      <c r="AC14" s="71">
        <f>SUM(Q14:AB14)</f>
        <v>16417366790</v>
      </c>
      <c r="AD14" s="104">
        <v>1828626884</v>
      </c>
      <c r="AE14" s="104">
        <v>1979141602</v>
      </c>
      <c r="AF14" s="104">
        <v>2008185715</v>
      </c>
      <c r="AG14" s="104">
        <v>2047360490</v>
      </c>
      <c r="AH14" s="104">
        <v>2031140431</v>
      </c>
      <c r="AI14" s="104">
        <v>2258589867</v>
      </c>
      <c r="AJ14" s="104">
        <v>2050099519</v>
      </c>
      <c r="AK14" s="104">
        <v>2214222282</v>
      </c>
      <c r="AL14" s="104"/>
      <c r="AM14" s="104"/>
      <c r="AN14" s="104"/>
      <c r="AO14" s="104"/>
      <c r="AP14" s="72">
        <f>SUM(AD14:AO14)</f>
        <v>16417366790</v>
      </c>
      <c r="AQ14" s="113"/>
      <c r="AR14" s="113"/>
    </row>
    <row r="15" spans="1:44" s="12" customFormat="1" ht="12.75">
      <c r="A15" s="16" t="s">
        <v>52</v>
      </c>
      <c r="B15" s="48" t="s">
        <v>54</v>
      </c>
      <c r="C15" s="102">
        <v>1404150000</v>
      </c>
      <c r="D15" s="102">
        <v>33120708</v>
      </c>
      <c r="E15" s="102">
        <v>12124214</v>
      </c>
      <c r="F15" s="102">
        <v>45267640</v>
      </c>
      <c r="G15" s="102">
        <v>33252427</v>
      </c>
      <c r="H15" s="102">
        <v>37422150</v>
      </c>
      <c r="I15" s="102">
        <v>92931819</v>
      </c>
      <c r="J15" s="102">
        <v>99908823</v>
      </c>
      <c r="K15" s="102">
        <v>43708722</v>
      </c>
      <c r="L15" s="102"/>
      <c r="M15" s="102"/>
      <c r="N15" s="102"/>
      <c r="O15" s="102"/>
      <c r="P15" s="106">
        <f aca="true" t="shared" si="0" ref="P15:P41">SUM(D15:O15)</f>
        <v>397736503</v>
      </c>
      <c r="Q15" s="102">
        <v>33120708</v>
      </c>
      <c r="R15" s="102">
        <v>12124214</v>
      </c>
      <c r="S15" s="102">
        <v>45267640</v>
      </c>
      <c r="T15" s="102">
        <v>33252427</v>
      </c>
      <c r="U15" s="102">
        <v>37422150</v>
      </c>
      <c r="V15" s="102">
        <v>92931819</v>
      </c>
      <c r="W15" s="102">
        <v>99908823</v>
      </c>
      <c r="X15" s="102">
        <v>43708722</v>
      </c>
      <c r="Y15" s="102"/>
      <c r="Z15" s="102"/>
      <c r="AA15" s="102"/>
      <c r="AB15" s="102"/>
      <c r="AC15" s="106">
        <f aca="true" t="shared" si="1" ref="AC15:AC23">SUM(Q15:AB15)</f>
        <v>397736503</v>
      </c>
      <c r="AD15" s="102">
        <v>33120708</v>
      </c>
      <c r="AE15" s="102">
        <v>12124214</v>
      </c>
      <c r="AF15" s="102">
        <v>45267640</v>
      </c>
      <c r="AG15" s="102">
        <v>33252427</v>
      </c>
      <c r="AH15" s="102">
        <v>37422150</v>
      </c>
      <c r="AI15" s="102">
        <v>92931819</v>
      </c>
      <c r="AJ15" s="102">
        <v>99908823</v>
      </c>
      <c r="AK15" s="102">
        <v>43708722</v>
      </c>
      <c r="AL15" s="102"/>
      <c r="AM15" s="102"/>
      <c r="AN15" s="102"/>
      <c r="AO15" s="102"/>
      <c r="AP15" s="110">
        <f aca="true" t="shared" si="2" ref="AP15:AP23">SUM(AD15:AO15)</f>
        <v>397736503</v>
      </c>
      <c r="AQ15" s="113"/>
      <c r="AR15" s="113"/>
    </row>
    <row r="16" spans="1:44" s="12" customFormat="1" ht="12.75">
      <c r="A16" s="16" t="s">
        <v>63</v>
      </c>
      <c r="B16" s="48" t="s">
        <v>55</v>
      </c>
      <c r="C16" s="102">
        <f>40000000+3000000+30000000</f>
        <v>73000000</v>
      </c>
      <c r="D16" s="102">
        <v>2485310</v>
      </c>
      <c r="E16" s="102">
        <v>6940336</v>
      </c>
      <c r="F16" s="102">
        <v>5630556</v>
      </c>
      <c r="G16" s="102">
        <v>1529189</v>
      </c>
      <c r="H16" s="102">
        <v>15996603</v>
      </c>
      <c r="I16" s="102">
        <v>9891046</v>
      </c>
      <c r="J16" s="102">
        <v>7106827</v>
      </c>
      <c r="K16" s="102">
        <v>4602136</v>
      </c>
      <c r="L16" s="102"/>
      <c r="M16" s="102"/>
      <c r="N16" s="102"/>
      <c r="O16" s="102"/>
      <c r="P16" s="106">
        <f t="shared" si="0"/>
        <v>54182003</v>
      </c>
      <c r="Q16" s="102">
        <v>2485310</v>
      </c>
      <c r="R16" s="102">
        <v>6940336</v>
      </c>
      <c r="S16" s="102">
        <v>5630556</v>
      </c>
      <c r="T16" s="102">
        <v>1529189</v>
      </c>
      <c r="U16" s="102">
        <v>15996603</v>
      </c>
      <c r="V16" s="102">
        <v>9891046</v>
      </c>
      <c r="W16" s="102">
        <v>7106827</v>
      </c>
      <c r="X16" s="102">
        <v>4602136</v>
      </c>
      <c r="Y16" s="102"/>
      <c r="Z16" s="102"/>
      <c r="AA16" s="102"/>
      <c r="AB16" s="102"/>
      <c r="AC16" s="106">
        <f t="shared" si="1"/>
        <v>54182003</v>
      </c>
      <c r="AD16" s="102">
        <v>2485310</v>
      </c>
      <c r="AE16" s="102">
        <v>6940336</v>
      </c>
      <c r="AF16" s="102">
        <v>5630556</v>
      </c>
      <c r="AG16" s="102">
        <v>1529189</v>
      </c>
      <c r="AH16" s="102">
        <v>15996603</v>
      </c>
      <c r="AI16" s="102">
        <v>9891046</v>
      </c>
      <c r="AJ16" s="102">
        <v>7106827</v>
      </c>
      <c r="AK16" s="102">
        <v>4602136</v>
      </c>
      <c r="AL16" s="102"/>
      <c r="AM16" s="102"/>
      <c r="AN16" s="102"/>
      <c r="AO16" s="102"/>
      <c r="AP16" s="110">
        <f t="shared" si="2"/>
        <v>54182003</v>
      </c>
      <c r="AQ16" s="114"/>
      <c r="AR16" s="113"/>
    </row>
    <row r="17" spans="1:44" s="12" customFormat="1" ht="12.75">
      <c r="A17" s="16" t="s">
        <v>64</v>
      </c>
      <c r="B17" s="48" t="s">
        <v>56</v>
      </c>
      <c r="C17" s="102">
        <v>658000000</v>
      </c>
      <c r="D17" s="102">
        <v>49427829</v>
      </c>
      <c r="E17" s="102">
        <v>62166935</v>
      </c>
      <c r="F17" s="102">
        <v>58182002</v>
      </c>
      <c r="G17" s="102">
        <v>55096733</v>
      </c>
      <c r="H17" s="102">
        <v>52320024</v>
      </c>
      <c r="I17" s="102">
        <v>64552585</v>
      </c>
      <c r="J17" s="102">
        <v>53753518</v>
      </c>
      <c r="K17" s="102">
        <v>52621291</v>
      </c>
      <c r="L17" s="102"/>
      <c r="M17" s="102"/>
      <c r="N17" s="102"/>
      <c r="O17" s="102"/>
      <c r="P17" s="106">
        <f t="shared" si="0"/>
        <v>448120917</v>
      </c>
      <c r="Q17" s="102">
        <v>49427829</v>
      </c>
      <c r="R17" s="102">
        <v>62166935</v>
      </c>
      <c r="S17" s="102">
        <v>58182002</v>
      </c>
      <c r="T17" s="102">
        <v>55096733</v>
      </c>
      <c r="U17" s="102">
        <v>52320024</v>
      </c>
      <c r="V17" s="102">
        <v>64552585</v>
      </c>
      <c r="W17" s="102">
        <v>53753518</v>
      </c>
      <c r="X17" s="102">
        <v>52621291</v>
      </c>
      <c r="Y17" s="102"/>
      <c r="Z17" s="102"/>
      <c r="AA17" s="102"/>
      <c r="AB17" s="102"/>
      <c r="AC17" s="106">
        <f t="shared" si="1"/>
        <v>448120917</v>
      </c>
      <c r="AD17" s="102">
        <v>49427829</v>
      </c>
      <c r="AE17" s="102">
        <v>62166935</v>
      </c>
      <c r="AF17" s="102">
        <v>58182002</v>
      </c>
      <c r="AG17" s="102">
        <v>55096733</v>
      </c>
      <c r="AH17" s="102">
        <v>52320024</v>
      </c>
      <c r="AI17" s="102">
        <v>64552585</v>
      </c>
      <c r="AJ17" s="102">
        <v>53753518</v>
      </c>
      <c r="AK17" s="102">
        <v>52621291</v>
      </c>
      <c r="AL17" s="102"/>
      <c r="AM17" s="102"/>
      <c r="AN17" s="102"/>
      <c r="AO17" s="102"/>
      <c r="AP17" s="110">
        <f t="shared" si="2"/>
        <v>448120917</v>
      </c>
      <c r="AQ17" s="113"/>
      <c r="AR17" s="113"/>
    </row>
    <row r="18" spans="1:44" s="12" customFormat="1" ht="12.75">
      <c r="A18" s="16" t="s">
        <v>65</v>
      </c>
      <c r="B18" s="48" t="s">
        <v>57</v>
      </c>
      <c r="C18" s="102">
        <v>131051412</v>
      </c>
      <c r="D18" s="102">
        <v>6314420</v>
      </c>
      <c r="E18" s="102">
        <v>6314420</v>
      </c>
      <c r="F18" s="102">
        <v>6314420</v>
      </c>
      <c r="G18" s="102">
        <v>6314420</v>
      </c>
      <c r="H18" s="102">
        <v>6314420</v>
      </c>
      <c r="I18" s="102">
        <v>7617716</v>
      </c>
      <c r="J18" s="102">
        <v>10978966</v>
      </c>
      <c r="K18" s="102">
        <v>11296632</v>
      </c>
      <c r="L18" s="102"/>
      <c r="M18" s="102"/>
      <c r="N18" s="102"/>
      <c r="O18" s="102"/>
      <c r="P18" s="106">
        <f t="shared" si="0"/>
        <v>61465414</v>
      </c>
      <c r="Q18" s="102">
        <v>6314420</v>
      </c>
      <c r="R18" s="102">
        <v>6314420</v>
      </c>
      <c r="S18" s="102">
        <v>6314420</v>
      </c>
      <c r="T18" s="102">
        <v>6314420</v>
      </c>
      <c r="U18" s="102">
        <v>6314420</v>
      </c>
      <c r="V18" s="102">
        <v>7617716</v>
      </c>
      <c r="W18" s="102">
        <v>10978966</v>
      </c>
      <c r="X18" s="102">
        <v>11296632</v>
      </c>
      <c r="Y18" s="102"/>
      <c r="Z18" s="102"/>
      <c r="AA18" s="102"/>
      <c r="AB18" s="102"/>
      <c r="AC18" s="106">
        <f t="shared" si="1"/>
        <v>61465414</v>
      </c>
      <c r="AD18" s="102">
        <v>6314420</v>
      </c>
      <c r="AE18" s="102">
        <v>6314420</v>
      </c>
      <c r="AF18" s="102">
        <v>6314420</v>
      </c>
      <c r="AG18" s="102">
        <v>6314420</v>
      </c>
      <c r="AH18" s="102">
        <v>6314420</v>
      </c>
      <c r="AI18" s="102">
        <v>7617716</v>
      </c>
      <c r="AJ18" s="102">
        <v>10978966</v>
      </c>
      <c r="AK18" s="102">
        <v>11296632</v>
      </c>
      <c r="AL18" s="102"/>
      <c r="AM18" s="102"/>
      <c r="AN18" s="102"/>
      <c r="AO18" s="102"/>
      <c r="AP18" s="110">
        <f t="shared" si="2"/>
        <v>61465414</v>
      </c>
      <c r="AQ18" s="113"/>
      <c r="AR18" s="114"/>
    </row>
    <row r="19" spans="1:42" s="12" customFormat="1" ht="12.75">
      <c r="A19" s="16" t="s">
        <v>66</v>
      </c>
      <c r="B19" s="40" t="s">
        <v>58</v>
      </c>
      <c r="C19" s="102">
        <f>4875438162+960341516</f>
        <v>5835779678</v>
      </c>
      <c r="D19" s="102">
        <v>290988954</v>
      </c>
      <c r="E19" s="102">
        <v>375706758</v>
      </c>
      <c r="F19" s="102">
        <v>339877722</v>
      </c>
      <c r="G19" s="102">
        <v>301942455</v>
      </c>
      <c r="H19" s="102">
        <v>303544272</v>
      </c>
      <c r="I19" s="102">
        <v>346770080</v>
      </c>
      <c r="J19" s="102">
        <v>446225600</v>
      </c>
      <c r="K19" s="102">
        <v>364290093</v>
      </c>
      <c r="L19" s="102"/>
      <c r="M19" s="102"/>
      <c r="N19" s="102"/>
      <c r="O19" s="102"/>
      <c r="P19" s="106">
        <f t="shared" si="0"/>
        <v>2769345934</v>
      </c>
      <c r="Q19" s="102">
        <v>290988954</v>
      </c>
      <c r="R19" s="102">
        <v>375706758</v>
      </c>
      <c r="S19" s="102">
        <v>163599800</v>
      </c>
      <c r="T19" s="102">
        <v>297698322</v>
      </c>
      <c r="U19" s="102">
        <v>484066327</v>
      </c>
      <c r="V19" s="102">
        <v>346770080</v>
      </c>
      <c r="W19" s="102">
        <v>446101900</v>
      </c>
      <c r="X19" s="102">
        <v>318764994</v>
      </c>
      <c r="Y19" s="102"/>
      <c r="Z19" s="102"/>
      <c r="AA19" s="102"/>
      <c r="AB19" s="102"/>
      <c r="AC19" s="106">
        <f t="shared" si="1"/>
        <v>2723697135</v>
      </c>
      <c r="AD19" s="102">
        <v>114066600</v>
      </c>
      <c r="AE19" s="102">
        <v>552629112</v>
      </c>
      <c r="AF19" s="102">
        <v>163599800</v>
      </c>
      <c r="AG19" s="102">
        <v>297698322</v>
      </c>
      <c r="AH19" s="102">
        <v>484066327</v>
      </c>
      <c r="AI19" s="102">
        <v>346770080</v>
      </c>
      <c r="AJ19" s="102">
        <v>337469950</v>
      </c>
      <c r="AK19" s="102">
        <v>427396944</v>
      </c>
      <c r="AL19" s="102"/>
      <c r="AM19" s="102"/>
      <c r="AN19" s="102"/>
      <c r="AO19" s="102"/>
      <c r="AP19" s="110">
        <f t="shared" si="2"/>
        <v>2723697135</v>
      </c>
    </row>
    <row r="20" spans="1:42" s="12" customFormat="1" ht="12.75">
      <c r="A20" s="16" t="s">
        <v>67</v>
      </c>
      <c r="B20" s="40" t="s">
        <v>59</v>
      </c>
      <c r="C20" s="102">
        <f>956109379+159094030</f>
        <v>1115203409</v>
      </c>
      <c r="D20" s="102">
        <v>63719300</v>
      </c>
      <c r="E20" s="102">
        <v>63198500</v>
      </c>
      <c r="F20" s="102">
        <v>63601800</v>
      </c>
      <c r="G20" s="102">
        <v>65052000</v>
      </c>
      <c r="H20" s="102">
        <v>65414100</v>
      </c>
      <c r="I20" s="102">
        <v>68350100</v>
      </c>
      <c r="J20" s="102">
        <v>114910200</v>
      </c>
      <c r="K20" s="102">
        <v>67111400</v>
      </c>
      <c r="L20" s="102"/>
      <c r="M20" s="102"/>
      <c r="N20" s="102"/>
      <c r="O20" s="102"/>
      <c r="P20" s="106">
        <f t="shared" si="0"/>
        <v>571357400</v>
      </c>
      <c r="Q20" s="102">
        <v>63719300</v>
      </c>
      <c r="R20" s="102">
        <v>63198500</v>
      </c>
      <c r="S20" s="102">
        <v>63601800</v>
      </c>
      <c r="T20" s="102">
        <v>65052000</v>
      </c>
      <c r="U20" s="102">
        <v>65414100</v>
      </c>
      <c r="V20" s="102">
        <v>68350100</v>
      </c>
      <c r="W20" s="102">
        <v>114864200</v>
      </c>
      <c r="X20" s="102">
        <v>67157400</v>
      </c>
      <c r="Y20" s="102"/>
      <c r="Z20" s="102"/>
      <c r="AA20" s="102"/>
      <c r="AB20" s="102"/>
      <c r="AC20" s="106">
        <f t="shared" si="1"/>
        <v>571357400</v>
      </c>
      <c r="AD20" s="102">
        <v>490500</v>
      </c>
      <c r="AE20" s="102">
        <v>126427300</v>
      </c>
      <c r="AF20" s="102">
        <v>63601800</v>
      </c>
      <c r="AG20" s="102">
        <v>65052000</v>
      </c>
      <c r="AH20" s="102">
        <v>65414100</v>
      </c>
      <c r="AI20" s="102">
        <v>68350100</v>
      </c>
      <c r="AJ20" s="102">
        <v>103915600</v>
      </c>
      <c r="AK20" s="102">
        <v>78106000</v>
      </c>
      <c r="AL20" s="102"/>
      <c r="AM20" s="102"/>
      <c r="AN20" s="102"/>
      <c r="AO20" s="102"/>
      <c r="AP20" s="110">
        <f t="shared" si="2"/>
        <v>571357400</v>
      </c>
    </row>
    <row r="21" spans="1:42" s="12" customFormat="1" ht="12.75">
      <c r="A21" s="16" t="s">
        <v>68</v>
      </c>
      <c r="B21" s="40" t="s">
        <v>60</v>
      </c>
      <c r="C21" s="102">
        <f>159351561+26515674</f>
        <v>185867235</v>
      </c>
      <c r="D21" s="102">
        <v>10623100</v>
      </c>
      <c r="E21" s="102">
        <v>10532800</v>
      </c>
      <c r="F21" s="102">
        <v>10599800</v>
      </c>
      <c r="G21" s="102">
        <v>10841000</v>
      </c>
      <c r="H21" s="102">
        <v>10901300</v>
      </c>
      <c r="I21" s="102">
        <v>11390600</v>
      </c>
      <c r="J21" s="102">
        <v>19171000</v>
      </c>
      <c r="K21" s="102">
        <v>11183400</v>
      </c>
      <c r="L21" s="102"/>
      <c r="M21" s="102"/>
      <c r="N21" s="102"/>
      <c r="O21" s="102"/>
      <c r="P21" s="106">
        <f t="shared" si="0"/>
        <v>95243000</v>
      </c>
      <c r="Q21" s="102">
        <v>10623100</v>
      </c>
      <c r="R21" s="102">
        <v>10532800</v>
      </c>
      <c r="S21" s="102">
        <v>10599800</v>
      </c>
      <c r="T21" s="102">
        <v>10841000</v>
      </c>
      <c r="U21" s="102">
        <v>10901300</v>
      </c>
      <c r="V21" s="102">
        <v>11390600</v>
      </c>
      <c r="W21" s="102">
        <v>19163300</v>
      </c>
      <c r="X21" s="102">
        <v>11191100</v>
      </c>
      <c r="Y21" s="102"/>
      <c r="Z21" s="102"/>
      <c r="AA21" s="102"/>
      <c r="AB21" s="102"/>
      <c r="AC21" s="106">
        <f t="shared" si="1"/>
        <v>95243000</v>
      </c>
      <c r="AD21" s="102">
        <v>10623100</v>
      </c>
      <c r="AE21" s="102">
        <v>10532800</v>
      </c>
      <c r="AF21" s="102">
        <v>10599800</v>
      </c>
      <c r="AG21" s="102">
        <v>10841000</v>
      </c>
      <c r="AH21" s="102">
        <v>10901300</v>
      </c>
      <c r="AI21" s="102">
        <v>11390600</v>
      </c>
      <c r="AJ21" s="102">
        <v>17314800</v>
      </c>
      <c r="AK21" s="102">
        <v>13039600</v>
      </c>
      <c r="AL21" s="102"/>
      <c r="AM21" s="102"/>
      <c r="AN21" s="102"/>
      <c r="AO21" s="102"/>
      <c r="AP21" s="110">
        <f t="shared" si="2"/>
        <v>95243000</v>
      </c>
    </row>
    <row r="22" spans="1:42" s="12" customFormat="1" ht="12.75">
      <c r="A22" s="16" t="s">
        <v>69</v>
      </c>
      <c r="B22" s="40" t="s">
        <v>61</v>
      </c>
      <c r="C22" s="102">
        <f>159351561+26515674</f>
        <v>185867235</v>
      </c>
      <c r="D22" s="102">
        <v>10623100</v>
      </c>
      <c r="E22" s="102">
        <v>10532800</v>
      </c>
      <c r="F22" s="102">
        <v>10599800</v>
      </c>
      <c r="G22" s="102">
        <v>10841000</v>
      </c>
      <c r="H22" s="102">
        <v>10901300</v>
      </c>
      <c r="I22" s="102">
        <v>11390600</v>
      </c>
      <c r="J22" s="102">
        <v>19171000</v>
      </c>
      <c r="K22" s="102">
        <v>11183400</v>
      </c>
      <c r="L22" s="102"/>
      <c r="M22" s="102"/>
      <c r="N22" s="102"/>
      <c r="O22" s="102"/>
      <c r="P22" s="106">
        <f t="shared" si="0"/>
        <v>95243000</v>
      </c>
      <c r="Q22" s="102">
        <v>10623100</v>
      </c>
      <c r="R22" s="102">
        <v>10532800</v>
      </c>
      <c r="S22" s="102">
        <v>10599800</v>
      </c>
      <c r="T22" s="102">
        <v>10841000</v>
      </c>
      <c r="U22" s="102">
        <v>10901300</v>
      </c>
      <c r="V22" s="102">
        <v>11390600</v>
      </c>
      <c r="W22" s="102">
        <v>19163300</v>
      </c>
      <c r="X22" s="102">
        <v>11191100</v>
      </c>
      <c r="Y22" s="102"/>
      <c r="Z22" s="102"/>
      <c r="AA22" s="102"/>
      <c r="AB22" s="102"/>
      <c r="AC22" s="106">
        <f t="shared" si="1"/>
        <v>95243000</v>
      </c>
      <c r="AD22" s="102">
        <v>10623100</v>
      </c>
      <c r="AE22" s="102">
        <v>10532800</v>
      </c>
      <c r="AF22" s="102">
        <v>10599800</v>
      </c>
      <c r="AG22" s="102">
        <v>10841000</v>
      </c>
      <c r="AH22" s="102">
        <v>10901300</v>
      </c>
      <c r="AI22" s="102">
        <v>2774825</v>
      </c>
      <c r="AJ22" s="102">
        <v>25930575</v>
      </c>
      <c r="AK22" s="102">
        <v>13039600</v>
      </c>
      <c r="AL22" s="102"/>
      <c r="AM22" s="102"/>
      <c r="AN22" s="102"/>
      <c r="AO22" s="102"/>
      <c r="AP22" s="110">
        <f t="shared" si="2"/>
        <v>95243000</v>
      </c>
    </row>
    <row r="23" spans="1:42" s="12" customFormat="1" ht="13.5" thickBot="1">
      <c r="A23" s="16" t="s">
        <v>70</v>
      </c>
      <c r="B23" s="40" t="s">
        <v>62</v>
      </c>
      <c r="C23" s="49">
        <f>318703127+53031343</f>
        <v>371734470</v>
      </c>
      <c r="D23" s="49">
        <v>21231900</v>
      </c>
      <c r="E23" s="49">
        <v>21055700</v>
      </c>
      <c r="F23" s="49">
        <v>21189700</v>
      </c>
      <c r="G23" s="49">
        <v>21673300</v>
      </c>
      <c r="H23" s="49">
        <v>21793700</v>
      </c>
      <c r="I23" s="49">
        <v>22768800</v>
      </c>
      <c r="J23" s="49">
        <v>38286400</v>
      </c>
      <c r="K23" s="49">
        <v>22354600</v>
      </c>
      <c r="L23" s="49"/>
      <c r="M23" s="49"/>
      <c r="N23" s="49"/>
      <c r="O23" s="49"/>
      <c r="P23" s="45">
        <f t="shared" si="0"/>
        <v>190354100</v>
      </c>
      <c r="Q23" s="49">
        <v>21231900</v>
      </c>
      <c r="R23" s="49">
        <v>21055700</v>
      </c>
      <c r="S23" s="49">
        <v>21189700</v>
      </c>
      <c r="T23" s="49">
        <v>21673300</v>
      </c>
      <c r="U23" s="49">
        <v>21793700</v>
      </c>
      <c r="V23" s="49">
        <v>22768800</v>
      </c>
      <c r="W23" s="49">
        <v>38271100</v>
      </c>
      <c r="X23" s="49">
        <v>22369900</v>
      </c>
      <c r="Y23" s="49"/>
      <c r="Z23" s="49"/>
      <c r="AA23" s="49"/>
      <c r="AB23" s="49"/>
      <c r="AC23" s="45">
        <f t="shared" si="1"/>
        <v>190354100</v>
      </c>
      <c r="AD23" s="49">
        <v>163400</v>
      </c>
      <c r="AE23" s="49">
        <v>42124200</v>
      </c>
      <c r="AF23" s="49">
        <v>21189700</v>
      </c>
      <c r="AG23" s="49">
        <v>21673300</v>
      </c>
      <c r="AH23" s="49">
        <v>21793700</v>
      </c>
      <c r="AI23" s="49">
        <v>0</v>
      </c>
      <c r="AJ23" s="49">
        <v>57405600</v>
      </c>
      <c r="AK23" s="49">
        <v>26004200</v>
      </c>
      <c r="AL23" s="49"/>
      <c r="AM23" s="49"/>
      <c r="AN23" s="49"/>
      <c r="AO23" s="49"/>
      <c r="AP23" s="108">
        <f t="shared" si="2"/>
        <v>190354100</v>
      </c>
    </row>
    <row r="24" spans="1:44" s="14" customFormat="1" ht="13.5" thickBot="1">
      <c r="A24" s="21"/>
      <c r="B24" s="46" t="s">
        <v>43</v>
      </c>
      <c r="C24" s="47">
        <f>SUM(C26:C37)</f>
        <v>6031600000</v>
      </c>
      <c r="D24" s="117">
        <f>SUM(D25:D37)</f>
        <v>2123256804.88</v>
      </c>
      <c r="E24" s="47">
        <f>SUM(E26:E37)</f>
        <v>747426717.1899999</v>
      </c>
      <c r="F24" s="47">
        <f>SUM(F25:F37)</f>
        <v>98838043.11</v>
      </c>
      <c r="G24" s="47">
        <f>SUM(G25:G37)</f>
        <v>230867194.35</v>
      </c>
      <c r="H24" s="47">
        <f>SUM(H25:H37)</f>
        <v>165684501.93</v>
      </c>
      <c r="I24" s="47">
        <f>SUM(I28:I37)</f>
        <v>184560048.16</v>
      </c>
      <c r="J24" s="47">
        <f>SUM(J28:J37)</f>
        <v>139592416.99</v>
      </c>
      <c r="K24" s="47">
        <f>SUM(K25:K37)</f>
        <v>361369902.03</v>
      </c>
      <c r="L24" s="47">
        <f>SUM(L25:L37)</f>
        <v>0</v>
      </c>
      <c r="M24" s="47">
        <f>SUM(M26:M37)</f>
        <v>0</v>
      </c>
      <c r="N24" s="47">
        <f>SUM(N25:N37)</f>
        <v>0</v>
      </c>
      <c r="O24" s="47">
        <f>SUM(O25:O37)</f>
        <v>0</v>
      </c>
      <c r="P24" s="47">
        <f>SUM(P26:P37)</f>
        <v>4051595628.6400003</v>
      </c>
      <c r="Q24" s="47">
        <f>SUM(Q25:Q37)</f>
        <v>48061908.88</v>
      </c>
      <c r="R24" s="47">
        <f>SUM(R25:R37)</f>
        <v>695570508.1899999</v>
      </c>
      <c r="S24" s="47">
        <f>SUM(S25:S37)</f>
        <v>278855558.11</v>
      </c>
      <c r="T24" s="47">
        <f>SUM(T25:T37)</f>
        <v>351308799.35</v>
      </c>
      <c r="U24" s="47">
        <f>SUM(U25:U37)</f>
        <v>263607225.93</v>
      </c>
      <c r="V24" s="47">
        <f>SUM(V28:V37)</f>
        <v>380816540.26</v>
      </c>
      <c r="W24" s="47">
        <f>SUM(W28:W37)</f>
        <v>478165713.89</v>
      </c>
      <c r="X24" s="47">
        <f>SUM(X25:X37)</f>
        <v>368654663.03</v>
      </c>
      <c r="Y24" s="47">
        <f>SUM(Y25:Y37)</f>
        <v>0</v>
      </c>
      <c r="Z24" s="47">
        <f>SUM(Z26:Z37)</f>
        <v>0</v>
      </c>
      <c r="AA24" s="47">
        <f>SUM(AA25:AA37)</f>
        <v>0</v>
      </c>
      <c r="AB24" s="47">
        <f>SUM(AB25:AB37)</f>
        <v>0</v>
      </c>
      <c r="AC24" s="47">
        <f>SUM(AC26:AC37)</f>
        <v>2865040917.6400003</v>
      </c>
      <c r="AD24" s="47">
        <f>SUM(AD25:AD37)</f>
        <v>46199713.88</v>
      </c>
      <c r="AE24" s="47">
        <f>SUM(AE25:AE37)</f>
        <v>691121413.1899999</v>
      </c>
      <c r="AF24" s="47">
        <f>SUM(AF25:AF37)</f>
        <v>284010699.11</v>
      </c>
      <c r="AG24" s="47">
        <f>SUM(AG25:AG37)</f>
        <v>351843268.35</v>
      </c>
      <c r="AH24" s="47">
        <f>SUM(AH25:AH37)</f>
        <v>264228905.93</v>
      </c>
      <c r="AI24" s="47">
        <f>SUM(AI28:AI37)</f>
        <v>380491873.26</v>
      </c>
      <c r="AJ24" s="47">
        <f>SUM(AJ28:AJ37)</f>
        <v>469553988.89</v>
      </c>
      <c r="AK24" s="47">
        <f>SUM(AK25:AK37)</f>
        <v>377591055.03</v>
      </c>
      <c r="AL24" s="47">
        <f>SUM(AL25:AL37)</f>
        <v>0</v>
      </c>
      <c r="AM24" s="47">
        <f>SUM(AM26:AM37)</f>
        <v>0</v>
      </c>
      <c r="AN24" s="47">
        <f>SUM(AN25:AN37)</f>
        <v>0</v>
      </c>
      <c r="AO24" s="47">
        <f>SUM(AO25:AO37)</f>
        <v>0</v>
      </c>
      <c r="AP24" s="37">
        <f>SUM(AP26:AP37)</f>
        <v>2865040917.6400003</v>
      </c>
      <c r="AQ24" s="113"/>
      <c r="AR24" s="12"/>
    </row>
    <row r="25" spans="1:43" s="12" customFormat="1" ht="13.5" hidden="1" thickBot="1">
      <c r="A25" s="16" t="s">
        <v>105</v>
      </c>
      <c r="B25" s="48" t="s">
        <v>106</v>
      </c>
      <c r="C25" s="102">
        <v>0</v>
      </c>
      <c r="D25" s="102">
        <v>0</v>
      </c>
      <c r="E25" s="102"/>
      <c r="F25" s="105">
        <v>0</v>
      </c>
      <c r="G25" s="105">
        <v>0</v>
      </c>
      <c r="H25" s="102">
        <v>0</v>
      </c>
      <c r="I25" s="105">
        <v>0</v>
      </c>
      <c r="J25" s="105"/>
      <c r="K25" s="105"/>
      <c r="L25" s="105"/>
      <c r="M25" s="105"/>
      <c r="N25" s="105"/>
      <c r="O25" s="105"/>
      <c r="P25" s="71">
        <f t="shared" si="0"/>
        <v>0</v>
      </c>
      <c r="Q25" s="105">
        <v>0</v>
      </c>
      <c r="R25" s="102"/>
      <c r="S25" s="102">
        <v>0</v>
      </c>
      <c r="T25" s="105">
        <v>0</v>
      </c>
      <c r="U25" s="102">
        <v>0</v>
      </c>
      <c r="V25" s="105">
        <v>0</v>
      </c>
      <c r="W25" s="102"/>
      <c r="X25" s="102"/>
      <c r="Y25" s="102"/>
      <c r="Z25" s="102"/>
      <c r="AA25" s="102"/>
      <c r="AB25" s="105"/>
      <c r="AC25" s="106">
        <f aca="true" t="shared" si="3" ref="AC25:AC37">SUM(Q25:AB25)</f>
        <v>0</v>
      </c>
      <c r="AD25" s="105">
        <v>0</v>
      </c>
      <c r="AE25" s="105"/>
      <c r="AF25" s="105">
        <v>0</v>
      </c>
      <c r="AG25" s="105">
        <v>0</v>
      </c>
      <c r="AH25" s="102">
        <v>0</v>
      </c>
      <c r="AI25" s="105">
        <v>0</v>
      </c>
      <c r="AJ25" s="105"/>
      <c r="AK25" s="105"/>
      <c r="AL25" s="105"/>
      <c r="AM25" s="105"/>
      <c r="AN25" s="105"/>
      <c r="AO25" s="102"/>
      <c r="AP25" s="106">
        <f>SUM(AD25:AO25)</f>
        <v>0</v>
      </c>
      <c r="AQ25" s="113"/>
    </row>
    <row r="26" spans="1:43" s="12" customFormat="1" ht="12.75">
      <c r="A26" s="16" t="s">
        <v>119</v>
      </c>
      <c r="B26" s="48" t="s">
        <v>106</v>
      </c>
      <c r="C26" s="102">
        <f>1000000000-98000000-116500000-10000000-3459963-22000000</f>
        <v>750040037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383123.64</v>
      </c>
      <c r="L26" s="105"/>
      <c r="M26" s="105"/>
      <c r="N26" s="102"/>
      <c r="O26" s="105"/>
      <c r="P26" s="71">
        <f>SUM(D26:O26)</f>
        <v>383123.64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383123.64</v>
      </c>
      <c r="Y26" s="102"/>
      <c r="Z26" s="102"/>
      <c r="AA26" s="102"/>
      <c r="AB26" s="105"/>
      <c r="AC26" s="71">
        <f>SUM(Q26:AB26)</f>
        <v>383123.64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5">
        <v>0</v>
      </c>
      <c r="AJ26" s="102">
        <v>0</v>
      </c>
      <c r="AK26" s="71">
        <f>SUM(Y26:AJ26)</f>
        <v>383123.64</v>
      </c>
      <c r="AL26" s="105"/>
      <c r="AM26" s="102"/>
      <c r="AN26" s="105"/>
      <c r="AO26" s="102"/>
      <c r="AP26" s="72">
        <f>SUM(AD26:AO26)</f>
        <v>383123.64</v>
      </c>
      <c r="AQ26" s="113"/>
    </row>
    <row r="27" spans="1:43" s="12" customFormat="1" ht="12.75">
      <c r="A27" s="16" t="s">
        <v>184</v>
      </c>
      <c r="B27" s="48" t="s">
        <v>185</v>
      </c>
      <c r="C27" s="102">
        <v>3000000</v>
      </c>
      <c r="D27" s="102"/>
      <c r="E27" s="102"/>
      <c r="F27" s="102"/>
      <c r="G27" s="102"/>
      <c r="H27" s="102"/>
      <c r="I27" s="102">
        <v>0</v>
      </c>
      <c r="J27" s="102">
        <v>0</v>
      </c>
      <c r="K27" s="102">
        <v>0</v>
      </c>
      <c r="L27" s="102"/>
      <c r="M27" s="102"/>
      <c r="N27" s="102"/>
      <c r="O27" s="102"/>
      <c r="P27" s="106">
        <f>SUM(D27:O27)</f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/>
      <c r="Z27" s="102"/>
      <c r="AA27" s="102"/>
      <c r="AB27" s="102"/>
      <c r="AC27" s="106">
        <f>SUM(Q27:AB27)</f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/>
      <c r="AM27" s="102"/>
      <c r="AN27" s="102"/>
      <c r="AO27" s="102"/>
      <c r="AP27" s="110">
        <f>SUM(AD27:AO27)</f>
        <v>0</v>
      </c>
      <c r="AQ27" s="113"/>
    </row>
    <row r="28" spans="1:43" s="12" customFormat="1" ht="13.5" customHeight="1">
      <c r="A28" s="16" t="s">
        <v>94</v>
      </c>
      <c r="B28" s="48" t="s">
        <v>72</v>
      </c>
      <c r="C28" s="111">
        <f>134200000+19000000+39000000-303</f>
        <v>192199697</v>
      </c>
      <c r="D28" s="102">
        <v>0</v>
      </c>
      <c r="E28" s="102">
        <v>3900000</v>
      </c>
      <c r="F28" s="102">
        <v>11425923</v>
      </c>
      <c r="G28" s="102">
        <v>0</v>
      </c>
      <c r="H28" s="102">
        <v>2118573</v>
      </c>
      <c r="I28" s="102">
        <v>321500</v>
      </c>
      <c r="J28" s="102">
        <v>6507166</v>
      </c>
      <c r="K28" s="102">
        <v>33628645</v>
      </c>
      <c r="L28" s="102"/>
      <c r="M28" s="102"/>
      <c r="N28" s="102"/>
      <c r="O28" s="102"/>
      <c r="P28" s="106">
        <f t="shared" si="0"/>
        <v>57901807</v>
      </c>
      <c r="Q28" s="102">
        <v>0</v>
      </c>
      <c r="R28" s="106">
        <v>3900000</v>
      </c>
      <c r="S28" s="102">
        <v>4999890</v>
      </c>
      <c r="T28" s="102">
        <v>4396033</v>
      </c>
      <c r="U28" s="102">
        <v>4148573</v>
      </c>
      <c r="V28" s="102">
        <v>321500</v>
      </c>
      <c r="W28" s="102">
        <v>603664</v>
      </c>
      <c r="X28" s="102">
        <v>9225647</v>
      </c>
      <c r="Y28" s="102"/>
      <c r="Z28" s="102"/>
      <c r="AA28" s="102"/>
      <c r="AB28" s="102"/>
      <c r="AC28" s="106">
        <f>SUM(Q28:AB28)</f>
        <v>27595307</v>
      </c>
      <c r="AD28" s="102">
        <v>0</v>
      </c>
      <c r="AE28" s="106">
        <v>3900000</v>
      </c>
      <c r="AF28" s="102">
        <v>4999890</v>
      </c>
      <c r="AG28" s="102">
        <v>4396033</v>
      </c>
      <c r="AH28" s="102">
        <v>4148573</v>
      </c>
      <c r="AI28" s="102">
        <v>321500</v>
      </c>
      <c r="AJ28" s="102">
        <v>603664</v>
      </c>
      <c r="AK28" s="102">
        <v>9225647</v>
      </c>
      <c r="AL28" s="102"/>
      <c r="AM28" s="102"/>
      <c r="AN28" s="105"/>
      <c r="AO28" s="105"/>
      <c r="AP28" s="110">
        <f aca="true" t="shared" si="4" ref="AP28:AP37">SUM(AD28:AO28)</f>
        <v>27595307</v>
      </c>
      <c r="AQ28" s="113"/>
    </row>
    <row r="29" spans="1:43" s="12" customFormat="1" ht="12.75">
      <c r="A29" s="16" t="s">
        <v>77</v>
      </c>
      <c r="B29" s="48" t="s">
        <v>73</v>
      </c>
      <c r="C29" s="102">
        <f>2154795451-20070000-65056161+12000000-210000000+3500000-26200+3459963-1040000</f>
        <v>1877563053</v>
      </c>
      <c r="D29" s="102">
        <v>1471103480</v>
      </c>
      <c r="E29" s="102">
        <v>16149354</v>
      </c>
      <c r="F29" s="102">
        <v>9402075</v>
      </c>
      <c r="G29" s="102">
        <v>146338234</v>
      </c>
      <c r="H29" s="102">
        <v>29748800</v>
      </c>
      <c r="I29" s="102">
        <v>33728992</v>
      </c>
      <c r="J29" s="102">
        <v>0</v>
      </c>
      <c r="K29" s="102">
        <v>3419948</v>
      </c>
      <c r="L29" s="102"/>
      <c r="M29" s="102"/>
      <c r="N29" s="102"/>
      <c r="O29" s="102"/>
      <c r="P29" s="106">
        <f t="shared" si="0"/>
        <v>1709890883</v>
      </c>
      <c r="Q29" s="102">
        <v>0</v>
      </c>
      <c r="R29" s="102">
        <v>126000063</v>
      </c>
      <c r="S29" s="102">
        <v>125273713</v>
      </c>
      <c r="T29" s="102">
        <v>200753676</v>
      </c>
      <c r="U29" s="102">
        <v>99011607</v>
      </c>
      <c r="V29" s="102">
        <v>144982400</v>
      </c>
      <c r="W29" s="102">
        <v>266288871</v>
      </c>
      <c r="X29" s="102">
        <v>96234284</v>
      </c>
      <c r="Y29" s="102"/>
      <c r="Z29" s="102"/>
      <c r="AA29" s="102"/>
      <c r="AB29" s="102"/>
      <c r="AC29" s="106">
        <f t="shared" si="3"/>
        <v>1058544614</v>
      </c>
      <c r="AD29" s="102">
        <v>0</v>
      </c>
      <c r="AE29" s="102">
        <v>126000063</v>
      </c>
      <c r="AF29" s="102">
        <v>125273713</v>
      </c>
      <c r="AG29" s="102">
        <v>200753676</v>
      </c>
      <c r="AH29" s="102">
        <v>99011607</v>
      </c>
      <c r="AI29" s="102">
        <v>144982400</v>
      </c>
      <c r="AJ29" s="102">
        <v>265852479</v>
      </c>
      <c r="AK29" s="102">
        <v>96670676</v>
      </c>
      <c r="AL29" s="102"/>
      <c r="AM29" s="102"/>
      <c r="AN29" s="102"/>
      <c r="AO29" s="105"/>
      <c r="AP29" s="110">
        <f t="shared" si="4"/>
        <v>1058544614</v>
      </c>
      <c r="AQ29" s="113"/>
    </row>
    <row r="30" spans="1:43" s="12" customFormat="1" ht="12.75">
      <c r="A30" s="16" t="s">
        <v>181</v>
      </c>
      <c r="B30" s="48" t="s">
        <v>183</v>
      </c>
      <c r="C30" s="102">
        <f>11958460+98000000+14500000+3000000</f>
        <v>127458460</v>
      </c>
      <c r="D30" s="102">
        <v>0</v>
      </c>
      <c r="E30" s="102">
        <v>0</v>
      </c>
      <c r="F30" s="102">
        <v>0</v>
      </c>
      <c r="G30" s="102">
        <v>0</v>
      </c>
      <c r="H30" s="102">
        <v>156420</v>
      </c>
      <c r="I30" s="102">
        <v>46732.47</v>
      </c>
      <c r="J30" s="102">
        <v>4963383.27</v>
      </c>
      <c r="K30" s="102">
        <v>113274099.44</v>
      </c>
      <c r="L30" s="102"/>
      <c r="M30" s="102"/>
      <c r="N30" s="102"/>
      <c r="O30" s="102"/>
      <c r="P30" s="106">
        <f>SUM(D30:O30)</f>
        <v>118440635.17999999</v>
      </c>
      <c r="Q30" s="102">
        <v>0</v>
      </c>
      <c r="R30" s="106">
        <v>0</v>
      </c>
      <c r="S30" s="102">
        <v>0</v>
      </c>
      <c r="T30" s="102">
        <v>0</v>
      </c>
      <c r="U30" s="102">
        <v>0</v>
      </c>
      <c r="V30" s="102">
        <v>203152.47</v>
      </c>
      <c r="W30" s="102">
        <v>2223383.27</v>
      </c>
      <c r="X30" s="102">
        <v>774099.44</v>
      </c>
      <c r="Y30" s="102"/>
      <c r="Z30" s="102"/>
      <c r="AA30" s="102"/>
      <c r="AB30" s="102"/>
      <c r="AC30" s="106">
        <f>SUM(Q30:AB30)</f>
        <v>3200635.18</v>
      </c>
      <c r="AD30" s="102">
        <v>0</v>
      </c>
      <c r="AE30" s="106">
        <v>0</v>
      </c>
      <c r="AF30" s="102">
        <v>0</v>
      </c>
      <c r="AG30" s="102">
        <v>0</v>
      </c>
      <c r="AH30" s="102">
        <v>0</v>
      </c>
      <c r="AI30" s="102">
        <v>203152.47</v>
      </c>
      <c r="AJ30" s="102">
        <v>2223383.27</v>
      </c>
      <c r="AK30" s="102">
        <v>774099.44</v>
      </c>
      <c r="AL30" s="102"/>
      <c r="AM30" s="102"/>
      <c r="AN30" s="102"/>
      <c r="AO30" s="105"/>
      <c r="AP30" s="110">
        <f>SUM(AD30:AO30)</f>
        <v>3200635.18</v>
      </c>
      <c r="AQ30" s="113"/>
    </row>
    <row r="31" spans="1:42" s="12" customFormat="1" ht="12.75">
      <c r="A31" s="16" t="s">
        <v>96</v>
      </c>
      <c r="B31" s="48" t="s">
        <v>95</v>
      </c>
      <c r="C31" s="102">
        <v>1000000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/>
      <c r="M31" s="102"/>
      <c r="N31" s="102"/>
      <c r="O31" s="102"/>
      <c r="P31" s="106">
        <f>SUM(D31:O31)</f>
        <v>0</v>
      </c>
      <c r="Q31" s="102">
        <v>0</v>
      </c>
      <c r="R31" s="106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/>
      <c r="Z31" s="102"/>
      <c r="AA31" s="102"/>
      <c r="AB31" s="102"/>
      <c r="AC31" s="106">
        <f>SUM(Q31:AB31)</f>
        <v>0</v>
      </c>
      <c r="AD31" s="102">
        <v>0</v>
      </c>
      <c r="AE31" s="106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/>
      <c r="AM31" s="102"/>
      <c r="AN31" s="102"/>
      <c r="AO31" s="105"/>
      <c r="AP31" s="110">
        <f>SUM(AD31:AO31)</f>
        <v>0</v>
      </c>
    </row>
    <row r="32" spans="1:42" s="12" customFormat="1" ht="12.75">
      <c r="A32" s="16" t="s">
        <v>78</v>
      </c>
      <c r="B32" s="48" t="s">
        <v>74</v>
      </c>
      <c r="C32" s="102">
        <f>1489076360-25463460-51166999+26503</f>
        <v>1412472404</v>
      </c>
      <c r="D32" s="102">
        <v>46694083.88</v>
      </c>
      <c r="E32" s="106">
        <v>58073218.79</v>
      </c>
      <c r="F32" s="102">
        <v>48018370.11</v>
      </c>
      <c r="G32" s="102">
        <v>59876752.35</v>
      </c>
      <c r="H32" s="102">
        <v>62133754.93</v>
      </c>
      <c r="I32" s="102">
        <v>100889495.69</v>
      </c>
      <c r="J32" s="102">
        <v>100284941.72</v>
      </c>
      <c r="K32" s="102">
        <v>107822360.95</v>
      </c>
      <c r="L32" s="102"/>
      <c r="M32" s="102"/>
      <c r="N32" s="102"/>
      <c r="O32" s="102"/>
      <c r="P32" s="106">
        <f t="shared" si="0"/>
        <v>583792978.4200001</v>
      </c>
      <c r="Q32" s="102">
        <v>46694083.88</v>
      </c>
      <c r="R32" s="106">
        <v>53226448.79</v>
      </c>
      <c r="S32" s="102">
        <v>52865140.11</v>
      </c>
      <c r="T32" s="102">
        <v>59870042.35</v>
      </c>
      <c r="U32" s="102">
        <v>55803003.93</v>
      </c>
      <c r="V32" s="102">
        <v>105148037.79</v>
      </c>
      <c r="W32" s="102">
        <v>101877686.62</v>
      </c>
      <c r="X32" s="102">
        <v>107823693.95</v>
      </c>
      <c r="Y32" s="102"/>
      <c r="Z32" s="102"/>
      <c r="AA32" s="102"/>
      <c r="AB32" s="102"/>
      <c r="AC32" s="106">
        <f t="shared" si="3"/>
        <v>583308137.4200001</v>
      </c>
      <c r="AD32" s="102">
        <v>46199713.88</v>
      </c>
      <c r="AE32" s="106">
        <v>53720818.79</v>
      </c>
      <c r="AF32" s="102">
        <v>52865140.11</v>
      </c>
      <c r="AG32" s="102">
        <v>59248362.35</v>
      </c>
      <c r="AH32" s="102">
        <v>56424683.93</v>
      </c>
      <c r="AI32" s="102">
        <v>105148037.79</v>
      </c>
      <c r="AJ32" s="102">
        <v>101877686.62</v>
      </c>
      <c r="AK32" s="102">
        <v>107823693.95</v>
      </c>
      <c r="AL32" s="102"/>
      <c r="AM32" s="102"/>
      <c r="AN32" s="102"/>
      <c r="AO32" s="105"/>
      <c r="AP32" s="110">
        <f t="shared" si="4"/>
        <v>583308137.4200001</v>
      </c>
    </row>
    <row r="33" spans="1:42" s="12" customFormat="1" ht="12.75">
      <c r="A33" s="16" t="s">
        <v>79</v>
      </c>
      <c r="B33" s="48" t="s">
        <v>75</v>
      </c>
      <c r="C33" s="102">
        <f>425000000+12166999</f>
        <v>437166999</v>
      </c>
      <c r="D33" s="102">
        <v>420030780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17136219</v>
      </c>
      <c r="L33" s="102"/>
      <c r="M33" s="102"/>
      <c r="N33" s="102"/>
      <c r="O33" s="102"/>
      <c r="P33" s="106">
        <f t="shared" si="0"/>
        <v>437166999</v>
      </c>
      <c r="Q33" s="102">
        <v>0</v>
      </c>
      <c r="R33" s="106">
        <v>420030779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/>
      <c r="Z33" s="102"/>
      <c r="AA33" s="102"/>
      <c r="AB33" s="102"/>
      <c r="AC33" s="106">
        <f t="shared" si="3"/>
        <v>420030779</v>
      </c>
      <c r="AD33" s="102">
        <v>0</v>
      </c>
      <c r="AE33" s="106">
        <v>420030779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/>
      <c r="AM33" s="102"/>
      <c r="AN33" s="102"/>
      <c r="AO33" s="105"/>
      <c r="AP33" s="110">
        <f t="shared" si="4"/>
        <v>420030779</v>
      </c>
    </row>
    <row r="34" spans="1:42" s="12" customFormat="1" ht="12.75">
      <c r="A34" s="16" t="s">
        <v>76</v>
      </c>
      <c r="B34" s="48" t="s">
        <v>71</v>
      </c>
      <c r="C34" s="102">
        <f>936181725+20070000+65056161+1505000-3000000+6500000+1040000</f>
        <v>1027352886</v>
      </c>
      <c r="D34" s="102">
        <v>179730491</v>
      </c>
      <c r="E34" s="102">
        <v>637639138.4</v>
      </c>
      <c r="F34" s="102">
        <v>24604750</v>
      </c>
      <c r="G34" s="102">
        <v>16914187</v>
      </c>
      <c r="H34" s="102">
        <v>64372650</v>
      </c>
      <c r="I34" s="102">
        <v>7615232</v>
      </c>
      <c r="J34" s="102">
        <v>23450</v>
      </c>
      <c r="K34" s="102">
        <v>61382616</v>
      </c>
      <c r="L34" s="102"/>
      <c r="M34" s="102"/>
      <c r="N34" s="102"/>
      <c r="O34" s="102"/>
      <c r="P34" s="106">
        <f t="shared" si="0"/>
        <v>992282514.4</v>
      </c>
      <c r="Q34" s="102">
        <v>0</v>
      </c>
      <c r="R34" s="102">
        <v>71527208.4</v>
      </c>
      <c r="S34" s="102">
        <v>87120748</v>
      </c>
      <c r="T34" s="102">
        <v>78551027</v>
      </c>
      <c r="U34" s="102">
        <v>100148362</v>
      </c>
      <c r="V34" s="102">
        <v>118771924</v>
      </c>
      <c r="W34" s="102">
        <v>93980540</v>
      </c>
      <c r="X34" s="102">
        <v>89549693</v>
      </c>
      <c r="Y34" s="102"/>
      <c r="Z34" s="102"/>
      <c r="AA34" s="102"/>
      <c r="AB34" s="102"/>
      <c r="AC34" s="106">
        <f t="shared" si="3"/>
        <v>639649502.4</v>
      </c>
      <c r="AD34" s="102">
        <v>0</v>
      </c>
      <c r="AE34" s="102">
        <v>71527208.4</v>
      </c>
      <c r="AF34" s="102">
        <v>87120748</v>
      </c>
      <c r="AG34" s="102">
        <v>78551027</v>
      </c>
      <c r="AH34" s="102">
        <v>100148362</v>
      </c>
      <c r="AI34" s="102">
        <v>118771924</v>
      </c>
      <c r="AJ34" s="102">
        <v>93980540</v>
      </c>
      <c r="AK34" s="102">
        <v>89549693</v>
      </c>
      <c r="AL34" s="102"/>
      <c r="AM34" s="102"/>
      <c r="AN34" s="102"/>
      <c r="AO34" s="105"/>
      <c r="AP34" s="110">
        <f t="shared" si="4"/>
        <v>639649502.4</v>
      </c>
    </row>
    <row r="35" spans="1:42" s="12" customFormat="1" ht="12.75">
      <c r="A35" s="16" t="s">
        <v>108</v>
      </c>
      <c r="B35" s="48" t="s">
        <v>107</v>
      </c>
      <c r="C35" s="102">
        <f>58304408+80000000</f>
        <v>138304408</v>
      </c>
      <c r="D35" s="102">
        <v>5697970</v>
      </c>
      <c r="E35" s="102">
        <v>31665006</v>
      </c>
      <c r="F35" s="102">
        <v>5386925</v>
      </c>
      <c r="G35" s="102">
        <v>7738021</v>
      </c>
      <c r="H35" s="102">
        <v>7154304</v>
      </c>
      <c r="I35" s="102">
        <v>41958096</v>
      </c>
      <c r="J35" s="102">
        <v>1972508</v>
      </c>
      <c r="K35" s="102">
        <v>13372490</v>
      </c>
      <c r="L35" s="102"/>
      <c r="M35" s="102"/>
      <c r="N35" s="102"/>
      <c r="O35" s="102"/>
      <c r="P35" s="106">
        <f>SUM(D35:O35)</f>
        <v>114945320</v>
      </c>
      <c r="Q35" s="102">
        <v>1367825</v>
      </c>
      <c r="R35" s="102">
        <v>20886009</v>
      </c>
      <c r="S35" s="102">
        <v>8596067</v>
      </c>
      <c r="T35" s="102">
        <v>7738021</v>
      </c>
      <c r="U35" s="102">
        <v>4495680</v>
      </c>
      <c r="V35" s="102">
        <v>11389526</v>
      </c>
      <c r="W35" s="102">
        <v>13191569</v>
      </c>
      <c r="X35" s="102">
        <v>38823154</v>
      </c>
      <c r="Y35" s="102"/>
      <c r="Z35" s="102"/>
      <c r="AA35" s="102"/>
      <c r="AB35" s="102"/>
      <c r="AC35" s="106">
        <f>SUM(Q35:AB35)</f>
        <v>106487851</v>
      </c>
      <c r="AD35" s="102">
        <v>0</v>
      </c>
      <c r="AE35" s="102">
        <v>15942544</v>
      </c>
      <c r="AF35" s="102">
        <v>13751208</v>
      </c>
      <c r="AG35" s="102">
        <v>8894170</v>
      </c>
      <c r="AH35" s="102">
        <v>4495680</v>
      </c>
      <c r="AI35" s="102">
        <v>11064859</v>
      </c>
      <c r="AJ35" s="102">
        <v>5016236</v>
      </c>
      <c r="AK35" s="102">
        <v>47323154</v>
      </c>
      <c r="AL35" s="102"/>
      <c r="AM35" s="102"/>
      <c r="AN35" s="102"/>
      <c r="AO35" s="105"/>
      <c r="AP35" s="110">
        <f>SUM(AD35:AO35)</f>
        <v>106487851</v>
      </c>
    </row>
    <row r="36" spans="1:42" s="12" customFormat="1" ht="12.75">
      <c r="A36" s="16" t="s">
        <v>98</v>
      </c>
      <c r="B36" s="48" t="s">
        <v>99</v>
      </c>
      <c r="C36" s="102">
        <v>54042056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25840968</v>
      </c>
      <c r="K36" s="102">
        <v>0</v>
      </c>
      <c r="L36" s="102"/>
      <c r="M36" s="102"/>
      <c r="N36" s="102"/>
      <c r="O36" s="102"/>
      <c r="P36" s="106">
        <f t="shared" si="0"/>
        <v>25840968</v>
      </c>
      <c r="Q36" s="102">
        <v>0</v>
      </c>
      <c r="R36" s="106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25840968</v>
      </c>
      <c r="Y36" s="102"/>
      <c r="Z36" s="102"/>
      <c r="AA36" s="102"/>
      <c r="AB36" s="102"/>
      <c r="AC36" s="106">
        <f t="shared" si="3"/>
        <v>25840968</v>
      </c>
      <c r="AD36" s="102">
        <v>0</v>
      </c>
      <c r="AE36" s="106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25840968</v>
      </c>
      <c r="AL36" s="102"/>
      <c r="AM36" s="102"/>
      <c r="AN36" s="102"/>
      <c r="AO36" s="105"/>
      <c r="AP36" s="110">
        <f t="shared" si="4"/>
        <v>25840968</v>
      </c>
    </row>
    <row r="37" spans="1:42" s="12" customFormat="1" ht="13.5" thickBot="1">
      <c r="A37" s="16" t="s">
        <v>86</v>
      </c>
      <c r="B37" s="48" t="s">
        <v>85</v>
      </c>
      <c r="C37" s="49">
        <v>11000000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10950400</v>
      </c>
      <c r="L37" s="49"/>
      <c r="M37" s="49"/>
      <c r="N37" s="49"/>
      <c r="O37" s="49"/>
      <c r="P37" s="45">
        <f t="shared" si="0"/>
        <v>10950400</v>
      </c>
      <c r="Q37" s="49">
        <v>0</v>
      </c>
      <c r="R37" s="50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/>
      <c r="Z37" s="49"/>
      <c r="AA37" s="49"/>
      <c r="AB37" s="49"/>
      <c r="AC37" s="45">
        <f t="shared" si="3"/>
        <v>0</v>
      </c>
      <c r="AD37" s="49">
        <v>0</v>
      </c>
      <c r="AE37" s="50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/>
      <c r="AM37" s="103"/>
      <c r="AN37" s="49"/>
      <c r="AO37" s="103"/>
      <c r="AP37" s="108">
        <f t="shared" si="4"/>
        <v>0</v>
      </c>
    </row>
    <row r="38" spans="1:43" s="14" customFormat="1" ht="13.5" thickBot="1">
      <c r="A38" s="21"/>
      <c r="B38" s="46" t="s">
        <v>44</v>
      </c>
      <c r="C38" s="47">
        <f aca="true" t="shared" si="5" ref="C38:AK38">SUM(C39:C42)</f>
        <v>1399000000</v>
      </c>
      <c r="D38" s="47">
        <f t="shared" si="5"/>
        <v>0</v>
      </c>
      <c r="E38" s="47">
        <f t="shared" si="5"/>
        <v>0</v>
      </c>
      <c r="F38" s="47">
        <f t="shared" si="5"/>
        <v>595000000</v>
      </c>
      <c r="G38" s="47">
        <f t="shared" si="5"/>
        <v>0</v>
      </c>
      <c r="H38" s="47">
        <f t="shared" si="5"/>
        <v>295608056</v>
      </c>
      <c r="I38" s="47">
        <f t="shared" si="5"/>
        <v>0</v>
      </c>
      <c r="J38" s="47">
        <f t="shared" si="5"/>
        <v>-986525</v>
      </c>
      <c r="K38" s="47">
        <f t="shared" si="5"/>
        <v>172000000</v>
      </c>
      <c r="L38" s="47">
        <f t="shared" si="5"/>
        <v>0</v>
      </c>
      <c r="M38" s="47">
        <f t="shared" si="5"/>
        <v>0</v>
      </c>
      <c r="N38" s="47">
        <f t="shared" si="5"/>
        <v>0</v>
      </c>
      <c r="O38" s="47">
        <f t="shared" si="5"/>
        <v>0</v>
      </c>
      <c r="P38" s="47">
        <f t="shared" si="5"/>
        <v>1061621531</v>
      </c>
      <c r="Q38" s="47">
        <f t="shared" si="5"/>
        <v>0</v>
      </c>
      <c r="R38" s="47">
        <f t="shared" si="5"/>
        <v>0</v>
      </c>
      <c r="S38" s="47">
        <f t="shared" si="5"/>
        <v>595000000</v>
      </c>
      <c r="T38" s="47">
        <f t="shared" si="5"/>
        <v>0</v>
      </c>
      <c r="U38" s="47">
        <f t="shared" si="5"/>
        <v>295608056</v>
      </c>
      <c r="V38" s="47">
        <f t="shared" si="5"/>
        <v>-986525</v>
      </c>
      <c r="W38" s="47">
        <f t="shared" si="5"/>
        <v>0</v>
      </c>
      <c r="X38" s="47">
        <f t="shared" si="5"/>
        <v>0</v>
      </c>
      <c r="Y38" s="47">
        <f t="shared" si="5"/>
        <v>0</v>
      </c>
      <c r="Z38" s="47">
        <f t="shared" si="5"/>
        <v>0</v>
      </c>
      <c r="AA38" s="47">
        <f t="shared" si="5"/>
        <v>0</v>
      </c>
      <c r="AB38" s="47">
        <f t="shared" si="5"/>
        <v>0</v>
      </c>
      <c r="AC38" s="47">
        <f t="shared" si="5"/>
        <v>889621531</v>
      </c>
      <c r="AD38" s="47">
        <f t="shared" si="5"/>
        <v>0</v>
      </c>
      <c r="AE38" s="47">
        <f t="shared" si="5"/>
        <v>0</v>
      </c>
      <c r="AF38" s="47">
        <f t="shared" si="5"/>
        <v>595000000</v>
      </c>
      <c r="AG38" s="47">
        <f t="shared" si="5"/>
        <v>0</v>
      </c>
      <c r="AH38" s="47">
        <f t="shared" si="5"/>
        <v>295608056</v>
      </c>
      <c r="AI38" s="47">
        <f t="shared" si="5"/>
        <v>-986525</v>
      </c>
      <c r="AJ38" s="47">
        <f t="shared" si="5"/>
        <v>0</v>
      </c>
      <c r="AK38" s="47">
        <f t="shared" si="5"/>
        <v>0</v>
      </c>
      <c r="AL38" s="47">
        <v>0</v>
      </c>
      <c r="AM38" s="47">
        <f>SUM(AM39:AM42)</f>
        <v>0</v>
      </c>
      <c r="AN38" s="47">
        <f>SUM(AN39:AN42)</f>
        <v>0</v>
      </c>
      <c r="AO38" s="47">
        <f>SUM(AO39:AO42)</f>
        <v>0</v>
      </c>
      <c r="AP38" s="37">
        <f>SUM(AP39:AP42)</f>
        <v>889621531</v>
      </c>
      <c r="AQ38" s="12"/>
    </row>
    <row r="39" spans="1:42" s="12" customFormat="1" ht="13.5" thickBot="1">
      <c r="A39" s="68" t="s">
        <v>100</v>
      </c>
      <c r="B39" s="52" t="s">
        <v>46</v>
      </c>
      <c r="C39" s="53">
        <v>250000000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/>
      <c r="P39" s="71">
        <f t="shared" si="0"/>
        <v>0</v>
      </c>
      <c r="Q39" s="102">
        <v>0</v>
      </c>
      <c r="R39" s="105">
        <v>0</v>
      </c>
      <c r="S39" s="102"/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/>
      <c r="Z39" s="102"/>
      <c r="AA39" s="102"/>
      <c r="AB39" s="102"/>
      <c r="AC39" s="71">
        <f>SUM(Q39:AB39)</f>
        <v>0</v>
      </c>
      <c r="AD39" s="102">
        <v>0</v>
      </c>
      <c r="AE39" s="105">
        <v>0</v>
      </c>
      <c r="AF39" s="102"/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/>
      <c r="AM39" s="102"/>
      <c r="AN39" s="102"/>
      <c r="AO39" s="102"/>
      <c r="AP39" s="72">
        <f>SUM(AD39:AO39)</f>
        <v>0</v>
      </c>
    </row>
    <row r="40" spans="1:42" s="12" customFormat="1" ht="13.5" thickBot="1">
      <c r="A40" s="15" t="s">
        <v>179</v>
      </c>
      <c r="B40" s="40" t="s">
        <v>180</v>
      </c>
      <c r="C40" s="53">
        <f>850000000-172000000</f>
        <v>678000000</v>
      </c>
      <c r="D40" s="102">
        <v>0</v>
      </c>
      <c r="E40" s="102">
        <v>0</v>
      </c>
      <c r="F40" s="102">
        <v>595000000</v>
      </c>
      <c r="G40" s="102">
        <v>0</v>
      </c>
      <c r="H40" s="102">
        <v>0</v>
      </c>
      <c r="I40" s="102">
        <v>0</v>
      </c>
      <c r="J40" s="109">
        <v>-986525</v>
      </c>
      <c r="K40" s="102">
        <v>0</v>
      </c>
      <c r="L40" s="102">
        <v>0</v>
      </c>
      <c r="M40" s="102">
        <v>0</v>
      </c>
      <c r="N40" s="102">
        <v>0</v>
      </c>
      <c r="O40" s="102"/>
      <c r="P40" s="71">
        <f>SUM(D40:O40)</f>
        <v>594013475</v>
      </c>
      <c r="Q40" s="53">
        <v>0</v>
      </c>
      <c r="R40" s="115">
        <v>0</v>
      </c>
      <c r="S40" s="42">
        <v>595000000</v>
      </c>
      <c r="T40" s="53">
        <v>0</v>
      </c>
      <c r="U40" s="53">
        <v>0</v>
      </c>
      <c r="V40" s="102">
        <v>-986525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/>
      <c r="AC40" s="71">
        <f>SUM(Q40:AB40)</f>
        <v>594013475</v>
      </c>
      <c r="AD40" s="105">
        <v>0</v>
      </c>
      <c r="AE40" s="105">
        <v>0</v>
      </c>
      <c r="AF40" s="102">
        <v>595000000</v>
      </c>
      <c r="AG40" s="102">
        <v>0</v>
      </c>
      <c r="AH40" s="102">
        <v>0</v>
      </c>
      <c r="AI40" s="102">
        <v>-986525</v>
      </c>
      <c r="AJ40" s="105">
        <v>0</v>
      </c>
      <c r="AK40" s="102">
        <v>0</v>
      </c>
      <c r="AL40" s="105"/>
      <c r="AM40" s="105"/>
      <c r="AN40" s="105"/>
      <c r="AO40" s="105"/>
      <c r="AP40" s="72">
        <f>SUM(AD40:AO40)</f>
        <v>594013475</v>
      </c>
    </row>
    <row r="41" spans="1:42" s="12" customFormat="1" ht="13.5" thickBot="1">
      <c r="A41" s="15" t="s">
        <v>50</v>
      </c>
      <c r="B41" s="40" t="s">
        <v>182</v>
      </c>
      <c r="C41" s="53">
        <f>89000000+210000000+172000000</f>
        <v>471000000</v>
      </c>
      <c r="D41" s="102">
        <v>0</v>
      </c>
      <c r="E41" s="102">
        <v>0</v>
      </c>
      <c r="F41" s="102">
        <v>0</v>
      </c>
      <c r="G41" s="102">
        <v>0</v>
      </c>
      <c r="H41" s="102">
        <v>295608056</v>
      </c>
      <c r="I41" s="102">
        <v>0</v>
      </c>
      <c r="J41" s="102">
        <v>0</v>
      </c>
      <c r="K41" s="102">
        <v>172000000</v>
      </c>
      <c r="L41" s="102">
        <v>0</v>
      </c>
      <c r="M41" s="102">
        <v>0</v>
      </c>
      <c r="N41" s="102">
        <v>0</v>
      </c>
      <c r="O41" s="102"/>
      <c r="P41" s="71">
        <f t="shared" si="0"/>
        <v>467608056</v>
      </c>
      <c r="Q41" s="53">
        <v>0</v>
      </c>
      <c r="R41" s="115">
        <v>0</v>
      </c>
      <c r="S41" s="42"/>
      <c r="T41" s="53">
        <v>0</v>
      </c>
      <c r="U41" s="102">
        <v>295608056</v>
      </c>
      <c r="V41" s="102">
        <v>0</v>
      </c>
      <c r="W41" s="102">
        <v>0</v>
      </c>
      <c r="X41" s="102">
        <v>0</v>
      </c>
      <c r="Y41" s="102"/>
      <c r="Z41" s="102"/>
      <c r="AA41" s="102"/>
      <c r="AB41" s="102"/>
      <c r="AC41" s="71">
        <f>SUM(Q41:AB41)</f>
        <v>295608056</v>
      </c>
      <c r="AD41" s="105">
        <v>0</v>
      </c>
      <c r="AE41" s="105">
        <v>0</v>
      </c>
      <c r="AF41" s="105"/>
      <c r="AG41" s="102">
        <v>0</v>
      </c>
      <c r="AH41" s="102">
        <v>295608056</v>
      </c>
      <c r="AI41" s="102">
        <v>0</v>
      </c>
      <c r="AJ41" s="105">
        <v>0</v>
      </c>
      <c r="AK41" s="102">
        <v>0</v>
      </c>
      <c r="AL41" s="105"/>
      <c r="AM41" s="105"/>
      <c r="AN41" s="105"/>
      <c r="AO41" s="105"/>
      <c r="AP41" s="72">
        <f>SUM(AD41:AO41)</f>
        <v>295608056</v>
      </c>
    </row>
    <row r="42" spans="1:42" s="12" customFormat="1" ht="13.5" thickBot="1">
      <c r="A42" s="15" t="s">
        <v>118</v>
      </c>
      <c r="B42" s="40" t="s">
        <v>114</v>
      </c>
      <c r="C42" s="53">
        <f>14206490899-1086000000-1606553607-11513937292</f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/>
      <c r="P42" s="71">
        <f>SUM(D42:O42)</f>
        <v>0</v>
      </c>
      <c r="Q42" s="53">
        <v>0</v>
      </c>
      <c r="R42" s="115">
        <v>0</v>
      </c>
      <c r="S42" s="42">
        <v>0</v>
      </c>
      <c r="T42" s="53">
        <v>0</v>
      </c>
      <c r="U42" s="53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/>
      <c r="AC42" s="71">
        <f>SUM(Q42:AB42)</f>
        <v>0</v>
      </c>
      <c r="AD42" s="105">
        <v>0</v>
      </c>
      <c r="AE42" s="105">
        <v>0</v>
      </c>
      <c r="AF42" s="105"/>
      <c r="AG42" s="102">
        <v>0</v>
      </c>
      <c r="AH42" s="102">
        <v>0</v>
      </c>
      <c r="AI42" s="102">
        <v>0</v>
      </c>
      <c r="AJ42" s="105">
        <v>0</v>
      </c>
      <c r="AK42" s="102">
        <v>0</v>
      </c>
      <c r="AL42" s="105"/>
      <c r="AM42" s="105"/>
      <c r="AN42" s="105"/>
      <c r="AO42" s="105"/>
      <c r="AP42" s="72">
        <f>SUM(AD42:AO42)</f>
        <v>0</v>
      </c>
    </row>
    <row r="43" spans="1:44" s="14" customFormat="1" ht="18" customHeight="1" thickBot="1">
      <c r="A43" s="21"/>
      <c r="B43" s="46" t="s">
        <v>41</v>
      </c>
      <c r="C43" s="47">
        <f>SUM(C44:C62)</f>
        <v>117121260052</v>
      </c>
      <c r="D43" s="47">
        <f>SUM(D44:D62)</f>
        <v>24709741932</v>
      </c>
      <c r="E43" s="84">
        <f>SUM(E44:E62)</f>
        <v>7506945304.57</v>
      </c>
      <c r="F43" s="84">
        <f>SUM(F44:F62)</f>
        <v>8921086824</v>
      </c>
      <c r="G43" s="84">
        <f aca="true" t="shared" si="6" ref="G43:P43">SUM(G44:G62)</f>
        <v>12739028180.36</v>
      </c>
      <c r="H43" s="84">
        <f t="shared" si="6"/>
        <v>4490108519</v>
      </c>
      <c r="I43" s="47">
        <f t="shared" si="6"/>
        <v>6139153332.2</v>
      </c>
      <c r="J43" s="47">
        <f t="shared" si="6"/>
        <v>4467283113.6</v>
      </c>
      <c r="K43" s="47">
        <f t="shared" si="6"/>
        <v>3883529025.3999996</v>
      </c>
      <c r="L43" s="47">
        <f t="shared" si="6"/>
        <v>0</v>
      </c>
      <c r="M43" s="47">
        <f t="shared" si="6"/>
        <v>0</v>
      </c>
      <c r="N43" s="47">
        <f t="shared" si="6"/>
        <v>0</v>
      </c>
      <c r="O43" s="47">
        <f t="shared" si="6"/>
        <v>0</v>
      </c>
      <c r="P43" s="47">
        <f t="shared" si="6"/>
        <v>72856876231.12999</v>
      </c>
      <c r="Q43" s="47">
        <f>SUM(Q44:Q62)</f>
        <v>364798236</v>
      </c>
      <c r="R43" s="47">
        <f>SUM(R44:R62)</f>
        <v>3446514878</v>
      </c>
      <c r="S43" s="47">
        <f>SUM(S44:S62)</f>
        <v>3529187836</v>
      </c>
      <c r="T43" s="47">
        <f aca="true" t="shared" si="7" ref="T43:AC43">SUM(T44:T62)</f>
        <v>4387154252.4</v>
      </c>
      <c r="U43" s="84">
        <f t="shared" si="7"/>
        <v>6208421236.91</v>
      </c>
      <c r="V43" s="47">
        <f t="shared" si="7"/>
        <v>20021319037.4</v>
      </c>
      <c r="W43" s="47">
        <f t="shared" si="7"/>
        <v>7467002902.8</v>
      </c>
      <c r="X43" s="47">
        <f t="shared" si="7"/>
        <v>5779153041</v>
      </c>
      <c r="Y43" s="47">
        <f t="shared" si="7"/>
        <v>0</v>
      </c>
      <c r="Z43" s="47">
        <f t="shared" si="7"/>
        <v>0</v>
      </c>
      <c r="AA43" s="47">
        <f t="shared" si="7"/>
        <v>0</v>
      </c>
      <c r="AB43" s="47">
        <f t="shared" si="7"/>
        <v>0</v>
      </c>
      <c r="AC43" s="47">
        <f t="shared" si="7"/>
        <v>51203551420.51</v>
      </c>
      <c r="AD43" s="47">
        <f>SUM(AD44:AD62)</f>
        <v>99798236</v>
      </c>
      <c r="AE43" s="47">
        <f>SUM(AE44:AE62)</f>
        <v>3461340470</v>
      </c>
      <c r="AF43" s="47">
        <f>SUM(AF44:AF62)</f>
        <v>3726506118</v>
      </c>
      <c r="AG43" s="47">
        <f aca="true" t="shared" si="8" ref="AG43:AP43">SUM(AG44:AG62)</f>
        <v>4298118987.4</v>
      </c>
      <c r="AH43" s="84">
        <f t="shared" si="8"/>
        <v>6246005394.91</v>
      </c>
      <c r="AI43" s="47">
        <f t="shared" si="8"/>
        <v>20051466089.4</v>
      </c>
      <c r="AJ43" s="47">
        <f t="shared" si="8"/>
        <v>7190328016.8</v>
      </c>
      <c r="AK43" s="47">
        <f t="shared" si="8"/>
        <v>6067550632</v>
      </c>
      <c r="AL43" s="47">
        <f t="shared" si="8"/>
        <v>0</v>
      </c>
      <c r="AM43" s="47">
        <f t="shared" si="8"/>
        <v>0</v>
      </c>
      <c r="AN43" s="47">
        <f t="shared" si="8"/>
        <v>0</v>
      </c>
      <c r="AO43" s="47">
        <f t="shared" si="8"/>
        <v>0</v>
      </c>
      <c r="AP43" s="37">
        <f t="shared" si="8"/>
        <v>51141113944.51</v>
      </c>
      <c r="AR43" s="122"/>
    </row>
    <row r="44" spans="1:44" s="10" customFormat="1" ht="13.5" thickBot="1">
      <c r="A44" s="82" t="s">
        <v>120</v>
      </c>
      <c r="B44" s="13" t="s">
        <v>121</v>
      </c>
      <c r="C44" s="44">
        <f>352906240+690000000</f>
        <v>1042906240</v>
      </c>
      <c r="D44" s="44">
        <v>28463922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76000000</v>
      </c>
      <c r="L44" s="44"/>
      <c r="M44" s="44"/>
      <c r="N44" s="44"/>
      <c r="O44" s="107"/>
      <c r="P44" s="71">
        <f aca="true" t="shared" si="9" ref="P44:P56">SUM(D44:O44)</f>
        <v>104463922</v>
      </c>
      <c r="Q44" s="44">
        <v>0</v>
      </c>
      <c r="R44" s="44">
        <v>1581329</v>
      </c>
      <c r="S44" s="44">
        <v>2371994</v>
      </c>
      <c r="T44" s="44">
        <v>2371993</v>
      </c>
      <c r="U44" s="44">
        <v>2371994</v>
      </c>
      <c r="V44" s="44">
        <v>2371994</v>
      </c>
      <c r="W44" s="44">
        <v>2371993</v>
      </c>
      <c r="X44" s="44">
        <v>2371993</v>
      </c>
      <c r="Y44" s="44"/>
      <c r="Z44" s="44"/>
      <c r="AA44" s="44"/>
      <c r="AB44" s="107"/>
      <c r="AC44" s="71">
        <f>SUM(Q44:AB44)</f>
        <v>15813290</v>
      </c>
      <c r="AD44" s="44">
        <v>0</v>
      </c>
      <c r="AE44" s="44">
        <v>1581329</v>
      </c>
      <c r="AF44" s="120">
        <v>2371994</v>
      </c>
      <c r="AG44" s="44">
        <v>2371993</v>
      </c>
      <c r="AH44" s="44">
        <v>2371994</v>
      </c>
      <c r="AI44" s="44">
        <v>2371994</v>
      </c>
      <c r="AJ44" s="44">
        <v>2371993</v>
      </c>
      <c r="AK44" s="44">
        <v>2371993</v>
      </c>
      <c r="AL44" s="44"/>
      <c r="AM44" s="44"/>
      <c r="AN44" s="44"/>
      <c r="AO44" s="107"/>
      <c r="AP44" s="72">
        <f>SUM(AD44:AO44)</f>
        <v>15813290</v>
      </c>
      <c r="AR44" s="122"/>
    </row>
    <row r="45" spans="1:44" s="10" customFormat="1" ht="12.75">
      <c r="A45" s="82" t="s">
        <v>122</v>
      </c>
      <c r="B45" s="13" t="s">
        <v>80</v>
      </c>
      <c r="C45" s="44">
        <v>5867728688</v>
      </c>
      <c r="D45" s="44">
        <v>1595283678</v>
      </c>
      <c r="E45" s="44">
        <v>165754662</v>
      </c>
      <c r="F45" s="44">
        <v>233916537</v>
      </c>
      <c r="G45" s="44">
        <v>249709981</v>
      </c>
      <c r="H45" s="44">
        <v>113535219</v>
      </c>
      <c r="I45" s="44">
        <v>138140336</v>
      </c>
      <c r="J45" s="44">
        <v>370530994</v>
      </c>
      <c r="K45" s="44">
        <v>205849919.6</v>
      </c>
      <c r="L45" s="44"/>
      <c r="M45" s="44"/>
      <c r="N45" s="44"/>
      <c r="O45" s="107"/>
      <c r="P45" s="71">
        <f>SUM(D45:O45)</f>
        <v>3072721326.6</v>
      </c>
      <c r="Q45" s="44">
        <v>0</v>
      </c>
      <c r="R45" s="44">
        <v>347224439</v>
      </c>
      <c r="S45" s="44">
        <v>166194292</v>
      </c>
      <c r="T45" s="44">
        <v>237984346</v>
      </c>
      <c r="U45" s="44">
        <v>209504505</v>
      </c>
      <c r="V45" s="44">
        <v>217875473</v>
      </c>
      <c r="W45" s="44">
        <v>313828321</v>
      </c>
      <c r="X45" s="44">
        <v>139306370</v>
      </c>
      <c r="Y45" s="44"/>
      <c r="Z45" s="44"/>
      <c r="AA45" s="44"/>
      <c r="AB45" s="107"/>
      <c r="AC45" s="71">
        <f>SUM(Q45:AB45)</f>
        <v>1631917746</v>
      </c>
      <c r="AD45" s="44">
        <v>0</v>
      </c>
      <c r="AE45" s="44">
        <v>331450452</v>
      </c>
      <c r="AF45" s="120">
        <v>180200279</v>
      </c>
      <c r="AG45" s="44">
        <v>179248057</v>
      </c>
      <c r="AH45" s="44">
        <v>261290504</v>
      </c>
      <c r="AI45" s="44">
        <v>226593763</v>
      </c>
      <c r="AJ45" s="44">
        <v>288271727</v>
      </c>
      <c r="AK45" s="44">
        <v>162564667</v>
      </c>
      <c r="AL45" s="44"/>
      <c r="AM45" s="44"/>
      <c r="AN45" s="44"/>
      <c r="AO45" s="107"/>
      <c r="AP45" s="72">
        <f>SUM(AD45:AO45)</f>
        <v>1629619449</v>
      </c>
      <c r="AR45" s="122"/>
    </row>
    <row r="46" spans="1:44" s="10" customFormat="1" ht="12.75">
      <c r="A46" s="82" t="s">
        <v>109</v>
      </c>
      <c r="B46" s="13" t="s">
        <v>81</v>
      </c>
      <c r="C46" s="102">
        <v>7044048856</v>
      </c>
      <c r="D46" s="102">
        <v>1009634034</v>
      </c>
      <c r="E46" s="102">
        <v>1374510562</v>
      </c>
      <c r="F46" s="102">
        <v>193654986</v>
      </c>
      <c r="G46" s="102">
        <v>320822058</v>
      </c>
      <c r="H46" s="102">
        <v>457381844</v>
      </c>
      <c r="I46" s="102">
        <v>300912190</v>
      </c>
      <c r="J46" s="102">
        <v>286331716</v>
      </c>
      <c r="K46" s="102">
        <v>1549939600</v>
      </c>
      <c r="L46" s="102"/>
      <c r="M46" s="102"/>
      <c r="N46" s="102"/>
      <c r="O46" s="109"/>
      <c r="P46" s="106">
        <f t="shared" si="9"/>
        <v>5493186990</v>
      </c>
      <c r="Q46" s="102">
        <v>45062952</v>
      </c>
      <c r="R46" s="102">
        <v>522620279</v>
      </c>
      <c r="S46" s="102">
        <v>480989250</v>
      </c>
      <c r="T46" s="102">
        <v>485422202</v>
      </c>
      <c r="U46" s="102">
        <v>547172952</v>
      </c>
      <c r="V46" s="102">
        <v>530807037</v>
      </c>
      <c r="W46" s="102">
        <v>290391655</v>
      </c>
      <c r="X46" s="102">
        <v>317665480</v>
      </c>
      <c r="Y46" s="102"/>
      <c r="Z46" s="102"/>
      <c r="AA46" s="102"/>
      <c r="AB46" s="109"/>
      <c r="AC46" s="106">
        <f aca="true" t="shared" si="10" ref="AC46:AC56">SUM(Q46:AB46)</f>
        <v>3220131807</v>
      </c>
      <c r="AD46" s="102">
        <v>16735819</v>
      </c>
      <c r="AE46" s="102">
        <v>531996068</v>
      </c>
      <c r="AF46" s="120">
        <v>499940594</v>
      </c>
      <c r="AG46" s="102">
        <v>485422202</v>
      </c>
      <c r="AH46" s="102">
        <v>547172952</v>
      </c>
      <c r="AI46" s="102">
        <v>479386437</v>
      </c>
      <c r="AJ46" s="102">
        <v>317812255</v>
      </c>
      <c r="AK46" s="102">
        <v>341665480</v>
      </c>
      <c r="AL46" s="102"/>
      <c r="AM46" s="102"/>
      <c r="AN46" s="102"/>
      <c r="AO46" s="109"/>
      <c r="AP46" s="110">
        <f aca="true" t="shared" si="11" ref="AP46:AP56">SUM(AD46:AO46)</f>
        <v>3220131807</v>
      </c>
      <c r="AR46" s="122"/>
    </row>
    <row r="47" spans="1:44" s="10" customFormat="1" ht="12.75">
      <c r="A47" s="82" t="s">
        <v>123</v>
      </c>
      <c r="B47" s="13" t="s">
        <v>82</v>
      </c>
      <c r="C47" s="102">
        <f>7172573770+950000000</f>
        <v>8122573770</v>
      </c>
      <c r="D47" s="102">
        <v>837960760</v>
      </c>
      <c r="E47" s="102">
        <v>844918103</v>
      </c>
      <c r="F47" s="102">
        <v>595823168</v>
      </c>
      <c r="G47" s="102">
        <v>1025855526</v>
      </c>
      <c r="H47" s="102">
        <v>1495922904</v>
      </c>
      <c r="I47" s="102">
        <v>202089087</v>
      </c>
      <c r="J47" s="102">
        <v>264342318</v>
      </c>
      <c r="K47" s="102">
        <v>53013210</v>
      </c>
      <c r="L47" s="102"/>
      <c r="M47" s="102"/>
      <c r="N47" s="102"/>
      <c r="O47" s="109"/>
      <c r="P47" s="106">
        <f>SUM(D47:O47)</f>
        <v>5319925076</v>
      </c>
      <c r="Q47" s="102">
        <v>0</v>
      </c>
      <c r="R47" s="102">
        <v>223348976</v>
      </c>
      <c r="S47" s="102">
        <v>321123812</v>
      </c>
      <c r="T47" s="102">
        <v>494416905</v>
      </c>
      <c r="U47" s="102">
        <v>488093225</v>
      </c>
      <c r="V47" s="102">
        <v>663750760</v>
      </c>
      <c r="W47" s="102">
        <v>711608144</v>
      </c>
      <c r="X47" s="102">
        <v>704404480</v>
      </c>
      <c r="Y47" s="102"/>
      <c r="Z47" s="102"/>
      <c r="AA47" s="102"/>
      <c r="AB47" s="109"/>
      <c r="AC47" s="106">
        <f t="shared" si="10"/>
        <v>3606746302</v>
      </c>
      <c r="AD47" s="102">
        <v>0</v>
      </c>
      <c r="AE47" s="102">
        <v>194146741</v>
      </c>
      <c r="AF47" s="120">
        <v>338519653</v>
      </c>
      <c r="AG47" s="102">
        <v>490617959</v>
      </c>
      <c r="AH47" s="102">
        <v>503698565</v>
      </c>
      <c r="AI47" s="102">
        <v>662359196</v>
      </c>
      <c r="AJ47" s="102">
        <v>675003708</v>
      </c>
      <c r="AK47" s="102">
        <v>739904480</v>
      </c>
      <c r="AL47" s="102"/>
      <c r="AM47" s="102"/>
      <c r="AN47" s="102"/>
      <c r="AO47" s="109"/>
      <c r="AP47" s="110">
        <f t="shared" si="11"/>
        <v>3604250302</v>
      </c>
      <c r="AR47" s="122"/>
    </row>
    <row r="48" spans="1:44" s="10" customFormat="1" ht="12.75">
      <c r="A48" s="82" t="s">
        <v>124</v>
      </c>
      <c r="B48" s="13" t="s">
        <v>87</v>
      </c>
      <c r="C48" s="102">
        <f>2446653458+2300000000</f>
        <v>4746653458</v>
      </c>
      <c r="D48" s="102">
        <v>280672364</v>
      </c>
      <c r="E48" s="102">
        <v>801460097</v>
      </c>
      <c r="F48" s="102">
        <v>119162681</v>
      </c>
      <c r="G48" s="102">
        <v>306920205</v>
      </c>
      <c r="H48" s="102">
        <v>35705940</v>
      </c>
      <c r="I48" s="102">
        <v>243900165</v>
      </c>
      <c r="J48" s="102">
        <v>106641030</v>
      </c>
      <c r="K48" s="102">
        <v>140233302</v>
      </c>
      <c r="L48" s="102"/>
      <c r="M48" s="102"/>
      <c r="N48" s="102"/>
      <c r="O48" s="109"/>
      <c r="P48" s="106">
        <f t="shared" si="9"/>
        <v>2034695784</v>
      </c>
      <c r="Q48" s="102">
        <v>406000</v>
      </c>
      <c r="R48" s="102">
        <v>180192631</v>
      </c>
      <c r="S48" s="102">
        <v>156083241</v>
      </c>
      <c r="T48" s="102">
        <v>186998801</v>
      </c>
      <c r="U48" s="102">
        <v>215254472</v>
      </c>
      <c r="V48" s="102">
        <v>214331149</v>
      </c>
      <c r="W48" s="102">
        <v>271979936</v>
      </c>
      <c r="X48" s="102">
        <v>272924314</v>
      </c>
      <c r="Y48" s="102"/>
      <c r="Z48" s="102"/>
      <c r="AA48" s="102"/>
      <c r="AB48" s="109"/>
      <c r="AC48" s="106">
        <f t="shared" si="10"/>
        <v>1498170544</v>
      </c>
      <c r="AD48" s="102">
        <v>406000</v>
      </c>
      <c r="AE48" s="102">
        <v>174792631</v>
      </c>
      <c r="AF48" s="120">
        <v>159070029</v>
      </c>
      <c r="AG48" s="102">
        <v>189412013</v>
      </c>
      <c r="AH48" s="102">
        <v>215254472</v>
      </c>
      <c r="AI48" s="102">
        <v>214281149</v>
      </c>
      <c r="AJ48" s="102">
        <v>263029936</v>
      </c>
      <c r="AK48" s="102">
        <v>281924314</v>
      </c>
      <c r="AL48" s="102"/>
      <c r="AM48" s="102"/>
      <c r="AN48" s="102"/>
      <c r="AO48" s="109"/>
      <c r="AP48" s="110">
        <f t="shared" si="11"/>
        <v>1498170544</v>
      </c>
      <c r="AR48" s="121"/>
    </row>
    <row r="49" spans="1:42" s="10" customFormat="1" ht="12.75">
      <c r="A49" s="82" t="s">
        <v>125</v>
      </c>
      <c r="B49" s="13" t="s">
        <v>88</v>
      </c>
      <c r="C49" s="102">
        <v>4517334820</v>
      </c>
      <c r="D49" s="102">
        <v>1103013568</v>
      </c>
      <c r="E49" s="102">
        <v>54066501</v>
      </c>
      <c r="F49" s="102">
        <v>1467145324</v>
      </c>
      <c r="G49" s="102">
        <v>1136599404</v>
      </c>
      <c r="H49" s="102">
        <v>4225319</v>
      </c>
      <c r="I49" s="102">
        <v>19197463</v>
      </c>
      <c r="J49" s="102">
        <v>349823915</v>
      </c>
      <c r="K49" s="102">
        <v>5918096</v>
      </c>
      <c r="L49" s="102"/>
      <c r="M49" s="102"/>
      <c r="N49" s="102"/>
      <c r="O49" s="109"/>
      <c r="P49" s="106">
        <f t="shared" si="9"/>
        <v>4139989590</v>
      </c>
      <c r="Q49" s="102">
        <v>184000</v>
      </c>
      <c r="R49" s="102">
        <v>441317201</v>
      </c>
      <c r="S49" s="102">
        <v>283586496</v>
      </c>
      <c r="T49" s="102">
        <v>375696571.4</v>
      </c>
      <c r="U49" s="102">
        <v>389724909</v>
      </c>
      <c r="V49" s="102">
        <v>375947864.4</v>
      </c>
      <c r="W49" s="102">
        <v>378501035</v>
      </c>
      <c r="X49" s="102">
        <v>414844366.4</v>
      </c>
      <c r="Y49" s="102"/>
      <c r="Z49" s="102"/>
      <c r="AA49" s="102"/>
      <c r="AB49" s="109"/>
      <c r="AC49" s="106">
        <f t="shared" si="10"/>
        <v>2659802443.2000003</v>
      </c>
      <c r="AD49" s="102">
        <v>184000</v>
      </c>
      <c r="AE49" s="102">
        <v>439517201</v>
      </c>
      <c r="AF49" s="120">
        <v>285386496</v>
      </c>
      <c r="AG49" s="102">
        <v>375696571.4</v>
      </c>
      <c r="AH49" s="102">
        <v>389724909</v>
      </c>
      <c r="AI49" s="102">
        <v>375947864.4</v>
      </c>
      <c r="AJ49" s="102">
        <v>375501035</v>
      </c>
      <c r="AK49" s="102">
        <v>417844366.4</v>
      </c>
      <c r="AL49" s="102"/>
      <c r="AM49" s="102"/>
      <c r="AN49" s="102"/>
      <c r="AO49" s="109"/>
      <c r="AP49" s="110">
        <f t="shared" si="11"/>
        <v>2659802443.2000003</v>
      </c>
    </row>
    <row r="50" spans="1:42" s="10" customFormat="1" ht="13.5" thickBot="1">
      <c r="A50" s="82" t="s">
        <v>126</v>
      </c>
      <c r="B50" s="13" t="s">
        <v>89</v>
      </c>
      <c r="C50" s="102">
        <v>16724886299</v>
      </c>
      <c r="D50" s="102">
        <v>2595763812</v>
      </c>
      <c r="E50" s="102">
        <v>903794396.57</v>
      </c>
      <c r="F50" s="102">
        <v>3386695272</v>
      </c>
      <c r="G50" s="102">
        <v>4672794590.36</v>
      </c>
      <c r="H50" s="102">
        <v>369404031</v>
      </c>
      <c r="I50" s="102">
        <v>326043604</v>
      </c>
      <c r="J50" s="102">
        <v>875965964.6</v>
      </c>
      <c r="K50" s="102">
        <v>325393911.6</v>
      </c>
      <c r="L50" s="102"/>
      <c r="M50" s="102"/>
      <c r="N50" s="102"/>
      <c r="O50" s="109"/>
      <c r="P50" s="106">
        <f t="shared" si="9"/>
        <v>13455855582.130001</v>
      </c>
      <c r="Q50" s="102">
        <v>76192638</v>
      </c>
      <c r="R50" s="102">
        <v>930597145</v>
      </c>
      <c r="S50" s="102">
        <v>958595302</v>
      </c>
      <c r="T50" s="102">
        <v>1133181861</v>
      </c>
      <c r="U50" s="102">
        <v>1395780430.91</v>
      </c>
      <c r="V50" s="102">
        <v>1432063867</v>
      </c>
      <c r="W50" s="102">
        <v>1469538103.6</v>
      </c>
      <c r="X50" s="102">
        <v>1325120071.6</v>
      </c>
      <c r="Y50" s="102"/>
      <c r="Z50" s="102"/>
      <c r="AA50" s="102"/>
      <c r="AB50" s="109"/>
      <c r="AC50" s="106">
        <f t="shared" si="10"/>
        <v>8721069419.11</v>
      </c>
      <c r="AD50" s="102">
        <v>76192638</v>
      </c>
      <c r="AE50" s="102">
        <v>894297145</v>
      </c>
      <c r="AF50" s="120">
        <v>987697635</v>
      </c>
      <c r="AG50" s="102">
        <v>1140379528</v>
      </c>
      <c r="AH50" s="102">
        <v>1393075430.91</v>
      </c>
      <c r="AI50" s="102">
        <v>1434768867</v>
      </c>
      <c r="AJ50" s="102">
        <v>1403628103.6</v>
      </c>
      <c r="AK50" s="102">
        <v>1391030071.6</v>
      </c>
      <c r="AL50" s="102"/>
      <c r="AM50" s="102"/>
      <c r="AN50" s="102"/>
      <c r="AO50" s="109"/>
      <c r="AP50" s="110">
        <f t="shared" si="11"/>
        <v>8721069419.11</v>
      </c>
    </row>
    <row r="51" spans="1:44" s="10" customFormat="1" ht="13.5" thickBot="1">
      <c r="A51" s="82" t="s">
        <v>127</v>
      </c>
      <c r="B51" s="13" t="s">
        <v>90</v>
      </c>
      <c r="C51" s="102">
        <v>350800141</v>
      </c>
      <c r="D51" s="102">
        <v>0</v>
      </c>
      <c r="E51" s="102">
        <v>14000000</v>
      </c>
      <c r="F51" s="102">
        <v>292328</v>
      </c>
      <c r="G51" s="102">
        <v>0</v>
      </c>
      <c r="H51" s="102">
        <v>2250000</v>
      </c>
      <c r="I51" s="102">
        <v>4860000</v>
      </c>
      <c r="J51" s="102">
        <v>59925608</v>
      </c>
      <c r="K51" s="102">
        <v>106475761</v>
      </c>
      <c r="L51" s="102"/>
      <c r="M51" s="102"/>
      <c r="N51" s="102"/>
      <c r="O51" s="109"/>
      <c r="P51" s="106">
        <f t="shared" si="9"/>
        <v>187803697</v>
      </c>
      <c r="Q51" s="102">
        <v>0</v>
      </c>
      <c r="R51" s="102">
        <v>4200000</v>
      </c>
      <c r="S51" s="102">
        <v>292328</v>
      </c>
      <c r="T51" s="102">
        <v>0</v>
      </c>
      <c r="U51" s="102">
        <v>0</v>
      </c>
      <c r="V51" s="102">
        <v>550000</v>
      </c>
      <c r="W51" s="102">
        <v>10282207</v>
      </c>
      <c r="X51" s="102">
        <v>8945021</v>
      </c>
      <c r="Y51" s="102"/>
      <c r="Z51" s="102"/>
      <c r="AA51" s="102"/>
      <c r="AB51" s="109"/>
      <c r="AC51" s="106">
        <f t="shared" si="10"/>
        <v>24269556</v>
      </c>
      <c r="AD51" s="102">
        <v>0</v>
      </c>
      <c r="AE51" s="102">
        <v>0</v>
      </c>
      <c r="AF51" s="120">
        <v>4492328</v>
      </c>
      <c r="AG51" s="102">
        <v>0</v>
      </c>
      <c r="AH51" s="102">
        <v>0</v>
      </c>
      <c r="AI51" s="102">
        <v>550000</v>
      </c>
      <c r="AJ51" s="102">
        <v>3282207</v>
      </c>
      <c r="AK51" s="102">
        <v>15945021</v>
      </c>
      <c r="AL51" s="102"/>
      <c r="AM51" s="102"/>
      <c r="AN51" s="102"/>
      <c r="AO51" s="109"/>
      <c r="AP51" s="110">
        <f t="shared" si="11"/>
        <v>24269556</v>
      </c>
      <c r="AR51" s="47"/>
    </row>
    <row r="52" spans="1:44" s="10" customFormat="1" ht="12.75">
      <c r="A52" s="82" t="s">
        <v>128</v>
      </c>
      <c r="B52" s="13" t="s">
        <v>110</v>
      </c>
      <c r="C52" s="102">
        <v>713652561</v>
      </c>
      <c r="D52" s="102">
        <v>321147040</v>
      </c>
      <c r="E52" s="102">
        <v>124320163</v>
      </c>
      <c r="F52" s="102">
        <v>29271130</v>
      </c>
      <c r="G52" s="102">
        <v>75223436</v>
      </c>
      <c r="H52" s="102">
        <v>58242191</v>
      </c>
      <c r="I52" s="102">
        <v>16078678</v>
      </c>
      <c r="J52" s="102">
        <v>10297522</v>
      </c>
      <c r="K52" s="102">
        <v>29309951</v>
      </c>
      <c r="L52" s="102"/>
      <c r="M52" s="102"/>
      <c r="N52" s="102"/>
      <c r="O52" s="109"/>
      <c r="P52" s="106">
        <f t="shared" si="9"/>
        <v>663890111</v>
      </c>
      <c r="Q52" s="102">
        <v>0</v>
      </c>
      <c r="R52" s="102">
        <v>31531626</v>
      </c>
      <c r="S52" s="102">
        <v>39546135</v>
      </c>
      <c r="T52" s="102">
        <v>52034360</v>
      </c>
      <c r="U52" s="102">
        <v>66742666</v>
      </c>
      <c r="V52" s="102">
        <v>68539030</v>
      </c>
      <c r="W52" s="102">
        <v>101554573</v>
      </c>
      <c r="X52" s="102">
        <v>53766096</v>
      </c>
      <c r="Y52" s="102"/>
      <c r="Z52" s="102"/>
      <c r="AA52" s="102"/>
      <c r="AB52" s="109"/>
      <c r="AC52" s="106">
        <f t="shared" si="10"/>
        <v>413714486</v>
      </c>
      <c r="AD52" s="102">
        <v>0</v>
      </c>
      <c r="AE52" s="102">
        <v>15418620</v>
      </c>
      <c r="AF52" s="120">
        <v>48304862</v>
      </c>
      <c r="AG52" s="102">
        <v>56421555</v>
      </c>
      <c r="AH52" s="102">
        <v>69709750</v>
      </c>
      <c r="AI52" s="102">
        <v>68539030</v>
      </c>
      <c r="AJ52" s="102">
        <v>75054573</v>
      </c>
      <c r="AK52" s="102">
        <v>80266096</v>
      </c>
      <c r="AL52" s="102"/>
      <c r="AM52" s="102"/>
      <c r="AN52" s="102"/>
      <c r="AO52" s="109"/>
      <c r="AP52" s="110">
        <f t="shared" si="11"/>
        <v>413714486</v>
      </c>
      <c r="AR52" s="11" t="s">
        <v>103</v>
      </c>
    </row>
    <row r="53" spans="1:42" s="10" customFormat="1" ht="12.75">
      <c r="A53" s="82" t="s">
        <v>129</v>
      </c>
      <c r="B53" s="13" t="s">
        <v>91</v>
      </c>
      <c r="C53" s="102">
        <v>1602409118</v>
      </c>
      <c r="D53" s="102">
        <v>5692784</v>
      </c>
      <c r="E53" s="102">
        <v>48220000</v>
      </c>
      <c r="F53" s="102">
        <v>6880404</v>
      </c>
      <c r="G53" s="102">
        <v>0</v>
      </c>
      <c r="H53" s="102">
        <v>54652800</v>
      </c>
      <c r="I53" s="102">
        <v>54212563</v>
      </c>
      <c r="J53" s="102">
        <v>564439732</v>
      </c>
      <c r="K53" s="102">
        <v>806444239</v>
      </c>
      <c r="L53" s="102"/>
      <c r="M53" s="102"/>
      <c r="N53" s="102"/>
      <c r="O53" s="109"/>
      <c r="P53" s="106">
        <f t="shared" si="9"/>
        <v>1540542522</v>
      </c>
      <c r="Q53" s="102">
        <v>0</v>
      </c>
      <c r="R53" s="102">
        <v>3316266</v>
      </c>
      <c r="S53" s="102">
        <v>4114399</v>
      </c>
      <c r="T53" s="102">
        <v>10994803</v>
      </c>
      <c r="U53" s="102">
        <v>4114399</v>
      </c>
      <c r="V53" s="102">
        <v>4114399</v>
      </c>
      <c r="W53" s="102">
        <v>44826725</v>
      </c>
      <c r="X53" s="102">
        <v>406506553</v>
      </c>
      <c r="Y53" s="102"/>
      <c r="Z53" s="102"/>
      <c r="AA53" s="102"/>
      <c r="AB53" s="109"/>
      <c r="AC53" s="106">
        <f t="shared" si="10"/>
        <v>477987544</v>
      </c>
      <c r="AD53" s="102">
        <v>0</v>
      </c>
      <c r="AE53" s="102">
        <v>316266</v>
      </c>
      <c r="AF53" s="120">
        <v>7114399</v>
      </c>
      <c r="AG53" s="102">
        <v>10994803</v>
      </c>
      <c r="AH53" s="102">
        <v>4114399</v>
      </c>
      <c r="AI53" s="102">
        <v>4114399</v>
      </c>
      <c r="AJ53" s="102">
        <v>39826725</v>
      </c>
      <c r="AK53" s="102">
        <v>411506553</v>
      </c>
      <c r="AL53" s="102"/>
      <c r="AM53" s="102"/>
      <c r="AN53" s="102"/>
      <c r="AO53" s="109"/>
      <c r="AP53" s="110">
        <f t="shared" si="11"/>
        <v>477987544</v>
      </c>
    </row>
    <row r="54" spans="1:42" s="10" customFormat="1" ht="12.75">
      <c r="A54" s="82" t="s">
        <v>130</v>
      </c>
      <c r="B54" s="13" t="s">
        <v>132</v>
      </c>
      <c r="C54" s="102">
        <v>735257716</v>
      </c>
      <c r="D54" s="102">
        <v>298690035</v>
      </c>
      <c r="E54" s="102">
        <v>49132120</v>
      </c>
      <c r="F54" s="102">
        <v>101732209</v>
      </c>
      <c r="G54" s="102">
        <v>123563254</v>
      </c>
      <c r="H54" s="102">
        <v>22932427</v>
      </c>
      <c r="I54" s="102">
        <v>16777414</v>
      </c>
      <c r="J54" s="102">
        <v>1215579</v>
      </c>
      <c r="K54" s="102">
        <v>27293</v>
      </c>
      <c r="L54" s="102"/>
      <c r="M54" s="102"/>
      <c r="N54" s="102"/>
      <c r="O54" s="109"/>
      <c r="P54" s="106">
        <f t="shared" si="9"/>
        <v>614070331</v>
      </c>
      <c r="Q54" s="102">
        <v>0</v>
      </c>
      <c r="R54" s="102">
        <v>33687334</v>
      </c>
      <c r="S54" s="102">
        <v>39712726</v>
      </c>
      <c r="T54" s="102">
        <v>57976150</v>
      </c>
      <c r="U54" s="102">
        <v>69071902</v>
      </c>
      <c r="V54" s="102">
        <v>45713206</v>
      </c>
      <c r="W54" s="102">
        <v>62010169</v>
      </c>
      <c r="X54" s="102">
        <v>77800616</v>
      </c>
      <c r="Y54" s="102"/>
      <c r="Z54" s="102"/>
      <c r="AA54" s="102"/>
      <c r="AB54" s="109"/>
      <c r="AC54" s="106">
        <f t="shared" si="10"/>
        <v>385972103</v>
      </c>
      <c r="AD54" s="102">
        <v>0</v>
      </c>
      <c r="AE54" s="102">
        <v>11675699</v>
      </c>
      <c r="AF54" s="120">
        <v>61724361</v>
      </c>
      <c r="AG54" s="102">
        <v>57976150</v>
      </c>
      <c r="AH54" s="102">
        <v>49388904</v>
      </c>
      <c r="AI54" s="102">
        <v>65396204</v>
      </c>
      <c r="AJ54" s="102">
        <v>49510169</v>
      </c>
      <c r="AK54" s="102">
        <v>90300616</v>
      </c>
      <c r="AL54" s="102"/>
      <c r="AM54" s="102"/>
      <c r="AN54" s="102"/>
      <c r="AO54" s="109"/>
      <c r="AP54" s="110">
        <f t="shared" si="11"/>
        <v>385972103</v>
      </c>
    </row>
    <row r="55" spans="1:42" s="10" customFormat="1" ht="12.75">
      <c r="A55" s="82" t="s">
        <v>131</v>
      </c>
      <c r="B55" s="13" t="s">
        <v>133</v>
      </c>
      <c r="C55" s="102">
        <v>1376803293</v>
      </c>
      <c r="D55" s="102">
        <v>240390127</v>
      </c>
      <c r="E55" s="102">
        <v>264382665</v>
      </c>
      <c r="F55" s="102">
        <v>96129886</v>
      </c>
      <c r="G55" s="102">
        <v>202399061</v>
      </c>
      <c r="H55" s="102">
        <v>46076501</v>
      </c>
      <c r="I55" s="102">
        <v>19007929</v>
      </c>
      <c r="J55" s="102">
        <v>149024119</v>
      </c>
      <c r="K55" s="102">
        <v>30578109</v>
      </c>
      <c r="L55" s="102"/>
      <c r="M55" s="102"/>
      <c r="N55" s="102"/>
      <c r="O55" s="109"/>
      <c r="P55" s="106">
        <f t="shared" si="9"/>
        <v>1047988397</v>
      </c>
      <c r="Q55" s="102">
        <v>0</v>
      </c>
      <c r="R55" s="102">
        <v>23321853</v>
      </c>
      <c r="S55" s="102">
        <v>36693377</v>
      </c>
      <c r="T55" s="102">
        <v>54396690</v>
      </c>
      <c r="U55" s="102">
        <v>68660361</v>
      </c>
      <c r="V55" s="102">
        <v>64339661</v>
      </c>
      <c r="W55" s="102">
        <v>92978386</v>
      </c>
      <c r="X55" s="102">
        <v>95041870</v>
      </c>
      <c r="Y55" s="102"/>
      <c r="Z55" s="102"/>
      <c r="AA55" s="102"/>
      <c r="AB55" s="109"/>
      <c r="AC55" s="106">
        <f t="shared" si="10"/>
        <v>435432198</v>
      </c>
      <c r="AD55" s="102">
        <v>0</v>
      </c>
      <c r="AE55" s="102">
        <v>7109556</v>
      </c>
      <c r="AF55" s="120">
        <v>52905674</v>
      </c>
      <c r="AG55" s="102">
        <v>52098393</v>
      </c>
      <c r="AH55" s="102">
        <v>70958658</v>
      </c>
      <c r="AI55" s="102">
        <v>64339661</v>
      </c>
      <c r="AJ55" s="102">
        <v>77329052</v>
      </c>
      <c r="AK55" s="102">
        <v>108392907</v>
      </c>
      <c r="AL55" s="102"/>
      <c r="AM55" s="102"/>
      <c r="AN55" s="102"/>
      <c r="AO55" s="109"/>
      <c r="AP55" s="110">
        <f t="shared" si="11"/>
        <v>433133901</v>
      </c>
    </row>
    <row r="56" spans="1:42" s="10" customFormat="1" ht="12.75">
      <c r="A56" s="82" t="s">
        <v>134</v>
      </c>
      <c r="B56" s="13" t="s">
        <v>135</v>
      </c>
      <c r="C56" s="102">
        <v>5121735692</v>
      </c>
      <c r="D56" s="102">
        <v>95152801</v>
      </c>
      <c r="E56" s="102">
        <v>3564124</v>
      </c>
      <c r="F56" s="102">
        <v>477622198</v>
      </c>
      <c r="G56" s="102">
        <v>399970640</v>
      </c>
      <c r="H56" s="102">
        <v>1048857255</v>
      </c>
      <c r="I56" s="112">
        <v>387943967.2</v>
      </c>
      <c r="J56" s="102">
        <v>6299074</v>
      </c>
      <c r="K56" s="102">
        <v>3212992</v>
      </c>
      <c r="L56" s="102"/>
      <c r="M56" s="102"/>
      <c r="N56" s="102"/>
      <c r="O56" s="109"/>
      <c r="P56" s="106">
        <f t="shared" si="9"/>
        <v>2422623051.2</v>
      </c>
      <c r="Q56" s="102">
        <v>0</v>
      </c>
      <c r="R56" s="102">
        <v>13256396</v>
      </c>
      <c r="S56" s="102">
        <v>19590743</v>
      </c>
      <c r="T56" s="102">
        <v>65288470</v>
      </c>
      <c r="U56" s="102">
        <v>160767240</v>
      </c>
      <c r="V56" s="102">
        <v>728940373</v>
      </c>
      <c r="W56" s="102">
        <v>945505050.2</v>
      </c>
      <c r="X56" s="102">
        <v>228212611</v>
      </c>
      <c r="Y56" s="102"/>
      <c r="Z56" s="102"/>
      <c r="AA56" s="102"/>
      <c r="AB56" s="109"/>
      <c r="AC56" s="106">
        <f t="shared" si="10"/>
        <v>2161560883.2</v>
      </c>
      <c r="AD56" s="102">
        <v>0</v>
      </c>
      <c r="AE56" s="102">
        <v>11756396</v>
      </c>
      <c r="AF56" s="120">
        <v>21090743</v>
      </c>
      <c r="AG56" s="102">
        <v>52654500</v>
      </c>
      <c r="AH56" s="102">
        <v>146350850</v>
      </c>
      <c r="AI56" s="102">
        <v>739828357</v>
      </c>
      <c r="AJ56" s="102">
        <v>959167426.2</v>
      </c>
      <c r="AK56" s="102">
        <v>228007571</v>
      </c>
      <c r="AL56" s="102"/>
      <c r="AM56" s="102"/>
      <c r="AN56" s="102"/>
      <c r="AO56" s="109"/>
      <c r="AP56" s="110">
        <f t="shared" si="11"/>
        <v>2158855843.2</v>
      </c>
    </row>
    <row r="57" spans="1:42" s="10" customFormat="1" ht="12.75">
      <c r="A57" s="82" t="s">
        <v>136</v>
      </c>
      <c r="B57" s="13" t="s">
        <v>137</v>
      </c>
      <c r="C57" s="49">
        <v>2174524752</v>
      </c>
      <c r="D57" s="109">
        <v>722789490</v>
      </c>
      <c r="E57" s="109">
        <v>395668326</v>
      </c>
      <c r="F57" s="102">
        <v>357742201</v>
      </c>
      <c r="G57" s="109">
        <v>85058221</v>
      </c>
      <c r="H57" s="109">
        <v>18901676</v>
      </c>
      <c r="I57" s="109">
        <v>59331131</v>
      </c>
      <c r="J57" s="109">
        <v>71056940</v>
      </c>
      <c r="K57" s="109">
        <v>91532460</v>
      </c>
      <c r="L57" s="109"/>
      <c r="M57" s="109"/>
      <c r="N57" s="109"/>
      <c r="O57" s="109"/>
      <c r="P57" s="45">
        <f aca="true" t="shared" si="12" ref="P57:P62">SUM(D57:O57)</f>
        <v>1802080445</v>
      </c>
      <c r="Q57" s="102">
        <v>237300867</v>
      </c>
      <c r="R57" s="102">
        <v>117868567</v>
      </c>
      <c r="S57" s="102">
        <v>96874871</v>
      </c>
      <c r="T57" s="102">
        <v>103535092</v>
      </c>
      <c r="U57" s="102">
        <v>145178614</v>
      </c>
      <c r="V57" s="102">
        <v>136055746</v>
      </c>
      <c r="W57" s="102">
        <v>175976029</v>
      </c>
      <c r="X57" s="102">
        <v>135166877</v>
      </c>
      <c r="Y57" s="102"/>
      <c r="Z57" s="102"/>
      <c r="AA57" s="102"/>
      <c r="AB57" s="109"/>
      <c r="AC57" s="45">
        <f aca="true" t="shared" si="13" ref="AC57:AC62">SUM(Q57:AB57)</f>
        <v>1147956663</v>
      </c>
      <c r="AD57" s="102">
        <v>628000</v>
      </c>
      <c r="AE57" s="102">
        <v>329341434</v>
      </c>
      <c r="AF57" s="120">
        <v>121720132</v>
      </c>
      <c r="AG57" s="102">
        <v>103889831</v>
      </c>
      <c r="AH57" s="102">
        <v>139978614</v>
      </c>
      <c r="AI57" s="102">
        <v>141255746</v>
      </c>
      <c r="AJ57" s="102">
        <v>132804399</v>
      </c>
      <c r="AK57" s="102">
        <v>178338507</v>
      </c>
      <c r="AL57" s="102"/>
      <c r="AM57" s="102"/>
      <c r="AN57" s="102"/>
      <c r="AO57" s="102"/>
      <c r="AP57" s="108">
        <f aca="true" t="shared" si="14" ref="AP57:AP62">SUM(AD57:AO57)</f>
        <v>1147956663</v>
      </c>
    </row>
    <row r="58" spans="1:42" s="10" customFormat="1" ht="12.75">
      <c r="A58" s="82" t="s">
        <v>138</v>
      </c>
      <c r="B58" s="13" t="s">
        <v>111</v>
      </c>
      <c r="C58" s="102">
        <v>2204810186</v>
      </c>
      <c r="D58" s="109">
        <v>780387890</v>
      </c>
      <c r="E58" s="109">
        <v>344671772</v>
      </c>
      <c r="F58" s="102">
        <v>231587755</v>
      </c>
      <c r="G58" s="109">
        <v>481995028</v>
      </c>
      <c r="H58" s="109">
        <v>26128223</v>
      </c>
      <c r="I58" s="109">
        <v>13790400</v>
      </c>
      <c r="J58" s="109">
        <v>11188492</v>
      </c>
      <c r="K58" s="109">
        <v>59570233.2</v>
      </c>
      <c r="L58" s="109"/>
      <c r="M58" s="109"/>
      <c r="N58" s="109"/>
      <c r="O58" s="109"/>
      <c r="P58" s="45">
        <f t="shared" si="12"/>
        <v>1949319793.2</v>
      </c>
      <c r="Q58" s="102">
        <v>0</v>
      </c>
      <c r="R58" s="102">
        <v>148794520</v>
      </c>
      <c r="S58" s="102">
        <v>189196713</v>
      </c>
      <c r="T58" s="102">
        <v>198928791</v>
      </c>
      <c r="U58" s="102">
        <v>165869154</v>
      </c>
      <c r="V58" s="102">
        <v>142744096</v>
      </c>
      <c r="W58" s="102">
        <v>175536412</v>
      </c>
      <c r="X58" s="102">
        <v>165297145</v>
      </c>
      <c r="Y58" s="102"/>
      <c r="Z58" s="102"/>
      <c r="AA58" s="102"/>
      <c r="AB58" s="109"/>
      <c r="AC58" s="45">
        <f t="shared" si="13"/>
        <v>1186366831</v>
      </c>
      <c r="AD58" s="102">
        <v>0</v>
      </c>
      <c r="AE58" s="102">
        <v>144594520</v>
      </c>
      <c r="AF58" s="120">
        <v>191356713</v>
      </c>
      <c r="AG58" s="102">
        <v>193335160</v>
      </c>
      <c r="AH58" s="102">
        <v>171381185</v>
      </c>
      <c r="AI58" s="102">
        <v>144865696</v>
      </c>
      <c r="AJ58" s="102">
        <v>164293212</v>
      </c>
      <c r="AK58" s="102">
        <v>168009225</v>
      </c>
      <c r="AL58" s="102"/>
      <c r="AM58" s="102"/>
      <c r="AN58" s="102"/>
      <c r="AO58" s="102"/>
      <c r="AP58" s="108">
        <f t="shared" si="14"/>
        <v>1177835711</v>
      </c>
    </row>
    <row r="59" spans="1:42" s="10" customFormat="1" ht="12.75">
      <c r="A59" s="82" t="s">
        <v>139</v>
      </c>
      <c r="B59" s="13" t="s">
        <v>140</v>
      </c>
      <c r="C59" s="102">
        <f>50000000000-3000000000</f>
        <v>47000000000</v>
      </c>
      <c r="D59" s="109">
        <v>13775462184</v>
      </c>
      <c r="E59" s="109">
        <v>1871217380</v>
      </c>
      <c r="F59" s="102">
        <v>184652048</v>
      </c>
      <c r="G59" s="109">
        <v>78169285</v>
      </c>
      <c r="H59" s="109">
        <v>625213187</v>
      </c>
      <c r="I59" s="109">
        <v>4120924602</v>
      </c>
      <c r="J59" s="109">
        <v>1319079175</v>
      </c>
      <c r="K59" s="109">
        <v>331637657</v>
      </c>
      <c r="L59" s="109"/>
      <c r="M59" s="109"/>
      <c r="N59" s="109"/>
      <c r="O59" s="109"/>
      <c r="P59" s="45">
        <f t="shared" si="12"/>
        <v>22306355518</v>
      </c>
      <c r="Q59" s="102">
        <v>0</v>
      </c>
      <c r="R59" s="102">
        <v>88290675</v>
      </c>
      <c r="S59" s="102">
        <v>428887969</v>
      </c>
      <c r="T59" s="102">
        <v>500919164</v>
      </c>
      <c r="U59" s="102">
        <v>558991424</v>
      </c>
      <c r="V59" s="102">
        <v>14253672196</v>
      </c>
      <c r="W59" s="102">
        <v>1682301041</v>
      </c>
      <c r="X59" s="102">
        <v>945448268</v>
      </c>
      <c r="Y59" s="102"/>
      <c r="Z59" s="102"/>
      <c r="AA59" s="102"/>
      <c r="AB59" s="109"/>
      <c r="AC59" s="45">
        <f t="shared" si="13"/>
        <v>18458510737</v>
      </c>
      <c r="AD59" s="102">
        <v>0</v>
      </c>
      <c r="AE59" s="102">
        <v>46993783</v>
      </c>
      <c r="AF59" s="120">
        <v>453313486</v>
      </c>
      <c r="AG59" s="102">
        <v>484466560</v>
      </c>
      <c r="AH59" s="102">
        <v>556562738</v>
      </c>
      <c r="AI59" s="102">
        <v>14284289220</v>
      </c>
      <c r="AJ59" s="102">
        <v>1639035973</v>
      </c>
      <c r="AK59" s="102">
        <v>949740255</v>
      </c>
      <c r="AL59" s="102"/>
      <c r="AM59" s="102"/>
      <c r="AN59" s="102"/>
      <c r="AO59" s="102"/>
      <c r="AP59" s="108">
        <f t="shared" si="14"/>
        <v>18414402015</v>
      </c>
    </row>
    <row r="60" spans="1:42" s="10" customFormat="1" ht="12.75">
      <c r="A60" s="82" t="s">
        <v>141</v>
      </c>
      <c r="B60" s="13" t="s">
        <v>142</v>
      </c>
      <c r="C60" s="102">
        <f>968865414+3000000000</f>
        <v>3968865414</v>
      </c>
      <c r="D60" s="109">
        <v>796657094</v>
      </c>
      <c r="E60" s="109">
        <v>30251514</v>
      </c>
      <c r="F60" s="102">
        <v>597232050</v>
      </c>
      <c r="G60" s="109">
        <v>1642564624</v>
      </c>
      <c r="H60" s="109">
        <v>72655663</v>
      </c>
      <c r="I60" s="109">
        <v>204728116</v>
      </c>
      <c r="J60" s="109">
        <v>21947371</v>
      </c>
      <c r="K60" s="109">
        <v>47086090</v>
      </c>
      <c r="L60" s="109"/>
      <c r="M60" s="109"/>
      <c r="N60" s="109"/>
      <c r="O60" s="109"/>
      <c r="P60" s="45">
        <f>SUM(D60:O60)</f>
        <v>3413122522</v>
      </c>
      <c r="Q60" s="102">
        <v>5651779</v>
      </c>
      <c r="R60" s="102">
        <v>288938949</v>
      </c>
      <c r="S60" s="102">
        <v>260864821</v>
      </c>
      <c r="T60" s="102">
        <v>301570786</v>
      </c>
      <c r="U60" s="102">
        <v>314688064</v>
      </c>
      <c r="V60" s="102">
        <v>295085192</v>
      </c>
      <c r="W60" s="102">
        <v>461145516</v>
      </c>
      <c r="X60" s="102">
        <v>308630428</v>
      </c>
      <c r="Y60" s="102"/>
      <c r="Z60" s="102"/>
      <c r="AA60" s="102"/>
      <c r="AB60" s="109"/>
      <c r="AC60" s="45">
        <f>SUM(Q60:AB60)</f>
        <v>2236575535</v>
      </c>
      <c r="AD60" s="102">
        <v>5651779</v>
      </c>
      <c r="AE60" s="102">
        <v>288938949</v>
      </c>
      <c r="AF60" s="120">
        <v>260864821</v>
      </c>
      <c r="AG60" s="102">
        <v>297489309</v>
      </c>
      <c r="AH60" s="102">
        <v>318769541</v>
      </c>
      <c r="AI60" s="102">
        <v>295085192</v>
      </c>
      <c r="AJ60" s="102">
        <v>458737916</v>
      </c>
      <c r="AK60" s="102">
        <v>311038028</v>
      </c>
      <c r="AL60" s="102"/>
      <c r="AM60" s="102"/>
      <c r="AN60" s="102"/>
      <c r="AO60" s="102"/>
      <c r="AP60" s="108">
        <f>SUM(AD60:AO60)</f>
        <v>2236575535</v>
      </c>
    </row>
    <row r="61" spans="1:42" s="10" customFormat="1" ht="12.75">
      <c r="A61" s="82" t="s">
        <v>143</v>
      </c>
      <c r="B61" s="13" t="s">
        <v>144</v>
      </c>
      <c r="C61" s="102">
        <v>1500000000</v>
      </c>
      <c r="D61" s="109">
        <v>222580349</v>
      </c>
      <c r="E61" s="109">
        <v>139541297</v>
      </c>
      <c r="F61" s="102">
        <v>462131937</v>
      </c>
      <c r="G61" s="109">
        <v>265554458</v>
      </c>
      <c r="H61" s="109">
        <v>21237032</v>
      </c>
      <c r="I61" s="109">
        <v>0</v>
      </c>
      <c r="J61" s="109">
        <v>-788936</v>
      </c>
      <c r="K61" s="109">
        <v>14306201</v>
      </c>
      <c r="L61" s="109"/>
      <c r="M61" s="109"/>
      <c r="N61" s="109"/>
      <c r="O61" s="109"/>
      <c r="P61" s="45">
        <f>SUM(D61:O61)</f>
        <v>1124562338</v>
      </c>
      <c r="Q61" s="102">
        <v>0</v>
      </c>
      <c r="R61" s="102">
        <v>22256215</v>
      </c>
      <c r="S61" s="102">
        <v>33149988</v>
      </c>
      <c r="T61" s="102">
        <v>48054669</v>
      </c>
      <c r="U61" s="102">
        <v>165938316</v>
      </c>
      <c r="V61" s="102">
        <v>175109022</v>
      </c>
      <c r="W61" s="102">
        <v>181440080</v>
      </c>
      <c r="X61" s="102">
        <v>156871948</v>
      </c>
      <c r="Y61" s="102"/>
      <c r="Z61" s="102"/>
      <c r="AA61" s="102"/>
      <c r="AB61" s="109"/>
      <c r="AC61" s="45">
        <f>SUM(Q61:AB61)</f>
        <v>782820238</v>
      </c>
      <c r="AD61" s="102">
        <v>0</v>
      </c>
      <c r="AE61" s="102">
        <v>17743203</v>
      </c>
      <c r="AF61" s="120">
        <v>35249988</v>
      </c>
      <c r="AG61" s="102">
        <v>47624357</v>
      </c>
      <c r="AH61" s="102">
        <v>166368628</v>
      </c>
      <c r="AI61" s="102">
        <v>177522034</v>
      </c>
      <c r="AJ61" s="102">
        <v>177940080</v>
      </c>
      <c r="AK61" s="102">
        <v>160371948</v>
      </c>
      <c r="AL61" s="102"/>
      <c r="AM61" s="102"/>
      <c r="AN61" s="102"/>
      <c r="AO61" s="102"/>
      <c r="AP61" s="108">
        <f>SUM(AD61:AO61)</f>
        <v>782820238</v>
      </c>
    </row>
    <row r="62" spans="1:42" s="10" customFormat="1" ht="13.5" thickBot="1">
      <c r="A62" s="82" t="s">
        <v>186</v>
      </c>
      <c r="B62" s="13" t="s">
        <v>145</v>
      </c>
      <c r="C62" s="102">
        <v>2306269048</v>
      </c>
      <c r="D62" s="109">
        <v>0</v>
      </c>
      <c r="E62" s="109">
        <v>77471622</v>
      </c>
      <c r="F62" s="102">
        <v>379414710</v>
      </c>
      <c r="G62" s="109">
        <v>1671828409</v>
      </c>
      <c r="H62" s="109">
        <v>16786307</v>
      </c>
      <c r="I62" s="109">
        <v>11215687</v>
      </c>
      <c r="J62" s="109">
        <v>-37500</v>
      </c>
      <c r="K62" s="109">
        <v>7000000</v>
      </c>
      <c r="L62" s="109"/>
      <c r="M62" s="109"/>
      <c r="N62" s="109"/>
      <c r="O62" s="109"/>
      <c r="P62" s="45">
        <f t="shared" si="12"/>
        <v>2163679235</v>
      </c>
      <c r="Q62" s="102">
        <v>0</v>
      </c>
      <c r="R62" s="102">
        <v>24170477</v>
      </c>
      <c r="S62" s="102">
        <v>11319379</v>
      </c>
      <c r="T62" s="102">
        <v>77382598</v>
      </c>
      <c r="U62" s="102">
        <v>1240496609</v>
      </c>
      <c r="V62" s="102">
        <v>669307972</v>
      </c>
      <c r="W62" s="102">
        <v>95227527</v>
      </c>
      <c r="X62" s="102">
        <v>20828533</v>
      </c>
      <c r="Y62" s="102"/>
      <c r="Z62" s="102"/>
      <c r="AA62" s="102"/>
      <c r="AB62" s="109"/>
      <c r="AC62" s="45">
        <f t="shared" si="13"/>
        <v>2138733095</v>
      </c>
      <c r="AD62" s="102">
        <v>0</v>
      </c>
      <c r="AE62" s="102">
        <v>19670477</v>
      </c>
      <c r="AF62" s="120">
        <v>15181931</v>
      </c>
      <c r="AG62" s="102">
        <v>78020046</v>
      </c>
      <c r="AH62" s="102">
        <v>1239833301</v>
      </c>
      <c r="AI62" s="102">
        <v>669971280</v>
      </c>
      <c r="AJ62" s="102">
        <v>87727527</v>
      </c>
      <c r="AK62" s="102">
        <v>28328533</v>
      </c>
      <c r="AL62" s="102"/>
      <c r="AM62" s="102"/>
      <c r="AN62" s="102"/>
      <c r="AO62" s="102"/>
      <c r="AP62" s="108">
        <f t="shared" si="14"/>
        <v>2138733095</v>
      </c>
    </row>
    <row r="63" spans="1:42" s="11" customFormat="1" ht="13.5" thickBot="1">
      <c r="A63" s="147"/>
      <c r="B63" s="148"/>
      <c r="C63" s="47">
        <f>SUM(C13+C24+C38+C43)</f>
        <v>167255372141</v>
      </c>
      <c r="D63" s="47">
        <f>SUM(D13+D24+D38+D43)</f>
        <v>29150160241.88</v>
      </c>
      <c r="E63" s="47">
        <f>SUM(E13+E24+E38+E43)</f>
        <v>10802086086.76</v>
      </c>
      <c r="F63" s="47">
        <f>SUM(F13+F24+F38+F43)</f>
        <v>12184374022.11</v>
      </c>
      <c r="G63" s="47">
        <f>SUM(G13+G24+G38+G43)</f>
        <v>15523798388.710001</v>
      </c>
      <c r="H63" s="47">
        <f>SUM(H13+H24+H38+H43)</f>
        <v>7507149376.93</v>
      </c>
      <c r="I63" s="47">
        <f>SUM(I13+I24+I38+I43)</f>
        <v>9395943185.36</v>
      </c>
      <c r="J63" s="47">
        <f>SUM(J13+J24+J38+J43)</f>
        <v>7465500858.59</v>
      </c>
      <c r="K63" s="47">
        <f>SUM(K13+K24+K38+K43)</f>
        <v>7041496291.429999</v>
      </c>
      <c r="L63" s="47">
        <f>SUM(L13+L24+L38+L43)</f>
        <v>0</v>
      </c>
      <c r="M63" s="47">
        <f>SUM(M13+M24+M38+M43)</f>
        <v>0</v>
      </c>
      <c r="N63" s="47">
        <f>SUM(N13+N24+N38+N43)</f>
        <v>0</v>
      </c>
      <c r="O63" s="47">
        <f>SUM(O13+O24+O38+O43)</f>
        <v>0</v>
      </c>
      <c r="P63" s="47">
        <f>SUM(P13+P24+P38+P43)</f>
        <v>99070508451.76999</v>
      </c>
      <c r="Q63" s="47">
        <f>SUM(Q13+Q24+Q38+Q43)</f>
        <v>2730021649.88</v>
      </c>
      <c r="R63" s="47">
        <f>SUM(R13+R24+R38+R43)</f>
        <v>6689799451.190001</v>
      </c>
      <c r="S63" s="47">
        <f>SUM(S13+S24+S38+S43)</f>
        <v>6796214627.110001</v>
      </c>
      <c r="T63" s="47">
        <f>SUM(T13+T24+T38+T43)</f>
        <v>7288121932.75</v>
      </c>
      <c r="U63" s="47">
        <f>SUM(U13+U24+U38+U43)</f>
        <v>9503906873.84</v>
      </c>
      <c r="V63" s="47">
        <f>SUM(V13+V24+V38+V43)</f>
        <v>23295402265.660004</v>
      </c>
      <c r="W63" s="47">
        <f>SUM(W13+W24+W38+W43)</f>
        <v>10804580069.69</v>
      </c>
      <c r="X63" s="47">
        <f>SUM(X13+X24+X38+X43)</f>
        <v>8904933261.029999</v>
      </c>
      <c r="Y63" s="47">
        <f>SUM(Y13+Y24+Y38+Y43)</f>
        <v>0</v>
      </c>
      <c r="Z63" s="47">
        <f>SUM(Z13+Z24+Z38+Z43)</f>
        <v>0</v>
      </c>
      <c r="AA63" s="47">
        <f>SUM(AA13+AA24+AA38+AA43)</f>
        <v>0</v>
      </c>
      <c r="AB63" s="47">
        <f>SUM(AB13+AB24+AB38+AB43)</f>
        <v>0</v>
      </c>
      <c r="AC63" s="47">
        <f>SUM(AC13+AC24+AC38+AC43)</f>
        <v>76012980131.15</v>
      </c>
      <c r="AD63" s="47">
        <f>SUM(AD13+AD24+AD38+AD43)</f>
        <v>2201939800.88</v>
      </c>
      <c r="AE63" s="47">
        <f>SUM(AE13+AE24+AE38+AE43)</f>
        <v>6961395602.190001</v>
      </c>
      <c r="AF63" s="47">
        <f>SUM(AF13+AF24+AF38+AF43)</f>
        <v>6998688050.110001</v>
      </c>
      <c r="AG63" s="47">
        <f>SUM(AG13+AG24+AG38+AG43)</f>
        <v>7199621136.75</v>
      </c>
      <c r="AH63" s="47">
        <f>SUM(AH13+AH24+AH38+AH43)</f>
        <v>9542112711.84</v>
      </c>
      <c r="AI63" s="47">
        <f>SUM(AI13+AI24+AI38+AI43)</f>
        <v>23293840075.660004</v>
      </c>
      <c r="AJ63" s="47">
        <f>SUM(AJ13+AJ24+AJ38+AJ43)</f>
        <v>10423766183.69</v>
      </c>
      <c r="AK63" s="47">
        <f>SUM(AK13+AK24+AK38+AK43)</f>
        <v>9329179094.029999</v>
      </c>
      <c r="AL63" s="47">
        <f>SUM(AL13+AL24+AL38+AL43)</f>
        <v>0</v>
      </c>
      <c r="AM63" s="47">
        <f>SUM(AM13+AM24+AM38+AM43)</f>
        <v>0</v>
      </c>
      <c r="AN63" s="47">
        <f>SUM(AN13+AN24+AN38+AN43)</f>
        <v>0</v>
      </c>
      <c r="AO63" s="47">
        <f>SUM(AO13+AO24+AO38+AO43)</f>
        <v>0</v>
      </c>
      <c r="AP63" s="37">
        <f>SUM(AP13+AP24+AP38+AP43)</f>
        <v>75950542655.15</v>
      </c>
    </row>
    <row r="64" spans="1:42" ht="12.75">
      <c r="A64" s="69" t="s">
        <v>104</v>
      </c>
      <c r="B64" s="7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78"/>
    </row>
    <row r="65" spans="1:42" ht="12.75">
      <c r="A65" s="125">
        <f ca="1">TODAY()</f>
        <v>41533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116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79"/>
    </row>
    <row r="66" spans="1:42" ht="9.75" customHeight="1" thickBot="1">
      <c r="A66" s="70"/>
      <c r="B66" s="80"/>
      <c r="C66" s="2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59"/>
      <c r="AL66" s="59"/>
      <c r="AM66" s="59"/>
      <c r="AN66" s="59"/>
      <c r="AO66" s="59"/>
      <c r="AP66" s="79"/>
    </row>
    <row r="67" spans="1:42" ht="12.75" customHeight="1">
      <c r="A67" s="70"/>
      <c r="B67" s="98" t="s">
        <v>187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59"/>
      <c r="AM67" s="59"/>
      <c r="AN67" s="59"/>
      <c r="AO67" s="59"/>
      <c r="AP67" s="79"/>
    </row>
    <row r="68" spans="1:42" ht="0.75" customHeight="1" thickBot="1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7"/>
    </row>
    <row r="69" spans="1:42" ht="0.75" customHeight="1">
      <c r="A69" s="9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0.75" customHeight="1">
      <c r="A70" s="9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95.25" customHeight="1">
      <c r="A71" s="145" t="s">
        <v>192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</row>
    <row r="72" spans="1:42" ht="12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</row>
    <row r="73" spans="1:42" ht="10.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</row>
    <row r="77" ht="12.75">
      <c r="C77" s="10"/>
    </row>
    <row r="78" ht="13.5" thickBot="1"/>
    <row r="79" ht="13.5" thickBot="1">
      <c r="H79" s="36"/>
    </row>
    <row r="80" ht="12.75">
      <c r="H80" s="36"/>
    </row>
    <row r="81" ht="12.75">
      <c r="H81" s="10"/>
    </row>
  </sheetData>
  <sheetProtection/>
  <mergeCells count="9">
    <mergeCell ref="A5:AP5"/>
    <mergeCell ref="A4:AP4"/>
    <mergeCell ref="A1:AP1"/>
    <mergeCell ref="A2:AP2"/>
    <mergeCell ref="A3:AP3"/>
    <mergeCell ref="A71:AP71"/>
    <mergeCell ref="X67:AK67"/>
    <mergeCell ref="X66:AJ66"/>
    <mergeCell ref="A63:B63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75" r:id="rId1"/>
  <headerFooter alignWithMargins="0">
    <oddHeader>&amp;C
</oddHeader>
    <oddFooter>&amp;CHACIENDA2013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zoomScale="80" zoomScaleNormal="80" zoomScalePageLayoutView="0" workbookViewId="0" topLeftCell="A13">
      <pane xSplit="1" topLeftCell="B1" activePane="topRight" state="frozen"/>
      <selection pane="topLeft" activeCell="A1" sqref="A1"/>
      <selection pane="topRight" activeCell="AD13" sqref="AD1:AD1638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21.28125" style="1" bestFit="1" customWidth="1"/>
    <col min="4" max="10" width="17.57421875" style="1" hidden="1" customWidth="1"/>
    <col min="11" max="11" width="17.57421875" style="1" customWidth="1"/>
    <col min="12" max="15" width="17.57421875" style="1" hidden="1" customWidth="1"/>
    <col min="16" max="16" width="21.8515625" style="1" customWidth="1"/>
    <col min="17" max="23" width="21.8515625" style="1" hidden="1" customWidth="1"/>
    <col min="24" max="24" width="21.8515625" style="1" customWidth="1"/>
    <col min="25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3.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8"/>
    </row>
    <row r="2" spans="1:29" s="22" customFormat="1" ht="13.5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1"/>
    </row>
    <row r="3" spans="1:29" s="22" customFormat="1" ht="13.5">
      <c r="A3" s="129" t="s">
        <v>34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</row>
    <row r="4" spans="1:29" s="22" customFormat="1" ht="13.5">
      <c r="A4" s="129" t="s">
        <v>36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/>
    </row>
    <row r="5" spans="1:29" s="22" customFormat="1" ht="13.5">
      <c r="A5" s="129" t="s">
        <v>38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1"/>
    </row>
    <row r="6" spans="1:29" s="22" customFormat="1" ht="13.5">
      <c r="A6" s="24"/>
      <c r="B6" s="25"/>
      <c r="C6" s="25"/>
      <c r="D6" s="25" t="s">
        <v>103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3.5">
      <c r="A7" s="155" t="s">
        <v>2</v>
      </c>
      <c r="B7" s="156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190</v>
      </c>
    </row>
    <row r="8" spans="1:29" s="22" customFormat="1" ht="15" customHeight="1" thickBot="1">
      <c r="A8" s="155" t="s">
        <v>3</v>
      </c>
      <c r="B8" s="156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2013</v>
      </c>
    </row>
    <row r="9" spans="1:29" s="22" customFormat="1" ht="14.2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3.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3.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4.2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SUM(C15+C17)</f>
        <v>590145336.2</v>
      </c>
      <c r="D14" s="36">
        <f t="shared" si="0"/>
        <v>146088846</v>
      </c>
      <c r="E14" s="36">
        <f t="shared" si="0"/>
        <v>306834930</v>
      </c>
      <c r="F14" s="36">
        <f t="shared" si="0"/>
        <v>15888375</v>
      </c>
      <c r="G14" s="36">
        <f t="shared" si="0"/>
        <v>26346050.2</v>
      </c>
      <c r="H14" s="36">
        <f t="shared" si="0"/>
        <v>0</v>
      </c>
      <c r="I14" s="36">
        <f t="shared" si="0"/>
        <v>2779160</v>
      </c>
      <c r="J14" s="36">
        <f t="shared" si="0"/>
        <v>950000</v>
      </c>
      <c r="K14" s="36">
        <f t="shared" si="0"/>
        <v>8763627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507650988.2</v>
      </c>
      <c r="Q14" s="36">
        <f t="shared" si="0"/>
        <v>0</v>
      </c>
      <c r="R14" s="36">
        <f t="shared" si="0"/>
        <v>376952368</v>
      </c>
      <c r="S14" s="36">
        <f t="shared" si="0"/>
        <v>81189394</v>
      </c>
      <c r="T14" s="36">
        <f t="shared" si="0"/>
        <v>18987851</v>
      </c>
      <c r="U14" s="36">
        <f t="shared" si="0"/>
        <v>18028588.2</v>
      </c>
      <c r="V14" s="36">
        <f t="shared" si="0"/>
        <v>0</v>
      </c>
      <c r="W14" s="36">
        <f t="shared" si="0"/>
        <v>3729160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498887361.2</v>
      </c>
    </row>
    <row r="15" spans="1:29" s="14" customFormat="1" ht="13.5" thickBot="1">
      <c r="A15" s="34"/>
      <c r="B15" s="35" t="s">
        <v>42</v>
      </c>
      <c r="C15" s="47">
        <f aca="true" t="shared" si="1" ref="C15:AC17">SUM(C16:C16)</f>
        <v>408069595</v>
      </c>
      <c r="D15" s="47">
        <f t="shared" si="1"/>
        <v>141988846</v>
      </c>
      <c r="E15" s="47">
        <f t="shared" si="1"/>
        <v>248254771</v>
      </c>
      <c r="F15" s="47">
        <f t="shared" si="1"/>
        <v>10014054</v>
      </c>
      <c r="G15" s="47">
        <f t="shared" si="1"/>
        <v>2707475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402965146</v>
      </c>
      <c r="Q15" s="47">
        <f t="shared" si="1"/>
        <v>0</v>
      </c>
      <c r="R15" s="47">
        <f t="shared" si="1"/>
        <v>342917195</v>
      </c>
      <c r="S15" s="47">
        <f t="shared" si="1"/>
        <v>52544408</v>
      </c>
      <c r="T15" s="47">
        <f t="shared" si="1"/>
        <v>4796068</v>
      </c>
      <c r="U15" s="47">
        <f t="shared" si="1"/>
        <v>2707475</v>
      </c>
      <c r="V15" s="47">
        <f t="shared" si="1"/>
        <v>0</v>
      </c>
      <c r="W15" s="47">
        <f t="shared" si="1"/>
        <v>0</v>
      </c>
      <c r="X15" s="47">
        <f t="shared" si="1"/>
        <v>0</v>
      </c>
      <c r="Y15" s="47">
        <f t="shared" si="1"/>
        <v>0</v>
      </c>
      <c r="Z15" s="47">
        <f t="shared" si="1"/>
        <v>0</v>
      </c>
      <c r="AA15" s="47">
        <f t="shared" si="1"/>
        <v>0</v>
      </c>
      <c r="AB15" s="47">
        <f t="shared" si="1"/>
        <v>0</v>
      </c>
      <c r="AC15" s="47">
        <f t="shared" si="1"/>
        <v>402965146</v>
      </c>
    </row>
    <row r="16" spans="1:29" s="12" customFormat="1" ht="13.5" thickBot="1">
      <c r="A16" s="15" t="s">
        <v>83</v>
      </c>
      <c r="B16" s="40" t="s">
        <v>32</v>
      </c>
      <c r="C16" s="41">
        <v>408069595</v>
      </c>
      <c r="D16" s="41">
        <v>141988846</v>
      </c>
      <c r="E16" s="41">
        <v>248254771</v>
      </c>
      <c r="F16" s="41">
        <v>10014054</v>
      </c>
      <c r="G16" s="41">
        <v>2707475</v>
      </c>
      <c r="H16" s="41">
        <v>0</v>
      </c>
      <c r="I16" s="41">
        <v>0</v>
      </c>
      <c r="J16" s="41">
        <v>0</v>
      </c>
      <c r="K16" s="41">
        <v>0</v>
      </c>
      <c r="L16" s="41"/>
      <c r="M16" s="41"/>
      <c r="N16" s="41"/>
      <c r="O16" s="41"/>
      <c r="P16" s="50">
        <f>SUM(D16:O16)</f>
        <v>402965146</v>
      </c>
      <c r="Q16" s="41"/>
      <c r="R16" s="41">
        <v>342917195</v>
      </c>
      <c r="S16" s="41">
        <v>52544408</v>
      </c>
      <c r="T16" s="41">
        <v>4796068</v>
      </c>
      <c r="U16" s="41">
        <v>2707475</v>
      </c>
      <c r="V16" s="41">
        <v>0</v>
      </c>
      <c r="W16" s="41">
        <v>0</v>
      </c>
      <c r="X16" s="41">
        <v>0</v>
      </c>
      <c r="Y16" s="41"/>
      <c r="Z16" s="41"/>
      <c r="AA16" s="41"/>
      <c r="AB16" s="41"/>
      <c r="AC16" s="43">
        <f>SUM(Q16:AB16)</f>
        <v>402965146</v>
      </c>
    </row>
    <row r="17" spans="1:29" s="14" customFormat="1" ht="13.5" thickBot="1">
      <c r="A17" s="21"/>
      <c r="B17" s="46" t="s">
        <v>43</v>
      </c>
      <c r="C17" s="47">
        <f t="shared" si="1"/>
        <v>182075741.2</v>
      </c>
      <c r="D17" s="47">
        <f t="shared" si="1"/>
        <v>4100000</v>
      </c>
      <c r="E17" s="47">
        <f t="shared" si="1"/>
        <v>58580159</v>
      </c>
      <c r="F17" s="47">
        <f t="shared" si="1"/>
        <v>5874321</v>
      </c>
      <c r="G17" s="47">
        <f t="shared" si="1"/>
        <v>23638575.2</v>
      </c>
      <c r="H17" s="47">
        <f t="shared" si="1"/>
        <v>0</v>
      </c>
      <c r="I17" s="47">
        <f t="shared" si="1"/>
        <v>2779160</v>
      </c>
      <c r="J17" s="47">
        <f t="shared" si="1"/>
        <v>950000</v>
      </c>
      <c r="K17" s="47">
        <f t="shared" si="1"/>
        <v>8763627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7">
        <f t="shared" si="1"/>
        <v>104685842.2</v>
      </c>
      <c r="Q17" s="47">
        <f t="shared" si="1"/>
        <v>0</v>
      </c>
      <c r="R17" s="47">
        <f t="shared" si="1"/>
        <v>34035173</v>
      </c>
      <c r="S17" s="47">
        <f t="shared" si="1"/>
        <v>28644986</v>
      </c>
      <c r="T17" s="47">
        <f t="shared" si="1"/>
        <v>14191783</v>
      </c>
      <c r="U17" s="47">
        <f t="shared" si="1"/>
        <v>15321113.2</v>
      </c>
      <c r="V17" s="47">
        <f t="shared" si="1"/>
        <v>0</v>
      </c>
      <c r="W17" s="47">
        <f t="shared" si="1"/>
        <v>3729160</v>
      </c>
      <c r="X17" s="47">
        <f t="shared" si="1"/>
        <v>0</v>
      </c>
      <c r="Y17" s="47">
        <f t="shared" si="1"/>
        <v>0</v>
      </c>
      <c r="Z17" s="47">
        <f t="shared" si="1"/>
        <v>0</v>
      </c>
      <c r="AA17" s="47">
        <f t="shared" si="1"/>
        <v>0</v>
      </c>
      <c r="AB17" s="47">
        <f t="shared" si="1"/>
        <v>0</v>
      </c>
      <c r="AC17" s="37">
        <f t="shared" si="1"/>
        <v>95922215.2</v>
      </c>
    </row>
    <row r="18" spans="1:29" s="14" customFormat="1" ht="13.5" thickBot="1">
      <c r="A18" s="16" t="s">
        <v>115</v>
      </c>
      <c r="B18" s="48" t="s">
        <v>101</v>
      </c>
      <c r="C18" s="89">
        <f>182638541.2-562800</f>
        <v>182075741.2</v>
      </c>
      <c r="D18" s="85">
        <v>4100000</v>
      </c>
      <c r="E18" s="89">
        <v>58580159</v>
      </c>
      <c r="F18" s="89">
        <v>5874321</v>
      </c>
      <c r="G18" s="89">
        <v>23638575.2</v>
      </c>
      <c r="H18" s="85">
        <v>0</v>
      </c>
      <c r="I18" s="85">
        <v>2779160</v>
      </c>
      <c r="J18" s="89">
        <v>950000</v>
      </c>
      <c r="K18" s="85">
        <v>8763627</v>
      </c>
      <c r="L18" s="85"/>
      <c r="M18" s="85"/>
      <c r="N18" s="85"/>
      <c r="O18" s="85"/>
      <c r="P18" s="50">
        <f>SUM(D18:O18)</f>
        <v>104685842.2</v>
      </c>
      <c r="Q18" s="89"/>
      <c r="R18" s="89">
        <v>34035173</v>
      </c>
      <c r="S18" s="89">
        <v>28644986</v>
      </c>
      <c r="T18" s="89">
        <v>14191783</v>
      </c>
      <c r="U18" s="89">
        <v>15321113.2</v>
      </c>
      <c r="V18" s="89">
        <v>0</v>
      </c>
      <c r="W18" s="89">
        <v>3729160</v>
      </c>
      <c r="X18" s="89">
        <v>0</v>
      </c>
      <c r="Y18" s="89"/>
      <c r="Z18" s="89"/>
      <c r="AA18" s="44"/>
      <c r="AB18" s="89"/>
      <c r="AC18" s="83">
        <f>SUM(Q18:AB18)</f>
        <v>95922215.2</v>
      </c>
    </row>
    <row r="19" spans="1:29" s="14" customFormat="1" ht="13.5" hidden="1" thickBot="1">
      <c r="A19" s="21"/>
      <c r="B19" s="46" t="s">
        <v>44</v>
      </c>
      <c r="C19" s="47">
        <f aca="true" t="shared" si="2" ref="C19:AC19">SUM(C20:C22)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0</v>
      </c>
      <c r="Q19" s="47">
        <f t="shared" si="2"/>
        <v>0</v>
      </c>
      <c r="R19" s="47">
        <f t="shared" si="2"/>
        <v>0</v>
      </c>
      <c r="S19" s="47">
        <f t="shared" si="2"/>
        <v>0</v>
      </c>
      <c r="T19" s="47">
        <f t="shared" si="2"/>
        <v>0</v>
      </c>
      <c r="U19" s="47">
        <f t="shared" si="2"/>
        <v>0</v>
      </c>
      <c r="V19" s="47">
        <f t="shared" si="2"/>
        <v>0</v>
      </c>
      <c r="W19" s="47">
        <f t="shared" si="2"/>
        <v>0</v>
      </c>
      <c r="X19" s="47">
        <f t="shared" si="2"/>
        <v>0</v>
      </c>
      <c r="Y19" s="47">
        <f t="shared" si="2"/>
        <v>0</v>
      </c>
      <c r="Z19" s="47">
        <f t="shared" si="2"/>
        <v>0</v>
      </c>
      <c r="AA19" s="41">
        <v>0</v>
      </c>
      <c r="AB19" s="47">
        <f t="shared" si="2"/>
        <v>0</v>
      </c>
      <c r="AC19" s="37">
        <f t="shared" si="2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3" ref="C23:AC23">SUM(C24:C44)</f>
        <v>11325496752.96</v>
      </c>
      <c r="D23" s="47">
        <f t="shared" si="3"/>
        <v>74466647</v>
      </c>
      <c r="E23" s="47">
        <f t="shared" si="3"/>
        <v>2231638508.44</v>
      </c>
      <c r="F23" s="47">
        <f t="shared" si="3"/>
        <v>1739374666</v>
      </c>
      <c r="G23" s="47">
        <f t="shared" si="3"/>
        <v>1643279384.52</v>
      </c>
      <c r="H23" s="47">
        <f t="shared" si="3"/>
        <v>149047050.5</v>
      </c>
      <c r="I23" s="47">
        <f t="shared" si="3"/>
        <v>34120772</v>
      </c>
      <c r="J23" s="47">
        <f t="shared" si="3"/>
        <v>1386459978</v>
      </c>
      <c r="K23" s="47">
        <f t="shared" si="3"/>
        <v>473345018</v>
      </c>
      <c r="L23" s="47">
        <f t="shared" si="3"/>
        <v>0</v>
      </c>
      <c r="M23" s="47">
        <f t="shared" si="3"/>
        <v>0</v>
      </c>
      <c r="N23" s="47">
        <f t="shared" si="3"/>
        <v>0</v>
      </c>
      <c r="O23" s="47">
        <f t="shared" si="3"/>
        <v>0</v>
      </c>
      <c r="P23" s="47">
        <f t="shared" si="3"/>
        <v>7731732024.460001</v>
      </c>
      <c r="Q23" s="47">
        <f t="shared" si="3"/>
        <v>0</v>
      </c>
      <c r="R23" s="47">
        <f t="shared" si="3"/>
        <v>402025621</v>
      </c>
      <c r="S23" s="47">
        <f t="shared" si="3"/>
        <v>1994861180.44</v>
      </c>
      <c r="T23" s="47">
        <f t="shared" si="3"/>
        <v>3254710234.52</v>
      </c>
      <c r="U23" s="47">
        <f t="shared" si="3"/>
        <v>37162170</v>
      </c>
      <c r="V23" s="47">
        <f t="shared" si="3"/>
        <v>149047050.5</v>
      </c>
      <c r="W23" s="47">
        <f t="shared" si="3"/>
        <v>34120772</v>
      </c>
      <c r="X23" s="47">
        <f t="shared" si="3"/>
        <v>1386459978</v>
      </c>
      <c r="Y23" s="47">
        <f t="shared" si="3"/>
        <v>0</v>
      </c>
      <c r="Z23" s="47">
        <f t="shared" si="3"/>
        <v>0</v>
      </c>
      <c r="AA23" s="47">
        <f t="shared" si="3"/>
        <v>0</v>
      </c>
      <c r="AB23" s="47">
        <f t="shared" si="3"/>
        <v>0</v>
      </c>
      <c r="AC23" s="37">
        <f t="shared" si="3"/>
        <v>7258387006.460001</v>
      </c>
    </row>
    <row r="24" spans="1:29" s="10" customFormat="1" ht="12.75">
      <c r="A24" s="82" t="s">
        <v>146</v>
      </c>
      <c r="B24" s="13" t="s">
        <v>80</v>
      </c>
      <c r="C24" s="49">
        <f>762519604.52-5899200</f>
        <v>756620404.52</v>
      </c>
      <c r="D24" s="49">
        <v>0</v>
      </c>
      <c r="E24" s="49">
        <v>65770028</v>
      </c>
      <c r="F24" s="49">
        <v>161116677</v>
      </c>
      <c r="G24" s="49">
        <v>401639132.52</v>
      </c>
      <c r="H24" s="49">
        <v>2897197</v>
      </c>
      <c r="I24" s="49">
        <v>34120772</v>
      </c>
      <c r="J24" s="49">
        <v>27571711</v>
      </c>
      <c r="K24" s="49">
        <v>0</v>
      </c>
      <c r="L24" s="49"/>
      <c r="M24" s="49"/>
      <c r="N24" s="41"/>
      <c r="O24" s="49"/>
      <c r="P24" s="50">
        <f aca="true" t="shared" si="4" ref="P24:P43">SUM(D24:O24)</f>
        <v>693115517.52</v>
      </c>
      <c r="Q24" s="49">
        <v>0</v>
      </c>
      <c r="R24" s="50">
        <v>65770028</v>
      </c>
      <c r="S24" s="49">
        <v>3887502</v>
      </c>
      <c r="T24" s="49">
        <v>558868307.52</v>
      </c>
      <c r="U24" s="49">
        <v>0</v>
      </c>
      <c r="V24" s="49">
        <v>2897197</v>
      </c>
      <c r="W24" s="49">
        <v>34120772</v>
      </c>
      <c r="X24" s="49">
        <v>27571711</v>
      </c>
      <c r="Y24" s="49"/>
      <c r="Z24" s="49"/>
      <c r="AA24" s="41"/>
      <c r="AB24" s="49"/>
      <c r="AC24" s="43">
        <f aca="true" t="shared" si="5" ref="AC24:AC44">SUM(Q24:AB24)</f>
        <v>693115517.52</v>
      </c>
    </row>
    <row r="25" spans="1:29" s="10" customFormat="1" ht="12.75">
      <c r="A25" s="82" t="s">
        <v>147</v>
      </c>
      <c r="B25" s="13" t="s">
        <v>81</v>
      </c>
      <c r="C25" s="49">
        <v>254036275</v>
      </c>
      <c r="D25" s="49">
        <v>0</v>
      </c>
      <c r="E25" s="49">
        <v>41377385</v>
      </c>
      <c r="F25" s="49">
        <v>71490234</v>
      </c>
      <c r="G25" s="49">
        <v>21690500</v>
      </c>
      <c r="H25" s="49">
        <v>3797184</v>
      </c>
      <c r="I25" s="49">
        <v>0</v>
      </c>
      <c r="J25" s="49">
        <v>14172432</v>
      </c>
      <c r="K25" s="49">
        <v>32237386</v>
      </c>
      <c r="L25" s="49"/>
      <c r="M25" s="49"/>
      <c r="N25" s="41"/>
      <c r="O25" s="49"/>
      <c r="P25" s="50">
        <f t="shared" si="4"/>
        <v>184765121</v>
      </c>
      <c r="Q25" s="49">
        <v>0</v>
      </c>
      <c r="R25" s="49">
        <v>39878865</v>
      </c>
      <c r="S25" s="49">
        <v>21498520</v>
      </c>
      <c r="T25" s="49">
        <v>51490234</v>
      </c>
      <c r="U25" s="49">
        <v>21690500</v>
      </c>
      <c r="V25" s="49">
        <v>3797184</v>
      </c>
      <c r="W25" s="49">
        <v>0</v>
      </c>
      <c r="X25" s="49">
        <v>14172432</v>
      </c>
      <c r="Y25" s="49"/>
      <c r="Z25" s="49"/>
      <c r="AA25" s="41"/>
      <c r="AB25" s="49"/>
      <c r="AC25" s="43">
        <f t="shared" si="5"/>
        <v>152527735</v>
      </c>
    </row>
    <row r="26" spans="1:29" s="10" customFormat="1" ht="12.75">
      <c r="A26" s="82" t="s">
        <v>109</v>
      </c>
      <c r="B26" s="13" t="s">
        <v>81</v>
      </c>
      <c r="C26" s="49">
        <f>22938070-1325941</f>
        <v>21612129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/>
      <c r="M26" s="49"/>
      <c r="N26" s="49"/>
      <c r="O26" s="49"/>
      <c r="P26" s="50">
        <f t="shared" si="4"/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/>
      <c r="Z26" s="49"/>
      <c r="AA26" s="41"/>
      <c r="AB26" s="49"/>
      <c r="AC26" s="43">
        <f t="shared" si="5"/>
        <v>0</v>
      </c>
    </row>
    <row r="27" spans="1:29" s="10" customFormat="1" ht="12.75">
      <c r="A27" s="82" t="s">
        <v>123</v>
      </c>
      <c r="B27" s="13" t="s">
        <v>82</v>
      </c>
      <c r="C27" s="49">
        <v>52969067</v>
      </c>
      <c r="D27" s="49">
        <v>0</v>
      </c>
      <c r="E27" s="49">
        <v>0</v>
      </c>
      <c r="F27" s="49">
        <v>662971</v>
      </c>
      <c r="G27" s="49">
        <v>0</v>
      </c>
      <c r="H27" s="49">
        <v>1414196</v>
      </c>
      <c r="I27" s="49">
        <v>0</v>
      </c>
      <c r="J27" s="49">
        <v>0</v>
      </c>
      <c r="K27" s="49">
        <v>0</v>
      </c>
      <c r="L27" s="49"/>
      <c r="M27" s="49"/>
      <c r="N27" s="49"/>
      <c r="O27" s="49"/>
      <c r="P27" s="50">
        <f t="shared" si="4"/>
        <v>2077167</v>
      </c>
      <c r="Q27" s="49">
        <v>0</v>
      </c>
      <c r="R27" s="50">
        <v>0</v>
      </c>
      <c r="S27" s="49">
        <v>0</v>
      </c>
      <c r="T27" s="49">
        <v>662971</v>
      </c>
      <c r="U27" s="49">
        <v>0</v>
      </c>
      <c r="V27" s="49">
        <v>1414196</v>
      </c>
      <c r="W27" s="49">
        <v>0</v>
      </c>
      <c r="X27" s="49">
        <v>0</v>
      </c>
      <c r="Y27" s="49"/>
      <c r="Z27" s="49"/>
      <c r="AA27" s="41"/>
      <c r="AB27" s="49"/>
      <c r="AC27" s="43">
        <f t="shared" si="5"/>
        <v>2077167</v>
      </c>
    </row>
    <row r="28" spans="1:29" s="10" customFormat="1" ht="12.75">
      <c r="A28" s="82" t="s">
        <v>149</v>
      </c>
      <c r="B28" s="13" t="s">
        <v>87</v>
      </c>
      <c r="C28" s="49">
        <v>34778652</v>
      </c>
      <c r="D28" s="49">
        <v>0</v>
      </c>
      <c r="E28" s="49">
        <v>3814840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7963700</v>
      </c>
      <c r="L28" s="49"/>
      <c r="M28" s="49"/>
      <c r="N28" s="49"/>
      <c r="O28" s="49"/>
      <c r="P28" s="50">
        <f t="shared" si="4"/>
        <v>11778540</v>
      </c>
      <c r="Q28" s="49">
        <v>0</v>
      </c>
      <c r="R28" s="49">
        <v>0</v>
      </c>
      <c r="S28" s="49">
        <v>3814840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/>
      <c r="Z28" s="49"/>
      <c r="AA28" s="41"/>
      <c r="AB28" s="49"/>
      <c r="AC28" s="43">
        <f t="shared" si="5"/>
        <v>3814840</v>
      </c>
    </row>
    <row r="29" spans="1:29" s="10" customFormat="1" ht="12.75">
      <c r="A29" s="82" t="s">
        <v>150</v>
      </c>
      <c r="B29" s="13" t="s">
        <v>88</v>
      </c>
      <c r="C29" s="49">
        <v>13014870</v>
      </c>
      <c r="D29" s="49">
        <v>0</v>
      </c>
      <c r="E29" s="49">
        <v>6519876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/>
      <c r="M29" s="49"/>
      <c r="N29" s="49"/>
      <c r="O29" s="49"/>
      <c r="P29" s="50">
        <f t="shared" si="4"/>
        <v>6519876</v>
      </c>
      <c r="Q29" s="49">
        <v>0</v>
      </c>
      <c r="R29" s="49">
        <v>6183000</v>
      </c>
      <c r="S29" s="49">
        <v>336876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/>
      <c r="Z29" s="49"/>
      <c r="AA29" s="41"/>
      <c r="AB29" s="49"/>
      <c r="AC29" s="43">
        <f t="shared" si="5"/>
        <v>6519876</v>
      </c>
    </row>
    <row r="30" spans="1:29" s="10" customFormat="1" ht="12.75">
      <c r="A30" s="82" t="s">
        <v>151</v>
      </c>
      <c r="B30" s="13" t="s">
        <v>89</v>
      </c>
      <c r="C30" s="49">
        <v>131156884</v>
      </c>
      <c r="D30" s="49">
        <v>0</v>
      </c>
      <c r="E30" s="49">
        <v>116000</v>
      </c>
      <c r="F30" s="49">
        <v>67669852</v>
      </c>
      <c r="G30" s="49">
        <v>0</v>
      </c>
      <c r="H30" s="49">
        <v>4857444</v>
      </c>
      <c r="I30" s="49">
        <v>0</v>
      </c>
      <c r="J30" s="49">
        <v>17944160</v>
      </c>
      <c r="K30" s="49">
        <v>2380900</v>
      </c>
      <c r="L30" s="49"/>
      <c r="M30" s="49"/>
      <c r="N30" s="49"/>
      <c r="O30" s="49"/>
      <c r="P30" s="50">
        <f t="shared" si="4"/>
        <v>92968356</v>
      </c>
      <c r="Q30" s="49">
        <v>0</v>
      </c>
      <c r="R30" s="49">
        <v>0</v>
      </c>
      <c r="S30" s="49">
        <v>1740927</v>
      </c>
      <c r="T30" s="49">
        <v>66044925</v>
      </c>
      <c r="U30" s="49">
        <v>0</v>
      </c>
      <c r="V30" s="49">
        <v>4857444</v>
      </c>
      <c r="W30" s="49">
        <v>0</v>
      </c>
      <c r="X30" s="49">
        <v>17944160</v>
      </c>
      <c r="Y30" s="49"/>
      <c r="Z30" s="49"/>
      <c r="AA30" s="41"/>
      <c r="AB30" s="49"/>
      <c r="AC30" s="43">
        <f t="shared" si="5"/>
        <v>90587456</v>
      </c>
    </row>
    <row r="31" spans="1:29" s="10" customFormat="1" ht="12.75">
      <c r="A31" s="82" t="s">
        <v>152</v>
      </c>
      <c r="B31" s="13" t="s">
        <v>90</v>
      </c>
      <c r="C31" s="49">
        <v>5010943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/>
      <c r="M31" s="49"/>
      <c r="N31" s="49"/>
      <c r="O31" s="49"/>
      <c r="P31" s="50">
        <f t="shared" si="4"/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/>
      <c r="Z31" s="49"/>
      <c r="AA31" s="41"/>
      <c r="AB31" s="49"/>
      <c r="AC31" s="43">
        <f t="shared" si="5"/>
        <v>0</v>
      </c>
    </row>
    <row r="32" spans="1:29" s="10" customFormat="1" ht="12.75">
      <c r="A32" s="82" t="s">
        <v>153</v>
      </c>
      <c r="B32" s="13" t="s">
        <v>110</v>
      </c>
      <c r="C32" s="49">
        <v>143575161</v>
      </c>
      <c r="D32" s="49">
        <v>0</v>
      </c>
      <c r="E32" s="49">
        <v>77299885</v>
      </c>
      <c r="F32" s="49">
        <v>31747487</v>
      </c>
      <c r="G32" s="49">
        <v>0</v>
      </c>
      <c r="H32" s="49">
        <v>2691692</v>
      </c>
      <c r="I32" s="49">
        <v>0</v>
      </c>
      <c r="J32" s="49">
        <v>15014845</v>
      </c>
      <c r="K32" s="49">
        <v>0</v>
      </c>
      <c r="L32" s="49"/>
      <c r="M32" s="49"/>
      <c r="N32" s="49"/>
      <c r="O32" s="49"/>
      <c r="P32" s="50">
        <f t="shared" si="4"/>
        <v>126753909</v>
      </c>
      <c r="Q32" s="49">
        <v>0</v>
      </c>
      <c r="R32" s="49">
        <v>7322033</v>
      </c>
      <c r="S32" s="49">
        <v>69977852</v>
      </c>
      <c r="T32" s="49">
        <v>31747487</v>
      </c>
      <c r="U32" s="49">
        <v>0</v>
      </c>
      <c r="V32" s="49">
        <v>2691692</v>
      </c>
      <c r="W32" s="49">
        <v>0</v>
      </c>
      <c r="X32" s="49">
        <v>15014845</v>
      </c>
      <c r="Y32" s="49"/>
      <c r="Z32" s="49"/>
      <c r="AA32" s="41"/>
      <c r="AB32" s="49"/>
      <c r="AC32" s="43">
        <f t="shared" si="5"/>
        <v>126753909</v>
      </c>
    </row>
    <row r="33" spans="1:29" s="10" customFormat="1" ht="12.75">
      <c r="A33" s="82" t="s">
        <v>154</v>
      </c>
      <c r="B33" s="13" t="s">
        <v>91</v>
      </c>
      <c r="C33" s="49">
        <v>60095741</v>
      </c>
      <c r="D33" s="49">
        <v>0</v>
      </c>
      <c r="E33" s="49">
        <v>34511590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/>
      <c r="M33" s="49"/>
      <c r="N33" s="49"/>
      <c r="O33" s="49"/>
      <c r="P33" s="50">
        <f t="shared" si="4"/>
        <v>34511590</v>
      </c>
      <c r="Q33" s="49">
        <v>0</v>
      </c>
      <c r="R33" s="49">
        <v>34511590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/>
      <c r="Z33" s="49"/>
      <c r="AA33" s="41"/>
      <c r="AB33" s="49"/>
      <c r="AC33" s="43">
        <f t="shared" si="5"/>
        <v>34511590</v>
      </c>
    </row>
    <row r="34" spans="1:29" s="10" customFormat="1" ht="12.75">
      <c r="A34" s="82" t="s">
        <v>155</v>
      </c>
      <c r="B34" s="13" t="s">
        <v>92</v>
      </c>
      <c r="C34" s="49">
        <v>464079</v>
      </c>
      <c r="D34" s="49">
        <v>464079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/>
      <c r="M34" s="49"/>
      <c r="N34" s="49"/>
      <c r="O34" s="49"/>
      <c r="P34" s="50">
        <f t="shared" si="4"/>
        <v>464079</v>
      </c>
      <c r="Q34" s="49">
        <v>0</v>
      </c>
      <c r="R34" s="49">
        <v>464079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/>
      <c r="Z34" s="49"/>
      <c r="AA34" s="41"/>
      <c r="AB34" s="49"/>
      <c r="AC34" s="43">
        <f t="shared" si="5"/>
        <v>464079</v>
      </c>
    </row>
    <row r="35" spans="1:29" s="10" customFormat="1" ht="12.75">
      <c r="A35" s="82" t="s">
        <v>156</v>
      </c>
      <c r="B35" s="13" t="s">
        <v>93</v>
      </c>
      <c r="C35" s="49">
        <v>75726668</v>
      </c>
      <c r="D35" s="49">
        <v>769000</v>
      </c>
      <c r="E35" s="49">
        <v>30978148</v>
      </c>
      <c r="F35" s="49">
        <v>5271768</v>
      </c>
      <c r="G35" s="49">
        <v>4400000</v>
      </c>
      <c r="H35" s="49">
        <v>962030</v>
      </c>
      <c r="I35" s="49">
        <v>0</v>
      </c>
      <c r="J35" s="49">
        <v>11717977</v>
      </c>
      <c r="K35" s="49">
        <v>0</v>
      </c>
      <c r="L35" s="49"/>
      <c r="M35" s="49"/>
      <c r="N35" s="49"/>
      <c r="O35" s="49"/>
      <c r="P35" s="50">
        <f t="shared" si="4"/>
        <v>54098923</v>
      </c>
      <c r="Q35" s="49">
        <v>0</v>
      </c>
      <c r="R35" s="49">
        <v>25969000</v>
      </c>
      <c r="S35" s="49">
        <v>5778148</v>
      </c>
      <c r="T35" s="49">
        <v>9671768</v>
      </c>
      <c r="U35" s="49">
        <v>0</v>
      </c>
      <c r="V35" s="49">
        <v>962030</v>
      </c>
      <c r="W35" s="49">
        <v>0</v>
      </c>
      <c r="X35" s="49">
        <v>11717977</v>
      </c>
      <c r="Y35" s="49"/>
      <c r="Z35" s="49"/>
      <c r="AA35" s="41"/>
      <c r="AB35" s="49"/>
      <c r="AC35" s="43">
        <f t="shared" si="5"/>
        <v>54098923</v>
      </c>
    </row>
    <row r="36" spans="1:29" s="10" customFormat="1" ht="12.75">
      <c r="A36" s="82" t="s">
        <v>157</v>
      </c>
      <c r="B36" s="13" t="s">
        <v>158</v>
      </c>
      <c r="C36" s="49">
        <v>1745666325</v>
      </c>
      <c r="D36" s="49">
        <v>0</v>
      </c>
      <c r="E36" s="49">
        <v>15681146</v>
      </c>
      <c r="F36" s="49">
        <v>120004900</v>
      </c>
      <c r="G36" s="49">
        <v>47145874</v>
      </c>
      <c r="H36" s="49">
        <v>42087272</v>
      </c>
      <c r="I36" s="49">
        <v>0</v>
      </c>
      <c r="J36" s="49">
        <v>99797210</v>
      </c>
      <c r="K36" s="49">
        <v>208852200</v>
      </c>
      <c r="L36" s="49"/>
      <c r="M36" s="49"/>
      <c r="N36" s="49"/>
      <c r="O36" s="49"/>
      <c r="P36" s="50">
        <f t="shared" si="4"/>
        <v>533568602</v>
      </c>
      <c r="Q36" s="49">
        <v>0</v>
      </c>
      <c r="R36" s="49">
        <v>15681146</v>
      </c>
      <c r="S36" s="49">
        <v>0</v>
      </c>
      <c r="T36" s="49">
        <v>153285604</v>
      </c>
      <c r="U36" s="49">
        <v>13865170</v>
      </c>
      <c r="V36" s="49">
        <v>42087272</v>
      </c>
      <c r="W36" s="49">
        <v>0</v>
      </c>
      <c r="X36" s="49">
        <v>99797210</v>
      </c>
      <c r="Y36" s="49"/>
      <c r="Z36" s="49"/>
      <c r="AA36" s="41"/>
      <c r="AB36" s="49"/>
      <c r="AC36" s="43">
        <f t="shared" si="5"/>
        <v>324716402</v>
      </c>
    </row>
    <row r="37" spans="1:29" s="10" customFormat="1" ht="12.75">
      <c r="A37" s="82" t="s">
        <v>159</v>
      </c>
      <c r="B37" s="13" t="s">
        <v>160</v>
      </c>
      <c r="C37" s="49">
        <v>537133792</v>
      </c>
      <c r="D37" s="49">
        <v>0</v>
      </c>
      <c r="E37" s="49">
        <v>592760</v>
      </c>
      <c r="F37" s="49">
        <v>153413996</v>
      </c>
      <c r="G37" s="49">
        <v>0</v>
      </c>
      <c r="H37" s="49">
        <v>16156244</v>
      </c>
      <c r="I37" s="49">
        <v>0</v>
      </c>
      <c r="J37" s="49">
        <v>128956731</v>
      </c>
      <c r="K37" s="49">
        <v>0</v>
      </c>
      <c r="L37" s="49"/>
      <c r="M37" s="49"/>
      <c r="N37" s="49"/>
      <c r="O37" s="49"/>
      <c r="P37" s="50">
        <f t="shared" si="4"/>
        <v>299119731</v>
      </c>
      <c r="Q37" s="49">
        <v>0</v>
      </c>
      <c r="R37" s="50">
        <v>0</v>
      </c>
      <c r="S37" s="49">
        <v>592760</v>
      </c>
      <c r="T37" s="49">
        <v>153413996</v>
      </c>
      <c r="U37" s="49">
        <v>0</v>
      </c>
      <c r="V37" s="49">
        <v>16156244</v>
      </c>
      <c r="W37" s="49">
        <v>0</v>
      </c>
      <c r="X37" s="49">
        <v>128956731</v>
      </c>
      <c r="Y37" s="49"/>
      <c r="Z37" s="49"/>
      <c r="AA37" s="41"/>
      <c r="AB37" s="49"/>
      <c r="AC37" s="43">
        <f t="shared" si="5"/>
        <v>299119731</v>
      </c>
    </row>
    <row r="38" spans="1:29" s="10" customFormat="1" ht="12.75">
      <c r="A38" s="82" t="s">
        <v>161</v>
      </c>
      <c r="B38" s="13" t="s">
        <v>111</v>
      </c>
      <c r="C38" s="49">
        <v>30702618</v>
      </c>
      <c r="D38" s="49">
        <v>0</v>
      </c>
      <c r="E38" s="49">
        <v>0</v>
      </c>
      <c r="F38" s="49">
        <v>8575820</v>
      </c>
      <c r="G38" s="49">
        <v>0</v>
      </c>
      <c r="H38" s="49">
        <v>1055516</v>
      </c>
      <c r="I38" s="49">
        <v>0</v>
      </c>
      <c r="J38" s="49">
        <v>9937839</v>
      </c>
      <c r="K38" s="49">
        <v>0</v>
      </c>
      <c r="L38" s="49"/>
      <c r="M38" s="49"/>
      <c r="N38" s="49"/>
      <c r="O38" s="49"/>
      <c r="P38" s="50">
        <f t="shared" si="4"/>
        <v>19569175</v>
      </c>
      <c r="Q38" s="49">
        <v>0</v>
      </c>
      <c r="R38" s="50">
        <v>0</v>
      </c>
      <c r="S38" s="49">
        <v>0</v>
      </c>
      <c r="T38" s="49">
        <v>8575820</v>
      </c>
      <c r="U38" s="49">
        <v>0</v>
      </c>
      <c r="V38" s="49">
        <v>1055516</v>
      </c>
      <c r="W38" s="49">
        <v>0</v>
      </c>
      <c r="X38" s="49">
        <v>9937839</v>
      </c>
      <c r="Y38" s="49"/>
      <c r="Z38" s="49"/>
      <c r="AA38" s="41"/>
      <c r="AB38" s="49"/>
      <c r="AC38" s="43">
        <f t="shared" si="5"/>
        <v>19569175</v>
      </c>
    </row>
    <row r="39" spans="1:29" s="10" customFormat="1" ht="12.75">
      <c r="A39" s="82" t="s">
        <v>162</v>
      </c>
      <c r="B39" s="13" t="s">
        <v>163</v>
      </c>
      <c r="C39" s="49">
        <f>538530425-3657052-2653091-304900-1323985-280028-1736668</f>
        <v>528574701</v>
      </c>
      <c r="D39" s="49">
        <v>73233568</v>
      </c>
      <c r="E39" s="49">
        <v>197569974</v>
      </c>
      <c r="F39" s="49">
        <v>163051098</v>
      </c>
      <c r="G39" s="49">
        <v>93817324</v>
      </c>
      <c r="H39" s="49">
        <v>0</v>
      </c>
      <c r="I39" s="49">
        <v>0</v>
      </c>
      <c r="J39" s="49">
        <v>0</v>
      </c>
      <c r="K39" s="49">
        <v>0</v>
      </c>
      <c r="L39" s="49"/>
      <c r="M39" s="49"/>
      <c r="N39" s="49"/>
      <c r="O39" s="49"/>
      <c r="P39" s="50">
        <f t="shared" si="4"/>
        <v>527671964</v>
      </c>
      <c r="Q39" s="49">
        <v>0</v>
      </c>
      <c r="R39" s="49">
        <v>167471487</v>
      </c>
      <c r="S39" s="49">
        <v>168601272</v>
      </c>
      <c r="T39" s="49">
        <v>189992705</v>
      </c>
      <c r="U39" s="49">
        <v>1606500</v>
      </c>
      <c r="V39" s="49">
        <v>0</v>
      </c>
      <c r="W39" s="49">
        <v>0</v>
      </c>
      <c r="X39" s="49">
        <v>0</v>
      </c>
      <c r="Y39" s="49"/>
      <c r="Z39" s="49"/>
      <c r="AA39" s="41"/>
      <c r="AB39" s="49"/>
      <c r="AC39" s="43">
        <f t="shared" si="5"/>
        <v>527671964</v>
      </c>
    </row>
    <row r="40" spans="1:29" s="10" customFormat="1" ht="12.75">
      <c r="A40" s="82" t="s">
        <v>164</v>
      </c>
      <c r="B40" s="13" t="s">
        <v>165</v>
      </c>
      <c r="C40" s="49">
        <v>1021184928</v>
      </c>
      <c r="D40" s="49">
        <v>0</v>
      </c>
      <c r="E40" s="49">
        <v>31590393</v>
      </c>
      <c r="F40" s="49">
        <v>0</v>
      </c>
      <c r="G40" s="49">
        <v>7782600</v>
      </c>
      <c r="H40" s="49">
        <v>21843718</v>
      </c>
      <c r="I40" s="49">
        <v>0</v>
      </c>
      <c r="J40" s="49">
        <v>391216445</v>
      </c>
      <c r="K40" s="49">
        <v>0</v>
      </c>
      <c r="L40" s="49"/>
      <c r="M40" s="49"/>
      <c r="N40" s="49"/>
      <c r="O40" s="49"/>
      <c r="P40" s="50">
        <f t="shared" si="4"/>
        <v>452433156</v>
      </c>
      <c r="Q40" s="49">
        <v>0</v>
      </c>
      <c r="R40" s="50">
        <v>31590393</v>
      </c>
      <c r="S40" s="49">
        <v>0</v>
      </c>
      <c r="T40" s="49">
        <v>7782600</v>
      </c>
      <c r="U40" s="49">
        <v>0</v>
      </c>
      <c r="V40" s="49">
        <v>21843718</v>
      </c>
      <c r="W40" s="49">
        <v>0</v>
      </c>
      <c r="X40" s="49">
        <v>391216445</v>
      </c>
      <c r="Y40" s="49"/>
      <c r="Z40" s="49"/>
      <c r="AA40" s="41"/>
      <c r="AB40" s="49"/>
      <c r="AC40" s="43">
        <f t="shared" si="5"/>
        <v>452433156</v>
      </c>
    </row>
    <row r="41" spans="1:29" s="10" customFormat="1" ht="12.75">
      <c r="A41" s="82" t="s">
        <v>117</v>
      </c>
      <c r="B41" s="13" t="s">
        <v>166</v>
      </c>
      <c r="C41" s="49">
        <v>55580384</v>
      </c>
      <c r="D41" s="49">
        <v>0</v>
      </c>
      <c r="E41" s="49">
        <v>4752000</v>
      </c>
      <c r="F41" s="49">
        <v>26617162</v>
      </c>
      <c r="G41" s="49">
        <v>0</v>
      </c>
      <c r="H41" s="49">
        <v>1553838</v>
      </c>
      <c r="I41" s="49">
        <v>0</v>
      </c>
      <c r="J41" s="49">
        <v>0</v>
      </c>
      <c r="K41" s="49">
        <v>21910832</v>
      </c>
      <c r="L41" s="49"/>
      <c r="M41" s="49"/>
      <c r="N41" s="49"/>
      <c r="O41" s="49"/>
      <c r="P41" s="43">
        <f t="shared" si="4"/>
        <v>54833832</v>
      </c>
      <c r="Q41" s="49">
        <v>0</v>
      </c>
      <c r="R41" s="50">
        <v>3684000</v>
      </c>
      <c r="S41" s="49">
        <v>1068000</v>
      </c>
      <c r="T41" s="49">
        <v>26617162</v>
      </c>
      <c r="U41" s="49">
        <v>0</v>
      </c>
      <c r="V41" s="49">
        <v>1553838</v>
      </c>
      <c r="W41" s="49">
        <v>0</v>
      </c>
      <c r="X41" s="49">
        <v>0</v>
      </c>
      <c r="Y41" s="49"/>
      <c r="Z41" s="49"/>
      <c r="AA41" s="41"/>
      <c r="AB41" s="49"/>
      <c r="AC41" s="43">
        <f t="shared" si="5"/>
        <v>32923000</v>
      </c>
    </row>
    <row r="42" spans="1:29" s="10" customFormat="1" ht="12.75">
      <c r="A42" s="82" t="s">
        <v>167</v>
      </c>
      <c r="B42" s="13" t="s">
        <v>168</v>
      </c>
      <c r="C42" s="49">
        <v>82285611</v>
      </c>
      <c r="D42" s="49">
        <v>0</v>
      </c>
      <c r="E42" s="49">
        <v>0</v>
      </c>
      <c r="F42" s="49">
        <v>0</v>
      </c>
      <c r="G42" s="49">
        <v>0</v>
      </c>
      <c r="H42" s="49">
        <v>2111280</v>
      </c>
      <c r="I42" s="49">
        <v>0</v>
      </c>
      <c r="J42" s="49">
        <v>37812585</v>
      </c>
      <c r="K42" s="49">
        <v>0</v>
      </c>
      <c r="L42" s="49"/>
      <c r="M42" s="49"/>
      <c r="N42" s="49"/>
      <c r="O42" s="49"/>
      <c r="P42" s="50">
        <f>SUM(D42:O42)</f>
        <v>39923865</v>
      </c>
      <c r="Q42" s="49">
        <v>0</v>
      </c>
      <c r="R42" s="50">
        <v>0</v>
      </c>
      <c r="S42" s="49">
        <v>0</v>
      </c>
      <c r="T42" s="49">
        <v>0</v>
      </c>
      <c r="U42" s="49">
        <v>0</v>
      </c>
      <c r="V42" s="49">
        <v>2111280</v>
      </c>
      <c r="W42" s="49">
        <v>0</v>
      </c>
      <c r="X42" s="49">
        <v>37812585</v>
      </c>
      <c r="Y42" s="49"/>
      <c r="Z42" s="49"/>
      <c r="AA42" s="41"/>
      <c r="AB42" s="49"/>
      <c r="AC42" s="43">
        <f>SUM(Q42:AB42)</f>
        <v>39923865</v>
      </c>
    </row>
    <row r="43" spans="1:29" s="10" customFormat="1" ht="12.75">
      <c r="A43" s="82" t="s">
        <v>169</v>
      </c>
      <c r="B43" s="13" t="s">
        <v>173</v>
      </c>
      <c r="C43" s="49">
        <v>5372185346.44</v>
      </c>
      <c r="D43" s="49">
        <v>0</v>
      </c>
      <c r="E43" s="49">
        <v>1721064483.44</v>
      </c>
      <c r="F43" s="49">
        <v>929752701</v>
      </c>
      <c r="G43" s="49">
        <v>1066803954</v>
      </c>
      <c r="H43" s="49">
        <v>43219608.5</v>
      </c>
      <c r="I43" s="49">
        <v>0</v>
      </c>
      <c r="J43" s="49">
        <v>553573123</v>
      </c>
      <c r="K43" s="49">
        <v>200000000</v>
      </c>
      <c r="L43" s="49"/>
      <c r="M43" s="49"/>
      <c r="N43" s="49"/>
      <c r="O43" s="49"/>
      <c r="P43" s="43">
        <f t="shared" si="4"/>
        <v>4514413869.940001</v>
      </c>
      <c r="Q43" s="49">
        <v>0</v>
      </c>
      <c r="R43" s="50">
        <v>3500000</v>
      </c>
      <c r="S43" s="49">
        <v>1717564483.44</v>
      </c>
      <c r="T43" s="49">
        <v>1996556655</v>
      </c>
      <c r="U43" s="49">
        <v>0</v>
      </c>
      <c r="V43" s="49">
        <v>43219608.5</v>
      </c>
      <c r="W43" s="49">
        <v>0</v>
      </c>
      <c r="X43" s="49">
        <v>553573123</v>
      </c>
      <c r="Y43" s="49"/>
      <c r="Z43" s="49"/>
      <c r="AA43" s="41"/>
      <c r="AB43" s="49"/>
      <c r="AC43" s="43">
        <f>SUM(Q43:AB43)</f>
        <v>4314413869.940001</v>
      </c>
    </row>
    <row r="44" spans="1:29" s="10" customFormat="1" ht="13.5" thickBot="1">
      <c r="A44" s="82" t="s">
        <v>171</v>
      </c>
      <c r="B44" s="13" t="s">
        <v>174</v>
      </c>
      <c r="C44" s="49">
        <v>403122174</v>
      </c>
      <c r="D44" s="49">
        <v>0</v>
      </c>
      <c r="E44" s="49">
        <v>0</v>
      </c>
      <c r="F44" s="49">
        <v>0</v>
      </c>
      <c r="G44" s="49">
        <v>0</v>
      </c>
      <c r="H44" s="49">
        <v>4399831</v>
      </c>
      <c r="I44" s="49">
        <v>0</v>
      </c>
      <c r="J44" s="49">
        <v>78744920</v>
      </c>
      <c r="K44" s="49">
        <v>0</v>
      </c>
      <c r="L44" s="49"/>
      <c r="M44" s="49"/>
      <c r="N44" s="49"/>
      <c r="O44" s="49"/>
      <c r="P44" s="50">
        <f>SUM(D44:O44)</f>
        <v>83144751</v>
      </c>
      <c r="Q44" s="49">
        <v>0</v>
      </c>
      <c r="R44" s="50">
        <v>0</v>
      </c>
      <c r="S44" s="49">
        <v>0</v>
      </c>
      <c r="T44" s="49">
        <v>0</v>
      </c>
      <c r="U44" s="49">
        <v>0</v>
      </c>
      <c r="V44" s="49">
        <v>4399831</v>
      </c>
      <c r="W44" s="49">
        <v>0</v>
      </c>
      <c r="X44" s="49">
        <v>78744920</v>
      </c>
      <c r="Y44" s="49"/>
      <c r="Z44" s="49"/>
      <c r="AA44" s="41"/>
      <c r="AB44" s="49"/>
      <c r="AC44" s="43">
        <f t="shared" si="5"/>
        <v>83144751</v>
      </c>
    </row>
    <row r="45" spans="1:29" s="11" customFormat="1" ht="13.5" thickBot="1">
      <c r="A45" s="134" t="s">
        <v>33</v>
      </c>
      <c r="B45" s="135"/>
      <c r="C45" s="47">
        <f aca="true" t="shared" si="6" ref="C45:AC45">SUM(C14+C23)</f>
        <v>11915642089.16</v>
      </c>
      <c r="D45" s="47">
        <f t="shared" si="6"/>
        <v>220555493</v>
      </c>
      <c r="E45" s="47">
        <f t="shared" si="6"/>
        <v>2538473438.44</v>
      </c>
      <c r="F45" s="47">
        <f t="shared" si="6"/>
        <v>1755263041</v>
      </c>
      <c r="G45" s="47">
        <f t="shared" si="6"/>
        <v>1669625434.72</v>
      </c>
      <c r="H45" s="47">
        <f t="shared" si="6"/>
        <v>149047050.5</v>
      </c>
      <c r="I45" s="47">
        <f t="shared" si="6"/>
        <v>36899932</v>
      </c>
      <c r="J45" s="47">
        <f t="shared" si="6"/>
        <v>1387409978</v>
      </c>
      <c r="K45" s="47">
        <f t="shared" si="6"/>
        <v>482108645</v>
      </c>
      <c r="L45" s="47">
        <f t="shared" si="6"/>
        <v>0</v>
      </c>
      <c r="M45" s="47">
        <f t="shared" si="6"/>
        <v>0</v>
      </c>
      <c r="N45" s="47">
        <f t="shared" si="6"/>
        <v>0</v>
      </c>
      <c r="O45" s="47">
        <f t="shared" si="6"/>
        <v>0</v>
      </c>
      <c r="P45" s="47">
        <f t="shared" si="6"/>
        <v>8239383012.660001</v>
      </c>
      <c r="Q45" s="47">
        <f t="shared" si="6"/>
        <v>0</v>
      </c>
      <c r="R45" s="47">
        <f t="shared" si="6"/>
        <v>778977989</v>
      </c>
      <c r="S45" s="47">
        <f t="shared" si="6"/>
        <v>2076050574.44</v>
      </c>
      <c r="T45" s="47">
        <f t="shared" si="6"/>
        <v>3273698085.52</v>
      </c>
      <c r="U45" s="47">
        <f t="shared" si="6"/>
        <v>55190758.2</v>
      </c>
      <c r="V45" s="47">
        <f t="shared" si="6"/>
        <v>149047050.5</v>
      </c>
      <c r="W45" s="47">
        <f t="shared" si="6"/>
        <v>37849932</v>
      </c>
      <c r="X45" s="47">
        <f t="shared" si="6"/>
        <v>1386459978</v>
      </c>
      <c r="Y45" s="47">
        <f t="shared" si="6"/>
        <v>0</v>
      </c>
      <c r="Z45" s="47">
        <f t="shared" si="6"/>
        <v>0</v>
      </c>
      <c r="AA45" s="47">
        <f t="shared" si="6"/>
        <v>0</v>
      </c>
      <c r="AB45" s="47">
        <f t="shared" si="6"/>
        <v>0</v>
      </c>
      <c r="AC45" s="47">
        <f t="shared" si="6"/>
        <v>7757274367.660001</v>
      </c>
    </row>
    <row r="46" spans="1:29" ht="12.75">
      <c r="A46" s="69" t="s">
        <v>104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</row>
    <row r="47" spans="1:29" ht="12.75">
      <c r="A47" s="126">
        <f ca="1">TODAY()</f>
        <v>41533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13.5" thickBot="1">
      <c r="A48" s="60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</row>
    <row r="49" spans="1:29" ht="13.5">
      <c r="A49" s="60"/>
      <c r="B49" s="97" t="s">
        <v>187</v>
      </c>
      <c r="C49" s="4"/>
      <c r="D49" s="4"/>
      <c r="E49" s="4"/>
      <c r="F49" s="4"/>
      <c r="G49" s="4"/>
      <c r="H49" s="4"/>
      <c r="I49" s="4"/>
      <c r="J49" s="12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</row>
    <row r="50" spans="1:2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</row>
    <row r="51" spans="1:29" ht="24.75" customHeight="1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1"/>
    </row>
    <row r="52" spans="1:29" ht="21" customHeight="1" hidden="1" thickBot="1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4"/>
    </row>
    <row r="53" spans="1:29" ht="10.5" customHeight="1" hidden="1">
      <c r="A53" s="9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</row>
    <row r="54" spans="1:29" ht="0.75" customHeight="1" hidden="1" thickBot="1">
      <c r="A54" s="9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5"/>
    </row>
    <row r="55" spans="1:29" ht="0.75" customHeight="1" hidden="1" thickBot="1">
      <c r="A55" s="4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ht="8.25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9" ht="12.75">
      <c r="P59" s="10"/>
    </row>
  </sheetData>
  <sheetProtection/>
  <mergeCells count="9">
    <mergeCell ref="A1:AC1"/>
    <mergeCell ref="A2:AC2"/>
    <mergeCell ref="A3:AC3"/>
    <mergeCell ref="A51:AC52"/>
    <mergeCell ref="A5:AC5"/>
    <mergeCell ref="A7:B7"/>
    <mergeCell ref="A8:B8"/>
    <mergeCell ref="A45:B45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2013-08-13T21:04:16Z</cp:lastPrinted>
  <dcterms:created xsi:type="dcterms:W3CDTF">1999-04-05T19:37:02Z</dcterms:created>
  <dcterms:modified xsi:type="dcterms:W3CDTF">2013-09-16T20:10:54Z</dcterms:modified>
  <cp:category/>
  <cp:version/>
  <cp:contentType/>
  <cp:contentStatus/>
</cp:coreProperties>
</file>