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3285" windowWidth="9165" windowHeight="4740" tabRatio="889" firstSheet="1" activeTab="6"/>
  </bookViews>
  <sheets>
    <sheet name="Ingresos Fond. " sheetId="1" r:id="rId1"/>
    <sheet name="Gastos Fond " sheetId="2" r:id="rId2"/>
    <sheet name="CXFONDANE" sheetId="3" r:id="rId3"/>
    <sheet name="RESER FOND" sheetId="4" r:id="rId4"/>
    <sheet name="Gastos Fond APN" sheetId="5" r:id="rId5"/>
    <sheet name="CUENTAS POR PAGAR INV.FONDANE" sheetId="6" r:id="rId6"/>
    <sheet name="RESERVAS INV. FONDANE" sheetId="7" r:id="rId7"/>
  </sheets>
  <definedNames>
    <definedName name="_xlnm.Print_Area" localSheetId="1">'Gastos Fond '!$A$1:$AP$51</definedName>
    <definedName name="_xlnm.Print_Area" localSheetId="4">'Gastos Fond APN'!$A$1:$AP$34</definedName>
    <definedName name="_xlnm.Print_Area" localSheetId="3">'RESER FOND'!$A$1:$AC$36</definedName>
    <definedName name="_xlnm.Print_Area" localSheetId="6">'RESERVAS INV. FONDANE'!$A$1:$AC$47</definedName>
  </definedNames>
  <calcPr fullCalcOnLoad="1"/>
</workbook>
</file>

<file path=xl/sharedStrings.xml><?xml version="1.0" encoding="utf-8"?>
<sst xmlns="http://schemas.openxmlformats.org/spreadsheetml/2006/main" count="764" uniqueCount="182">
  <si>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</si>
  <si>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</si>
  <si>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</si>
  <si>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</si>
  <si>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</si>
  <si>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UNIDAD EJECUTORA</t>
  </si>
  <si>
    <t>0402</t>
  </si>
  <si>
    <t>00</t>
  </si>
  <si>
    <t>MES</t>
  </si>
  <si>
    <t>VIGENCIA FISCAL</t>
  </si>
  <si>
    <t>NUMERAL</t>
  </si>
  <si>
    <t xml:space="preserve">AFORO 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</si>
  <si>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</si>
  <si>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</si>
  <si>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</si>
  <si>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</si>
  <si>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</si>
  <si>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</si>
  <si>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</si>
  <si>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</si>
  <si>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</si>
  <si>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</si>
  <si>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</si>
  <si>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</si>
  <si>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</si>
  <si>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</si>
  <si>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 xml:space="preserve">RECAUDO </t>
  </si>
  <si>
    <t>EFECTIVO</t>
  </si>
  <si>
    <t>MES 5</t>
  </si>
  <si>
    <t>MES 6</t>
  </si>
  <si>
    <t>MES 7</t>
  </si>
  <si>
    <t>MES 10</t>
  </si>
  <si>
    <t>RECAUDO</t>
  </si>
  <si>
    <t>ACUMULADO</t>
  </si>
  <si>
    <t xml:space="preserve">RECAUDO EN </t>
  </si>
  <si>
    <t>PAPELES</t>
  </si>
  <si>
    <t xml:space="preserve">PAPELES </t>
  </si>
  <si>
    <t xml:space="preserve">PENDIENTE </t>
  </si>
  <si>
    <t>DE</t>
  </si>
  <si>
    <t>COBRO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</si>
  <si>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</si>
  <si>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</si>
  <si>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</si>
  <si>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</si>
  <si>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</si>
  <si>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</si>
  <si>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</si>
  <si>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</si>
  <si>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04|02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</si>
  <si>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</si>
  <si>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</si>
  <si>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</si>
  <si>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</si>
  <si>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</si>
  <si>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>RESERVAS</t>
  </si>
  <si>
    <t>CONSTITUIDAS</t>
  </si>
  <si>
    <t>CUENTAS POR PAGAR</t>
  </si>
  <si>
    <t xml:space="preserve">    '00</t>
  </si>
  <si>
    <t>IMPUESTOS Y MULTAS</t>
  </si>
  <si>
    <t>A|3|2|1|1|20</t>
  </si>
  <si>
    <t>ACT. ESTUD. Y ENCUEST. PROPOSITOS MULTIPLES</t>
  </si>
  <si>
    <t>GASTOS DE FUNCIONAMIENTO R. P.</t>
  </si>
  <si>
    <t>GASTOS DE INVERSION R. P.</t>
  </si>
  <si>
    <t>GASTOS DE PERSONAL</t>
  </si>
  <si>
    <t>GASTOS GENERALES</t>
  </si>
  <si>
    <t xml:space="preserve">DERECHOS </t>
  </si>
  <si>
    <t>CAUSADOS</t>
  </si>
  <si>
    <t xml:space="preserve">DERECHOS CAUSADOS </t>
  </si>
  <si>
    <t>VIGENCIA ANTERIOR</t>
  </si>
  <si>
    <t>RECAUDO EFECTIVO</t>
  </si>
  <si>
    <t>MES  12</t>
  </si>
  <si>
    <t>MES  11</t>
  </si>
  <si>
    <t>MES  9</t>
  </si>
  <si>
    <t>MES  8</t>
  </si>
  <si>
    <t>MES  6</t>
  </si>
  <si>
    <t>MES  5</t>
  </si>
  <si>
    <t>MES  4</t>
  </si>
  <si>
    <t>MES  3</t>
  </si>
  <si>
    <t>MES  2</t>
  </si>
  <si>
    <t xml:space="preserve"> </t>
  </si>
  <si>
    <t>C|310|1000|1|20</t>
  </si>
  <si>
    <t>BIENES Y SERVICIOS                 1|3|1|2|1</t>
  </si>
  <si>
    <t>OTROS INGRESOS                     1|3|1|2|8</t>
  </si>
  <si>
    <t xml:space="preserve">MES 4 </t>
  </si>
  <si>
    <t>CUOTA DE AUDITAJE - CONTRALORIA - RP</t>
  </si>
  <si>
    <t>TRANSFERENCIAS CORRIENTES</t>
  </si>
  <si>
    <t xml:space="preserve">                       </t>
  </si>
  <si>
    <t xml:space="preserve">                          </t>
  </si>
  <si>
    <t>TOTAL</t>
  </si>
  <si>
    <t>DEFINITIVAS</t>
  </si>
  <si>
    <t>CXP</t>
  </si>
  <si>
    <t>MES 09</t>
  </si>
  <si>
    <t xml:space="preserve">LEVANTAMIENTO DEL CENSO GENERAL NACIONAL </t>
  </si>
  <si>
    <t>C|410|1000|12|20</t>
  </si>
  <si>
    <t>A|3|6|1|2|21</t>
  </si>
  <si>
    <t>CONCILIACIONES</t>
  </si>
  <si>
    <t>ADQUISICIONES DE BIENES Y SERVICIOS</t>
  </si>
  <si>
    <t>A|2|0|4|0|20</t>
  </si>
  <si>
    <t>ARRENDAMIENTOS</t>
  </si>
  <si>
    <t>MATERIALES Y SUMINISTROS</t>
  </si>
  <si>
    <t>MANTENIMIENTO</t>
  </si>
  <si>
    <t>SERVICIOS PUBLICOS</t>
  </si>
  <si>
    <t>SEGUROS</t>
  </si>
  <si>
    <t>COMUNICACIONES Y TRANSPORTE</t>
  </si>
  <si>
    <t>IMPRESOS Y  PUBLICACIONES</t>
  </si>
  <si>
    <t>A|2|0|4|4|20</t>
  </si>
  <si>
    <t>A|2|0|4|5|20</t>
  </si>
  <si>
    <t>A|2|0|4|6|20</t>
  </si>
  <si>
    <t>A|2|0|4|7|20</t>
  </si>
  <si>
    <t>A|2|0|4|8|20</t>
  </si>
  <si>
    <t>A|2|0|4|9|20</t>
  </si>
  <si>
    <t>IMPUESTOS Y CONTRIBUCIONES</t>
  </si>
  <si>
    <t>A|1|0|2|14|20</t>
  </si>
  <si>
    <t>Elaboró : R.H.E.M</t>
  </si>
  <si>
    <t>MES  1</t>
  </si>
  <si>
    <t>Elaboró :R.H.E.M</t>
  </si>
  <si>
    <t>A|2|0|4|1|20</t>
  </si>
  <si>
    <t>COMPRA DE EQUIPO</t>
  </si>
  <si>
    <t>A|3|6|1|1|21</t>
  </si>
  <si>
    <t xml:space="preserve">SENTENCIAS Y CONCILIACIONES </t>
  </si>
  <si>
    <t>RECURSOS DE CAPITAL            1|3|2|0|0</t>
  </si>
  <si>
    <t>A|2|0|4|10|20</t>
  </si>
  <si>
    <t>A|2|0|4|11|20</t>
  </si>
  <si>
    <t>VIATICOS Y GASTOS DE VIAJE</t>
  </si>
  <si>
    <t>COORDINADOR DE PRESUPUESTO</t>
  </si>
  <si>
    <t xml:space="preserve">COORDINADOR PRESUPUESTO </t>
  </si>
  <si>
    <t>COORDINADOR PRESUPUESTO</t>
  </si>
  <si>
    <t xml:space="preserve">COORDINADOR DE PRESUPUESTO </t>
  </si>
  <si>
    <t>MES:</t>
  </si>
  <si>
    <t>A|2|0|3|0|20</t>
  </si>
  <si>
    <t>A|2|0|3|50|20</t>
  </si>
  <si>
    <t>COMUNICACIÓN Y TRANSPORTE</t>
  </si>
  <si>
    <t>C|430|1000|18|11</t>
  </si>
  <si>
    <t xml:space="preserve">CUOTA DE AUDITAJE - CONTRALORIA </t>
  </si>
  <si>
    <t>MEJORAMIENTO DE  LA CAPACIDAD TECNICA Y ADMINISTRATIVA PARA LA PRODUCCION Y DIFUSION DE LA INFORMACION BASICA NACIONAL</t>
  </si>
  <si>
    <t>GASTOS DE FUNCIONAMIENTO APN</t>
  </si>
  <si>
    <t>GASTOS DE INVERSION APN</t>
  </si>
  <si>
    <t>MES 06</t>
  </si>
  <si>
    <t>A|2|0|4|2|20</t>
  </si>
  <si>
    <t>ENSERES Y EQUIPOS DE OFICINA</t>
  </si>
  <si>
    <t xml:space="preserve"> A SEPTIEMBRE</t>
  </si>
  <si>
    <t>MES DICIEMBRE</t>
  </si>
  <si>
    <t>A DICIEMBRE</t>
  </si>
  <si>
    <t xml:space="preserve">NOTA: Se efectúo un traslado en el anexo del Decreto de Liquidación del Presupuesto de Impuestos y Multas - Impuestos y Contribuciones a Servicios Públicos por valor de $4.000.000 y de Transferencias Corrientes - Sentencias y conciliaciones por valor de $158.840.000 a Servicios Publicos por valor de $135.340.000  y Transferencias Corrientes Cuota de auditaje CONTRANAL por valor de $23.500.000. De acuerdo con la resolución N°063 del 3 de Diciembre de 2009.                                                                                                                                                    Se modifica la desagregación del Presupuesto de Gastos Generales Adquisisión de Bienes y Servicios - Materiales y Suministros por valor de $1.609.242.48, Mantenimiento $10.537.459.00, Comunicación y Transporte $11.602.894.76, Impresos y Publicaciones $2.394.543.36, Seguros $4.282.000.00  a Gastos Generales Adquisición de Bienes y Servicios Compra de Equipo $3.200.000.00, Enseres y Equipos de Oficina $1.200.000.00 y Servicios Publicos $26.026.139.60. De acuerdo con la Resolución N° 065-09  del 11 de Diciembre de 2009                                                                                                                                                                         </t>
  </si>
  <si>
    <t xml:space="preserve">FONDO ROTATORIO DEL  DANE - FONDANE </t>
  </si>
  <si>
    <t xml:space="preserve">A DICEMBRE </t>
  </si>
  <si>
    <t>TRANSFERENCIAS</t>
  </si>
  <si>
    <t>A|3|2|1|1|10</t>
  </si>
  <si>
    <t>CUOTA DE AUDITAJE CONTRANAL</t>
  </si>
  <si>
    <t>A|3|6|1|1|10</t>
  </si>
  <si>
    <t>SENTENCIAS</t>
  </si>
  <si>
    <t>A|3|6|1|2|10</t>
  </si>
  <si>
    <t>CONCILIACION</t>
  </si>
  <si>
    <t>GASTOS DE INVERSION A.P.N.</t>
  </si>
  <si>
    <t>C|430|1000|18|10</t>
  </si>
  <si>
    <t>MEJORAMIENTO DE LA CAPACIDAD TECNICA Y ADMINISTRATIVA</t>
  </si>
  <si>
    <t>C|430|1000|19|10</t>
  </si>
  <si>
    <t>LEV. RECOP Y ACTUAL.  INF CUMPLIMIENTO OBJETIVOS MILENIO NAL.</t>
  </si>
  <si>
    <t>C|430|1000|20|10</t>
  </si>
  <si>
    <t>LEV. RECOP Y ACTUAL.  INF PRODUCCION COMERCIO Y SERVICIOS NAL.</t>
  </si>
  <si>
    <t>C|430|1000|21|11</t>
  </si>
  <si>
    <t>LEV. RECOP Y ACTUAL.  INF SERVICIOS PUBLICOS NAL.</t>
  </si>
  <si>
    <t>C|430|1000|22|11</t>
  </si>
  <si>
    <t>LEV. RECOP Y ACTUAL.  INF PRECIOS NAL.</t>
  </si>
  <si>
    <t>C|430|1000|23|11</t>
  </si>
  <si>
    <t>LEV. RECOP Y ACTUAL.  INF ASPECTOS SOCIODEMOGRAFICOS NAL.</t>
  </si>
  <si>
    <t>C|430|1000|24|11</t>
  </si>
  <si>
    <t>LEV. RECOP Y ACTUAL.  INF TEMAS AMBIENTALES NAL.</t>
  </si>
  <si>
    <t>C|430|1000|25|11</t>
  </si>
  <si>
    <t>LEV. RECOP Y ACTUAL.  INF DATOS ESPACIALES NAL.</t>
  </si>
  <si>
    <t>C|430|1000|26|11</t>
  </si>
  <si>
    <t>LEV. RECOP Y ACTUAL.  INF ASPECTOS CULTURALES Y POLITICOS NAL.</t>
  </si>
  <si>
    <t>C|430|1000|27|11</t>
  </si>
  <si>
    <t>LEV. RECOP Y ACTUAL.  INF CUENTAS NALES Y MACROECONOMIA NAL.</t>
  </si>
  <si>
    <t>Preparó : M.S.R.</t>
  </si>
  <si>
    <t>FONDO ROTATORIO DEL  DANE  - FONDANE</t>
  </si>
  <si>
    <t xml:space="preserve">A DICIEMBRE </t>
  </si>
  <si>
    <t>GASTOS DE FUNCIONAMIENTO</t>
  </si>
  <si>
    <t>A|1|0|2|10</t>
  </si>
  <si>
    <t>A|2|0|4|10</t>
  </si>
  <si>
    <t>ADQUISICION DE BIENES Y SERVICIOS</t>
  </si>
  <si>
    <t xml:space="preserve">NOTA: SE CANCELARON RESERVAS PRESUPUESTALES POR VALOR DE $5,195,289, INVERSION APN, MEDIANTE ACTA No. 5 DE FECHA 23 DE DICIEMBRE DE 2009,        
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</si>
</sst>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  <numFmt numFmtId="198" formatCode="[$-240A]dddd\,\ dd&quot; de &quot;mmmm&quot; de &quot;yyyy"/>
    <numFmt numFmtId="199" formatCode="&quot;$&quot;\ #,##0_);\(&quot;$&quot;\ #,##0\)"/>
    <numFmt numFmtId="200" formatCode="&quot;$&quot;\ #,##0_);[Red]\(&quot;$&quot;\ #,##0\)"/>
    <numFmt numFmtId="201" formatCode="&quot;$&quot;\ #,##0.00_);\(&quot;$&quot;\ #,##0.00\)"/>
    <numFmt numFmtId="202" formatCode="&quot;$&quot;\ #,##0.00_);[Red]\(&quot;$&quot;\ #,##0.00\)"/>
    <numFmt numFmtId="203" formatCode="_(&quot;$&quot;\ * #,##0_);_(&quot;$&quot;\ * \(#,##0\);_(&quot;$&quot;\ * &quot;-&quot;_);_(@_)"/>
    <numFmt numFmtId="204" formatCode="_(&quot;$&quot;\ * #,##0.00_);_(&quot;$&quot;\ * \(#,##0.00\);_(&quot;$&quot;\ 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27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17" xfId="0" applyNumberFormat="1" applyFont="1" applyBorder="1" applyAlignment="1" applyProtection="1">
      <alignment/>
      <protection/>
    </xf>
    <xf numFmtId="4" fontId="0" fillId="0" borderId="18" xfId="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center"/>
      <protection locked="0"/>
    </xf>
    <xf numFmtId="4" fontId="8" fillId="0" borderId="18" xfId="0" applyNumberFormat="1" applyFont="1" applyBorder="1" applyAlignment="1" applyProtection="1">
      <alignment horizontal="left"/>
      <protection locked="0"/>
    </xf>
    <xf numFmtId="4" fontId="9" fillId="0" borderId="18" xfId="0" applyNumberFormat="1" applyFont="1" applyBorder="1" applyAlignment="1" applyProtection="1">
      <alignment horizontal="right"/>
      <protection locked="0"/>
    </xf>
    <xf numFmtId="4" fontId="9" fillId="0" borderId="18" xfId="0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/>
    </xf>
    <xf numFmtId="4" fontId="8" fillId="0" borderId="21" xfId="0" applyNumberFormat="1" applyFont="1" applyBorder="1" applyAlignment="1" applyProtection="1">
      <alignment horizontal="left"/>
      <protection locked="0"/>
    </xf>
    <xf numFmtId="4" fontId="9" fillId="0" borderId="21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/>
    </xf>
    <xf numFmtId="4" fontId="9" fillId="0" borderId="22" xfId="0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2" fillId="0" borderId="23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right"/>
    </xf>
    <xf numFmtId="4" fontId="2" fillId="0" borderId="23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27" xfId="0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8" fillId="0" borderId="28" xfId="0" applyNumberFormat="1" applyFont="1" applyBorder="1" applyAlignment="1" applyProtection="1">
      <alignment horizontal="left"/>
      <protection locked="0"/>
    </xf>
    <xf numFmtId="4" fontId="0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Alignment="1">
      <alignment/>
    </xf>
    <xf numFmtId="0" fontId="7" fillId="0" borderId="13" xfId="0" applyFont="1" applyBorder="1" applyAlignment="1">
      <alignment horizontal="center"/>
    </xf>
    <xf numFmtId="4" fontId="2" fillId="0" borderId="23" xfId="0" applyNumberFormat="1" applyFont="1" applyBorder="1" applyAlignment="1" applyProtection="1">
      <alignment horizontal="right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0" fillId="0" borderId="29" xfId="0" applyNumberFormat="1" applyFont="1" applyBorder="1" applyAlignment="1" applyProtection="1">
      <alignment horizontal="center"/>
      <protection locked="0"/>
    </xf>
    <xf numFmtId="4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1" fillId="24" borderId="0" xfId="0" applyFont="1" applyFill="1" applyBorder="1" applyAlignment="1" quotePrefix="1">
      <alignment horizontal="right"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4" fontId="9" fillId="24" borderId="0" xfId="0" applyNumberFormat="1" applyFont="1" applyFill="1" applyBorder="1" applyAlignment="1" applyProtection="1">
      <alignment horizontal="right"/>
      <protection locked="0"/>
    </xf>
    <xf numFmtId="0" fontId="1" fillId="24" borderId="0" xfId="0" applyFont="1" applyFill="1" applyBorder="1" applyAlignment="1">
      <alignment horizontal="left"/>
    </xf>
    <xf numFmtId="0" fontId="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 quotePrefix="1">
      <alignment horizontal="left"/>
    </xf>
    <xf numFmtId="0" fontId="2" fillId="24" borderId="0" xfId="0" applyFont="1" applyFill="1" applyBorder="1" applyAlignment="1">
      <alignment/>
    </xf>
    <xf numFmtId="0" fontId="2" fillId="24" borderId="11" xfId="0" applyFont="1" applyFill="1" applyBorder="1" applyAlignment="1">
      <alignment horizontal="left"/>
    </xf>
    <xf numFmtId="0" fontId="9" fillId="24" borderId="0" xfId="0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4" borderId="11" xfId="0" applyFont="1" applyFill="1" applyBorder="1" applyAlignment="1" applyProtection="1">
      <alignment horizontal="left"/>
      <protection locked="0"/>
    </xf>
    <xf numFmtId="0" fontId="5" fillId="0" borderId="32" xfId="0" applyFont="1" applyBorder="1" applyAlignment="1">
      <alignment horizontal="center"/>
    </xf>
    <xf numFmtId="4" fontId="9" fillId="0" borderId="33" xfId="0" applyNumberFormat="1" applyFont="1" applyFill="1" applyBorder="1" applyAlignment="1" applyProtection="1">
      <alignment horizontal="right"/>
      <protection/>
    </xf>
    <xf numFmtId="0" fontId="7" fillId="0" borderId="0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4" fontId="0" fillId="0" borderId="3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4" fontId="2" fillId="0" borderId="26" xfId="0" applyNumberFormat="1" applyFont="1" applyBorder="1" applyAlignment="1" applyProtection="1">
      <alignment horizontal="right"/>
      <protection/>
    </xf>
    <xf numFmtId="0" fontId="7" fillId="0" borderId="35" xfId="0" applyFont="1" applyBorder="1" applyAlignment="1">
      <alignment horizontal="left"/>
    </xf>
    <xf numFmtId="4" fontId="0" fillId="0" borderId="36" xfId="0" applyNumberFormat="1" applyFont="1" applyFill="1" applyBorder="1" applyAlignment="1">
      <alignment/>
    </xf>
    <xf numFmtId="4" fontId="0" fillId="0" borderId="37" xfId="0" applyNumberFormat="1" applyFont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center"/>
    </xf>
    <xf numFmtId="4" fontId="0" fillId="0" borderId="27" xfId="0" applyNumberFormat="1" applyFont="1" applyBorder="1" applyAlignment="1" applyProtection="1">
      <alignment horizontal="center"/>
      <protection locked="0"/>
    </xf>
    <xf numFmtId="40" fontId="9" fillId="0" borderId="21" xfId="0" applyNumberFormat="1" applyFont="1" applyBorder="1" applyAlignment="1" applyProtection="1">
      <alignment horizontal="right"/>
      <protection locked="0"/>
    </xf>
    <xf numFmtId="0" fontId="1" fillId="0" borderId="38" xfId="0" applyNumberFormat="1" applyFont="1" applyBorder="1" applyAlignment="1" applyProtection="1">
      <alignment horizontal="center"/>
      <protection locked="0"/>
    </xf>
    <xf numFmtId="4" fontId="1" fillId="0" borderId="28" xfId="0" applyNumberFormat="1" applyFont="1" applyBorder="1" applyAlignment="1" applyProtection="1">
      <alignment/>
      <protection locked="0"/>
    </xf>
    <xf numFmtId="4" fontId="1" fillId="0" borderId="39" xfId="0" applyNumberFormat="1" applyFont="1" applyBorder="1" applyAlignment="1" applyProtection="1">
      <alignment/>
      <protection locked="0"/>
    </xf>
    <xf numFmtId="0" fontId="1" fillId="24" borderId="0" xfId="0" applyFont="1" applyFill="1" applyBorder="1" applyAlignment="1" applyProtection="1">
      <alignment horizontal="left"/>
      <protection locked="0"/>
    </xf>
    <xf numFmtId="40" fontId="9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/>
      <protection locked="0"/>
    </xf>
    <xf numFmtId="0" fontId="8" fillId="0" borderId="10" xfId="0" applyFont="1" applyBorder="1" applyAlignment="1">
      <alignment/>
    </xf>
    <xf numFmtId="0" fontId="13" fillId="24" borderId="40" xfId="0" applyFont="1" applyFill="1" applyBorder="1" applyAlignment="1">
      <alignment horizontal="center"/>
    </xf>
    <xf numFmtId="0" fontId="14" fillId="24" borderId="40" xfId="0" applyFont="1" applyFill="1" applyBorder="1" applyAlignment="1">
      <alignment horizontal="center"/>
    </xf>
    <xf numFmtId="0" fontId="13" fillId="24" borderId="41" xfId="0" applyFont="1" applyFill="1" applyBorder="1" applyAlignment="1">
      <alignment horizontal="center"/>
    </xf>
    <xf numFmtId="0" fontId="14" fillId="24" borderId="41" xfId="0" applyFont="1" applyFill="1" applyBorder="1" applyAlignment="1">
      <alignment horizontal="center"/>
    </xf>
    <xf numFmtId="178" fontId="13" fillId="24" borderId="41" xfId="50" applyFont="1" applyFill="1" applyBorder="1" applyAlignment="1">
      <alignment horizontal="center"/>
    </xf>
    <xf numFmtId="0" fontId="13" fillId="24" borderId="42" xfId="0" applyFont="1" applyFill="1" applyBorder="1" applyAlignment="1">
      <alignment horizontal="center"/>
    </xf>
    <xf numFmtId="0" fontId="5" fillId="24" borderId="43" xfId="0" applyFont="1" applyFill="1" applyBorder="1" applyAlignment="1">
      <alignment horizontal="center"/>
    </xf>
    <xf numFmtId="0" fontId="5" fillId="24" borderId="43" xfId="0" applyFont="1" applyFill="1" applyBorder="1" applyAlignment="1" applyProtection="1">
      <alignment horizontal="center"/>
      <protection locked="0"/>
    </xf>
    <xf numFmtId="0" fontId="5" fillId="24" borderId="40" xfId="0" applyFont="1" applyFill="1" applyBorder="1" applyAlignment="1">
      <alignment horizontal="center"/>
    </xf>
    <xf numFmtId="0" fontId="1" fillId="24" borderId="41" xfId="0" applyFont="1" applyFill="1" applyBorder="1" applyAlignment="1">
      <alignment horizontal="center"/>
    </xf>
    <xf numFmtId="0" fontId="7" fillId="24" borderId="42" xfId="0" applyFont="1" applyFill="1" applyBorder="1" applyAlignment="1">
      <alignment horizontal="center"/>
    </xf>
    <xf numFmtId="0" fontId="7" fillId="24" borderId="40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5" fillId="24" borderId="41" xfId="0" applyFont="1" applyFill="1" applyBorder="1" applyAlignment="1">
      <alignment horizontal="center"/>
    </xf>
    <xf numFmtId="0" fontId="5" fillId="24" borderId="42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4" fontId="7" fillId="0" borderId="28" xfId="0" applyNumberFormat="1" applyFont="1" applyBorder="1" applyAlignment="1" applyProtection="1">
      <alignment/>
      <protection locked="0"/>
    </xf>
    <xf numFmtId="0" fontId="5" fillId="0" borderId="10" xfId="0" applyFont="1" applyBorder="1" applyAlignment="1">
      <alignment horizontal="left"/>
    </xf>
    <xf numFmtId="4" fontId="0" fillId="0" borderId="33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40" fontId="2" fillId="0" borderId="23" xfId="0" applyNumberFormat="1" applyFont="1" applyBorder="1" applyAlignment="1">
      <alignment horizontal="right"/>
    </xf>
    <xf numFmtId="4" fontId="8" fillId="0" borderId="21" xfId="0" applyNumberFormat="1" applyFont="1" applyBorder="1" applyAlignment="1" applyProtection="1">
      <alignment horizontal="left" wrapText="1"/>
      <protection locked="0"/>
    </xf>
    <xf numFmtId="10" fontId="1" fillId="0" borderId="0" xfId="54" applyNumberFormat="1" applyFont="1" applyAlignment="1">
      <alignment/>
    </xf>
    <xf numFmtId="0" fontId="6" fillId="0" borderId="10" xfId="0" applyFont="1" applyBorder="1" applyAlignment="1">
      <alignment/>
    </xf>
    <xf numFmtId="0" fontId="1" fillId="0" borderId="20" xfId="0" applyNumberFormat="1" applyFont="1" applyBorder="1" applyAlignment="1" applyProtection="1">
      <alignment horizontal="left"/>
      <protection locked="0"/>
    </xf>
    <xf numFmtId="4" fontId="8" fillId="0" borderId="30" xfId="0" applyNumberFormat="1" applyFont="1" applyBorder="1" applyAlignment="1" applyProtection="1">
      <alignment horizontal="left"/>
      <protection locked="0"/>
    </xf>
    <xf numFmtId="40" fontId="9" fillId="0" borderId="30" xfId="0" applyNumberFormat="1" applyFont="1" applyBorder="1" applyAlignment="1" applyProtection="1">
      <alignment horizontal="right"/>
      <protection locked="0"/>
    </xf>
    <xf numFmtId="4" fontId="9" fillId="0" borderId="30" xfId="0" applyNumberFormat="1" applyFont="1" applyFill="1" applyBorder="1" applyAlignment="1" applyProtection="1">
      <alignment horizontal="right"/>
      <protection locked="0"/>
    </xf>
    <xf numFmtId="4" fontId="7" fillId="0" borderId="21" xfId="0" applyNumberFormat="1" applyFont="1" applyBorder="1" applyAlignment="1" applyProtection="1">
      <alignment horizontal="left"/>
      <protection locked="0"/>
    </xf>
    <xf numFmtId="4" fontId="7" fillId="0" borderId="18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right"/>
      <protection locked="0"/>
    </xf>
    <xf numFmtId="4" fontId="2" fillId="0" borderId="19" xfId="0" applyNumberFormat="1" applyFont="1" applyBorder="1" applyAlignment="1" applyProtection="1">
      <alignment horizontal="right"/>
      <protection locked="0"/>
    </xf>
    <xf numFmtId="4" fontId="2" fillId="0" borderId="21" xfId="0" applyNumberFormat="1" applyFont="1" applyBorder="1" applyAlignment="1" applyProtection="1">
      <alignment horizontal="right"/>
      <protection locked="0"/>
    </xf>
    <xf numFmtId="197" fontId="9" fillId="0" borderId="21" xfId="0" applyNumberFormat="1" applyFont="1" applyBorder="1" applyAlignment="1" applyProtection="1">
      <alignment horizontal="right"/>
      <protection locked="0"/>
    </xf>
    <xf numFmtId="197" fontId="9" fillId="0" borderId="30" xfId="0" applyNumberFormat="1" applyFont="1" applyBorder="1" applyAlignment="1" applyProtection="1">
      <alignment horizontal="right"/>
      <protection locked="0"/>
    </xf>
    <xf numFmtId="197" fontId="2" fillId="0" borderId="18" xfId="0" applyNumberFormat="1" applyFont="1" applyBorder="1" applyAlignment="1" applyProtection="1">
      <alignment horizontal="right"/>
      <protection locked="0"/>
    </xf>
    <xf numFmtId="4" fontId="9" fillId="0" borderId="21" xfId="0" applyNumberFormat="1" applyFont="1" applyFill="1" applyBorder="1" applyAlignment="1" applyProtection="1">
      <alignment horizontal="right"/>
      <protection locked="0"/>
    </xf>
    <xf numFmtId="4" fontId="2" fillId="0" borderId="30" xfId="0" applyNumberFormat="1" applyFont="1" applyBorder="1" applyAlignment="1">
      <alignment horizontal="right"/>
    </xf>
    <xf numFmtId="4" fontId="9" fillId="0" borderId="30" xfId="0" applyNumberFormat="1" applyFont="1" applyBorder="1" applyAlignment="1">
      <alignment horizontal="right"/>
    </xf>
    <xf numFmtId="4" fontId="2" fillId="0" borderId="44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4" fontId="2" fillId="0" borderId="30" xfId="0" applyNumberFormat="1" applyFont="1" applyBorder="1" applyAlignment="1" applyProtection="1">
      <alignment horizontal="right"/>
      <protection locked="0"/>
    </xf>
    <xf numFmtId="4" fontId="2" fillId="0" borderId="33" xfId="0" applyNumberFormat="1" applyFont="1" applyBorder="1" applyAlignment="1" applyProtection="1">
      <alignment horizontal="right"/>
      <protection locked="0"/>
    </xf>
    <xf numFmtId="4" fontId="9" fillId="0" borderId="45" xfId="0" applyNumberFormat="1" applyFont="1" applyFill="1" applyBorder="1" applyAlignment="1" applyProtection="1">
      <alignment horizontal="right"/>
      <protection/>
    </xf>
    <xf numFmtId="4" fontId="7" fillId="0" borderId="30" xfId="0" applyNumberFormat="1" applyFont="1" applyBorder="1" applyAlignment="1" applyProtection="1">
      <alignment horizontal="left"/>
      <protection locked="0"/>
    </xf>
    <xf numFmtId="4" fontId="0" fillId="0" borderId="46" xfId="0" applyNumberFormat="1" applyFont="1" applyBorder="1" applyAlignment="1">
      <alignment/>
    </xf>
    <xf numFmtId="4" fontId="2" fillId="0" borderId="19" xfId="0" applyNumberFormat="1" applyFont="1" applyFill="1" applyBorder="1" applyAlignment="1" applyProtection="1">
      <alignment horizontal="right"/>
      <protection/>
    </xf>
    <xf numFmtId="4" fontId="1" fillId="0" borderId="0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24" borderId="0" xfId="0" applyFont="1" applyFill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11" xfId="0" applyFont="1" applyBorder="1" applyAlignment="1">
      <alignment wrapText="1"/>
    </xf>
    <xf numFmtId="0" fontId="3" fillId="24" borderId="35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4" fontId="3" fillId="0" borderId="27" xfId="0" applyNumberFormat="1" applyFont="1" applyBorder="1" applyAlignment="1" applyProtection="1">
      <alignment horizontal="center"/>
      <protection/>
    </xf>
    <xf numFmtId="4" fontId="3" fillId="0" borderId="23" xfId="0" applyNumberFormat="1" applyFont="1" applyBorder="1" applyAlignment="1" applyProtection="1">
      <alignment horizontal="center"/>
      <protection/>
    </xf>
    <xf numFmtId="14" fontId="1" fillId="0" borderId="10" xfId="0" applyNumberFormat="1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11" xfId="0" applyFont="1" applyBorder="1" applyAlignment="1">
      <alignment horizontal="center"/>
    </xf>
    <xf numFmtId="4" fontId="2" fillId="0" borderId="36" xfId="0" applyNumberFormat="1" applyFont="1" applyBorder="1" applyAlignment="1">
      <alignment horizontal="right"/>
    </xf>
    <xf numFmtId="0" fontId="32" fillId="24" borderId="35" xfId="0" applyFont="1" applyFill="1" applyBorder="1" applyAlignment="1">
      <alignment horizontal="center"/>
    </xf>
    <xf numFmtId="0" fontId="32" fillId="24" borderId="15" xfId="0" applyFont="1" applyFill="1" applyBorder="1" applyAlignment="1">
      <alignment horizontal="center"/>
    </xf>
    <xf numFmtId="0" fontId="32" fillId="24" borderId="16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32" fillId="24" borderId="10" xfId="0" applyFont="1" applyFill="1" applyBorder="1" applyAlignment="1">
      <alignment horizontal="center"/>
    </xf>
    <xf numFmtId="0" fontId="32" fillId="24" borderId="0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33" fillId="24" borderId="1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3" fillId="24" borderId="11" xfId="0" applyFont="1" applyFill="1" applyBorder="1" applyAlignment="1">
      <alignment/>
    </xf>
    <xf numFmtId="0" fontId="32" fillId="24" borderId="10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 quotePrefix="1">
      <alignment horizontal="left"/>
    </xf>
    <xf numFmtId="0" fontId="32" fillId="24" borderId="0" xfId="0" applyFont="1" applyFill="1" applyBorder="1" applyAlignment="1">
      <alignment/>
    </xf>
    <xf numFmtId="0" fontId="32" fillId="24" borderId="11" xfId="0" applyFont="1" applyFill="1" applyBorder="1" applyAlignment="1" applyProtection="1">
      <alignment horizontal="left"/>
      <protection locked="0"/>
    </xf>
    <xf numFmtId="0" fontId="32" fillId="24" borderId="0" xfId="0" applyFont="1" applyFill="1" applyBorder="1" applyAlignment="1">
      <alignment horizontal="left"/>
    </xf>
    <xf numFmtId="0" fontId="32" fillId="24" borderId="11" xfId="0" applyFont="1" applyFill="1" applyBorder="1" applyAlignment="1">
      <alignment horizontal="left"/>
    </xf>
    <xf numFmtId="0" fontId="33" fillId="24" borderId="12" xfId="0" applyFont="1" applyFill="1" applyBorder="1" applyAlignment="1">
      <alignment/>
    </xf>
    <xf numFmtId="0" fontId="33" fillId="24" borderId="13" xfId="0" applyFont="1" applyFill="1" applyBorder="1" applyAlignment="1">
      <alignment/>
    </xf>
    <xf numFmtId="0" fontId="33" fillId="24" borderId="14" xfId="0" applyFont="1" applyFill="1" applyBorder="1" applyAlignment="1">
      <alignment/>
    </xf>
    <xf numFmtId="0" fontId="32" fillId="24" borderId="40" xfId="0" applyFont="1" applyFill="1" applyBorder="1" applyAlignment="1">
      <alignment horizontal="center"/>
    </xf>
    <xf numFmtId="0" fontId="32" fillId="24" borderId="41" xfId="0" applyFont="1" applyFill="1" applyBorder="1" applyAlignment="1">
      <alignment horizontal="center"/>
    </xf>
    <xf numFmtId="0" fontId="32" fillId="24" borderId="42" xfId="0" applyFont="1" applyFill="1" applyBorder="1" applyAlignment="1">
      <alignment horizontal="center"/>
    </xf>
    <xf numFmtId="0" fontId="32" fillId="24" borderId="43" xfId="0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4" fontId="1" fillId="0" borderId="23" xfId="0" applyNumberFormat="1" applyFont="1" applyBorder="1" applyAlignment="1">
      <alignment horizontal="right"/>
    </xf>
    <xf numFmtId="4" fontId="1" fillId="0" borderId="26" xfId="0" applyNumberFormat="1" applyFont="1" applyBorder="1" applyAlignment="1">
      <alignment horizontal="right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28" xfId="0" applyNumberFormat="1" applyFont="1" applyBorder="1" applyAlignment="1" applyProtection="1">
      <alignment horizontal="left"/>
      <protection locked="0"/>
    </xf>
    <xf numFmtId="4" fontId="0" fillId="0" borderId="2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Border="1" applyAlignment="1" applyProtection="1">
      <alignment horizontal="right"/>
      <protection locked="0"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 applyProtection="1">
      <alignment/>
      <protection locked="0"/>
    </xf>
    <xf numFmtId="4" fontId="0" fillId="0" borderId="18" xfId="0" applyNumberFormat="1" applyFont="1" applyBorder="1" applyAlignment="1" applyProtection="1">
      <alignment horizontal="left"/>
      <protection locked="0"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Fill="1" applyBorder="1" applyAlignment="1" applyProtection="1">
      <alignment horizontal="right"/>
      <protection/>
    </xf>
    <xf numFmtId="4" fontId="0" fillId="0" borderId="47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 applyProtection="1">
      <alignment horizontal="right"/>
      <protection locked="0"/>
    </xf>
    <xf numFmtId="40" fontId="0" fillId="0" borderId="47" xfId="0" applyNumberFormat="1" applyFont="1" applyBorder="1" applyAlignment="1" applyProtection="1">
      <alignment horizontal="right"/>
      <protection locked="0"/>
    </xf>
    <xf numFmtId="4" fontId="0" fillId="0" borderId="48" xfId="0" applyNumberFormat="1" applyFont="1" applyBorder="1" applyAlignment="1" applyProtection="1">
      <alignment horizontal="right"/>
      <protection locked="0"/>
    </xf>
    <xf numFmtId="0" fontId="0" fillId="0" borderId="21" xfId="0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34" fillId="0" borderId="18" xfId="0" applyNumberFormat="1" applyFont="1" applyBorder="1" applyAlignment="1" applyProtection="1">
      <alignment horizontal="right"/>
      <protection locked="0"/>
    </xf>
    <xf numFmtId="40" fontId="0" fillId="0" borderId="18" xfId="0" applyNumberFormat="1" applyFont="1" applyBorder="1" applyAlignment="1" applyProtection="1">
      <alignment horizontal="right"/>
      <protection locked="0"/>
    </xf>
    <xf numFmtId="4" fontId="1" fillId="0" borderId="27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32" fillId="24" borderId="1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" fontId="1" fillId="0" borderId="25" xfId="0" applyNumberFormat="1" applyFont="1" applyBorder="1" applyAlignment="1">
      <alignment horizontal="right"/>
    </xf>
    <xf numFmtId="4" fontId="1" fillId="0" borderId="36" xfId="0" applyNumberFormat="1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4" fontId="0" fillId="0" borderId="19" xfId="0" applyNumberFormat="1" applyFont="1" applyBorder="1" applyAlignment="1" applyProtection="1">
      <alignment horizontal="right"/>
      <protection locked="0"/>
    </xf>
    <xf numFmtId="4" fontId="1" fillId="0" borderId="18" xfId="0" applyNumberFormat="1" applyFont="1" applyBorder="1" applyAlignment="1" applyProtection="1">
      <alignment horizontal="right"/>
      <protection locked="0"/>
    </xf>
    <xf numFmtId="4" fontId="0" fillId="0" borderId="21" xfId="0" applyNumberFormat="1" applyFont="1" applyBorder="1" applyAlignment="1" applyProtection="1">
      <alignment horizontal="left"/>
      <protection locked="0"/>
    </xf>
    <xf numFmtId="4" fontId="0" fillId="0" borderId="23" xfId="0" applyNumberFormat="1" applyFont="1" applyBorder="1" applyAlignment="1">
      <alignment horizontal="right"/>
    </xf>
    <xf numFmtId="4" fontId="0" fillId="0" borderId="22" xfId="0" applyNumberFormat="1" applyFont="1" applyFill="1" applyBorder="1" applyAlignment="1" applyProtection="1">
      <alignment horizontal="right"/>
      <protection/>
    </xf>
    <xf numFmtId="4" fontId="0" fillId="0" borderId="30" xfId="0" applyNumberFormat="1" applyFont="1" applyFill="1" applyBorder="1" applyAlignment="1" applyProtection="1">
      <alignment horizontal="right"/>
      <protection/>
    </xf>
    <xf numFmtId="4" fontId="0" fillId="0" borderId="50" xfId="0" applyNumberFormat="1" applyFont="1" applyBorder="1" applyAlignment="1" applyProtection="1">
      <alignment horizontal="right"/>
      <protection locked="0"/>
    </xf>
    <xf numFmtId="4" fontId="0" fillId="0" borderId="30" xfId="0" applyNumberFormat="1" applyFont="1" applyBorder="1" applyAlignment="1">
      <alignment horizontal="right"/>
    </xf>
    <xf numFmtId="4" fontId="1" fillId="0" borderId="51" xfId="0" applyNumberFormat="1" applyFont="1" applyBorder="1" applyAlignment="1">
      <alignment horizontal="right"/>
    </xf>
    <xf numFmtId="0" fontId="33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33" fillId="0" borderId="0" xfId="0" applyFont="1" applyBorder="1" applyAlignment="1">
      <alignment horizontal="center" wrapText="1"/>
    </xf>
    <xf numFmtId="0" fontId="33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11" xfId="0" applyFont="1" applyBorder="1" applyAlignment="1">
      <alignment horizontal="left" vertical="center" wrapText="1" readingOrder="1"/>
    </xf>
    <xf numFmtId="0" fontId="0" fillId="0" borderId="12" xfId="0" applyFont="1" applyBorder="1" applyAlignment="1">
      <alignment horizontal="left" vertical="center" wrapText="1" readingOrder="1"/>
    </xf>
    <xf numFmtId="0" fontId="0" fillId="0" borderId="13" xfId="0" applyFont="1" applyBorder="1" applyAlignment="1">
      <alignment horizontal="left" vertical="center" wrapText="1" readingOrder="1"/>
    </xf>
    <xf numFmtId="0" fontId="0" fillId="0" borderId="14" xfId="0" applyFont="1" applyBorder="1" applyAlignment="1">
      <alignment horizontal="left" vertical="center" wrapText="1" readingOrder="1"/>
    </xf>
    <xf numFmtId="0" fontId="1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3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6"/>
  <sheetViews>
    <sheetView zoomScale="85" zoomScaleNormal="85" workbookViewId="0" topLeftCell="C7">
      <selection activeCell="A36" sqref="A36"/>
    </sheetView>
  </sheetViews>
  <sheetFormatPr defaultColWidth="11.421875" defaultRowHeight="12.75"/>
  <cols>
    <col min="1" max="1" width="35.7109375" style="1" customWidth="1"/>
    <col min="2" max="2" width="16.28125" style="1" customWidth="1"/>
    <col min="3" max="3" width="16.57421875" style="1" customWidth="1"/>
    <col min="4" max="4" width="15.28125" style="1" hidden="1" customWidth="1"/>
    <col min="5" max="5" width="15.00390625" style="1" hidden="1" customWidth="1"/>
    <col min="6" max="6" width="16.57421875" style="1" hidden="1" customWidth="1"/>
    <col min="7" max="7" width="15.57421875" style="1" hidden="1" customWidth="1"/>
    <col min="8" max="8" width="16.8515625" style="1" hidden="1" customWidth="1"/>
    <col min="9" max="11" width="15.8515625" style="1" hidden="1" customWidth="1"/>
    <col min="12" max="12" width="15.421875" style="1" hidden="1" customWidth="1"/>
    <col min="13" max="13" width="17.421875" style="1" hidden="1" customWidth="1"/>
    <col min="14" max="14" width="15.8515625" style="1" hidden="1" customWidth="1"/>
    <col min="15" max="15" width="17.421875" style="1" customWidth="1"/>
    <col min="16" max="16" width="17.57421875" style="1" customWidth="1"/>
    <col min="17" max="17" width="16.7109375" style="1" hidden="1" customWidth="1"/>
    <col min="18" max="18" width="15.421875" style="1" hidden="1" customWidth="1"/>
    <col min="19" max="19" width="18.421875" style="1" hidden="1" customWidth="1"/>
    <col min="20" max="20" width="17.28125" style="1" hidden="1" customWidth="1"/>
    <col min="21" max="21" width="17.8515625" style="1" hidden="1" customWidth="1"/>
    <col min="22" max="22" width="16.57421875" style="1" hidden="1" customWidth="1"/>
    <col min="23" max="23" width="18.140625" style="1" hidden="1" customWidth="1"/>
    <col min="24" max="24" width="16.00390625" style="1" hidden="1" customWidth="1"/>
    <col min="25" max="25" width="16.57421875" style="1" hidden="1" customWidth="1"/>
    <col min="26" max="26" width="16.8515625" style="1" hidden="1" customWidth="1"/>
    <col min="27" max="27" width="17.28125" style="1" hidden="1" customWidth="1"/>
    <col min="28" max="28" width="16.421875" style="1" hidden="1" customWidth="1"/>
    <col min="29" max="29" width="18.28125" style="1" hidden="1" customWidth="1"/>
    <col min="30" max="30" width="16.8515625" style="1" hidden="1" customWidth="1"/>
    <col min="31" max="31" width="19.28125" style="1" hidden="1" customWidth="1"/>
    <col min="32" max="32" width="19.7109375" style="1" hidden="1" customWidth="1"/>
    <col min="33" max="33" width="15.8515625" style="1" hidden="1" customWidth="1"/>
    <col min="34" max="34" width="18.28125" style="1" hidden="1" customWidth="1"/>
    <col min="35" max="35" width="17.8515625" style="1" hidden="1" customWidth="1"/>
    <col min="36" max="36" width="16.00390625" style="1" hidden="1" customWidth="1"/>
    <col min="37" max="37" width="16.28125" style="1" hidden="1" customWidth="1"/>
    <col min="38" max="38" width="19.421875" style="1" hidden="1" customWidth="1"/>
    <col min="39" max="39" width="19.421875" style="1" customWidth="1"/>
    <col min="40" max="40" width="19.140625" style="1" customWidth="1"/>
    <col min="41" max="41" width="17.28125" style="1" customWidth="1"/>
    <col min="42" max="42" width="13.7109375" style="1" hidden="1" customWidth="1"/>
    <col min="43" max="43" width="14.140625" style="1" hidden="1" customWidth="1"/>
    <col min="44" max="44" width="13.421875" style="1" hidden="1" customWidth="1"/>
    <col min="45" max="45" width="15.00390625" style="1" hidden="1" customWidth="1"/>
    <col min="46" max="46" width="15.8515625" style="1" hidden="1" customWidth="1"/>
    <col min="47" max="47" width="15.421875" style="1" hidden="1" customWidth="1"/>
    <col min="48" max="48" width="13.57421875" style="1" hidden="1" customWidth="1"/>
    <col min="49" max="49" width="15.57421875" style="1" hidden="1" customWidth="1"/>
    <col min="50" max="50" width="13.00390625" style="1" hidden="1" customWidth="1"/>
    <col min="51" max="51" width="11.8515625" style="1" hidden="1" customWidth="1"/>
    <col min="52" max="52" width="13.421875" style="1" hidden="1" customWidth="1"/>
    <col min="53" max="53" width="12.8515625" style="1" customWidth="1"/>
    <col min="54" max="54" width="13.57421875" style="1" hidden="1" customWidth="1"/>
    <col min="55" max="55" width="15.00390625" style="1" customWidth="1"/>
    <col min="56" max="16384" width="11.421875" style="1" customWidth="1"/>
  </cols>
  <sheetData>
    <row r="1" spans="1:55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3"/>
      <c r="BC1" s="164"/>
    </row>
    <row r="2" spans="1:55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7"/>
    </row>
    <row r="3" spans="1:55" ht="18">
      <c r="A3" s="168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70"/>
    </row>
    <row r="4" spans="1:55" ht="20.25">
      <c r="A4" s="171" t="s">
        <v>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3"/>
    </row>
    <row r="5" spans="1:55" ht="12.7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3"/>
    </row>
    <row r="6" spans="1:55" ht="12.75">
      <c r="A6" s="156" t="s">
        <v>4</v>
      </c>
      <c r="B6" s="157"/>
      <c r="C6" s="59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4" t="s">
        <v>6</v>
      </c>
      <c r="Q6" s="54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60" t="s">
        <v>141</v>
      </c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91" t="s">
        <v>140</v>
      </c>
      <c r="BC6" s="53"/>
    </row>
    <row r="7" spans="1:55" ht="12.75">
      <c r="A7" s="156" t="s">
        <v>5</v>
      </c>
      <c r="B7" s="157"/>
      <c r="C7" s="59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4" t="s">
        <v>7</v>
      </c>
      <c r="Q7" s="54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60" t="s">
        <v>9</v>
      </c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9">
        <v>2009</v>
      </c>
      <c r="BC7" s="53"/>
    </row>
    <row r="8" spans="1:55" ht="13.5" thickBot="1">
      <c r="A8" s="55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7"/>
    </row>
    <row r="9" spans="1:55" ht="12.75">
      <c r="A9" s="103" t="s">
        <v>79</v>
      </c>
      <c r="B9" s="95"/>
      <c r="C9" s="96" t="s">
        <v>67</v>
      </c>
      <c r="D9" s="95" t="s">
        <v>65</v>
      </c>
      <c r="E9" s="95" t="s">
        <v>65</v>
      </c>
      <c r="F9" s="95" t="s">
        <v>65</v>
      </c>
      <c r="G9" s="95" t="s">
        <v>65</v>
      </c>
      <c r="H9" s="95" t="s">
        <v>65</v>
      </c>
      <c r="I9" s="95" t="s">
        <v>65</v>
      </c>
      <c r="J9" s="95" t="s">
        <v>65</v>
      </c>
      <c r="K9" s="95" t="s">
        <v>65</v>
      </c>
      <c r="L9" s="95" t="s">
        <v>65</v>
      </c>
      <c r="M9" s="95" t="s">
        <v>65</v>
      </c>
      <c r="N9" s="95" t="s">
        <v>65</v>
      </c>
      <c r="O9" s="95" t="s">
        <v>65</v>
      </c>
      <c r="P9" s="95" t="s">
        <v>65</v>
      </c>
      <c r="Q9" s="96" t="s">
        <v>69</v>
      </c>
      <c r="R9" s="95" t="s">
        <v>26</v>
      </c>
      <c r="S9" s="95" t="s">
        <v>69</v>
      </c>
      <c r="T9" s="95" t="s">
        <v>26</v>
      </c>
      <c r="U9" s="95" t="s">
        <v>69</v>
      </c>
      <c r="V9" s="95" t="s">
        <v>26</v>
      </c>
      <c r="W9" s="95" t="s">
        <v>69</v>
      </c>
      <c r="X9" s="95" t="s">
        <v>26</v>
      </c>
      <c r="Y9" s="95" t="s">
        <v>69</v>
      </c>
      <c r="Z9" s="95" t="s">
        <v>26</v>
      </c>
      <c r="AA9" s="95" t="s">
        <v>69</v>
      </c>
      <c r="AB9" s="95" t="s">
        <v>26</v>
      </c>
      <c r="AC9" s="95" t="s">
        <v>69</v>
      </c>
      <c r="AD9" s="95" t="s">
        <v>26</v>
      </c>
      <c r="AE9" s="95" t="s">
        <v>69</v>
      </c>
      <c r="AF9" s="95" t="s">
        <v>26</v>
      </c>
      <c r="AG9" s="96" t="s">
        <v>69</v>
      </c>
      <c r="AH9" s="95" t="s">
        <v>26</v>
      </c>
      <c r="AI9" s="95" t="s">
        <v>69</v>
      </c>
      <c r="AJ9" s="95" t="s">
        <v>26</v>
      </c>
      <c r="AK9" s="95" t="s">
        <v>69</v>
      </c>
      <c r="AL9" s="95" t="s">
        <v>26</v>
      </c>
      <c r="AM9" s="95" t="s">
        <v>69</v>
      </c>
      <c r="AN9" s="95" t="s">
        <v>26</v>
      </c>
      <c r="AO9" s="95" t="s">
        <v>32</v>
      </c>
      <c r="AP9" s="95" t="s">
        <v>34</v>
      </c>
      <c r="AQ9" s="95" t="s">
        <v>34</v>
      </c>
      <c r="AR9" s="95" t="s">
        <v>34</v>
      </c>
      <c r="AS9" s="95" t="s">
        <v>34</v>
      </c>
      <c r="AT9" s="95" t="s">
        <v>34</v>
      </c>
      <c r="AU9" s="95" t="s">
        <v>34</v>
      </c>
      <c r="AV9" s="95" t="s">
        <v>34</v>
      </c>
      <c r="AW9" s="95" t="s">
        <v>34</v>
      </c>
      <c r="AX9" s="95" t="s">
        <v>34</v>
      </c>
      <c r="AY9" s="95" t="s">
        <v>34</v>
      </c>
      <c r="AZ9" s="95" t="s">
        <v>34</v>
      </c>
      <c r="BA9" s="95" t="s">
        <v>34</v>
      </c>
      <c r="BB9" s="95" t="s">
        <v>34</v>
      </c>
      <c r="BC9" s="95" t="s">
        <v>37</v>
      </c>
    </row>
    <row r="10" spans="1:55" ht="12.75">
      <c r="A10" s="104" t="s">
        <v>10</v>
      </c>
      <c r="B10" s="97" t="s">
        <v>11</v>
      </c>
      <c r="C10" s="98" t="s">
        <v>68</v>
      </c>
      <c r="D10" s="97" t="s">
        <v>66</v>
      </c>
      <c r="E10" s="97" t="s">
        <v>66</v>
      </c>
      <c r="F10" s="97" t="s">
        <v>66</v>
      </c>
      <c r="G10" s="97" t="s">
        <v>66</v>
      </c>
      <c r="H10" s="97" t="s">
        <v>66</v>
      </c>
      <c r="I10" s="97" t="s">
        <v>66</v>
      </c>
      <c r="J10" s="97" t="s">
        <v>66</v>
      </c>
      <c r="K10" s="97" t="s">
        <v>66</v>
      </c>
      <c r="L10" s="97" t="s">
        <v>66</v>
      </c>
      <c r="M10" s="97" t="s">
        <v>66</v>
      </c>
      <c r="N10" s="97" t="s">
        <v>66</v>
      </c>
      <c r="O10" s="97" t="s">
        <v>66</v>
      </c>
      <c r="P10" s="97" t="s">
        <v>66</v>
      </c>
      <c r="Q10" s="98" t="s">
        <v>68</v>
      </c>
      <c r="R10" s="97" t="s">
        <v>27</v>
      </c>
      <c r="S10" s="97" t="s">
        <v>68</v>
      </c>
      <c r="T10" s="97" t="s">
        <v>27</v>
      </c>
      <c r="U10" s="97" t="s">
        <v>68</v>
      </c>
      <c r="V10" s="97" t="s">
        <v>27</v>
      </c>
      <c r="W10" s="97" t="s">
        <v>68</v>
      </c>
      <c r="X10" s="97" t="s">
        <v>27</v>
      </c>
      <c r="Y10" s="97" t="s">
        <v>68</v>
      </c>
      <c r="Z10" s="97" t="s">
        <v>27</v>
      </c>
      <c r="AA10" s="97" t="s">
        <v>68</v>
      </c>
      <c r="AB10" s="97" t="s">
        <v>27</v>
      </c>
      <c r="AC10" s="99" t="s">
        <v>68</v>
      </c>
      <c r="AD10" s="99" t="s">
        <v>27</v>
      </c>
      <c r="AE10" s="97" t="s">
        <v>68</v>
      </c>
      <c r="AF10" s="97" t="s">
        <v>27</v>
      </c>
      <c r="AG10" s="98" t="s">
        <v>68</v>
      </c>
      <c r="AH10" s="97" t="s">
        <v>27</v>
      </c>
      <c r="AI10" s="97" t="s">
        <v>68</v>
      </c>
      <c r="AJ10" s="97" t="s">
        <v>27</v>
      </c>
      <c r="AK10" s="97" t="s">
        <v>68</v>
      </c>
      <c r="AL10" s="97" t="s">
        <v>27</v>
      </c>
      <c r="AM10" s="97" t="s">
        <v>68</v>
      </c>
      <c r="AN10" s="97" t="s">
        <v>27</v>
      </c>
      <c r="AO10" s="97" t="s">
        <v>27</v>
      </c>
      <c r="AP10" s="97" t="s">
        <v>35</v>
      </c>
      <c r="AQ10" s="97" t="s">
        <v>35</v>
      </c>
      <c r="AR10" s="97" t="s">
        <v>35</v>
      </c>
      <c r="AS10" s="97" t="s">
        <v>35</v>
      </c>
      <c r="AT10" s="97" t="s">
        <v>35</v>
      </c>
      <c r="AU10" s="97" t="s">
        <v>35</v>
      </c>
      <c r="AV10" s="97" t="s">
        <v>35</v>
      </c>
      <c r="AW10" s="97" t="s">
        <v>35</v>
      </c>
      <c r="AX10" s="97" t="s">
        <v>35</v>
      </c>
      <c r="AY10" s="97" t="s">
        <v>35</v>
      </c>
      <c r="AZ10" s="97" t="s">
        <v>35</v>
      </c>
      <c r="BA10" s="97" t="s">
        <v>35</v>
      </c>
      <c r="BB10" s="97" t="s">
        <v>36</v>
      </c>
      <c r="BC10" s="97" t="s">
        <v>38</v>
      </c>
    </row>
    <row r="11" spans="1:55" ht="13.5" thickBot="1">
      <c r="A11" s="105"/>
      <c r="B11" s="100" t="s">
        <v>12</v>
      </c>
      <c r="C11" s="100" t="s">
        <v>24</v>
      </c>
      <c r="D11" s="100" t="s">
        <v>13</v>
      </c>
      <c r="E11" s="100" t="s">
        <v>14</v>
      </c>
      <c r="F11" s="100" t="s">
        <v>15</v>
      </c>
      <c r="G11" s="100" t="s">
        <v>16</v>
      </c>
      <c r="H11" s="100" t="s">
        <v>17</v>
      </c>
      <c r="I11" s="100" t="s">
        <v>18</v>
      </c>
      <c r="J11" s="100" t="s">
        <v>19</v>
      </c>
      <c r="K11" s="100" t="s">
        <v>20</v>
      </c>
      <c r="L11" s="100" t="s">
        <v>21</v>
      </c>
      <c r="M11" s="100" t="s">
        <v>22</v>
      </c>
      <c r="N11" s="100" t="s">
        <v>23</v>
      </c>
      <c r="O11" s="100" t="s">
        <v>24</v>
      </c>
      <c r="P11" s="100" t="s">
        <v>25</v>
      </c>
      <c r="Q11" s="100" t="s">
        <v>114</v>
      </c>
      <c r="R11" s="100" t="s">
        <v>13</v>
      </c>
      <c r="S11" s="100" t="s">
        <v>78</v>
      </c>
      <c r="T11" s="100" t="s">
        <v>14</v>
      </c>
      <c r="U11" s="100" t="s">
        <v>77</v>
      </c>
      <c r="V11" s="100" t="s">
        <v>15</v>
      </c>
      <c r="W11" s="100" t="s">
        <v>76</v>
      </c>
      <c r="X11" s="100" t="s">
        <v>16</v>
      </c>
      <c r="Y11" s="100" t="s">
        <v>75</v>
      </c>
      <c r="Z11" s="100" t="s">
        <v>28</v>
      </c>
      <c r="AA11" s="100" t="s">
        <v>74</v>
      </c>
      <c r="AB11" s="100" t="s">
        <v>29</v>
      </c>
      <c r="AC11" s="100" t="s">
        <v>19</v>
      </c>
      <c r="AD11" s="100" t="s">
        <v>30</v>
      </c>
      <c r="AE11" s="100" t="s">
        <v>73</v>
      </c>
      <c r="AF11" s="100" t="s">
        <v>20</v>
      </c>
      <c r="AG11" s="100" t="s">
        <v>72</v>
      </c>
      <c r="AH11" s="100" t="s">
        <v>21</v>
      </c>
      <c r="AI11" s="100" t="s">
        <v>22</v>
      </c>
      <c r="AJ11" s="100" t="s">
        <v>31</v>
      </c>
      <c r="AK11" s="100" t="s">
        <v>71</v>
      </c>
      <c r="AL11" s="100" t="s">
        <v>23</v>
      </c>
      <c r="AM11" s="100" t="s">
        <v>70</v>
      </c>
      <c r="AN11" s="100" t="s">
        <v>24</v>
      </c>
      <c r="AO11" s="100" t="s">
        <v>33</v>
      </c>
      <c r="AP11" s="100" t="s">
        <v>13</v>
      </c>
      <c r="AQ11" s="100" t="s">
        <v>14</v>
      </c>
      <c r="AR11" s="100" t="s">
        <v>15</v>
      </c>
      <c r="AS11" s="100" t="s">
        <v>16</v>
      </c>
      <c r="AT11" s="100" t="s">
        <v>28</v>
      </c>
      <c r="AU11" s="100" t="s">
        <v>137</v>
      </c>
      <c r="AV11" s="100" t="s">
        <v>30</v>
      </c>
      <c r="AW11" s="100" t="s">
        <v>23</v>
      </c>
      <c r="AX11" s="100" t="s">
        <v>21</v>
      </c>
      <c r="AY11" s="100" t="s">
        <v>31</v>
      </c>
      <c r="AZ11" s="100" t="s">
        <v>23</v>
      </c>
      <c r="BA11" s="100" t="s">
        <v>24</v>
      </c>
      <c r="BB11" s="100" t="s">
        <v>33</v>
      </c>
      <c r="BC11" s="100" t="s">
        <v>39</v>
      </c>
    </row>
    <row r="12" spans="1:55" ht="13.5" thickBot="1">
      <c r="A12" s="101">
        <v>1</v>
      </c>
      <c r="B12" s="101">
        <v>2</v>
      </c>
      <c r="C12" s="101">
        <v>3</v>
      </c>
      <c r="D12" s="101">
        <v>3</v>
      </c>
      <c r="E12" s="102">
        <v>3</v>
      </c>
      <c r="F12" s="102">
        <v>3</v>
      </c>
      <c r="G12" s="102">
        <v>3</v>
      </c>
      <c r="H12" s="102">
        <v>3</v>
      </c>
      <c r="I12" s="102">
        <v>3</v>
      </c>
      <c r="J12" s="102">
        <v>3</v>
      </c>
      <c r="K12" s="102">
        <v>3</v>
      </c>
      <c r="L12" s="102">
        <v>3</v>
      </c>
      <c r="M12" s="102">
        <v>3</v>
      </c>
      <c r="N12" s="102">
        <v>3</v>
      </c>
      <c r="O12" s="102">
        <v>3</v>
      </c>
      <c r="P12" s="101">
        <v>4</v>
      </c>
      <c r="Q12" s="101">
        <v>5</v>
      </c>
      <c r="R12" s="101">
        <v>5</v>
      </c>
      <c r="S12" s="101">
        <v>5</v>
      </c>
      <c r="T12" s="101">
        <v>5</v>
      </c>
      <c r="U12" s="101">
        <v>5</v>
      </c>
      <c r="V12" s="101">
        <v>5</v>
      </c>
      <c r="W12" s="101">
        <v>5</v>
      </c>
      <c r="X12" s="101">
        <v>5</v>
      </c>
      <c r="Y12" s="101">
        <v>5</v>
      </c>
      <c r="Z12" s="101">
        <v>5</v>
      </c>
      <c r="AA12" s="101">
        <v>5</v>
      </c>
      <c r="AB12" s="101">
        <v>5</v>
      </c>
      <c r="AC12" s="101">
        <v>5</v>
      </c>
      <c r="AD12" s="101">
        <v>5</v>
      </c>
      <c r="AE12" s="101">
        <v>5</v>
      </c>
      <c r="AF12" s="101">
        <v>5</v>
      </c>
      <c r="AG12" s="101">
        <v>5</v>
      </c>
      <c r="AH12" s="101">
        <v>5</v>
      </c>
      <c r="AI12" s="101">
        <v>5</v>
      </c>
      <c r="AJ12" s="101">
        <v>5</v>
      </c>
      <c r="AK12" s="101">
        <v>5</v>
      </c>
      <c r="AL12" s="101">
        <v>5</v>
      </c>
      <c r="AM12" s="101">
        <v>5</v>
      </c>
      <c r="AN12" s="101">
        <v>5</v>
      </c>
      <c r="AO12" s="101">
        <v>6</v>
      </c>
      <c r="AP12" s="101">
        <v>7</v>
      </c>
      <c r="AQ12" s="101">
        <v>7</v>
      </c>
      <c r="AR12" s="101">
        <v>7</v>
      </c>
      <c r="AS12" s="101">
        <v>7</v>
      </c>
      <c r="AT12" s="101">
        <v>7</v>
      </c>
      <c r="AU12" s="101">
        <v>7</v>
      </c>
      <c r="AV12" s="101">
        <v>7</v>
      </c>
      <c r="AW12" s="101">
        <v>7</v>
      </c>
      <c r="AX12" s="101">
        <v>7</v>
      </c>
      <c r="AY12" s="101">
        <v>7</v>
      </c>
      <c r="AZ12" s="101">
        <v>7</v>
      </c>
      <c r="BA12" s="101">
        <v>7</v>
      </c>
      <c r="BB12" s="101">
        <v>8</v>
      </c>
      <c r="BC12" s="101">
        <v>9</v>
      </c>
    </row>
    <row r="13" spans="1:55" ht="24.75" customHeight="1">
      <c r="A13" s="64" t="s">
        <v>81</v>
      </c>
      <c r="B13" s="18">
        <v>11131015000</v>
      </c>
      <c r="C13" s="18">
        <f>3030551653-2907995340-146560-2274.1-1-0.12-4158263</f>
        <v>118249214.78</v>
      </c>
      <c r="D13" s="18">
        <v>16363436.67</v>
      </c>
      <c r="E13" s="18">
        <v>14987258.37</v>
      </c>
      <c r="F13" s="18">
        <v>3280262883.31</v>
      </c>
      <c r="G13" s="18">
        <v>329710854.65</v>
      </c>
      <c r="H13" s="18">
        <v>339781762.22</v>
      </c>
      <c r="I13" s="18">
        <v>244308947.59</v>
      </c>
      <c r="J13" s="18">
        <v>611850676.11</v>
      </c>
      <c r="K13" s="18">
        <v>361799305.64</v>
      </c>
      <c r="L13" s="18">
        <v>1037229229.7</v>
      </c>
      <c r="M13" s="18">
        <v>414496596.76</v>
      </c>
      <c r="N13" s="18">
        <v>616919793.97</v>
      </c>
      <c r="O13" s="18">
        <v>693505371.65</v>
      </c>
      <c r="P13" s="17">
        <f>SUM(C13:O13)</f>
        <v>8079465331.42</v>
      </c>
      <c r="Q13" s="16">
        <v>81593471.9</v>
      </c>
      <c r="R13" s="18">
        <v>16363436.67</v>
      </c>
      <c r="S13" s="18">
        <v>35935742.88</v>
      </c>
      <c r="T13" s="18">
        <v>6715308.37</v>
      </c>
      <c r="U13" s="18">
        <v>0</v>
      </c>
      <c r="V13" s="18">
        <v>17979006.31</v>
      </c>
      <c r="W13" s="18">
        <v>720000</v>
      </c>
      <c r="X13" s="18">
        <v>3268985961.65</v>
      </c>
      <c r="Y13" s="18">
        <v>0</v>
      </c>
      <c r="Z13" s="18">
        <v>42903305.22</v>
      </c>
      <c r="AA13" s="18">
        <v>0</v>
      </c>
      <c r="AB13" s="18">
        <v>625882740.59</v>
      </c>
      <c r="AC13" s="18">
        <v>0</v>
      </c>
      <c r="AD13" s="18">
        <v>413692978.73</v>
      </c>
      <c r="AE13" s="18">
        <v>0</v>
      </c>
      <c r="AF13" s="18">
        <v>379467678.02</v>
      </c>
      <c r="AG13" s="18">
        <v>0</v>
      </c>
      <c r="AH13" s="18">
        <v>1348116900.7</v>
      </c>
      <c r="AI13" s="18"/>
      <c r="AJ13" s="18">
        <v>273115690.76</v>
      </c>
      <c r="AK13" s="18"/>
      <c r="AL13" s="18">
        <v>630658111.97</v>
      </c>
      <c r="AM13" s="18"/>
      <c r="AN13" s="18">
        <v>898592114.65</v>
      </c>
      <c r="AO13" s="14">
        <f>SUM(Q13:AN13)</f>
        <v>8040722448.42</v>
      </c>
      <c r="AP13" s="18">
        <v>0</v>
      </c>
      <c r="AQ13" s="18"/>
      <c r="AR13" s="18"/>
      <c r="AS13" s="18"/>
      <c r="AT13" s="18"/>
      <c r="AU13" s="18">
        <v>0</v>
      </c>
      <c r="AV13" s="18">
        <v>0</v>
      </c>
      <c r="AW13" s="18"/>
      <c r="AX13" s="18">
        <v>0</v>
      </c>
      <c r="AY13" s="18">
        <v>0</v>
      </c>
      <c r="AZ13" s="18">
        <v>0</v>
      </c>
      <c r="BA13" s="18">
        <v>0</v>
      </c>
      <c r="BB13" s="13">
        <f>SUM(AP13:BA13)</f>
        <v>0</v>
      </c>
      <c r="BC13" s="83">
        <f>SUM(P13-AO13-BB13)</f>
        <v>38742883</v>
      </c>
    </row>
    <row r="14" spans="1:55" ht="24.75" customHeight="1">
      <c r="A14" s="65" t="s">
        <v>82</v>
      </c>
      <c r="B14" s="19"/>
      <c r="C14" s="19">
        <v>5249603</v>
      </c>
      <c r="D14" s="19">
        <v>792675</v>
      </c>
      <c r="E14" s="19">
        <v>2486658</v>
      </c>
      <c r="F14" s="19">
        <v>821893</v>
      </c>
      <c r="G14" s="19">
        <v>792797</v>
      </c>
      <c r="H14" s="19">
        <v>40968168.05</v>
      </c>
      <c r="I14" s="19">
        <v>2189210</v>
      </c>
      <c r="J14" s="19">
        <v>2650279</v>
      </c>
      <c r="K14" s="19">
        <v>16691004.38</v>
      </c>
      <c r="L14" s="19">
        <v>792722</v>
      </c>
      <c r="M14" s="19">
        <v>18297640</v>
      </c>
      <c r="N14" s="19">
        <v>793009</v>
      </c>
      <c r="O14" s="19">
        <v>48133594</v>
      </c>
      <c r="P14" s="17">
        <f>SUM(C14:O14)</f>
        <v>140659252.43</v>
      </c>
      <c r="Q14" s="17">
        <v>5249603</v>
      </c>
      <c r="R14" s="19">
        <v>792675</v>
      </c>
      <c r="S14" s="19"/>
      <c r="T14" s="19">
        <v>2486658</v>
      </c>
      <c r="U14" s="19">
        <v>0</v>
      </c>
      <c r="V14" s="19">
        <v>821893</v>
      </c>
      <c r="W14" s="19"/>
      <c r="X14" s="19">
        <v>792797</v>
      </c>
      <c r="Y14" s="19">
        <v>0</v>
      </c>
      <c r="Z14" s="19">
        <v>40968168.05</v>
      </c>
      <c r="AA14" s="19">
        <v>0</v>
      </c>
      <c r="AB14" s="19">
        <v>2189210</v>
      </c>
      <c r="AC14" s="19">
        <v>0</v>
      </c>
      <c r="AD14" s="19">
        <v>2650279</v>
      </c>
      <c r="AE14" s="19">
        <v>0</v>
      </c>
      <c r="AF14" s="19">
        <v>16691004.38</v>
      </c>
      <c r="AG14" s="19">
        <v>0</v>
      </c>
      <c r="AH14" s="19">
        <v>792722</v>
      </c>
      <c r="AI14" s="19"/>
      <c r="AJ14" s="19">
        <v>18297640</v>
      </c>
      <c r="AK14" s="19"/>
      <c r="AL14" s="19">
        <v>792750</v>
      </c>
      <c r="AM14" s="19"/>
      <c r="AN14" s="19">
        <v>48133853</v>
      </c>
      <c r="AO14" s="79">
        <f>SUM(Q14:AN14)</f>
        <v>140659252.43</v>
      </c>
      <c r="AP14" s="19">
        <v>0</v>
      </c>
      <c r="AQ14" s="19"/>
      <c r="AR14" s="19"/>
      <c r="AS14" s="19"/>
      <c r="AT14" s="19"/>
      <c r="AU14" s="19">
        <v>0</v>
      </c>
      <c r="AV14" s="19">
        <v>0</v>
      </c>
      <c r="AW14" s="19"/>
      <c r="AX14" s="19">
        <v>0</v>
      </c>
      <c r="AY14" s="19">
        <v>0</v>
      </c>
      <c r="AZ14" s="19">
        <v>0</v>
      </c>
      <c r="BA14" s="19">
        <v>0</v>
      </c>
      <c r="BB14" s="14">
        <f>SUM(AP14:BA14)</f>
        <v>0</v>
      </c>
      <c r="BC14" s="15">
        <f>SUM(P14-AO14-BB14)</f>
        <v>0</v>
      </c>
    </row>
    <row r="15" spans="1:55" ht="25.5" customHeight="1">
      <c r="A15" s="65" t="s">
        <v>120</v>
      </c>
      <c r="B15" s="19"/>
      <c r="C15" s="19">
        <v>0</v>
      </c>
      <c r="D15" s="19">
        <v>6944882</v>
      </c>
      <c r="E15" s="19">
        <v>8651806</v>
      </c>
      <c r="F15" s="19"/>
      <c r="G15" s="93">
        <v>8826207</v>
      </c>
      <c r="H15" s="19">
        <v>0</v>
      </c>
      <c r="I15" s="19">
        <v>0</v>
      </c>
      <c r="J15" s="19"/>
      <c r="K15" s="19">
        <v>0</v>
      </c>
      <c r="L15" s="19">
        <v>0</v>
      </c>
      <c r="M15" s="19"/>
      <c r="N15" s="19">
        <v>25125678</v>
      </c>
      <c r="O15" s="19">
        <v>5772184</v>
      </c>
      <c r="P15" s="17">
        <f>SUM(C15:O15)</f>
        <v>55320757</v>
      </c>
      <c r="Q15" s="17">
        <v>0</v>
      </c>
      <c r="R15" s="19">
        <v>6944882</v>
      </c>
      <c r="S15" s="19"/>
      <c r="T15" s="19">
        <v>8651806</v>
      </c>
      <c r="U15" s="19">
        <v>0</v>
      </c>
      <c r="V15" s="19">
        <v>0</v>
      </c>
      <c r="W15" s="19"/>
      <c r="X15" s="19">
        <v>8826207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  <c r="AG15" s="19">
        <v>0</v>
      </c>
      <c r="AH15" s="19">
        <v>0</v>
      </c>
      <c r="AI15" s="19"/>
      <c r="AJ15" s="19">
        <v>0</v>
      </c>
      <c r="AK15" s="19"/>
      <c r="AL15" s="19">
        <v>25125678</v>
      </c>
      <c r="AM15" s="19"/>
      <c r="AN15" s="19">
        <v>5772184</v>
      </c>
      <c r="AO15" s="79">
        <f>SUM(Q15:AN15)</f>
        <v>55320757</v>
      </c>
      <c r="AP15" s="19">
        <v>0</v>
      </c>
      <c r="AQ15" s="19"/>
      <c r="AR15" s="19"/>
      <c r="AS15" s="19"/>
      <c r="AT15" s="19"/>
      <c r="AU15" s="19">
        <v>0</v>
      </c>
      <c r="AV15" s="19">
        <v>0</v>
      </c>
      <c r="AW15" s="19"/>
      <c r="AX15" s="19">
        <v>0</v>
      </c>
      <c r="AY15" s="19">
        <v>0</v>
      </c>
      <c r="AZ15" s="19">
        <v>0</v>
      </c>
      <c r="BA15" s="19">
        <v>0</v>
      </c>
      <c r="BB15" s="14">
        <f>SUM(AP15:BA15)</f>
        <v>0</v>
      </c>
      <c r="BC15" s="15">
        <f>SUM(P15-AO15-BB15)</f>
        <v>0</v>
      </c>
    </row>
    <row r="16" spans="1:55" ht="18" customHeight="1">
      <c r="A16" s="124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7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4"/>
      <c r="BC16" s="115"/>
    </row>
    <row r="17" spans="1:55" ht="18" customHeight="1">
      <c r="A17" s="20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4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4"/>
      <c r="BC17" s="15"/>
    </row>
    <row r="18" spans="1:55" ht="18" customHeight="1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7"/>
      <c r="Q18" s="17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4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4"/>
      <c r="BC18" s="15"/>
    </row>
    <row r="19" spans="1:55" ht="18" customHeight="1">
      <c r="A19" s="20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7"/>
      <c r="Q19" s="17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4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4"/>
      <c r="BC19" s="15"/>
    </row>
    <row r="20" spans="1:55" ht="18" customHeight="1">
      <c r="A20" s="20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7"/>
      <c r="Q20" s="17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4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4"/>
      <c r="BC20" s="15"/>
    </row>
    <row r="21" spans="1:55" ht="18" customHeight="1">
      <c r="A21" s="20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7"/>
      <c r="Q21" s="17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4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4"/>
      <c r="BC21" s="15"/>
    </row>
    <row r="22" spans="1:55" ht="18" customHeight="1" thickBot="1">
      <c r="A22" s="88" t="s">
        <v>88</v>
      </c>
      <c r="B22" s="89">
        <f aca="true" t="shared" si="0" ref="B22:AG22">SUM(B13:B21)</f>
        <v>11131015000</v>
      </c>
      <c r="C22" s="89">
        <f t="shared" si="0"/>
        <v>123498817.78</v>
      </c>
      <c r="D22" s="89">
        <f t="shared" si="0"/>
        <v>24100993.67</v>
      </c>
      <c r="E22" s="89">
        <f t="shared" si="0"/>
        <v>26125722.369999997</v>
      </c>
      <c r="F22" s="89">
        <f t="shared" si="0"/>
        <v>3281084776.31</v>
      </c>
      <c r="G22" s="89">
        <f t="shared" si="0"/>
        <v>339329858.65</v>
      </c>
      <c r="H22" s="89">
        <f t="shared" si="0"/>
        <v>380749930.27000004</v>
      </c>
      <c r="I22" s="89">
        <f t="shared" si="0"/>
        <v>246498157.59</v>
      </c>
      <c r="J22" s="89">
        <f t="shared" si="0"/>
        <v>614500955.11</v>
      </c>
      <c r="K22" s="89">
        <f t="shared" si="0"/>
        <v>378490310.02</v>
      </c>
      <c r="L22" s="89">
        <f t="shared" si="0"/>
        <v>1038021951.7</v>
      </c>
      <c r="M22" s="89">
        <f t="shared" si="0"/>
        <v>432794236.76</v>
      </c>
      <c r="N22" s="89">
        <f t="shared" si="0"/>
        <v>642838480.97</v>
      </c>
      <c r="O22" s="89">
        <f t="shared" si="0"/>
        <v>747411149.65</v>
      </c>
      <c r="P22" s="89">
        <f t="shared" si="0"/>
        <v>8275445340.85</v>
      </c>
      <c r="Q22" s="89">
        <f t="shared" si="0"/>
        <v>86843074.9</v>
      </c>
      <c r="R22" s="89">
        <f t="shared" si="0"/>
        <v>24100993.67</v>
      </c>
      <c r="S22" s="89">
        <f t="shared" si="0"/>
        <v>35935742.88</v>
      </c>
      <c r="T22" s="89">
        <f t="shared" si="0"/>
        <v>17853772.37</v>
      </c>
      <c r="U22" s="89">
        <f t="shared" si="0"/>
        <v>0</v>
      </c>
      <c r="V22" s="89">
        <f t="shared" si="0"/>
        <v>18800899.31</v>
      </c>
      <c r="W22" s="89">
        <f t="shared" si="0"/>
        <v>720000</v>
      </c>
      <c r="X22" s="89">
        <f t="shared" si="0"/>
        <v>3278604965.65</v>
      </c>
      <c r="Y22" s="89">
        <f t="shared" si="0"/>
        <v>0</v>
      </c>
      <c r="Z22" s="89">
        <f t="shared" si="0"/>
        <v>83871473.27</v>
      </c>
      <c r="AA22" s="89">
        <f t="shared" si="0"/>
        <v>0</v>
      </c>
      <c r="AB22" s="89">
        <f t="shared" si="0"/>
        <v>628071950.59</v>
      </c>
      <c r="AC22" s="89">
        <f t="shared" si="0"/>
        <v>0</v>
      </c>
      <c r="AD22" s="89">
        <f t="shared" si="0"/>
        <v>416343257.73</v>
      </c>
      <c r="AE22" s="89">
        <f t="shared" si="0"/>
        <v>0</v>
      </c>
      <c r="AF22" s="89">
        <f t="shared" si="0"/>
        <v>396158682.4</v>
      </c>
      <c r="AG22" s="89">
        <f t="shared" si="0"/>
        <v>0</v>
      </c>
      <c r="AH22" s="89">
        <f aca="true" t="shared" si="1" ref="AH22:BC22">SUM(AH13:AH21)</f>
        <v>1348909622.7</v>
      </c>
      <c r="AI22" s="89">
        <f t="shared" si="1"/>
        <v>0</v>
      </c>
      <c r="AJ22" s="89">
        <f t="shared" si="1"/>
        <v>291413330.76</v>
      </c>
      <c r="AK22" s="89">
        <f t="shared" si="1"/>
        <v>0</v>
      </c>
      <c r="AL22" s="89">
        <f t="shared" si="1"/>
        <v>656576539.97</v>
      </c>
      <c r="AM22" s="89">
        <f t="shared" si="1"/>
        <v>0</v>
      </c>
      <c r="AN22" s="89">
        <f t="shared" si="1"/>
        <v>952498151.65</v>
      </c>
      <c r="AO22" s="113">
        <f t="shared" si="1"/>
        <v>8236702457.85</v>
      </c>
      <c r="AP22" s="89">
        <f t="shared" si="1"/>
        <v>0</v>
      </c>
      <c r="AQ22" s="89">
        <f t="shared" si="1"/>
        <v>0</v>
      </c>
      <c r="AR22" s="89">
        <f t="shared" si="1"/>
        <v>0</v>
      </c>
      <c r="AS22" s="89">
        <f t="shared" si="1"/>
        <v>0</v>
      </c>
      <c r="AT22" s="89">
        <f t="shared" si="1"/>
        <v>0</v>
      </c>
      <c r="AU22" s="89">
        <f t="shared" si="1"/>
        <v>0</v>
      </c>
      <c r="AV22" s="89">
        <f t="shared" si="1"/>
        <v>0</v>
      </c>
      <c r="AW22" s="89">
        <f t="shared" si="1"/>
        <v>0</v>
      </c>
      <c r="AX22" s="89">
        <f t="shared" si="1"/>
        <v>0</v>
      </c>
      <c r="AY22" s="89">
        <f t="shared" si="1"/>
        <v>0</v>
      </c>
      <c r="AZ22" s="89">
        <f t="shared" si="1"/>
        <v>0</v>
      </c>
      <c r="BA22" s="89">
        <f t="shared" si="1"/>
        <v>0</v>
      </c>
      <c r="BB22" s="89">
        <f t="shared" si="1"/>
        <v>0</v>
      </c>
      <c r="BC22" s="90">
        <f t="shared" si="1"/>
        <v>38742883</v>
      </c>
    </row>
    <row r="23" spans="1:55" ht="12.75">
      <c r="A23" s="82" t="s">
        <v>115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1"/>
    </row>
    <row r="24" spans="1:55" ht="12.75">
      <c r="A24" s="9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0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6"/>
    </row>
    <row r="25" spans="1:55" ht="16.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1"/>
    </row>
    <row r="26" spans="1:55" ht="38.25" customHeight="1">
      <c r="A26" s="159"/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1"/>
    </row>
    <row r="27" spans="1:55" ht="12.75">
      <c r="A27" s="152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4"/>
    </row>
    <row r="28" spans="1:55" ht="12.75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4"/>
    </row>
    <row r="29" spans="1:55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6"/>
    </row>
    <row r="30" spans="1:55" ht="13.5" thickBot="1">
      <c r="A30" s="36"/>
      <c r="B30" s="43"/>
      <c r="C30" s="43"/>
      <c r="D30" s="47"/>
      <c r="E30" s="47"/>
      <c r="F30" s="47"/>
      <c r="G30" s="47"/>
      <c r="H30" s="47"/>
      <c r="I30" s="47"/>
      <c r="J30" s="47"/>
      <c r="K30" s="47"/>
      <c r="L30" s="47"/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2"/>
      <c r="BC30" s="6"/>
    </row>
    <row r="31" spans="1:55" ht="12.75">
      <c r="A31" s="36"/>
      <c r="B31" s="158" t="s">
        <v>125</v>
      </c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5"/>
      <c r="BB31" s="2"/>
      <c r="BC31" s="6"/>
    </row>
    <row r="32" spans="1:55" ht="12.75">
      <c r="A32" s="4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5"/>
      <c r="BB32" s="5"/>
      <c r="BC32" s="6"/>
    </row>
    <row r="33" spans="1:55" ht="12.75">
      <c r="A33" s="80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38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6"/>
    </row>
    <row r="34" spans="1:55" ht="13.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9"/>
    </row>
    <row r="36" ht="12.75">
      <c r="B36" s="2"/>
    </row>
  </sheetData>
  <mergeCells count="10">
    <mergeCell ref="A1:BC1"/>
    <mergeCell ref="A2:BC2"/>
    <mergeCell ref="A3:BC3"/>
    <mergeCell ref="A4:BC4"/>
    <mergeCell ref="A27:BC28"/>
    <mergeCell ref="B32:N32"/>
    <mergeCell ref="A6:B6"/>
    <mergeCell ref="A7:B7"/>
    <mergeCell ref="B31:N31"/>
    <mergeCell ref="A25:BC26"/>
  </mergeCells>
  <printOptions horizontalCentered="1" verticalCentered="1"/>
  <pageMargins left="1.09" right="0.59" top="0.8661417322834646" bottom="0.5905511811023623" header="0" footer="0.1968503937007874"/>
  <pageSetup horizontalDpi="300" verticalDpi="300" orientation="landscape" paperSize="5" scale="70" r:id="rId1"/>
  <headerFooter alignWithMargins="0">
    <oddHeader>&amp;CHACIENDA 2009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51"/>
  <sheetViews>
    <sheetView zoomScale="75" zoomScaleNormal="75" workbookViewId="0" topLeftCell="P11">
      <pane ySplit="645" topLeftCell="BM17" activePane="bottomLeft" state="split"/>
      <selection pane="topLeft" activeCell="AQ11" sqref="AQ1:AT16384"/>
      <selection pane="bottomLeft" activeCell="AT30" sqref="AT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1.8515625" style="1" bestFit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21.8515625" style="1" hidden="1" customWidth="1"/>
    <col min="22" max="22" width="21.7109375" style="1" hidden="1" customWidth="1"/>
    <col min="23" max="23" width="21.0039062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8515625" style="1" bestFit="1" customWidth="1"/>
    <col min="29" max="29" width="23.14062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21.8515625" style="1" bestFit="1" customWidth="1"/>
    <col min="43" max="43" width="21.28125" style="116" bestFit="1" customWidth="1"/>
    <col min="44" max="44" width="19.57421875" style="116" customWidth="1"/>
    <col min="45" max="45" width="20.0039062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142</v>
      </c>
      <c r="AQ7" s="118"/>
    </row>
    <row r="8" spans="1:44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  <c r="AR8" s="42"/>
    </row>
    <row r="9" spans="1:43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  <c r="AQ9" s="42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61</v>
      </c>
      <c r="C14" s="33">
        <f>SUM(C15,C17,C31,)</f>
        <v>1130965000</v>
      </c>
      <c r="D14" s="33">
        <f aca="true" t="shared" si="0" ref="D14:AP14">SUM(D15,D17,D31)</f>
        <v>56395361.239999995</v>
      </c>
      <c r="E14" s="33">
        <f t="shared" si="0"/>
        <v>22263168.900000002</v>
      </c>
      <c r="F14" s="33">
        <f t="shared" si="0"/>
        <v>95118452.77999999</v>
      </c>
      <c r="G14" s="33">
        <f t="shared" si="0"/>
        <v>38448663.08</v>
      </c>
      <c r="H14" s="33">
        <f t="shared" si="0"/>
        <v>114180276.62</v>
      </c>
      <c r="I14" s="33">
        <f t="shared" si="0"/>
        <v>70158292.15</v>
      </c>
      <c r="J14" s="33">
        <f t="shared" si="0"/>
        <v>54567526.65</v>
      </c>
      <c r="K14" s="33">
        <f t="shared" si="0"/>
        <v>57128490.14</v>
      </c>
      <c r="L14" s="33">
        <f t="shared" si="0"/>
        <v>71190791.86000001</v>
      </c>
      <c r="M14" s="33">
        <f t="shared" si="0"/>
        <v>96495511.53999999</v>
      </c>
      <c r="N14" s="33">
        <f t="shared" si="0"/>
        <v>90696445.61</v>
      </c>
      <c r="O14" s="33">
        <f t="shared" si="0"/>
        <v>332181435.59000003</v>
      </c>
      <c r="P14" s="33">
        <f t="shared" si="0"/>
        <v>1098824416.16</v>
      </c>
      <c r="Q14" s="33">
        <f t="shared" si="0"/>
        <v>13299881.24</v>
      </c>
      <c r="R14" s="33">
        <f t="shared" si="0"/>
        <v>13916085</v>
      </c>
      <c r="S14" s="33">
        <f t="shared" si="0"/>
        <v>42043821.31999999</v>
      </c>
      <c r="T14" s="33">
        <f t="shared" si="0"/>
        <v>32723188.929999996</v>
      </c>
      <c r="U14" s="33">
        <f t="shared" si="0"/>
        <v>112211352.15</v>
      </c>
      <c r="V14" s="33">
        <f t="shared" si="0"/>
        <v>64022919.36</v>
      </c>
      <c r="W14" s="33">
        <f t="shared" si="0"/>
        <v>67625929.37</v>
      </c>
      <c r="X14" s="33">
        <f t="shared" si="0"/>
        <v>73108064.14</v>
      </c>
      <c r="Y14" s="33">
        <f t="shared" si="0"/>
        <v>68689725.18</v>
      </c>
      <c r="Z14" s="33">
        <f t="shared" si="0"/>
        <v>78907209.17</v>
      </c>
      <c r="AA14" s="33">
        <f t="shared" si="0"/>
        <v>97623447.14</v>
      </c>
      <c r="AB14" s="33">
        <f t="shared" si="0"/>
        <v>381342158.15000004</v>
      </c>
      <c r="AC14" s="33">
        <f t="shared" si="0"/>
        <v>1045513781.1500001</v>
      </c>
      <c r="AD14" s="33">
        <f t="shared" si="0"/>
        <v>13299881.24</v>
      </c>
      <c r="AE14" s="33">
        <f t="shared" si="0"/>
        <v>13907348</v>
      </c>
      <c r="AF14" s="33">
        <f t="shared" si="0"/>
        <v>37946887.879999995</v>
      </c>
      <c r="AG14" s="33">
        <f t="shared" si="0"/>
        <v>23910095.869999997</v>
      </c>
      <c r="AH14" s="33">
        <f t="shared" si="0"/>
        <v>86751923.39</v>
      </c>
      <c r="AI14" s="33">
        <f t="shared" si="0"/>
        <v>71866252.69999999</v>
      </c>
      <c r="AJ14" s="33">
        <f t="shared" si="0"/>
        <v>97850723.84</v>
      </c>
      <c r="AK14" s="33">
        <f t="shared" si="0"/>
        <v>71639550.05</v>
      </c>
      <c r="AL14" s="33">
        <f t="shared" si="0"/>
        <v>68597476.7</v>
      </c>
      <c r="AM14" s="33">
        <f t="shared" si="0"/>
        <v>80778036.19</v>
      </c>
      <c r="AN14" s="33">
        <f t="shared" si="0"/>
        <v>92127605.58</v>
      </c>
      <c r="AO14" s="33">
        <f t="shared" si="0"/>
        <v>332578054.63000005</v>
      </c>
      <c r="AP14" s="33">
        <f t="shared" si="0"/>
        <v>991253836.07</v>
      </c>
      <c r="AQ14" s="116"/>
      <c r="AR14" s="116"/>
      <c r="AS14" s="141"/>
      <c r="AT14" s="122"/>
      <c r="AU14" s="25"/>
    </row>
    <row r="15" spans="1:47" s="30" customFormat="1" ht="16.5" thickBot="1">
      <c r="A15" s="75"/>
      <c r="B15" s="73" t="s">
        <v>63</v>
      </c>
      <c r="C15" s="34">
        <f aca="true" t="shared" si="1" ref="C15:AS15">SUM(C16)</f>
        <v>11770000</v>
      </c>
      <c r="D15" s="34">
        <f t="shared" si="1"/>
        <v>0</v>
      </c>
      <c r="E15" s="34">
        <f t="shared" si="1"/>
        <v>0</v>
      </c>
      <c r="F15" s="34">
        <f t="shared" si="1"/>
        <v>7530000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0</v>
      </c>
      <c r="O15" s="34">
        <f t="shared" si="1"/>
        <v>0</v>
      </c>
      <c r="P15" s="34">
        <f t="shared" si="1"/>
        <v>7530000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2510000</v>
      </c>
      <c r="V15" s="34">
        <f t="shared" si="1"/>
        <v>2510000</v>
      </c>
      <c r="W15" s="34">
        <f t="shared" si="1"/>
        <v>0</v>
      </c>
      <c r="X15" s="34">
        <f t="shared" si="1"/>
        <v>2510000</v>
      </c>
      <c r="Y15" s="34">
        <f t="shared" si="1"/>
        <v>0</v>
      </c>
      <c r="Z15" s="34">
        <f t="shared" si="1"/>
        <v>0</v>
      </c>
      <c r="AA15" s="34">
        <f t="shared" si="1"/>
        <v>0</v>
      </c>
      <c r="AB15" s="34">
        <f t="shared" si="1"/>
        <v>0</v>
      </c>
      <c r="AC15" s="34">
        <f t="shared" si="1"/>
        <v>7530000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2510000</v>
      </c>
      <c r="AI15" s="34">
        <f t="shared" si="1"/>
        <v>2510000</v>
      </c>
      <c r="AJ15" s="34">
        <f t="shared" si="1"/>
        <v>0</v>
      </c>
      <c r="AK15" s="34">
        <f t="shared" si="1"/>
        <v>2510000</v>
      </c>
      <c r="AL15" s="34">
        <f t="shared" si="1"/>
        <v>0</v>
      </c>
      <c r="AM15" s="34">
        <f t="shared" si="1"/>
        <v>0</v>
      </c>
      <c r="AN15" s="34">
        <f t="shared" si="1"/>
        <v>0</v>
      </c>
      <c r="AO15" s="34">
        <f t="shared" si="1"/>
        <v>0</v>
      </c>
      <c r="AP15" s="35">
        <f t="shared" si="1"/>
        <v>7530000</v>
      </c>
      <c r="AQ15" s="116"/>
      <c r="AR15" s="116"/>
      <c r="AS15" s="141"/>
      <c r="AT15" s="122"/>
      <c r="AU15" s="25"/>
    </row>
    <row r="16" spans="1:46" s="12" customFormat="1" ht="15.75" thickBot="1">
      <c r="A16" s="86" t="s">
        <v>112</v>
      </c>
      <c r="B16" s="39" t="s">
        <v>49</v>
      </c>
      <c r="C16" s="49">
        <v>11770000</v>
      </c>
      <c r="D16" s="49">
        <v>0</v>
      </c>
      <c r="E16" s="49">
        <v>0</v>
      </c>
      <c r="F16" s="49">
        <v>7530000</v>
      </c>
      <c r="G16" s="49"/>
      <c r="H16" s="49"/>
      <c r="I16" s="49"/>
      <c r="J16" s="49"/>
      <c r="K16" s="49"/>
      <c r="L16" s="49"/>
      <c r="M16" s="49">
        <v>0</v>
      </c>
      <c r="N16" s="49">
        <v>0</v>
      </c>
      <c r="O16" s="49"/>
      <c r="P16" s="28">
        <f>SUM(D16:O16)</f>
        <v>7530000</v>
      </c>
      <c r="Q16" s="49"/>
      <c r="R16" s="49"/>
      <c r="S16" s="49">
        <v>0</v>
      </c>
      <c r="T16" s="49">
        <v>0</v>
      </c>
      <c r="U16" s="49">
        <v>2510000</v>
      </c>
      <c r="V16" s="49">
        <v>2510000</v>
      </c>
      <c r="W16" s="49"/>
      <c r="X16" s="49">
        <v>2510000</v>
      </c>
      <c r="Y16" s="49"/>
      <c r="Z16" s="49"/>
      <c r="AA16" s="49">
        <v>0</v>
      </c>
      <c r="AB16" s="49"/>
      <c r="AC16" s="50">
        <f>SUM(Q16:AB16)</f>
        <v>7530000</v>
      </c>
      <c r="AD16" s="49">
        <v>0</v>
      </c>
      <c r="AE16" s="49">
        <v>0</v>
      </c>
      <c r="AF16" s="49">
        <v>0</v>
      </c>
      <c r="AG16" s="49">
        <v>0</v>
      </c>
      <c r="AH16" s="49">
        <v>2510000</v>
      </c>
      <c r="AI16" s="49">
        <v>2510000</v>
      </c>
      <c r="AJ16" s="49"/>
      <c r="AK16" s="49">
        <v>2510000</v>
      </c>
      <c r="AL16" s="49"/>
      <c r="AM16" s="49"/>
      <c r="AN16" s="49">
        <v>0</v>
      </c>
      <c r="AO16" s="49"/>
      <c r="AP16" s="76">
        <f>SUM(AD16:AO16)</f>
        <v>7530000</v>
      </c>
      <c r="AQ16" s="116"/>
      <c r="AR16" s="116"/>
      <c r="AS16" s="141"/>
      <c r="AT16" s="122"/>
    </row>
    <row r="17" spans="1:47" s="12" customFormat="1" ht="16.5" thickBot="1">
      <c r="A17" s="75"/>
      <c r="B17" s="73" t="s">
        <v>64</v>
      </c>
      <c r="C17" s="44">
        <f>SUM(C18,C29)</f>
        <v>1076885000</v>
      </c>
      <c r="D17" s="44">
        <f>SUM(D18,D29)</f>
        <v>56395361.239999995</v>
      </c>
      <c r="E17" s="44">
        <f aca="true" t="shared" si="2" ref="E17:P17">SUM(E18,E29)</f>
        <v>22263168.900000002</v>
      </c>
      <c r="F17" s="44">
        <f t="shared" si="2"/>
        <v>87588452.77999999</v>
      </c>
      <c r="G17" s="44">
        <f t="shared" si="2"/>
        <v>38448663.08</v>
      </c>
      <c r="H17" s="44">
        <f t="shared" si="2"/>
        <v>114180276.62</v>
      </c>
      <c r="I17" s="44">
        <f t="shared" si="2"/>
        <v>70158292.15</v>
      </c>
      <c r="J17" s="44">
        <f t="shared" si="2"/>
        <v>54567526.65</v>
      </c>
      <c r="K17" s="44">
        <f t="shared" si="2"/>
        <v>57128490.14</v>
      </c>
      <c r="L17" s="44">
        <f t="shared" si="2"/>
        <v>71190791.86000001</v>
      </c>
      <c r="M17" s="44">
        <f t="shared" si="2"/>
        <v>96495511.53999999</v>
      </c>
      <c r="N17" s="44">
        <f t="shared" si="2"/>
        <v>71886445.61</v>
      </c>
      <c r="O17" s="44">
        <f t="shared" si="2"/>
        <v>308697892.42</v>
      </c>
      <c r="P17" s="44">
        <f t="shared" si="2"/>
        <v>1049000872.9900001</v>
      </c>
      <c r="Q17" s="44">
        <f aca="true" t="shared" si="3" ref="Q17:AS17">SUM(Q18,Q29)</f>
        <v>13299881.24</v>
      </c>
      <c r="R17" s="44">
        <f t="shared" si="3"/>
        <v>13916085</v>
      </c>
      <c r="S17" s="44">
        <f t="shared" si="3"/>
        <v>42043821.31999999</v>
      </c>
      <c r="T17" s="44">
        <f t="shared" si="3"/>
        <v>32723188.929999996</v>
      </c>
      <c r="U17" s="44">
        <f t="shared" si="3"/>
        <v>109701352.15</v>
      </c>
      <c r="V17" s="44">
        <f t="shared" si="3"/>
        <v>61512919.36</v>
      </c>
      <c r="W17" s="44">
        <f t="shared" si="3"/>
        <v>67625929.37</v>
      </c>
      <c r="X17" s="44">
        <f t="shared" si="3"/>
        <v>70598064.14</v>
      </c>
      <c r="Y17" s="44">
        <f t="shared" si="3"/>
        <v>68689725.18</v>
      </c>
      <c r="Z17" s="44">
        <f t="shared" si="3"/>
        <v>78907209.17</v>
      </c>
      <c r="AA17" s="44">
        <f t="shared" si="3"/>
        <v>78813447.14</v>
      </c>
      <c r="AB17" s="44">
        <f t="shared" si="3"/>
        <v>357858614.98</v>
      </c>
      <c r="AC17" s="44">
        <f t="shared" si="3"/>
        <v>995690237.9800001</v>
      </c>
      <c r="AD17" s="44">
        <f t="shared" si="3"/>
        <v>13299881.24</v>
      </c>
      <c r="AE17" s="44">
        <f t="shared" si="3"/>
        <v>13907348</v>
      </c>
      <c r="AF17" s="44">
        <f t="shared" si="3"/>
        <v>37946887.879999995</v>
      </c>
      <c r="AG17" s="44">
        <f t="shared" si="3"/>
        <v>23910095.869999997</v>
      </c>
      <c r="AH17" s="44">
        <f t="shared" si="3"/>
        <v>84241923.39</v>
      </c>
      <c r="AI17" s="44">
        <f t="shared" si="3"/>
        <v>69356252.69999999</v>
      </c>
      <c r="AJ17" s="44">
        <f t="shared" si="3"/>
        <v>97850723.84</v>
      </c>
      <c r="AK17" s="44">
        <f t="shared" si="3"/>
        <v>69129550.05</v>
      </c>
      <c r="AL17" s="44">
        <f t="shared" si="3"/>
        <v>68597476.7</v>
      </c>
      <c r="AM17" s="44">
        <f t="shared" si="3"/>
        <v>80778036.19</v>
      </c>
      <c r="AN17" s="44">
        <f t="shared" si="3"/>
        <v>73317605.58</v>
      </c>
      <c r="AO17" s="44">
        <f t="shared" si="3"/>
        <v>309094511.46000004</v>
      </c>
      <c r="AP17" s="44">
        <f t="shared" si="3"/>
        <v>941430292.9000001</v>
      </c>
      <c r="AQ17" s="116"/>
      <c r="AR17" s="116"/>
      <c r="AS17" s="141"/>
      <c r="AT17" s="122"/>
      <c r="AU17" s="25"/>
    </row>
    <row r="18" spans="1:47" s="12" customFormat="1" ht="15.75">
      <c r="A18" s="45" t="s">
        <v>97</v>
      </c>
      <c r="B18" s="128" t="s">
        <v>96</v>
      </c>
      <c r="C18" s="132">
        <f>SUM(C19:C28)</f>
        <v>1000205000</v>
      </c>
      <c r="D18" s="132">
        <f>SUM(D21:D28)</f>
        <v>44496439.15</v>
      </c>
      <c r="E18" s="132">
        <f>SUM(E19:E28)</f>
        <v>18980757.85</v>
      </c>
      <c r="F18" s="132">
        <f>SUM(F21:F28)</f>
        <v>74034351.57999998</v>
      </c>
      <c r="G18" s="132">
        <f>SUM(G21:G26)</f>
        <v>34758141.79</v>
      </c>
      <c r="H18" s="132">
        <f aca="true" t="shared" si="4" ref="H18:P18">SUM(H19:H28)</f>
        <v>76567017.08000001</v>
      </c>
      <c r="I18" s="132">
        <f t="shared" si="4"/>
        <v>70019804.26</v>
      </c>
      <c r="J18" s="132">
        <f t="shared" si="4"/>
        <v>53795819.79</v>
      </c>
      <c r="K18" s="132">
        <f t="shared" si="4"/>
        <v>57028956.58</v>
      </c>
      <c r="L18" s="132">
        <f t="shared" si="4"/>
        <v>69809456.46000001</v>
      </c>
      <c r="M18" s="132">
        <f t="shared" si="4"/>
        <v>95007241.22999999</v>
      </c>
      <c r="N18" s="132">
        <f t="shared" si="4"/>
        <v>70814798.87</v>
      </c>
      <c r="O18" s="132">
        <f t="shared" si="4"/>
        <v>308354936.78000003</v>
      </c>
      <c r="P18" s="132">
        <f t="shared" si="4"/>
        <v>973667721.4200001</v>
      </c>
      <c r="Q18" s="132">
        <f>SUM(Q21:Q26)</f>
        <v>4783443.15</v>
      </c>
      <c r="R18" s="132">
        <f>SUM(R19:R28)</f>
        <v>12155260.51</v>
      </c>
      <c r="S18" s="132">
        <f>SUM(S21:S28)</f>
        <v>28489720.119999997</v>
      </c>
      <c r="T18" s="132">
        <f>SUM(T21:T28)</f>
        <v>29032667.639999997</v>
      </c>
      <c r="U18" s="132">
        <f aca="true" t="shared" si="5" ref="U18:AB18">SUM(U19:U28)</f>
        <v>72201142.61000001</v>
      </c>
      <c r="V18" s="132">
        <f t="shared" si="5"/>
        <v>61261381.47</v>
      </c>
      <c r="W18" s="132">
        <f t="shared" si="5"/>
        <v>66854222.510000005</v>
      </c>
      <c r="X18" s="132">
        <f t="shared" si="5"/>
        <v>70498530.58</v>
      </c>
      <c r="Y18" s="132">
        <f t="shared" si="5"/>
        <v>67708111.56</v>
      </c>
      <c r="Z18" s="132">
        <f t="shared" si="5"/>
        <v>78307153.08</v>
      </c>
      <c r="AA18" s="132">
        <f t="shared" si="5"/>
        <v>76520017.4</v>
      </c>
      <c r="AB18" s="132">
        <f t="shared" si="5"/>
        <v>352545435.78000003</v>
      </c>
      <c r="AC18" s="132">
        <f>SUM(AC19:AC28)</f>
        <v>920357086.4100001</v>
      </c>
      <c r="AD18" s="132">
        <f>SUM(AD21:AD26)</f>
        <v>4783443.15</v>
      </c>
      <c r="AE18" s="132">
        <f>SUM(AE19:AE28)</f>
        <v>12155260.51</v>
      </c>
      <c r="AF18" s="132">
        <f>SUM(AF21:AF28)</f>
        <v>27103586.68</v>
      </c>
      <c r="AG18" s="132">
        <f>SUM(AG21:AG28)</f>
        <v>23702450.58</v>
      </c>
      <c r="AH18" s="132">
        <f aca="true" t="shared" si="6" ref="AH18:AS18">SUM(AH19:AH28)</f>
        <v>77710856.66</v>
      </c>
      <c r="AI18" s="132">
        <f t="shared" si="6"/>
        <v>60637982.809999995</v>
      </c>
      <c r="AJ18" s="132">
        <f t="shared" si="6"/>
        <v>68374193.17</v>
      </c>
      <c r="AK18" s="132">
        <f t="shared" si="6"/>
        <v>69030016.49</v>
      </c>
      <c r="AL18" s="132">
        <f t="shared" si="6"/>
        <v>67615863.08</v>
      </c>
      <c r="AM18" s="132">
        <f t="shared" si="6"/>
        <v>80177980.1</v>
      </c>
      <c r="AN18" s="132">
        <f t="shared" si="6"/>
        <v>72312111.84</v>
      </c>
      <c r="AO18" s="132">
        <f t="shared" si="6"/>
        <v>302493396.26000005</v>
      </c>
      <c r="AP18" s="132">
        <f t="shared" si="6"/>
        <v>866097141.33</v>
      </c>
      <c r="AQ18" s="116"/>
      <c r="AR18" s="116"/>
      <c r="AS18" s="141"/>
      <c r="AT18" s="122"/>
      <c r="AU18" s="25"/>
    </row>
    <row r="19" spans="1:46" s="12" customFormat="1" ht="15">
      <c r="A19" s="45" t="s">
        <v>116</v>
      </c>
      <c r="B19" s="26" t="s">
        <v>117</v>
      </c>
      <c r="C19" s="136">
        <f>2140000-2140000+3200000</f>
        <v>3200000</v>
      </c>
      <c r="D19" s="27">
        <v>0</v>
      </c>
      <c r="E19" s="27"/>
      <c r="F19" s="27">
        <v>0</v>
      </c>
      <c r="G19" s="136">
        <v>0</v>
      </c>
      <c r="H19" s="27">
        <v>0</v>
      </c>
      <c r="I19" s="27">
        <v>0</v>
      </c>
      <c r="J19" s="27">
        <v>0</v>
      </c>
      <c r="K19" s="87">
        <v>0</v>
      </c>
      <c r="L19" s="27">
        <v>0</v>
      </c>
      <c r="M19" s="27"/>
      <c r="N19" s="27">
        <v>0</v>
      </c>
      <c r="O19" s="27">
        <v>2963588</v>
      </c>
      <c r="P19" s="28">
        <f aca="true" t="shared" si="7" ref="P19:P28">SUM(D19:O19)</f>
        <v>2963588</v>
      </c>
      <c r="Q19" s="27">
        <v>0</v>
      </c>
      <c r="R19" s="27"/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/>
      <c r="AA19" s="27">
        <v>0</v>
      </c>
      <c r="AB19" s="27">
        <v>2963588</v>
      </c>
      <c r="AC19" s="27">
        <f aca="true" t="shared" si="8" ref="AC19:AC30">SUM(Q19:AB19)</f>
        <v>2963588</v>
      </c>
      <c r="AD19" s="27">
        <v>0</v>
      </c>
      <c r="AE19" s="27"/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/>
      <c r="AL19" s="27">
        <v>0</v>
      </c>
      <c r="AM19" s="27">
        <v>0</v>
      </c>
      <c r="AN19" s="27">
        <v>0</v>
      </c>
      <c r="AO19" s="27">
        <v>2963588</v>
      </c>
      <c r="AP19" s="27">
        <f aca="true" t="shared" si="9" ref="AP19:AP30">SUM(AD19:AO19)</f>
        <v>2963588</v>
      </c>
      <c r="AQ19" s="116"/>
      <c r="AR19" s="116"/>
      <c r="AS19" s="141"/>
      <c r="AT19" s="122"/>
    </row>
    <row r="20" spans="1:46" s="12" customFormat="1" ht="15">
      <c r="A20" s="45" t="s">
        <v>138</v>
      </c>
      <c r="B20" s="26" t="s">
        <v>139</v>
      </c>
      <c r="C20" s="136">
        <f>2140000+1200000</f>
        <v>3340000</v>
      </c>
      <c r="D20" s="27"/>
      <c r="E20" s="27"/>
      <c r="F20" s="27"/>
      <c r="G20" s="136"/>
      <c r="H20" s="27"/>
      <c r="I20" s="27"/>
      <c r="J20" s="27"/>
      <c r="K20" s="87">
        <v>0</v>
      </c>
      <c r="L20" s="27">
        <v>0</v>
      </c>
      <c r="M20" s="27">
        <v>0</v>
      </c>
      <c r="N20" s="27">
        <v>0</v>
      </c>
      <c r="O20" s="27">
        <v>3256754.24</v>
      </c>
      <c r="P20" s="28">
        <f t="shared" si="7"/>
        <v>3256754.24</v>
      </c>
      <c r="Q20" s="27"/>
      <c r="R20" s="27"/>
      <c r="S20" s="27"/>
      <c r="T20" s="27"/>
      <c r="U20" s="27"/>
      <c r="V20" s="27"/>
      <c r="W20" s="27"/>
      <c r="X20" s="27">
        <v>0</v>
      </c>
      <c r="Y20" s="27">
        <v>0</v>
      </c>
      <c r="Z20" s="27"/>
      <c r="AA20" s="27">
        <v>0</v>
      </c>
      <c r="AB20" s="27">
        <v>3256754.24</v>
      </c>
      <c r="AC20" s="27">
        <f t="shared" si="8"/>
        <v>3256754.24</v>
      </c>
      <c r="AD20" s="27"/>
      <c r="AE20" s="27"/>
      <c r="AF20" s="27"/>
      <c r="AG20" s="27"/>
      <c r="AH20" s="27"/>
      <c r="AI20" s="27"/>
      <c r="AJ20" s="27"/>
      <c r="AK20" s="27"/>
      <c r="AL20" s="27">
        <v>0</v>
      </c>
      <c r="AM20" s="27">
        <v>0</v>
      </c>
      <c r="AN20" s="27">
        <v>0</v>
      </c>
      <c r="AO20" s="27">
        <v>2173639.04</v>
      </c>
      <c r="AP20" s="27">
        <f t="shared" si="9"/>
        <v>2173639.04</v>
      </c>
      <c r="AQ20" s="116"/>
      <c r="AR20" s="116"/>
      <c r="AS20" s="141"/>
      <c r="AT20" s="122"/>
    </row>
    <row r="21" spans="1:46" s="12" customFormat="1" ht="15">
      <c r="A21" s="45" t="s">
        <v>105</v>
      </c>
      <c r="B21" s="26" t="s">
        <v>99</v>
      </c>
      <c r="C21" s="136">
        <f>109500000+40725000+888257.74-1609242.48</f>
        <v>149504015.26000002</v>
      </c>
      <c r="D21" s="27">
        <v>8499999.32</v>
      </c>
      <c r="E21" s="27">
        <v>6584029.19</v>
      </c>
      <c r="F21" s="27">
        <v>6452427.73</v>
      </c>
      <c r="G21" s="136">
        <v>19060299.07</v>
      </c>
      <c r="H21" s="27">
        <v>32875864.1</v>
      </c>
      <c r="I21" s="27">
        <v>3850963.36</v>
      </c>
      <c r="J21" s="27">
        <v>73459.67</v>
      </c>
      <c r="K21" s="87">
        <v>1620438.93</v>
      </c>
      <c r="L21" s="27">
        <v>12656530.41</v>
      </c>
      <c r="M21" s="27">
        <v>45966400.07</v>
      </c>
      <c r="N21" s="27">
        <v>2033001.6</v>
      </c>
      <c r="O21" s="27">
        <v>4350938.28</v>
      </c>
      <c r="P21" s="28">
        <f t="shared" si="7"/>
        <v>144024351.73</v>
      </c>
      <c r="Q21" s="27">
        <v>0</v>
      </c>
      <c r="R21" s="27">
        <v>1440740</v>
      </c>
      <c r="S21" s="27">
        <v>7848900.39</v>
      </c>
      <c r="T21" s="27">
        <v>3413512.64</v>
      </c>
      <c r="U21" s="27">
        <v>17542342.97</v>
      </c>
      <c r="V21" s="27">
        <v>11513144.1</v>
      </c>
      <c r="W21" s="27">
        <v>4597807.95</v>
      </c>
      <c r="X21" s="27">
        <v>4283806.96</v>
      </c>
      <c r="Y21" s="27">
        <v>5256643.75</v>
      </c>
      <c r="Z21" s="27">
        <v>17010340</v>
      </c>
      <c r="AA21" s="27">
        <v>1821861.41</v>
      </c>
      <c r="AB21" s="27">
        <v>69295251.56</v>
      </c>
      <c r="AC21" s="27">
        <f t="shared" si="8"/>
        <v>144024351.73000002</v>
      </c>
      <c r="AD21" s="27">
        <v>0</v>
      </c>
      <c r="AE21" s="27">
        <v>1440740</v>
      </c>
      <c r="AF21" s="27">
        <v>6675614.95</v>
      </c>
      <c r="AG21" s="27">
        <v>3087011.84</v>
      </c>
      <c r="AH21" s="27">
        <v>18542137.21</v>
      </c>
      <c r="AI21" s="27">
        <v>12013136.1</v>
      </c>
      <c r="AJ21" s="27">
        <v>4597807.95</v>
      </c>
      <c r="AK21" s="27">
        <v>2876319.44</v>
      </c>
      <c r="AL21" s="27">
        <v>5164395.27</v>
      </c>
      <c r="AM21" s="27">
        <v>18510076</v>
      </c>
      <c r="AN21" s="27">
        <v>1821861.41</v>
      </c>
      <c r="AO21" s="27">
        <v>69295251.56</v>
      </c>
      <c r="AP21" s="27">
        <f t="shared" si="9"/>
        <v>144024351.73000002</v>
      </c>
      <c r="AQ21" s="116"/>
      <c r="AR21" s="116"/>
      <c r="AS21" s="141"/>
      <c r="AT21" s="122"/>
    </row>
    <row r="22" spans="1:46" s="12" customFormat="1" ht="15">
      <c r="A22" s="45" t="s">
        <v>106</v>
      </c>
      <c r="B22" s="26" t="s">
        <v>100</v>
      </c>
      <c r="C22" s="136">
        <f>161140000-500000-888257.74+7878000+28000000-10537459</f>
        <v>185092283.26</v>
      </c>
      <c r="D22" s="27">
        <v>23712996.68</v>
      </c>
      <c r="E22" s="27">
        <v>3628012.23</v>
      </c>
      <c r="F22" s="27">
        <v>50004247.98</v>
      </c>
      <c r="G22" s="27">
        <v>4500000</v>
      </c>
      <c r="H22" s="27">
        <v>3804876</v>
      </c>
      <c r="I22" s="27">
        <v>20500000</v>
      </c>
      <c r="J22" s="27">
        <v>3452992.94</v>
      </c>
      <c r="K22" s="87">
        <v>3282465.36</v>
      </c>
      <c r="L22" s="133">
        <v>10909802.91</v>
      </c>
      <c r="M22" s="27">
        <v>123465.97</v>
      </c>
      <c r="N22" s="27">
        <v>7347436.65</v>
      </c>
      <c r="O22" s="27">
        <v>50664182.77</v>
      </c>
      <c r="P22" s="28">
        <f t="shared" si="7"/>
        <v>181930479.49</v>
      </c>
      <c r="Q22" s="27">
        <v>0</v>
      </c>
      <c r="R22" s="27">
        <v>944396.53</v>
      </c>
      <c r="S22" s="27">
        <v>5381216.1</v>
      </c>
      <c r="T22" s="27">
        <v>14624052.01</v>
      </c>
      <c r="U22" s="27">
        <v>14358487.11</v>
      </c>
      <c r="V22" s="27">
        <v>6632698.21</v>
      </c>
      <c r="W22" s="27">
        <v>12972757.29</v>
      </c>
      <c r="X22" s="27">
        <v>14701512.76</v>
      </c>
      <c r="Y22" s="27">
        <v>12115883.91</v>
      </c>
      <c r="Z22" s="27">
        <v>12477432.11</v>
      </c>
      <c r="AA22" s="27">
        <v>11753691.96</v>
      </c>
      <c r="AB22" s="27">
        <v>25035422.42</v>
      </c>
      <c r="AC22" s="27">
        <f t="shared" si="8"/>
        <v>130997550.41000001</v>
      </c>
      <c r="AD22" s="27">
        <v>0</v>
      </c>
      <c r="AE22" s="27">
        <v>944396.53</v>
      </c>
      <c r="AF22" s="27">
        <v>5381216.1</v>
      </c>
      <c r="AG22" s="27">
        <v>9717552.2</v>
      </c>
      <c r="AH22" s="27">
        <v>18868406.92</v>
      </c>
      <c r="AI22" s="27">
        <v>7029278.21</v>
      </c>
      <c r="AJ22" s="27">
        <v>12972757.29</v>
      </c>
      <c r="AK22" s="27">
        <v>14701512.76</v>
      </c>
      <c r="AL22" s="27">
        <v>12115883.91</v>
      </c>
      <c r="AM22" s="27">
        <v>12477432.11</v>
      </c>
      <c r="AN22" s="27">
        <v>11753691.96</v>
      </c>
      <c r="AO22" s="27">
        <v>22745730.14</v>
      </c>
      <c r="AP22" s="27">
        <f t="shared" si="9"/>
        <v>128707858.13000001</v>
      </c>
      <c r="AQ22" s="116"/>
      <c r="AR22" s="116"/>
      <c r="AS22" s="141"/>
      <c r="AT22" s="122"/>
    </row>
    <row r="23" spans="1:46" s="12" customFormat="1" ht="15">
      <c r="A23" s="45" t="s">
        <v>107</v>
      </c>
      <c r="B23" s="26" t="s">
        <v>103</v>
      </c>
      <c r="C23" s="136">
        <f>34700000-800000-11602894.76</f>
        <v>22297105.240000002</v>
      </c>
      <c r="D23" s="27">
        <v>5000000</v>
      </c>
      <c r="E23" s="27">
        <v>1410971.4</v>
      </c>
      <c r="F23" s="27">
        <v>3445992.66</v>
      </c>
      <c r="G23" s="27">
        <v>1039360.88</v>
      </c>
      <c r="H23" s="27">
        <v>947806.12</v>
      </c>
      <c r="I23" s="27">
        <v>5145686.74</v>
      </c>
      <c r="J23" s="27">
        <v>969281.68</v>
      </c>
      <c r="K23" s="87">
        <v>1409863.24</v>
      </c>
      <c r="L23" s="27">
        <v>244214.65</v>
      </c>
      <c r="M23" s="27">
        <v>107724.18</v>
      </c>
      <c r="N23" s="27">
        <v>160400.04</v>
      </c>
      <c r="O23" s="27">
        <v>2132544.42</v>
      </c>
      <c r="P23" s="28">
        <f t="shared" si="7"/>
        <v>22013846.009999998</v>
      </c>
      <c r="Q23" s="27">
        <v>0</v>
      </c>
      <c r="R23" s="27">
        <v>3410971.4</v>
      </c>
      <c r="S23" s="27">
        <v>2334857.94</v>
      </c>
      <c r="T23" s="27">
        <v>1343572.88</v>
      </c>
      <c r="U23" s="27">
        <v>1219782.12</v>
      </c>
      <c r="V23" s="27">
        <v>1114115.68</v>
      </c>
      <c r="W23" s="27">
        <v>1087129.68</v>
      </c>
      <c r="X23" s="27">
        <v>3553467.24</v>
      </c>
      <c r="Y23" s="27">
        <v>1324761.96</v>
      </c>
      <c r="Z23" s="27">
        <v>143036.18</v>
      </c>
      <c r="AA23" s="27">
        <v>897740.86</v>
      </c>
      <c r="AB23" s="27">
        <v>3484410.54</v>
      </c>
      <c r="AC23" s="27">
        <f t="shared" si="8"/>
        <v>19913846.479999997</v>
      </c>
      <c r="AD23" s="27">
        <v>0</v>
      </c>
      <c r="AE23" s="27">
        <v>3410971.4</v>
      </c>
      <c r="AF23" s="27">
        <v>2334857.94</v>
      </c>
      <c r="AG23" s="27">
        <v>1343572.88</v>
      </c>
      <c r="AH23" s="27">
        <v>1219782.12</v>
      </c>
      <c r="AI23" s="27">
        <v>1114115.68</v>
      </c>
      <c r="AJ23" s="27">
        <v>1087129.68</v>
      </c>
      <c r="AK23" s="27">
        <v>3553467.24</v>
      </c>
      <c r="AL23" s="27">
        <v>1324761.96</v>
      </c>
      <c r="AM23" s="27">
        <v>143036.18</v>
      </c>
      <c r="AN23" s="27">
        <v>897740.86</v>
      </c>
      <c r="AO23" s="27">
        <v>3484410.54</v>
      </c>
      <c r="AP23" s="27">
        <f t="shared" si="9"/>
        <v>19913846.479999997</v>
      </c>
      <c r="AQ23" s="116"/>
      <c r="AR23" s="116"/>
      <c r="AS23" s="141"/>
      <c r="AT23" s="122"/>
    </row>
    <row r="24" spans="1:46" s="12" customFormat="1" ht="15">
      <c r="A24" s="45" t="s">
        <v>108</v>
      </c>
      <c r="B24" s="26" t="s">
        <v>104</v>
      </c>
      <c r="C24" s="136">
        <f>19600000+800000-2394543.36</f>
        <v>18005456.64</v>
      </c>
      <c r="D24" s="27">
        <v>2500000</v>
      </c>
      <c r="E24" s="27">
        <v>238952</v>
      </c>
      <c r="F24" s="27">
        <v>1861315.6</v>
      </c>
      <c r="G24" s="27">
        <v>2132894.71</v>
      </c>
      <c r="H24" s="27">
        <v>1389077.6</v>
      </c>
      <c r="I24" s="27">
        <v>0</v>
      </c>
      <c r="J24" s="27">
        <v>2186917.28</v>
      </c>
      <c r="K24" s="87">
        <v>3193683.84</v>
      </c>
      <c r="L24" s="27">
        <v>1577400</v>
      </c>
      <c r="M24" s="27">
        <v>827296</v>
      </c>
      <c r="N24" s="27">
        <v>346598.6</v>
      </c>
      <c r="O24" s="27">
        <v>832781.82</v>
      </c>
      <c r="P24" s="28">
        <f t="shared" si="7"/>
        <v>17086917.45</v>
      </c>
      <c r="Q24" s="27">
        <v>0</v>
      </c>
      <c r="R24" s="27">
        <v>238952</v>
      </c>
      <c r="S24" s="27">
        <v>265558</v>
      </c>
      <c r="T24" s="27">
        <v>1749090.61</v>
      </c>
      <c r="U24" s="27">
        <v>1253092.4</v>
      </c>
      <c r="V24" s="27">
        <v>1113395.84</v>
      </c>
      <c r="W24" s="27">
        <v>993357.6</v>
      </c>
      <c r="X24" s="27">
        <v>1128559.68</v>
      </c>
      <c r="Y24" s="27">
        <v>4248771.84</v>
      </c>
      <c r="Z24" s="27">
        <v>801192</v>
      </c>
      <c r="AA24" s="27">
        <v>1614447.06</v>
      </c>
      <c r="AB24" s="27">
        <v>3680500.42</v>
      </c>
      <c r="AC24" s="27">
        <f t="shared" si="8"/>
        <v>17086917.45</v>
      </c>
      <c r="AD24" s="27">
        <v>0</v>
      </c>
      <c r="AE24" s="27">
        <v>238952</v>
      </c>
      <c r="AF24" s="27">
        <v>52710</v>
      </c>
      <c r="AG24" s="27">
        <v>1651874.16</v>
      </c>
      <c r="AH24" s="27">
        <v>1253092.4</v>
      </c>
      <c r="AI24" s="27">
        <v>481177.04</v>
      </c>
      <c r="AJ24" s="27">
        <v>1625576.4</v>
      </c>
      <c r="AK24" s="27">
        <v>1438624.13</v>
      </c>
      <c r="AL24" s="27">
        <v>4248771.84</v>
      </c>
      <c r="AM24" s="27">
        <v>801192</v>
      </c>
      <c r="AN24" s="27">
        <v>1614447.06</v>
      </c>
      <c r="AO24" s="27">
        <v>2993362.82</v>
      </c>
      <c r="AP24" s="27">
        <f t="shared" si="9"/>
        <v>16399779.85</v>
      </c>
      <c r="AQ24" s="116"/>
      <c r="AR24" s="116"/>
      <c r="AS24" s="141"/>
      <c r="AT24" s="122"/>
    </row>
    <row r="25" spans="1:46" s="12" customFormat="1" ht="15">
      <c r="A25" s="45" t="s">
        <v>109</v>
      </c>
      <c r="B25" s="26" t="s">
        <v>101</v>
      </c>
      <c r="C25" s="136">
        <f>480785000-40725000-7160000+139340000+26026139.6</f>
        <v>598266139.6</v>
      </c>
      <c r="D25" s="27">
        <v>4783443.15</v>
      </c>
      <c r="E25" s="27">
        <v>7118793.03</v>
      </c>
      <c r="F25" s="27">
        <v>9013774.14</v>
      </c>
      <c r="G25" s="27">
        <v>8025587.13</v>
      </c>
      <c r="H25" s="27">
        <v>36531746.89</v>
      </c>
      <c r="I25" s="27">
        <v>38911053.45</v>
      </c>
      <c r="J25" s="27">
        <v>47113168.22</v>
      </c>
      <c r="K25" s="87">
        <v>46990385.21</v>
      </c>
      <c r="L25" s="27">
        <v>44421508.49</v>
      </c>
      <c r="M25" s="27">
        <v>47982355.01</v>
      </c>
      <c r="N25" s="27">
        <v>59785630.25</v>
      </c>
      <c r="O25" s="27">
        <v>239485796.24</v>
      </c>
      <c r="P25" s="28">
        <f t="shared" si="7"/>
        <v>590163241.21</v>
      </c>
      <c r="Q25" s="27">
        <v>4783443.15</v>
      </c>
      <c r="R25" s="27">
        <v>6120200.58</v>
      </c>
      <c r="S25" s="27">
        <v>10012366.59</v>
      </c>
      <c r="T25" s="27">
        <v>7292667.13</v>
      </c>
      <c r="U25" s="27">
        <v>37264666.89</v>
      </c>
      <c r="V25" s="27">
        <v>38821051.68</v>
      </c>
      <c r="W25" s="27">
        <v>47203169.99</v>
      </c>
      <c r="X25" s="27">
        <v>46831183.94</v>
      </c>
      <c r="Y25" s="27">
        <v>44229930.1</v>
      </c>
      <c r="Z25" s="27">
        <v>47875152.79</v>
      </c>
      <c r="AA25" s="27">
        <v>60002802.06</v>
      </c>
      <c r="AB25" s="27">
        <v>239726606.31</v>
      </c>
      <c r="AC25" s="27">
        <f t="shared" si="8"/>
        <v>590163241.21</v>
      </c>
      <c r="AD25" s="27">
        <v>4783443.15</v>
      </c>
      <c r="AE25" s="27">
        <v>6120200.58</v>
      </c>
      <c r="AF25" s="27">
        <v>10012366.59</v>
      </c>
      <c r="AG25" s="27">
        <v>7292667.13</v>
      </c>
      <c r="AH25" s="27">
        <v>37264666.89</v>
      </c>
      <c r="AI25" s="27">
        <v>38821051.68</v>
      </c>
      <c r="AJ25" s="27">
        <v>47203169.99</v>
      </c>
      <c r="AK25" s="27">
        <v>46460092.92</v>
      </c>
      <c r="AL25" s="27">
        <v>44229930.1</v>
      </c>
      <c r="AM25" s="27">
        <v>48246243.81</v>
      </c>
      <c r="AN25" s="27">
        <v>56224370.55</v>
      </c>
      <c r="AO25" s="27">
        <v>193305037.82</v>
      </c>
      <c r="AP25" s="27">
        <f t="shared" si="9"/>
        <v>539963241.21</v>
      </c>
      <c r="AQ25" s="116"/>
      <c r="AR25" s="116"/>
      <c r="AS25" s="141"/>
      <c r="AT25" s="122"/>
    </row>
    <row r="26" spans="1:46" s="12" customFormat="1" ht="15">
      <c r="A26" s="45" t="s">
        <v>110</v>
      </c>
      <c r="B26" s="26" t="s">
        <v>102</v>
      </c>
      <c r="C26" s="136">
        <f>5000000-718000-4282000</f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87">
        <v>0</v>
      </c>
      <c r="L26" s="27">
        <v>0</v>
      </c>
      <c r="M26" s="27">
        <v>0</v>
      </c>
      <c r="N26" s="27">
        <v>0</v>
      </c>
      <c r="O26" s="27">
        <v>0</v>
      </c>
      <c r="P26" s="28">
        <f t="shared" si="7"/>
        <v>0</v>
      </c>
      <c r="Q26" s="27">
        <v>0</v>
      </c>
      <c r="R26" s="27"/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f t="shared" si="8"/>
        <v>0</v>
      </c>
      <c r="AD26" s="27">
        <v>0</v>
      </c>
      <c r="AE26" s="27"/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f t="shared" si="9"/>
        <v>0</v>
      </c>
      <c r="AQ26" s="116"/>
      <c r="AR26" s="116"/>
      <c r="AS26" s="141"/>
      <c r="AT26" s="122"/>
    </row>
    <row r="27" spans="1:46" s="12" customFormat="1" ht="15">
      <c r="A27" s="45" t="s">
        <v>121</v>
      </c>
      <c r="B27" s="26" t="s">
        <v>98</v>
      </c>
      <c r="C27" s="127">
        <v>500000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87">
        <v>0</v>
      </c>
      <c r="L27" s="27">
        <v>0</v>
      </c>
      <c r="M27" s="27">
        <v>0</v>
      </c>
      <c r="N27" s="27">
        <v>0</v>
      </c>
      <c r="O27" s="27">
        <v>462844</v>
      </c>
      <c r="P27" s="28">
        <f t="shared" si="7"/>
        <v>462844</v>
      </c>
      <c r="Q27" s="27">
        <v>0</v>
      </c>
      <c r="R27" s="27"/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185137.6</v>
      </c>
      <c r="AC27" s="27">
        <f t="shared" si="8"/>
        <v>185137.6</v>
      </c>
      <c r="AD27" s="27">
        <v>0</v>
      </c>
      <c r="AE27" s="27"/>
      <c r="AF27" s="27">
        <v>0</v>
      </c>
      <c r="AG27" s="27">
        <v>0</v>
      </c>
      <c r="AH27" s="27">
        <v>0</v>
      </c>
      <c r="AI27" s="27">
        <v>0</v>
      </c>
      <c r="AJ27" s="27">
        <v>0</v>
      </c>
      <c r="AK27" s="27">
        <v>0</v>
      </c>
      <c r="AL27" s="27">
        <v>0</v>
      </c>
      <c r="AM27" s="27">
        <v>0</v>
      </c>
      <c r="AN27" s="27">
        <v>0</v>
      </c>
      <c r="AO27" s="27">
        <v>185137.6</v>
      </c>
      <c r="AP27" s="27">
        <f t="shared" si="9"/>
        <v>185137.6</v>
      </c>
      <c r="AQ27" s="116"/>
      <c r="AR27" s="116"/>
      <c r="AS27" s="141"/>
      <c r="AT27" s="122"/>
    </row>
    <row r="28" spans="1:46" s="12" customFormat="1" ht="15">
      <c r="A28" s="45" t="s">
        <v>122</v>
      </c>
      <c r="B28" s="26" t="s">
        <v>123</v>
      </c>
      <c r="C28" s="127">
        <v>20000000</v>
      </c>
      <c r="D28" s="27">
        <v>0</v>
      </c>
      <c r="E28" s="27">
        <v>0</v>
      </c>
      <c r="F28" s="27">
        <v>3256593.47</v>
      </c>
      <c r="G28" s="27">
        <v>0</v>
      </c>
      <c r="H28" s="27">
        <v>1017646.37</v>
      </c>
      <c r="I28" s="27">
        <v>1612100.71</v>
      </c>
      <c r="J28" s="27">
        <v>0</v>
      </c>
      <c r="K28" s="87">
        <v>532120</v>
      </c>
      <c r="L28" s="27">
        <v>0</v>
      </c>
      <c r="M28" s="27">
        <v>0</v>
      </c>
      <c r="N28" s="27">
        <v>1141731.73</v>
      </c>
      <c r="O28" s="27">
        <v>4205507.01</v>
      </c>
      <c r="P28" s="28">
        <f t="shared" si="7"/>
        <v>11765699.29</v>
      </c>
      <c r="Q28" s="27">
        <v>0</v>
      </c>
      <c r="R28" s="27"/>
      <c r="S28" s="27">
        <v>2646821.1</v>
      </c>
      <c r="T28" s="27">
        <v>609772.37</v>
      </c>
      <c r="U28" s="27">
        <v>562771.12</v>
      </c>
      <c r="V28" s="27">
        <v>2066975.96</v>
      </c>
      <c r="W28" s="27">
        <v>0</v>
      </c>
      <c r="X28" s="27">
        <v>0</v>
      </c>
      <c r="Y28" s="27">
        <v>532120</v>
      </c>
      <c r="Z28" s="27">
        <v>0</v>
      </c>
      <c r="AA28" s="27">
        <v>429474.05</v>
      </c>
      <c r="AB28" s="27">
        <v>4917764.69</v>
      </c>
      <c r="AC28" s="27">
        <f t="shared" si="8"/>
        <v>11765699.290000001</v>
      </c>
      <c r="AD28" s="27">
        <v>0</v>
      </c>
      <c r="AE28" s="27"/>
      <c r="AF28" s="27">
        <v>2646821.1</v>
      </c>
      <c r="AG28" s="27">
        <v>609772.37</v>
      </c>
      <c r="AH28" s="27">
        <v>562771.12</v>
      </c>
      <c r="AI28" s="27">
        <v>1179224.1</v>
      </c>
      <c r="AJ28" s="27">
        <v>887751.86</v>
      </c>
      <c r="AK28" s="27">
        <v>0</v>
      </c>
      <c r="AL28" s="27">
        <v>532120</v>
      </c>
      <c r="AM28" s="27">
        <v>0</v>
      </c>
      <c r="AN28" s="27">
        <v>0</v>
      </c>
      <c r="AO28" s="27">
        <v>5347238.74</v>
      </c>
      <c r="AP28" s="27">
        <f t="shared" si="9"/>
        <v>11765699.290000001</v>
      </c>
      <c r="AQ28" s="116"/>
      <c r="AR28" s="116"/>
      <c r="AS28" s="141"/>
      <c r="AT28" s="122"/>
    </row>
    <row r="29" spans="1:46" s="12" customFormat="1" ht="15.75">
      <c r="A29" s="45" t="s">
        <v>129</v>
      </c>
      <c r="B29" s="129" t="s">
        <v>58</v>
      </c>
      <c r="C29" s="130">
        <f>C30</f>
        <v>76680000</v>
      </c>
      <c r="D29" s="130">
        <f aca="true" t="shared" si="10" ref="D29:AP29">D30</f>
        <v>11898922.09</v>
      </c>
      <c r="E29" s="130">
        <f t="shared" si="10"/>
        <v>3282411.05</v>
      </c>
      <c r="F29" s="130">
        <f t="shared" si="10"/>
        <v>13554101.2</v>
      </c>
      <c r="G29" s="130">
        <f t="shared" si="10"/>
        <v>3690521.29</v>
      </c>
      <c r="H29" s="130">
        <f t="shared" si="10"/>
        <v>37613259.54</v>
      </c>
      <c r="I29" s="130">
        <f t="shared" si="10"/>
        <v>138487.89</v>
      </c>
      <c r="J29" s="130">
        <f t="shared" si="10"/>
        <v>771706.86</v>
      </c>
      <c r="K29" s="130">
        <f t="shared" si="10"/>
        <v>99533.56</v>
      </c>
      <c r="L29" s="130">
        <f t="shared" si="10"/>
        <v>1381335.4</v>
      </c>
      <c r="M29" s="130">
        <f t="shared" si="10"/>
        <v>1488270.31</v>
      </c>
      <c r="N29" s="130">
        <f t="shared" si="10"/>
        <v>1071646.74</v>
      </c>
      <c r="O29" s="135">
        <f t="shared" si="10"/>
        <v>342955.64</v>
      </c>
      <c r="P29" s="130">
        <f t="shared" si="10"/>
        <v>75333151.57000001</v>
      </c>
      <c r="Q29" s="130">
        <f t="shared" si="10"/>
        <v>8516438.09</v>
      </c>
      <c r="R29" s="130">
        <f t="shared" si="10"/>
        <v>1760824.49</v>
      </c>
      <c r="S29" s="130">
        <f t="shared" si="10"/>
        <v>13554101.2</v>
      </c>
      <c r="T29" s="130">
        <f t="shared" si="10"/>
        <v>3690521.29</v>
      </c>
      <c r="U29" s="130">
        <f t="shared" si="10"/>
        <v>37500209.54</v>
      </c>
      <c r="V29" s="130">
        <f t="shared" si="10"/>
        <v>251537.89</v>
      </c>
      <c r="W29" s="130">
        <f t="shared" si="10"/>
        <v>771706.86</v>
      </c>
      <c r="X29" s="130">
        <f t="shared" si="10"/>
        <v>99533.56</v>
      </c>
      <c r="Y29" s="130">
        <f t="shared" si="10"/>
        <v>981613.62</v>
      </c>
      <c r="Z29" s="130">
        <f t="shared" si="10"/>
        <v>600056.09</v>
      </c>
      <c r="AA29" s="130">
        <f t="shared" si="10"/>
        <v>2293429.74</v>
      </c>
      <c r="AB29" s="130">
        <f t="shared" si="10"/>
        <v>5313179.2</v>
      </c>
      <c r="AC29" s="130">
        <f t="shared" si="10"/>
        <v>75333151.57000001</v>
      </c>
      <c r="AD29" s="130">
        <f t="shared" si="10"/>
        <v>8516438.09</v>
      </c>
      <c r="AE29" s="130">
        <f t="shared" si="10"/>
        <v>1752087.49</v>
      </c>
      <c r="AF29" s="130">
        <f t="shared" si="10"/>
        <v>10843301.2</v>
      </c>
      <c r="AG29" s="130">
        <f t="shared" si="10"/>
        <v>207645.29</v>
      </c>
      <c r="AH29" s="130">
        <f t="shared" si="10"/>
        <v>6531066.73</v>
      </c>
      <c r="AI29" s="130">
        <f t="shared" si="10"/>
        <v>8718269.89</v>
      </c>
      <c r="AJ29" s="130">
        <f t="shared" si="10"/>
        <v>29476530.67</v>
      </c>
      <c r="AK29" s="130">
        <f t="shared" si="10"/>
        <v>99533.56</v>
      </c>
      <c r="AL29" s="130">
        <f t="shared" si="10"/>
        <v>981613.62</v>
      </c>
      <c r="AM29" s="130">
        <f t="shared" si="10"/>
        <v>600056.09</v>
      </c>
      <c r="AN29" s="130">
        <f t="shared" si="10"/>
        <v>1005493.74</v>
      </c>
      <c r="AO29" s="130">
        <f t="shared" si="10"/>
        <v>6601115.2</v>
      </c>
      <c r="AP29" s="131">
        <f t="shared" si="10"/>
        <v>75333151.57000001</v>
      </c>
      <c r="AQ29" s="116"/>
      <c r="AR29" s="116"/>
      <c r="AS29" s="141"/>
      <c r="AT29" s="122"/>
    </row>
    <row r="30" spans="1:46" s="12" customFormat="1" ht="15.75" thickBot="1">
      <c r="A30" s="45" t="s">
        <v>130</v>
      </c>
      <c r="B30" s="125" t="s">
        <v>111</v>
      </c>
      <c r="C30" s="22">
        <f>108680000-28000000-4000000</f>
        <v>76680000</v>
      </c>
      <c r="D30" s="22">
        <v>11898922.09</v>
      </c>
      <c r="E30" s="49">
        <v>3282411.05</v>
      </c>
      <c r="F30" s="49">
        <v>13554101.2</v>
      </c>
      <c r="G30" s="126">
        <v>3690521.29</v>
      </c>
      <c r="H30" s="49">
        <v>37613259.54</v>
      </c>
      <c r="I30" s="127">
        <v>138487.89</v>
      </c>
      <c r="J30" s="49">
        <v>771706.86</v>
      </c>
      <c r="K30" s="49">
        <v>99533.56</v>
      </c>
      <c r="L30" s="49">
        <v>1381335.4</v>
      </c>
      <c r="M30" s="49">
        <v>1488270.31</v>
      </c>
      <c r="N30" s="49">
        <v>1071646.74</v>
      </c>
      <c r="O30" s="134">
        <v>342955.64</v>
      </c>
      <c r="P30" s="28">
        <f>SUM(D30:O30)</f>
        <v>75333151.57000001</v>
      </c>
      <c r="Q30" s="22">
        <v>8516438.09</v>
      </c>
      <c r="R30" s="49">
        <v>1760824.49</v>
      </c>
      <c r="S30" s="49">
        <v>13554101.2</v>
      </c>
      <c r="T30" s="92">
        <v>3690521.29</v>
      </c>
      <c r="U30" s="49">
        <v>37500209.54</v>
      </c>
      <c r="V30" s="49">
        <v>251537.89</v>
      </c>
      <c r="W30" s="49">
        <v>771706.86</v>
      </c>
      <c r="X30" s="49">
        <v>99533.56</v>
      </c>
      <c r="Y30" s="49">
        <v>981613.62</v>
      </c>
      <c r="Z30" s="49">
        <v>600056.09</v>
      </c>
      <c r="AA30" s="49">
        <v>2293429.74</v>
      </c>
      <c r="AB30" s="49">
        <v>5313179.2</v>
      </c>
      <c r="AC30" s="50">
        <f t="shared" si="8"/>
        <v>75333151.57000001</v>
      </c>
      <c r="AD30" s="22">
        <v>8516438.09</v>
      </c>
      <c r="AE30" s="49">
        <v>1752087.49</v>
      </c>
      <c r="AF30" s="49">
        <v>10843301.2</v>
      </c>
      <c r="AG30" s="92">
        <v>207645.29</v>
      </c>
      <c r="AH30" s="49">
        <v>6531066.73</v>
      </c>
      <c r="AI30" s="49">
        <v>8718269.89</v>
      </c>
      <c r="AJ30" s="49">
        <v>29476530.67</v>
      </c>
      <c r="AK30" s="49">
        <v>99533.56</v>
      </c>
      <c r="AL30" s="49">
        <v>981613.62</v>
      </c>
      <c r="AM30" s="49">
        <v>600056.09</v>
      </c>
      <c r="AN30" s="49">
        <v>1005493.74</v>
      </c>
      <c r="AO30" s="49">
        <v>6601115.2</v>
      </c>
      <c r="AP30" s="76">
        <f t="shared" si="9"/>
        <v>75333151.57000001</v>
      </c>
      <c r="AQ30" s="116"/>
      <c r="AR30" s="116"/>
      <c r="AS30" s="141"/>
      <c r="AT30" s="122"/>
    </row>
    <row r="31" spans="1:46" s="47" customFormat="1" ht="16.5" thickBot="1">
      <c r="A31" s="37"/>
      <c r="B31" s="73" t="s">
        <v>85</v>
      </c>
      <c r="C31" s="34">
        <f>SUM(C32:C34)</f>
        <v>42310000</v>
      </c>
      <c r="D31" s="34">
        <f aca="true" t="shared" si="11" ref="D31:M31">SUM(D32:D34)</f>
        <v>0</v>
      </c>
      <c r="E31" s="34">
        <f t="shared" si="11"/>
        <v>0</v>
      </c>
      <c r="F31" s="34">
        <f t="shared" si="11"/>
        <v>0</v>
      </c>
      <c r="G31" s="34">
        <f t="shared" si="11"/>
        <v>0</v>
      </c>
      <c r="H31" s="34">
        <f t="shared" si="11"/>
        <v>0</v>
      </c>
      <c r="I31" s="34">
        <f t="shared" si="11"/>
        <v>0</v>
      </c>
      <c r="J31" s="34">
        <f t="shared" si="11"/>
        <v>0</v>
      </c>
      <c r="K31" s="34">
        <f t="shared" si="11"/>
        <v>0</v>
      </c>
      <c r="L31" s="34">
        <f t="shared" si="11"/>
        <v>0</v>
      </c>
      <c r="M31" s="34">
        <f t="shared" si="11"/>
        <v>0</v>
      </c>
      <c r="N31" s="34">
        <f aca="true" t="shared" si="12" ref="N31:AP31">SUM(N32:N34)</f>
        <v>18810000</v>
      </c>
      <c r="O31" s="34">
        <f t="shared" si="12"/>
        <v>23483543.17</v>
      </c>
      <c r="P31" s="34">
        <f t="shared" si="12"/>
        <v>42293543.17</v>
      </c>
      <c r="Q31" s="34">
        <f t="shared" si="12"/>
        <v>0</v>
      </c>
      <c r="R31" s="34">
        <f t="shared" si="12"/>
        <v>0</v>
      </c>
      <c r="S31" s="34">
        <f t="shared" si="12"/>
        <v>0</v>
      </c>
      <c r="T31" s="34">
        <f t="shared" si="12"/>
        <v>0</v>
      </c>
      <c r="U31" s="34">
        <f t="shared" si="12"/>
        <v>0</v>
      </c>
      <c r="V31" s="34">
        <f t="shared" si="12"/>
        <v>0</v>
      </c>
      <c r="W31" s="34">
        <f t="shared" si="12"/>
        <v>0</v>
      </c>
      <c r="X31" s="34">
        <f t="shared" si="12"/>
        <v>0</v>
      </c>
      <c r="Y31" s="34">
        <f t="shared" si="12"/>
        <v>0</v>
      </c>
      <c r="Z31" s="34">
        <f t="shared" si="12"/>
        <v>0</v>
      </c>
      <c r="AA31" s="34">
        <f t="shared" si="12"/>
        <v>18810000</v>
      </c>
      <c r="AB31" s="34">
        <f t="shared" si="12"/>
        <v>23483543.17</v>
      </c>
      <c r="AC31" s="34">
        <f t="shared" si="12"/>
        <v>42293543.17</v>
      </c>
      <c r="AD31" s="34">
        <f t="shared" si="12"/>
        <v>0</v>
      </c>
      <c r="AE31" s="34">
        <f t="shared" si="12"/>
        <v>0</v>
      </c>
      <c r="AF31" s="34">
        <f t="shared" si="12"/>
        <v>0</v>
      </c>
      <c r="AG31" s="34">
        <f t="shared" si="12"/>
        <v>0</v>
      </c>
      <c r="AH31" s="34">
        <f t="shared" si="12"/>
        <v>0</v>
      </c>
      <c r="AI31" s="34">
        <f t="shared" si="12"/>
        <v>0</v>
      </c>
      <c r="AJ31" s="34">
        <f t="shared" si="12"/>
        <v>0</v>
      </c>
      <c r="AK31" s="34">
        <f t="shared" si="12"/>
        <v>0</v>
      </c>
      <c r="AL31" s="34">
        <f t="shared" si="12"/>
        <v>0</v>
      </c>
      <c r="AM31" s="34">
        <f t="shared" si="12"/>
        <v>0</v>
      </c>
      <c r="AN31" s="34">
        <f t="shared" si="12"/>
        <v>18810000</v>
      </c>
      <c r="AO31" s="34">
        <f t="shared" si="12"/>
        <v>23483543.17</v>
      </c>
      <c r="AP31" s="34">
        <f t="shared" si="12"/>
        <v>42293543.17</v>
      </c>
      <c r="AQ31" s="116"/>
      <c r="AR31" s="116"/>
      <c r="AS31" s="141"/>
      <c r="AT31" s="122"/>
    </row>
    <row r="32" spans="1:46" s="12" customFormat="1" ht="15">
      <c r="A32" s="84" t="s">
        <v>59</v>
      </c>
      <c r="B32" s="21" t="s">
        <v>84</v>
      </c>
      <c r="C32" s="22">
        <f>18810000+23500000</f>
        <v>42310000</v>
      </c>
      <c r="D32" s="22">
        <v>0</v>
      </c>
      <c r="E32" s="22"/>
      <c r="F32" s="22">
        <v>0</v>
      </c>
      <c r="G32" s="22"/>
      <c r="H32" s="22">
        <v>0</v>
      </c>
      <c r="I32" s="22">
        <v>0</v>
      </c>
      <c r="J32" s="22">
        <v>0</v>
      </c>
      <c r="K32" s="22"/>
      <c r="L32" s="22">
        <v>0</v>
      </c>
      <c r="M32" s="22"/>
      <c r="N32" s="22">
        <v>18810000</v>
      </c>
      <c r="O32" s="22">
        <v>23483543.17</v>
      </c>
      <c r="P32" s="23">
        <f>SUM(D32:O32)</f>
        <v>42293543.17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49">
        <v>0</v>
      </c>
      <c r="Y32" s="22">
        <v>0</v>
      </c>
      <c r="Z32" s="22"/>
      <c r="AA32" s="22">
        <v>18810000</v>
      </c>
      <c r="AB32" s="22">
        <v>23483543.17</v>
      </c>
      <c r="AC32" s="23">
        <f>SUM(Q32:AB32)</f>
        <v>42293543.17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18810000</v>
      </c>
      <c r="AO32" s="22">
        <v>23483543.17</v>
      </c>
      <c r="AP32" s="24">
        <f>SUM(AD32:AO32)</f>
        <v>42293543.17</v>
      </c>
      <c r="AQ32" s="116"/>
      <c r="AR32" s="116"/>
      <c r="AS32" s="141"/>
      <c r="AT32" s="122"/>
    </row>
    <row r="33" spans="1:46" s="12" customFormat="1" ht="15" hidden="1">
      <c r="A33" s="84" t="s">
        <v>94</v>
      </c>
      <c r="B33" s="21" t="s">
        <v>95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23">
        <f>SUM(D33:O33)</f>
        <v>0</v>
      </c>
      <c r="Q33" s="49"/>
      <c r="R33" s="49"/>
      <c r="S33" s="49"/>
      <c r="T33" s="49"/>
      <c r="U33" s="49"/>
      <c r="V33" s="49"/>
      <c r="W33" s="49"/>
      <c r="X33" s="49">
        <v>0</v>
      </c>
      <c r="Y33" s="49"/>
      <c r="Z33" s="49"/>
      <c r="AA33" s="49"/>
      <c r="AB33" s="49"/>
      <c r="AC33" s="23">
        <f>SUM(Q33:AB33)</f>
        <v>0</v>
      </c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24">
        <f>SUM(AD33:AO33)</f>
        <v>0</v>
      </c>
      <c r="AQ33" s="116"/>
      <c r="AR33" s="116"/>
      <c r="AS33" s="141"/>
      <c r="AT33" s="122"/>
    </row>
    <row r="34" spans="1:46" s="12" customFormat="1" ht="16.5" thickBot="1">
      <c r="A34" s="84" t="s">
        <v>118</v>
      </c>
      <c r="B34" s="125" t="s">
        <v>119</v>
      </c>
      <c r="C34" s="49">
        <f>158840000-158840000</f>
        <v>0</v>
      </c>
      <c r="D34" s="49">
        <v>0</v>
      </c>
      <c r="E34" s="49"/>
      <c r="F34" s="49">
        <v>0</v>
      </c>
      <c r="G34" s="49"/>
      <c r="H34" s="49">
        <v>0</v>
      </c>
      <c r="I34" s="49">
        <v>0</v>
      </c>
      <c r="J34" s="49">
        <v>0</v>
      </c>
      <c r="K34" s="49"/>
      <c r="L34" s="49">
        <v>0</v>
      </c>
      <c r="M34" s="49"/>
      <c r="N34" s="49">
        <v>0</v>
      </c>
      <c r="O34" s="49">
        <v>0</v>
      </c>
      <c r="P34" s="28">
        <f>SUM(D34:O34)</f>
        <v>0</v>
      </c>
      <c r="Q34" s="49">
        <v>0</v>
      </c>
      <c r="R34" s="49"/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130">
        <v>0</v>
      </c>
      <c r="Y34" s="49">
        <v>0</v>
      </c>
      <c r="Z34" s="49"/>
      <c r="AA34" s="49">
        <v>0</v>
      </c>
      <c r="AB34" s="49">
        <v>0</v>
      </c>
      <c r="AC34" s="23">
        <f>SUM(Q34:AB34)</f>
        <v>0</v>
      </c>
      <c r="AD34" s="49">
        <v>0</v>
      </c>
      <c r="AE34" s="49"/>
      <c r="AF34" s="49">
        <v>0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/>
      <c r="AM34" s="49"/>
      <c r="AN34" s="49">
        <v>0</v>
      </c>
      <c r="AO34" s="49">
        <v>0</v>
      </c>
      <c r="AP34" s="23">
        <f>SUM(AD34:AO34)</f>
        <v>0</v>
      </c>
      <c r="AQ34" s="116"/>
      <c r="AR34" s="116"/>
      <c r="AS34" s="141"/>
      <c r="AT34" s="122"/>
    </row>
    <row r="35" spans="1:48" s="30" customFormat="1" ht="16.5" thickBot="1">
      <c r="A35" s="85"/>
      <c r="B35" s="73" t="s">
        <v>62</v>
      </c>
      <c r="C35" s="34">
        <f aca="true" t="shared" si="13" ref="C35:AS35">SUM(C36:C37)</f>
        <v>10000050000</v>
      </c>
      <c r="D35" s="34">
        <f t="shared" si="13"/>
        <v>512688165.1</v>
      </c>
      <c r="E35" s="34">
        <f t="shared" si="13"/>
        <v>706939992.47</v>
      </c>
      <c r="F35" s="34">
        <f t="shared" si="13"/>
        <v>152858505.45</v>
      </c>
      <c r="G35" s="34">
        <f t="shared" si="13"/>
        <v>125464252.71</v>
      </c>
      <c r="H35" s="34">
        <f t="shared" si="13"/>
        <v>142445624.15</v>
      </c>
      <c r="I35" s="34">
        <f t="shared" si="13"/>
        <v>174880833.07</v>
      </c>
      <c r="J35" s="34">
        <f t="shared" si="13"/>
        <v>326719186.8</v>
      </c>
      <c r="K35" s="34">
        <f t="shared" si="13"/>
        <v>474016223.27</v>
      </c>
      <c r="L35" s="34">
        <f t="shared" si="13"/>
        <v>473864968.43</v>
      </c>
      <c r="M35" s="34">
        <f t="shared" si="13"/>
        <v>757611338.05</v>
      </c>
      <c r="N35" s="34">
        <f t="shared" si="13"/>
        <v>240289414.96</v>
      </c>
      <c r="O35" s="34">
        <f t="shared" si="13"/>
        <v>275535303.16</v>
      </c>
      <c r="P35" s="34">
        <f t="shared" si="13"/>
        <v>4363313807.62</v>
      </c>
      <c r="Q35" s="34">
        <f t="shared" si="13"/>
        <v>1430729.39</v>
      </c>
      <c r="R35" s="34">
        <f t="shared" si="13"/>
        <v>303748620.63</v>
      </c>
      <c r="S35" s="34">
        <f t="shared" si="13"/>
        <v>564994494.21</v>
      </c>
      <c r="T35" s="34">
        <f t="shared" si="13"/>
        <v>365342165.34</v>
      </c>
      <c r="U35" s="34">
        <f t="shared" si="13"/>
        <v>151106195.85</v>
      </c>
      <c r="V35" s="34">
        <f t="shared" si="13"/>
        <v>119983912.85</v>
      </c>
      <c r="W35" s="34">
        <f t="shared" si="13"/>
        <v>125481983.02</v>
      </c>
      <c r="X35" s="34">
        <f t="shared" si="13"/>
        <v>221513991.29</v>
      </c>
      <c r="Y35" s="34">
        <f t="shared" si="13"/>
        <v>280655841.91</v>
      </c>
      <c r="Z35" s="34">
        <f t="shared" si="13"/>
        <v>403458071.96</v>
      </c>
      <c r="AA35" s="34">
        <f t="shared" si="13"/>
        <v>447889166.69</v>
      </c>
      <c r="AB35" s="34">
        <f t="shared" si="13"/>
        <v>699321733.8</v>
      </c>
      <c r="AC35" s="34">
        <f t="shared" si="13"/>
        <v>3684926906.9399996</v>
      </c>
      <c r="AD35" s="34">
        <f t="shared" si="13"/>
        <v>378104.89</v>
      </c>
      <c r="AE35" s="34">
        <f t="shared" si="13"/>
        <v>270077269.62</v>
      </c>
      <c r="AF35" s="34">
        <f t="shared" si="13"/>
        <v>571516625.78</v>
      </c>
      <c r="AG35" s="34">
        <f t="shared" si="13"/>
        <v>250912062.61</v>
      </c>
      <c r="AH35" s="34">
        <f t="shared" si="13"/>
        <v>286209463.71</v>
      </c>
      <c r="AI35" s="34">
        <f t="shared" si="13"/>
        <v>70097875.86</v>
      </c>
      <c r="AJ35" s="34">
        <f t="shared" si="13"/>
        <v>179896698.82</v>
      </c>
      <c r="AK35" s="34">
        <f t="shared" si="13"/>
        <v>221513991.29</v>
      </c>
      <c r="AL35" s="34">
        <f t="shared" si="13"/>
        <v>280655841.91</v>
      </c>
      <c r="AM35" s="34">
        <f t="shared" si="13"/>
        <v>403458071.96</v>
      </c>
      <c r="AN35" s="34">
        <f t="shared" si="13"/>
        <v>447889166.69</v>
      </c>
      <c r="AO35" s="34">
        <f t="shared" si="13"/>
        <v>643252490.17</v>
      </c>
      <c r="AP35" s="34">
        <f t="shared" si="13"/>
        <v>3625857663.31</v>
      </c>
      <c r="AQ35" s="116"/>
      <c r="AR35" s="116"/>
      <c r="AS35" s="141"/>
      <c r="AT35" s="122"/>
      <c r="AU35" s="25"/>
      <c r="AV35" s="140"/>
    </row>
    <row r="36" spans="1:46" s="12" customFormat="1" ht="23.25" customHeight="1" thickBot="1">
      <c r="A36" s="48" t="s">
        <v>80</v>
      </c>
      <c r="B36" s="26" t="s">
        <v>60</v>
      </c>
      <c r="C36" s="27">
        <f>10000050000</f>
        <v>10000050000</v>
      </c>
      <c r="D36" s="28">
        <v>512688165.1</v>
      </c>
      <c r="E36" s="27">
        <v>706939992.47</v>
      </c>
      <c r="F36" s="27">
        <v>152858505.45</v>
      </c>
      <c r="G36" s="27">
        <v>125464252.71</v>
      </c>
      <c r="H36" s="28">
        <v>142445624.15</v>
      </c>
      <c r="I36" s="27">
        <v>174880833.07</v>
      </c>
      <c r="J36" s="27">
        <v>326719186.8</v>
      </c>
      <c r="K36" s="133">
        <v>474016223.27</v>
      </c>
      <c r="L36" s="27">
        <v>473864968.43</v>
      </c>
      <c r="M36" s="27">
        <v>757611338.05</v>
      </c>
      <c r="N36" s="27">
        <v>240289414.96</v>
      </c>
      <c r="O36" s="28">
        <v>275535303.16</v>
      </c>
      <c r="P36" s="23">
        <f>SUM(D36:O36)</f>
        <v>4363313807.62</v>
      </c>
      <c r="Q36" s="28">
        <v>1430729.39</v>
      </c>
      <c r="R36" s="27">
        <v>303748620.63</v>
      </c>
      <c r="S36" s="27">
        <v>564994494.21</v>
      </c>
      <c r="T36" s="27">
        <v>365342165.34</v>
      </c>
      <c r="U36" s="27">
        <v>151106195.85</v>
      </c>
      <c r="V36" s="27">
        <v>119983912.85</v>
      </c>
      <c r="W36" s="27">
        <v>125481983.02</v>
      </c>
      <c r="X36" s="27">
        <v>221513991.29</v>
      </c>
      <c r="Y36" s="27">
        <v>280655841.91</v>
      </c>
      <c r="Z36" s="27">
        <v>403458071.96</v>
      </c>
      <c r="AA36" s="27">
        <v>447889166.69</v>
      </c>
      <c r="AB36" s="27">
        <v>699321733.8</v>
      </c>
      <c r="AC36" s="23">
        <f>SUM(Q36:AB36)</f>
        <v>3684926906.9399996</v>
      </c>
      <c r="AD36" s="28">
        <v>378104.89</v>
      </c>
      <c r="AE36" s="27">
        <v>270077269.62</v>
      </c>
      <c r="AF36" s="27">
        <v>571516625.78</v>
      </c>
      <c r="AG36" s="27">
        <v>250912062.61</v>
      </c>
      <c r="AH36" s="27">
        <v>286209463.71</v>
      </c>
      <c r="AI36" s="27">
        <v>70097875.86</v>
      </c>
      <c r="AJ36" s="27">
        <v>179896698.82</v>
      </c>
      <c r="AK36" s="27">
        <v>221513991.29</v>
      </c>
      <c r="AL36" s="27">
        <v>280655841.91</v>
      </c>
      <c r="AM36" s="27">
        <v>403458071.96</v>
      </c>
      <c r="AN36" s="27">
        <v>447889166.69</v>
      </c>
      <c r="AO36" s="27">
        <v>643252490.17</v>
      </c>
      <c r="AP36" s="23">
        <f>SUM(AD36:AO36)</f>
        <v>3625857663.31</v>
      </c>
      <c r="AQ36" s="116"/>
      <c r="AR36" s="116"/>
      <c r="AS36" s="141"/>
      <c r="AT36" s="122"/>
    </row>
    <row r="37" spans="1:46" s="12" customFormat="1" ht="31.5" customHeight="1" hidden="1" thickBot="1">
      <c r="A37" s="48" t="s">
        <v>93</v>
      </c>
      <c r="B37" s="121" t="s">
        <v>92</v>
      </c>
      <c r="C37" s="49"/>
      <c r="D37" s="28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28"/>
      <c r="P37" s="28">
        <f>SUM(D37:O37)</f>
        <v>0</v>
      </c>
      <c r="Q37" s="28"/>
      <c r="R37" s="49"/>
      <c r="S37" s="49"/>
      <c r="T37" s="49"/>
      <c r="U37" s="50"/>
      <c r="V37" s="49"/>
      <c r="W37" s="49"/>
      <c r="X37" s="49"/>
      <c r="Y37" s="49"/>
      <c r="Z37" s="49"/>
      <c r="AA37" s="49"/>
      <c r="AB37" s="49"/>
      <c r="AC37" s="27">
        <f>SUM(Q37:AB37)</f>
        <v>0</v>
      </c>
      <c r="AD37" s="28"/>
      <c r="AE37" s="49"/>
      <c r="AF37" s="49"/>
      <c r="AG37" s="49"/>
      <c r="AH37" s="50"/>
      <c r="AI37" s="49"/>
      <c r="AJ37" s="49"/>
      <c r="AK37" s="49"/>
      <c r="AL37" s="49"/>
      <c r="AM37" s="49"/>
      <c r="AN37" s="49"/>
      <c r="AO37" s="49"/>
      <c r="AP37" s="29">
        <f>SUM(AD37:AO37)</f>
        <v>0</v>
      </c>
      <c r="AQ37" s="116"/>
      <c r="AR37" s="116"/>
      <c r="AS37" s="141"/>
      <c r="AT37" s="122"/>
    </row>
    <row r="38" spans="1:48" s="25" customFormat="1" ht="18.75" thickBot="1">
      <c r="A38" s="177" t="s">
        <v>50</v>
      </c>
      <c r="B38" s="178"/>
      <c r="C38" s="31">
        <f aca="true" t="shared" si="14" ref="C38:O38">SUM(C14+C35)</f>
        <v>11131015000</v>
      </c>
      <c r="D38" s="31">
        <f t="shared" si="14"/>
        <v>569083526.34</v>
      </c>
      <c r="E38" s="31">
        <f t="shared" si="14"/>
        <v>729203161.37</v>
      </c>
      <c r="F38" s="31">
        <f t="shared" si="14"/>
        <v>247976958.22999996</v>
      </c>
      <c r="G38" s="31">
        <f t="shared" si="14"/>
        <v>163912915.79</v>
      </c>
      <c r="H38" s="31">
        <f t="shared" si="14"/>
        <v>256625900.77</v>
      </c>
      <c r="I38" s="31">
        <f t="shared" si="14"/>
        <v>245039125.22</v>
      </c>
      <c r="J38" s="31">
        <f t="shared" si="14"/>
        <v>381286713.45</v>
      </c>
      <c r="K38" s="31">
        <f t="shared" si="14"/>
        <v>531144713.40999997</v>
      </c>
      <c r="L38" s="31">
        <f t="shared" si="14"/>
        <v>545055760.29</v>
      </c>
      <c r="M38" s="31">
        <f t="shared" si="14"/>
        <v>854106849.5899999</v>
      </c>
      <c r="N38" s="31">
        <f t="shared" si="14"/>
        <v>330985860.57</v>
      </c>
      <c r="O38" s="120">
        <f t="shared" si="14"/>
        <v>607716738.75</v>
      </c>
      <c r="P38" s="120">
        <f aca="true" t="shared" si="15" ref="P38:AP38">SUM(P14+P35)</f>
        <v>5462138223.78</v>
      </c>
      <c r="Q38" s="120">
        <f t="shared" si="15"/>
        <v>14730610.63</v>
      </c>
      <c r="R38" s="120">
        <f t="shared" si="15"/>
        <v>317664705.63</v>
      </c>
      <c r="S38" s="120">
        <f t="shared" si="15"/>
        <v>607038315.53</v>
      </c>
      <c r="T38" s="120">
        <f t="shared" si="15"/>
        <v>398065354.27</v>
      </c>
      <c r="U38" s="120">
        <f t="shared" si="15"/>
        <v>263317548</v>
      </c>
      <c r="V38" s="120">
        <f t="shared" si="15"/>
        <v>184006832.20999998</v>
      </c>
      <c r="W38" s="120">
        <f t="shared" si="15"/>
        <v>193107912.39</v>
      </c>
      <c r="X38" s="120">
        <f t="shared" si="15"/>
        <v>294622055.43</v>
      </c>
      <c r="Y38" s="120">
        <f t="shared" si="15"/>
        <v>349345567.09000003</v>
      </c>
      <c r="Z38" s="120">
        <f t="shared" si="15"/>
        <v>482365281.13</v>
      </c>
      <c r="AA38" s="120">
        <f t="shared" si="15"/>
        <v>545512613.83</v>
      </c>
      <c r="AB38" s="120">
        <f t="shared" si="15"/>
        <v>1080663891.95</v>
      </c>
      <c r="AC38" s="120">
        <f t="shared" si="15"/>
        <v>4730440688.09</v>
      </c>
      <c r="AD38" s="120">
        <f t="shared" si="15"/>
        <v>13677986.13</v>
      </c>
      <c r="AE38" s="120">
        <f t="shared" si="15"/>
        <v>283984617.62</v>
      </c>
      <c r="AF38" s="120">
        <f t="shared" si="15"/>
        <v>609463513.66</v>
      </c>
      <c r="AG38" s="120">
        <f t="shared" si="15"/>
        <v>274822158.48</v>
      </c>
      <c r="AH38" s="120">
        <f t="shared" si="15"/>
        <v>372961387.09999996</v>
      </c>
      <c r="AI38" s="120">
        <f t="shared" si="15"/>
        <v>141964128.56</v>
      </c>
      <c r="AJ38" s="120">
        <f t="shared" si="15"/>
        <v>277747422.65999997</v>
      </c>
      <c r="AK38" s="120">
        <f t="shared" si="15"/>
        <v>293153541.34</v>
      </c>
      <c r="AL38" s="120">
        <f t="shared" si="15"/>
        <v>349253318.61</v>
      </c>
      <c r="AM38" s="120">
        <f t="shared" si="15"/>
        <v>484236108.15</v>
      </c>
      <c r="AN38" s="120">
        <f t="shared" si="15"/>
        <v>540016772.27</v>
      </c>
      <c r="AO38" s="120">
        <f t="shared" si="15"/>
        <v>975830544.8</v>
      </c>
      <c r="AP38" s="120">
        <f t="shared" si="15"/>
        <v>4617111499.38</v>
      </c>
      <c r="AQ38" s="116"/>
      <c r="AR38" s="116"/>
      <c r="AS38" s="141"/>
      <c r="AT38" s="122"/>
      <c r="AV38" s="140"/>
    </row>
    <row r="39" spans="1:42" ht="15">
      <c r="A39" s="114" t="s">
        <v>113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1"/>
    </row>
    <row r="40" spans="1:42" ht="15">
      <c r="A40" s="123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</row>
    <row r="41" spans="1:42" ht="15">
      <c r="A41" s="159" t="s">
        <v>143</v>
      </c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1"/>
    </row>
    <row r="42" spans="1:42" ht="43.5" customHeight="1">
      <c r="A42" s="159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1"/>
    </row>
    <row r="43" spans="1:42" ht="15" hidden="1">
      <c r="A43" s="63">
        <f ca="1">TODAY()</f>
        <v>40211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</row>
    <row r="44" spans="1:42" ht="15" hidden="1">
      <c r="A44" s="63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</row>
    <row r="45" spans="1:42" ht="15" customHeight="1">
      <c r="A45" s="6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</row>
    <row r="46" spans="1:42" ht="1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</row>
    <row r="47" spans="1:42" ht="15.75" thickBot="1">
      <c r="A47" s="4"/>
      <c r="B47" s="77" t="s">
        <v>86</v>
      </c>
      <c r="C47" s="2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 t="s">
        <v>87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</row>
    <row r="48" spans="1:42" ht="15.75">
      <c r="A48" s="4"/>
      <c r="B48" s="66"/>
      <c r="C48" s="174" t="s">
        <v>124</v>
      </c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5"/>
      <c r="R48" s="5"/>
      <c r="S48" s="5"/>
      <c r="T48" s="5"/>
      <c r="U48" s="38">
        <f>4363313807.62-3684926906.94</f>
        <v>678386900.6799998</v>
      </c>
      <c r="V48" s="5"/>
      <c r="W48" s="5"/>
      <c r="X48" s="5"/>
      <c r="Y48" s="5"/>
      <c r="Z48" s="5"/>
      <c r="AA48" s="5"/>
      <c r="AB48" s="5"/>
      <c r="AC48" s="149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</row>
    <row r="49" spans="1:42" ht="1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151"/>
      <c r="AP49" s="6"/>
    </row>
    <row r="50" spans="1:42" ht="15">
      <c r="A50" s="3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</row>
    <row r="51" spans="1:42" ht="15.75" thickBot="1">
      <c r="A51" s="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9"/>
    </row>
  </sheetData>
  <mergeCells count="10">
    <mergeCell ref="A1:AP1"/>
    <mergeCell ref="A2:AP2"/>
    <mergeCell ref="A3:AP3"/>
    <mergeCell ref="A4:AP4"/>
    <mergeCell ref="C48:P48"/>
    <mergeCell ref="A5:AP5"/>
    <mergeCell ref="A7:B7"/>
    <mergeCell ref="A8:B8"/>
    <mergeCell ref="A38:B38"/>
    <mergeCell ref="A41:AP42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75" zoomScaleNormal="75" workbookViewId="0" topLeftCell="A1">
      <selection activeCell="P19" sqref="P19"/>
    </sheetView>
  </sheetViews>
  <sheetFormatPr defaultColWidth="11.421875" defaultRowHeight="12.75"/>
  <cols>
    <col min="1" max="1" width="13.28125" style="1" customWidth="1"/>
    <col min="2" max="2" width="46.57421875" style="1" bestFit="1" customWidth="1"/>
    <col min="3" max="3" width="19.7109375" style="1" bestFit="1" customWidth="1"/>
    <col min="4" max="4" width="19.7109375" style="1" hidden="1" customWidth="1"/>
    <col min="5" max="5" width="21.421875" style="1" hidden="1" customWidth="1"/>
    <col min="6" max="6" width="22.7109375" style="1" hidden="1" customWidth="1"/>
    <col min="7" max="7" width="19.57421875" style="1" hidden="1" customWidth="1"/>
    <col min="8" max="8" width="22.57421875" style="1" hidden="1" customWidth="1"/>
    <col min="9" max="9" width="20.140625" style="1" hidden="1" customWidth="1"/>
    <col min="10" max="11" width="20.7109375" style="1" hidden="1" customWidth="1"/>
    <col min="12" max="12" width="22.140625" style="1" hidden="1" customWidth="1"/>
    <col min="13" max="13" width="19.8515625" style="1" hidden="1" customWidth="1"/>
    <col min="14" max="14" width="22.140625" style="1" hidden="1" customWidth="1"/>
    <col min="15" max="15" width="20.57421875" style="1" customWidth="1"/>
    <col min="16" max="16" width="20.421875" style="1" customWidth="1"/>
    <col min="17" max="17" width="11.8515625" style="1" bestFit="1" customWidth="1"/>
    <col min="18" max="18" width="12.8515625" style="1" bestFit="1" customWidth="1"/>
    <col min="19" max="16384" width="11.421875" style="1" customWidth="1"/>
  </cols>
  <sheetData>
    <row r="1" spans="1:16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4"/>
    </row>
    <row r="2" spans="1:16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7"/>
    </row>
    <row r="3" spans="1:16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70"/>
    </row>
    <row r="4" spans="1:16" ht="15.75">
      <c r="A4" s="165" t="s">
        <v>56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7"/>
    </row>
    <row r="5" spans="1:16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3"/>
    </row>
    <row r="6" spans="1:16" ht="15">
      <c r="A6" s="51"/>
      <c r="B6" s="52"/>
      <c r="C6" s="52"/>
      <c r="D6" s="52"/>
      <c r="E6" s="52"/>
      <c r="F6" s="52"/>
      <c r="G6" s="52"/>
      <c r="H6" s="58"/>
      <c r="I6" s="52"/>
      <c r="J6" s="52"/>
      <c r="K6" s="52"/>
      <c r="L6" s="52"/>
      <c r="M6" s="52"/>
      <c r="N6" s="52"/>
      <c r="O6" s="52"/>
      <c r="P6" s="53"/>
    </row>
    <row r="7" spans="1:16" ht="15.75">
      <c r="A7" s="175" t="s">
        <v>4</v>
      </c>
      <c r="B7" s="176"/>
      <c r="C7" s="68" t="s">
        <v>48</v>
      </c>
      <c r="D7" s="71"/>
      <c r="E7" s="71"/>
      <c r="F7" s="71"/>
      <c r="G7" s="71"/>
      <c r="H7" s="58"/>
      <c r="I7" s="71"/>
      <c r="J7" s="71"/>
      <c r="K7" s="71"/>
      <c r="L7" s="71"/>
      <c r="M7" s="71"/>
      <c r="N7" s="71"/>
      <c r="O7" s="71"/>
      <c r="P7" s="74" t="s">
        <v>142</v>
      </c>
    </row>
    <row r="8" spans="1:16" ht="15.75">
      <c r="A8" s="175" t="s">
        <v>5</v>
      </c>
      <c r="B8" s="176"/>
      <c r="C8" s="67" t="s">
        <v>57</v>
      </c>
      <c r="D8" s="71"/>
      <c r="E8" s="71"/>
      <c r="F8" s="71"/>
      <c r="G8" s="71"/>
      <c r="H8" s="58"/>
      <c r="I8" s="71"/>
      <c r="J8" s="71"/>
      <c r="K8" s="71"/>
      <c r="L8" s="71"/>
      <c r="M8" s="71"/>
      <c r="N8" s="71"/>
      <c r="O8" s="71"/>
      <c r="P8" s="70">
        <v>2009</v>
      </c>
    </row>
    <row r="9" spans="1:16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</row>
    <row r="10" spans="1:16" ht="12.75">
      <c r="A10" s="106"/>
      <c r="B10" s="107"/>
      <c r="C10" s="107" t="s">
        <v>90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</row>
    <row r="11" spans="1:16" ht="12.75">
      <c r="A11" s="108" t="s">
        <v>40</v>
      </c>
      <c r="B11" s="108" t="s">
        <v>42</v>
      </c>
      <c r="C11" s="108" t="s">
        <v>55</v>
      </c>
      <c r="D11" s="108" t="s">
        <v>46</v>
      </c>
      <c r="E11" s="108" t="s">
        <v>46</v>
      </c>
      <c r="F11" s="108" t="s">
        <v>46</v>
      </c>
      <c r="G11" s="108" t="s">
        <v>46</v>
      </c>
      <c r="H11" s="108" t="s">
        <v>46</v>
      </c>
      <c r="I11" s="108" t="s">
        <v>46</v>
      </c>
      <c r="J11" s="108" t="s">
        <v>46</v>
      </c>
      <c r="K11" s="108" t="s">
        <v>46</v>
      </c>
      <c r="L11" s="108" t="s">
        <v>46</v>
      </c>
      <c r="M11" s="108" t="s">
        <v>46</v>
      </c>
      <c r="N11" s="108" t="s">
        <v>46</v>
      </c>
      <c r="O11" s="108" t="s">
        <v>46</v>
      </c>
      <c r="P11" s="108" t="s">
        <v>46</v>
      </c>
    </row>
    <row r="12" spans="1:16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21</v>
      </c>
      <c r="M12" s="109" t="s">
        <v>31</v>
      </c>
      <c r="N12" s="109" t="s">
        <v>23</v>
      </c>
      <c r="O12" s="109" t="s">
        <v>24</v>
      </c>
      <c r="P12" s="109" t="s">
        <v>25</v>
      </c>
    </row>
    <row r="13" spans="1:16" ht="13.5" thickBot="1">
      <c r="A13" s="110">
        <v>1</v>
      </c>
      <c r="B13" s="111">
        <v>2</v>
      </c>
      <c r="C13" s="111"/>
      <c r="D13" s="111"/>
      <c r="E13" s="111"/>
      <c r="F13" s="111">
        <v>7</v>
      </c>
      <c r="G13" s="111">
        <v>7</v>
      </c>
      <c r="H13" s="111">
        <v>7</v>
      </c>
      <c r="I13" s="111">
        <v>7</v>
      </c>
      <c r="J13" s="111">
        <v>7</v>
      </c>
      <c r="K13" s="111">
        <v>7</v>
      </c>
      <c r="L13" s="111">
        <v>7</v>
      </c>
      <c r="M13" s="111">
        <v>7</v>
      </c>
      <c r="N13" s="111">
        <v>7</v>
      </c>
      <c r="O13" s="111">
        <v>7</v>
      </c>
      <c r="P13" s="112">
        <v>8</v>
      </c>
    </row>
    <row r="14" spans="1:16" ht="16.5" thickBot="1">
      <c r="A14" s="32"/>
      <c r="B14" s="72" t="s">
        <v>61</v>
      </c>
      <c r="C14" s="33">
        <f>C15</f>
        <v>281972.4</v>
      </c>
      <c r="D14" s="33">
        <f aca="true" t="shared" si="0" ref="D14:O14">D15+D18</f>
        <v>510260405.51</v>
      </c>
      <c r="E14" s="33">
        <f t="shared" si="0"/>
        <v>87046617.29</v>
      </c>
      <c r="F14" s="33">
        <f>F15</f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>N15</f>
        <v>0</v>
      </c>
      <c r="O14" s="33">
        <f t="shared" si="0"/>
        <v>0</v>
      </c>
      <c r="P14" s="33">
        <f>P15</f>
        <v>281972.4</v>
      </c>
    </row>
    <row r="15" spans="1:16" ht="16.5" thickBot="1">
      <c r="A15" s="75"/>
      <c r="B15" s="73" t="s">
        <v>64</v>
      </c>
      <c r="C15" s="44">
        <f>SUM(C16)</f>
        <v>281972.4</v>
      </c>
      <c r="D15" s="44">
        <f aca="true" t="shared" si="1" ref="D15:P15">SUM(D16)</f>
        <v>281972.4</v>
      </c>
      <c r="E15" s="44">
        <f t="shared" si="1"/>
        <v>0</v>
      </c>
      <c r="F15" s="44">
        <f t="shared" si="1"/>
        <v>0</v>
      </c>
      <c r="G15" s="44">
        <f t="shared" si="1"/>
        <v>0</v>
      </c>
      <c r="H15" s="44">
        <f t="shared" si="1"/>
        <v>0</v>
      </c>
      <c r="I15" s="44">
        <f t="shared" si="1"/>
        <v>0</v>
      </c>
      <c r="J15" s="44">
        <f t="shared" si="1"/>
        <v>0</v>
      </c>
      <c r="K15" s="44">
        <f t="shared" si="1"/>
        <v>0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0</v>
      </c>
      <c r="P15" s="44">
        <f t="shared" si="1"/>
        <v>281972.4</v>
      </c>
    </row>
    <row r="16" spans="1:16" ht="15.75">
      <c r="A16" s="45" t="s">
        <v>97</v>
      </c>
      <c r="B16" s="128" t="s">
        <v>96</v>
      </c>
      <c r="C16" s="132">
        <f aca="true" t="shared" si="2" ref="C16:P16">SUM(C17:C17)</f>
        <v>281972.4</v>
      </c>
      <c r="D16" s="132">
        <f t="shared" si="2"/>
        <v>281972.4</v>
      </c>
      <c r="E16" s="139">
        <f t="shared" si="2"/>
        <v>0</v>
      </c>
      <c r="F16" s="132">
        <f t="shared" si="2"/>
        <v>0</v>
      </c>
      <c r="G16" s="132">
        <f t="shared" si="2"/>
        <v>0</v>
      </c>
      <c r="H16" s="132">
        <f t="shared" si="2"/>
        <v>0</v>
      </c>
      <c r="I16" s="132">
        <f t="shared" si="2"/>
        <v>0</v>
      </c>
      <c r="J16" s="132">
        <f t="shared" si="2"/>
        <v>0</v>
      </c>
      <c r="K16" s="132">
        <f t="shared" si="2"/>
        <v>0</v>
      </c>
      <c r="L16" s="132">
        <f t="shared" si="2"/>
        <v>0</v>
      </c>
      <c r="M16" s="132">
        <f t="shared" si="2"/>
        <v>0</v>
      </c>
      <c r="N16" s="132">
        <f t="shared" si="2"/>
        <v>0</v>
      </c>
      <c r="O16" s="132">
        <f t="shared" si="2"/>
        <v>0</v>
      </c>
      <c r="P16" s="139">
        <f t="shared" si="2"/>
        <v>281972.4</v>
      </c>
    </row>
    <row r="17" spans="1:16" ht="15.75" thickBot="1">
      <c r="A17" s="45" t="s">
        <v>106</v>
      </c>
      <c r="B17" s="26" t="s">
        <v>100</v>
      </c>
      <c r="C17" s="27">
        <v>281972.4</v>
      </c>
      <c r="D17" s="27">
        <v>281972.4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/>
      <c r="M17" s="27">
        <v>0</v>
      </c>
      <c r="N17" s="27">
        <v>0</v>
      </c>
      <c r="O17" s="27"/>
      <c r="P17" s="24">
        <f>SUM(D17:O17)</f>
        <v>281972.4</v>
      </c>
    </row>
    <row r="18" spans="1:16" ht="16.5" thickBot="1">
      <c r="A18" s="85"/>
      <c r="B18" s="73" t="s">
        <v>62</v>
      </c>
      <c r="C18" s="34">
        <f aca="true" t="shared" si="3" ref="C18:P18">SUM(C19:C19)</f>
        <v>596539395.52</v>
      </c>
      <c r="D18" s="34">
        <f t="shared" si="3"/>
        <v>509978433.11</v>
      </c>
      <c r="E18" s="34">
        <f t="shared" si="3"/>
        <v>87046617.29</v>
      </c>
      <c r="F18" s="34">
        <f t="shared" si="3"/>
        <v>-485654.88</v>
      </c>
      <c r="G18" s="34">
        <f t="shared" si="3"/>
        <v>0</v>
      </c>
      <c r="H18" s="34">
        <f t="shared" si="3"/>
        <v>0</v>
      </c>
      <c r="I18" s="34">
        <f t="shared" si="3"/>
        <v>0</v>
      </c>
      <c r="J18" s="34">
        <f t="shared" si="3"/>
        <v>0</v>
      </c>
      <c r="K18" s="34">
        <f t="shared" si="3"/>
        <v>0</v>
      </c>
      <c r="L18" s="34">
        <f t="shared" si="3"/>
        <v>0</v>
      </c>
      <c r="M18" s="34">
        <f t="shared" si="3"/>
        <v>0</v>
      </c>
      <c r="N18" s="34">
        <f t="shared" si="3"/>
        <v>0</v>
      </c>
      <c r="O18" s="34">
        <f t="shared" si="3"/>
        <v>0</v>
      </c>
      <c r="P18" s="35">
        <f t="shared" si="3"/>
        <v>596539395.52</v>
      </c>
    </row>
    <row r="19" spans="1:18" ht="15.75" thickBot="1">
      <c r="A19" s="48" t="s">
        <v>80</v>
      </c>
      <c r="B19" s="26" t="s">
        <v>60</v>
      </c>
      <c r="C19" s="27">
        <f>597025050.4-485654.88</f>
        <v>596539395.52</v>
      </c>
      <c r="D19" s="28">
        <v>509978433.11</v>
      </c>
      <c r="E19" s="27">
        <v>87046617.29</v>
      </c>
      <c r="F19" s="27">
        <v>-485654.88</v>
      </c>
      <c r="G19" s="27"/>
      <c r="H19" s="27">
        <v>0</v>
      </c>
      <c r="I19" s="27">
        <v>0</v>
      </c>
      <c r="J19" s="27">
        <v>0</v>
      </c>
      <c r="K19" s="27"/>
      <c r="L19" s="27"/>
      <c r="M19" s="27"/>
      <c r="N19" s="27">
        <v>0</v>
      </c>
      <c r="O19" s="27">
        <v>0</v>
      </c>
      <c r="P19" s="24">
        <f>SUM(D19:O19)</f>
        <v>596539395.52</v>
      </c>
      <c r="Q19" s="12"/>
      <c r="R19" s="12"/>
    </row>
    <row r="20" spans="1:16" ht="18.75" thickBot="1">
      <c r="A20" s="177" t="s">
        <v>50</v>
      </c>
      <c r="B20" s="178"/>
      <c r="C20" s="31">
        <f aca="true" t="shared" si="4" ref="C20:P20">SUM(C14+C18)</f>
        <v>596821367.92</v>
      </c>
      <c r="D20" s="31">
        <f>SUM(D16+D18)</f>
        <v>510260405.51</v>
      </c>
      <c r="E20" s="31">
        <f t="shared" si="4"/>
        <v>174093234.58</v>
      </c>
      <c r="F20" s="31">
        <f t="shared" si="4"/>
        <v>-485654.88</v>
      </c>
      <c r="G20" s="31">
        <f t="shared" si="4"/>
        <v>0</v>
      </c>
      <c r="H20" s="31">
        <f t="shared" si="4"/>
        <v>0</v>
      </c>
      <c r="I20" s="31">
        <f t="shared" si="4"/>
        <v>0</v>
      </c>
      <c r="J20" s="31">
        <f t="shared" si="4"/>
        <v>0</v>
      </c>
      <c r="K20" s="31">
        <f t="shared" si="4"/>
        <v>0</v>
      </c>
      <c r="L20" s="31">
        <f t="shared" si="4"/>
        <v>0</v>
      </c>
      <c r="M20" s="31">
        <f t="shared" si="4"/>
        <v>0</v>
      </c>
      <c r="N20" s="31">
        <f t="shared" si="4"/>
        <v>0</v>
      </c>
      <c r="O20" s="31">
        <f t="shared" si="4"/>
        <v>0</v>
      </c>
      <c r="P20" s="81">
        <f t="shared" si="4"/>
        <v>596821367.92</v>
      </c>
    </row>
    <row r="21" spans="1:16" ht="12.75">
      <c r="A21" s="114" t="s">
        <v>113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1:16" ht="12.75">
      <c r="A22" s="12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ht="12.75">
      <c r="A23" s="179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1"/>
    </row>
    <row r="24" spans="1:16" ht="12.75">
      <c r="A24" s="6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ht="12.75">
      <c r="A25" s="6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ht="12.75">
      <c r="A26" s="63">
        <f ca="1">TODAY()</f>
        <v>40211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ht="13.5" thickBot="1">
      <c r="A27" s="4"/>
      <c r="B27" s="77" t="s">
        <v>86</v>
      </c>
      <c r="C27" s="2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ht="12.75">
      <c r="A28" s="4"/>
      <c r="B28" s="78" t="s">
        <v>127</v>
      </c>
      <c r="C28" s="3"/>
      <c r="D28" s="6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ht="12.75">
      <c r="A30" s="36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ht="13.5" thickBo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</sheetData>
  <mergeCells count="9">
    <mergeCell ref="A23:P23"/>
    <mergeCell ref="A5:P5"/>
    <mergeCell ref="A20:B20"/>
    <mergeCell ref="A1:P1"/>
    <mergeCell ref="A2:P2"/>
    <mergeCell ref="A3:P3"/>
    <mergeCell ref="A4:P4"/>
    <mergeCell ref="A7:B7"/>
    <mergeCell ref="A8:B8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&amp;C&amp;F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zoomScale="75" zoomScaleNormal="75" workbookViewId="0" topLeftCell="C1">
      <selection activeCell="AC20" sqref="AC2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28125" style="1" customWidth="1"/>
    <col min="4" max="4" width="18.00390625" style="1" hidden="1" customWidth="1"/>
    <col min="5" max="5" width="17.8515625" style="1" hidden="1" customWidth="1"/>
    <col min="6" max="6" width="20.421875" style="1" hidden="1" customWidth="1"/>
    <col min="7" max="7" width="20.7109375" style="1" hidden="1" customWidth="1"/>
    <col min="8" max="8" width="19.57421875" style="1" hidden="1" customWidth="1"/>
    <col min="9" max="9" width="21.7109375" style="1" hidden="1" customWidth="1"/>
    <col min="10" max="10" width="18.7109375" style="1" hidden="1" customWidth="1"/>
    <col min="11" max="11" width="20.8515625" style="1" hidden="1" customWidth="1"/>
    <col min="12" max="12" width="20.421875" style="1" hidden="1" customWidth="1"/>
    <col min="13" max="13" width="19.00390625" style="1" hidden="1" customWidth="1"/>
    <col min="14" max="14" width="23.8515625" style="1" hidden="1" customWidth="1"/>
    <col min="15" max="15" width="19.57421875" style="1" customWidth="1"/>
    <col min="16" max="16" width="21.57421875" style="1" customWidth="1"/>
    <col min="17" max="17" width="19.7109375" style="1" hidden="1" customWidth="1"/>
    <col min="18" max="18" width="20.00390625" style="1" hidden="1" customWidth="1"/>
    <col min="19" max="19" width="19.57421875" style="1" hidden="1" customWidth="1"/>
    <col min="20" max="20" width="20.421875" style="1" hidden="1" customWidth="1"/>
    <col min="21" max="22" width="21.8515625" style="1" hidden="1" customWidth="1"/>
    <col min="23" max="23" width="20.57421875" style="1" hidden="1" customWidth="1"/>
    <col min="24" max="24" width="22.421875" style="1" hidden="1" customWidth="1"/>
    <col min="25" max="25" width="17.57421875" style="1" hidden="1" customWidth="1"/>
    <col min="26" max="26" width="20.8515625" style="1" hidden="1" customWidth="1"/>
    <col min="27" max="27" width="24.00390625" style="1" hidden="1" customWidth="1"/>
    <col min="28" max="28" width="23.00390625" style="1" customWidth="1"/>
    <col min="29" max="29" width="21.421875" style="1" customWidth="1"/>
    <col min="30" max="30" width="20.8515625" style="1" bestFit="1" customWidth="1"/>
    <col min="31" max="16384" width="11.421875" style="1" customWidth="1"/>
  </cols>
  <sheetData>
    <row r="1" spans="1:29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4"/>
    </row>
    <row r="2" spans="1:29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7"/>
    </row>
    <row r="3" spans="1:29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70"/>
    </row>
    <row r="4" spans="1:29" ht="15.75">
      <c r="A4" s="165" t="s">
        <v>53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7"/>
    </row>
    <row r="5" spans="1:29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3"/>
    </row>
    <row r="6" spans="1:30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8"/>
      <c r="V6" s="52"/>
      <c r="W6" s="52"/>
      <c r="X6" s="52"/>
      <c r="Y6" s="52"/>
      <c r="Z6" s="52"/>
      <c r="AA6" s="52"/>
      <c r="AB6" s="52"/>
      <c r="AC6" s="53"/>
      <c r="AD6" s="38"/>
    </row>
    <row r="7" spans="1:30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69" t="s">
        <v>128</v>
      </c>
      <c r="Q7" s="71"/>
      <c r="R7" s="71"/>
      <c r="S7" s="71"/>
      <c r="T7" s="71"/>
      <c r="U7" s="58"/>
      <c r="V7" s="71"/>
      <c r="W7" s="71"/>
      <c r="X7" s="71"/>
      <c r="Y7" s="71"/>
      <c r="Z7" s="71"/>
      <c r="AA7" s="71"/>
      <c r="AB7" s="71"/>
      <c r="AC7" s="74" t="s">
        <v>142</v>
      </c>
      <c r="AD7" s="5"/>
    </row>
    <row r="8" spans="1:30" ht="15.7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9" t="s">
        <v>9</v>
      </c>
      <c r="Q8" s="71"/>
      <c r="R8" s="71"/>
      <c r="S8" s="71"/>
      <c r="T8" s="71"/>
      <c r="U8" s="58"/>
      <c r="V8" s="71"/>
      <c r="W8" s="71"/>
      <c r="X8" s="71"/>
      <c r="Y8" s="71"/>
      <c r="Z8" s="71"/>
      <c r="AA8" s="71"/>
      <c r="AB8" s="71"/>
      <c r="AC8" s="70">
        <v>2009</v>
      </c>
      <c r="AD8" s="41"/>
    </row>
    <row r="9" spans="1:29" ht="13.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7"/>
    </row>
    <row r="10" spans="1:29" ht="12.75">
      <c r="A10" s="106"/>
      <c r="B10" s="107"/>
      <c r="C10" s="107" t="s">
        <v>54</v>
      </c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</row>
    <row r="11" spans="1:29" ht="12.75">
      <c r="A11" s="108" t="s">
        <v>40</v>
      </c>
      <c r="B11" s="108" t="s">
        <v>42</v>
      </c>
      <c r="C11" s="108" t="s">
        <v>55</v>
      </c>
      <c r="D11" s="108" t="s">
        <v>45</v>
      </c>
      <c r="E11" s="108" t="s">
        <v>45</v>
      </c>
      <c r="F11" s="108" t="s">
        <v>45</v>
      </c>
      <c r="G11" s="108" t="s">
        <v>45</v>
      </c>
      <c r="H11" s="108" t="s">
        <v>45</v>
      </c>
      <c r="I11" s="108" t="s">
        <v>45</v>
      </c>
      <c r="J11" s="108" t="s">
        <v>45</v>
      </c>
      <c r="K11" s="108" t="s">
        <v>45</v>
      </c>
      <c r="L11" s="108" t="s">
        <v>45</v>
      </c>
      <c r="M11" s="108" t="s">
        <v>45</v>
      </c>
      <c r="N11" s="108" t="s">
        <v>45</v>
      </c>
      <c r="O11" s="108" t="s">
        <v>45</v>
      </c>
      <c r="P11" s="108" t="s">
        <v>45</v>
      </c>
      <c r="Q11" s="108" t="s">
        <v>46</v>
      </c>
      <c r="R11" s="108" t="s">
        <v>46</v>
      </c>
      <c r="S11" s="108" t="s">
        <v>46</v>
      </c>
      <c r="T11" s="108" t="s">
        <v>46</v>
      </c>
      <c r="U11" s="108" t="s">
        <v>46</v>
      </c>
      <c r="V11" s="108" t="s">
        <v>46</v>
      </c>
      <c r="W11" s="108" t="s">
        <v>46</v>
      </c>
      <c r="X11" s="108" t="s">
        <v>46</v>
      </c>
      <c r="Y11" s="108" t="s">
        <v>46</v>
      </c>
      <c r="Z11" s="108" t="s">
        <v>46</v>
      </c>
      <c r="AA11" s="108" t="s">
        <v>46</v>
      </c>
      <c r="AB11" s="108" t="s">
        <v>46</v>
      </c>
      <c r="AC11" s="108" t="s">
        <v>46</v>
      </c>
    </row>
    <row r="12" spans="1:29" ht="13.5" thickBot="1">
      <c r="A12" s="109" t="s">
        <v>41</v>
      </c>
      <c r="B12" s="109"/>
      <c r="C12" s="109" t="s">
        <v>89</v>
      </c>
      <c r="D12" s="109" t="s">
        <v>13</v>
      </c>
      <c r="E12" s="109" t="s">
        <v>14</v>
      </c>
      <c r="F12" s="109" t="s">
        <v>15</v>
      </c>
      <c r="G12" s="109" t="s">
        <v>16</v>
      </c>
      <c r="H12" s="109" t="s">
        <v>28</v>
      </c>
      <c r="I12" s="109" t="s">
        <v>29</v>
      </c>
      <c r="J12" s="109" t="s">
        <v>30</v>
      </c>
      <c r="K12" s="109" t="s">
        <v>20</v>
      </c>
      <c r="L12" s="109" t="s">
        <v>91</v>
      </c>
      <c r="M12" s="109" t="s">
        <v>31</v>
      </c>
      <c r="N12" s="109" t="s">
        <v>23</v>
      </c>
      <c r="O12" s="109" t="s">
        <v>24</v>
      </c>
      <c r="P12" s="109" t="s">
        <v>47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91</v>
      </c>
      <c r="Z12" s="109" t="s">
        <v>31</v>
      </c>
      <c r="AA12" s="109" t="s">
        <v>23</v>
      </c>
      <c r="AB12" s="109" t="s">
        <v>24</v>
      </c>
      <c r="AC12" s="109" t="s">
        <v>25</v>
      </c>
    </row>
    <row r="13" spans="1:29" ht="13.5" thickBot="1">
      <c r="A13" s="110">
        <v>1</v>
      </c>
      <c r="B13" s="111">
        <v>2</v>
      </c>
      <c r="C13" s="111"/>
      <c r="D13" s="111"/>
      <c r="E13" s="111"/>
      <c r="F13" s="111">
        <v>5</v>
      </c>
      <c r="G13" s="111">
        <v>5</v>
      </c>
      <c r="H13" s="111">
        <v>5</v>
      </c>
      <c r="I13" s="111">
        <v>5</v>
      </c>
      <c r="J13" s="111">
        <v>5</v>
      </c>
      <c r="K13" s="111">
        <v>5</v>
      </c>
      <c r="L13" s="111">
        <v>5</v>
      </c>
      <c r="M13" s="111">
        <v>5</v>
      </c>
      <c r="N13" s="111">
        <v>5</v>
      </c>
      <c r="O13" s="111">
        <v>5</v>
      </c>
      <c r="P13" s="111">
        <v>6</v>
      </c>
      <c r="Q13" s="111"/>
      <c r="R13" s="111"/>
      <c r="S13" s="111">
        <v>7</v>
      </c>
      <c r="T13" s="111">
        <v>7</v>
      </c>
      <c r="U13" s="111">
        <v>7</v>
      </c>
      <c r="V13" s="111">
        <v>7</v>
      </c>
      <c r="W13" s="111">
        <v>7</v>
      </c>
      <c r="X13" s="111">
        <v>7</v>
      </c>
      <c r="Y13" s="111">
        <v>7</v>
      </c>
      <c r="Z13" s="111">
        <v>7</v>
      </c>
      <c r="AA13" s="111">
        <v>7</v>
      </c>
      <c r="AB13" s="111">
        <v>7</v>
      </c>
      <c r="AC13" s="112">
        <v>8</v>
      </c>
    </row>
    <row r="14" spans="1:30" s="30" customFormat="1" ht="16.5" thickBot="1">
      <c r="A14" s="32"/>
      <c r="B14" s="72" t="s">
        <v>61</v>
      </c>
      <c r="C14" s="33">
        <f>C15</f>
        <v>6971010.77</v>
      </c>
      <c r="D14" s="33">
        <f aca="true" t="shared" si="0" ref="D14:AB14">D15</f>
        <v>0</v>
      </c>
      <c r="E14" s="33">
        <f t="shared" si="0"/>
        <v>239594.56</v>
      </c>
      <c r="F14" s="33">
        <f t="shared" si="0"/>
        <v>0</v>
      </c>
      <c r="G14" s="33">
        <f t="shared" si="0"/>
        <v>5679680.02</v>
      </c>
      <c r="H14" s="33">
        <f t="shared" si="0"/>
        <v>120480</v>
      </c>
      <c r="I14" s="33">
        <f t="shared" si="0"/>
        <v>602400</v>
      </c>
      <c r="J14" s="33">
        <f t="shared" si="0"/>
        <v>0</v>
      </c>
      <c r="K14" s="33">
        <f t="shared" si="0"/>
        <v>152044.76</v>
      </c>
      <c r="L14" s="33">
        <f t="shared" si="0"/>
        <v>0</v>
      </c>
      <c r="M14" s="33">
        <f t="shared" si="0"/>
        <v>0</v>
      </c>
      <c r="N14" s="33">
        <f t="shared" si="0"/>
        <v>0</v>
      </c>
      <c r="O14" s="33">
        <f t="shared" si="0"/>
        <v>176811.43</v>
      </c>
      <c r="P14" s="33">
        <f>P15</f>
        <v>6971010.769999999</v>
      </c>
      <c r="Q14" s="33">
        <f t="shared" si="0"/>
        <v>0</v>
      </c>
      <c r="R14" s="33">
        <f t="shared" si="0"/>
        <v>239594.56</v>
      </c>
      <c r="S14" s="33">
        <f t="shared" si="0"/>
        <v>0</v>
      </c>
      <c r="T14" s="33">
        <f t="shared" si="0"/>
        <v>5679680.02</v>
      </c>
      <c r="U14" s="33">
        <f t="shared" si="0"/>
        <v>120480</v>
      </c>
      <c r="V14" s="33">
        <f t="shared" si="0"/>
        <v>602400</v>
      </c>
      <c r="W14" s="33">
        <f t="shared" si="0"/>
        <v>0</v>
      </c>
      <c r="X14" s="33">
        <f t="shared" si="0"/>
        <v>152044.76</v>
      </c>
      <c r="Y14" s="33">
        <f t="shared" si="0"/>
        <v>0</v>
      </c>
      <c r="Z14" s="33">
        <f t="shared" si="0"/>
        <v>0</v>
      </c>
      <c r="AA14" s="33">
        <f t="shared" si="0"/>
        <v>0</v>
      </c>
      <c r="AB14" s="33">
        <f t="shared" si="0"/>
        <v>176811.43</v>
      </c>
      <c r="AC14" s="33">
        <f>AC15</f>
        <v>6971010.769999999</v>
      </c>
      <c r="AD14" s="1"/>
    </row>
    <row r="15" spans="1:30" s="12" customFormat="1" ht="16.5" thickBot="1">
      <c r="A15" s="75"/>
      <c r="B15" s="73" t="s">
        <v>64</v>
      </c>
      <c r="C15" s="44">
        <f>SUM(C18+C16)</f>
        <v>6971010.77</v>
      </c>
      <c r="D15" s="44">
        <f>SUM(D19:D20)</f>
        <v>0</v>
      </c>
      <c r="E15" s="44">
        <f>SUM(E19:E20)</f>
        <v>239594.56</v>
      </c>
      <c r="F15" s="44">
        <f>SUM(F19:F20)</f>
        <v>0</v>
      </c>
      <c r="G15" s="44">
        <f>G18+G16</f>
        <v>5679680.02</v>
      </c>
      <c r="H15" s="44">
        <f>H18</f>
        <v>120480</v>
      </c>
      <c r="I15" s="44">
        <f aca="true" t="shared" si="1" ref="I15:O15">SUM(I19:I20)</f>
        <v>602400</v>
      </c>
      <c r="J15" s="44">
        <f t="shared" si="1"/>
        <v>0</v>
      </c>
      <c r="K15" s="44">
        <f t="shared" si="1"/>
        <v>152044.76</v>
      </c>
      <c r="L15" s="44">
        <f t="shared" si="1"/>
        <v>0</v>
      </c>
      <c r="M15" s="44">
        <f t="shared" si="1"/>
        <v>0</v>
      </c>
      <c r="N15" s="44">
        <f t="shared" si="1"/>
        <v>0</v>
      </c>
      <c r="O15" s="44">
        <f t="shared" si="1"/>
        <v>176811.43</v>
      </c>
      <c r="P15" s="44">
        <f>SUM(P18+P16)</f>
        <v>6971010.769999999</v>
      </c>
      <c r="Q15" s="44">
        <f>SUM(Q19:Q20)</f>
        <v>0</v>
      </c>
      <c r="R15" s="44">
        <f>SUM(R19:R20)</f>
        <v>239594.56</v>
      </c>
      <c r="S15" s="44">
        <f>SUM(S19:S20)</f>
        <v>0</v>
      </c>
      <c r="T15" s="44">
        <f>T18+T16</f>
        <v>5679680.02</v>
      </c>
      <c r="U15" s="44">
        <f>U18</f>
        <v>120480</v>
      </c>
      <c r="V15" s="44">
        <f aca="true" t="shared" si="2" ref="V15:AB15">SUM(V19:V20)</f>
        <v>602400</v>
      </c>
      <c r="W15" s="44">
        <f t="shared" si="2"/>
        <v>0</v>
      </c>
      <c r="X15" s="44">
        <f t="shared" si="2"/>
        <v>152044.76</v>
      </c>
      <c r="Y15" s="44">
        <f t="shared" si="2"/>
        <v>0</v>
      </c>
      <c r="Z15" s="44">
        <f t="shared" si="2"/>
        <v>0</v>
      </c>
      <c r="AA15" s="44">
        <f t="shared" si="2"/>
        <v>0</v>
      </c>
      <c r="AB15" s="44">
        <f t="shared" si="2"/>
        <v>176811.43</v>
      </c>
      <c r="AC15" s="44">
        <f>SUM(AC18+AC16)</f>
        <v>6971010.769999999</v>
      </c>
      <c r="AD15" s="1"/>
    </row>
    <row r="16" spans="1:30" s="12" customFormat="1" ht="15.75">
      <c r="A16" s="45" t="s">
        <v>129</v>
      </c>
      <c r="B16" s="128" t="s">
        <v>58</v>
      </c>
      <c r="C16" s="143">
        <f>C17</f>
        <v>685.81</v>
      </c>
      <c r="D16" s="143">
        <f>SUM(D17:D18)</f>
        <v>0</v>
      </c>
      <c r="E16" s="143">
        <f>E17</f>
        <v>0</v>
      </c>
      <c r="F16" s="143">
        <f aca="true" t="shared" si="3" ref="F16:AC16">F17</f>
        <v>0</v>
      </c>
      <c r="G16" s="143">
        <f t="shared" si="3"/>
        <v>685.81</v>
      </c>
      <c r="H16" s="143">
        <f t="shared" si="3"/>
        <v>0</v>
      </c>
      <c r="I16" s="143">
        <f t="shared" si="3"/>
        <v>0</v>
      </c>
      <c r="J16" s="143">
        <f t="shared" si="3"/>
        <v>0</v>
      </c>
      <c r="K16" s="143">
        <f t="shared" si="3"/>
        <v>0</v>
      </c>
      <c r="L16" s="143">
        <f t="shared" si="3"/>
        <v>0</v>
      </c>
      <c r="M16" s="143">
        <f t="shared" si="3"/>
        <v>0</v>
      </c>
      <c r="N16" s="143">
        <f t="shared" si="3"/>
        <v>0</v>
      </c>
      <c r="O16" s="143">
        <f t="shared" si="3"/>
        <v>0</v>
      </c>
      <c r="P16" s="143">
        <f t="shared" si="3"/>
        <v>685.81</v>
      </c>
      <c r="Q16" s="143">
        <f t="shared" si="3"/>
        <v>0</v>
      </c>
      <c r="R16" s="143">
        <f t="shared" si="3"/>
        <v>0</v>
      </c>
      <c r="S16" s="143">
        <f t="shared" si="3"/>
        <v>0</v>
      </c>
      <c r="T16" s="143">
        <f t="shared" si="3"/>
        <v>685.81</v>
      </c>
      <c r="U16" s="143">
        <f t="shared" si="3"/>
        <v>0</v>
      </c>
      <c r="V16" s="143">
        <f t="shared" si="3"/>
        <v>0</v>
      </c>
      <c r="W16" s="143">
        <f t="shared" si="3"/>
        <v>0</v>
      </c>
      <c r="X16" s="143">
        <f t="shared" si="3"/>
        <v>0</v>
      </c>
      <c r="Y16" s="143">
        <f t="shared" si="3"/>
        <v>0</v>
      </c>
      <c r="Z16" s="143">
        <f t="shared" si="3"/>
        <v>0</v>
      </c>
      <c r="AA16" s="143">
        <f t="shared" si="3"/>
        <v>0</v>
      </c>
      <c r="AB16" s="143">
        <f t="shared" si="3"/>
        <v>0</v>
      </c>
      <c r="AC16" s="148">
        <f t="shared" si="3"/>
        <v>685.81</v>
      </c>
      <c r="AD16" s="1"/>
    </row>
    <row r="17" spans="1:30" s="147" customFormat="1" ht="15">
      <c r="A17" s="45" t="s">
        <v>130</v>
      </c>
      <c r="B17" s="21" t="s">
        <v>111</v>
      </c>
      <c r="C17" s="22">
        <v>685.81</v>
      </c>
      <c r="D17" s="22">
        <v>0</v>
      </c>
      <c r="E17" s="22">
        <v>0</v>
      </c>
      <c r="F17" s="22"/>
      <c r="G17" s="22">
        <v>685.81</v>
      </c>
      <c r="H17" s="22"/>
      <c r="I17" s="22"/>
      <c r="J17" s="22">
        <v>0</v>
      </c>
      <c r="K17" s="22">
        <v>0</v>
      </c>
      <c r="L17" s="22">
        <v>0</v>
      </c>
      <c r="M17" s="22"/>
      <c r="N17" s="22">
        <v>0</v>
      </c>
      <c r="O17" s="22"/>
      <c r="P17" s="23">
        <f>SUM(D17:O17)</f>
        <v>685.81</v>
      </c>
      <c r="Q17" s="22">
        <v>0</v>
      </c>
      <c r="R17" s="22">
        <v>0</v>
      </c>
      <c r="S17" s="22"/>
      <c r="T17" s="22">
        <v>685.81</v>
      </c>
      <c r="U17" s="22"/>
      <c r="V17" s="22"/>
      <c r="W17" s="22"/>
      <c r="X17" s="22">
        <v>0</v>
      </c>
      <c r="Y17" s="22">
        <v>0</v>
      </c>
      <c r="Z17" s="22"/>
      <c r="AA17" s="22">
        <v>0</v>
      </c>
      <c r="AB17" s="22"/>
      <c r="AC17" s="24">
        <f>SUM(Q17:AB17)</f>
        <v>685.81</v>
      </c>
      <c r="AD17" s="12"/>
    </row>
    <row r="18" spans="1:30" s="12" customFormat="1" ht="15.75">
      <c r="A18" s="84" t="s">
        <v>97</v>
      </c>
      <c r="B18" s="146" t="s">
        <v>96</v>
      </c>
      <c r="C18" s="143">
        <f aca="true" t="shared" si="4" ref="C18:AC18">SUM(C19:C20)</f>
        <v>6970324.96</v>
      </c>
      <c r="D18" s="143">
        <f t="shared" si="4"/>
        <v>0</v>
      </c>
      <c r="E18" s="143">
        <f t="shared" si="4"/>
        <v>239594.56</v>
      </c>
      <c r="F18" s="143">
        <f t="shared" si="4"/>
        <v>0</v>
      </c>
      <c r="G18" s="143">
        <f t="shared" si="4"/>
        <v>5678994.21</v>
      </c>
      <c r="H18" s="143">
        <f t="shared" si="4"/>
        <v>120480</v>
      </c>
      <c r="I18" s="143">
        <f t="shared" si="4"/>
        <v>602400</v>
      </c>
      <c r="J18" s="143">
        <f t="shared" si="4"/>
        <v>0</v>
      </c>
      <c r="K18" s="143">
        <f t="shared" si="4"/>
        <v>152044.76</v>
      </c>
      <c r="L18" s="143">
        <f t="shared" si="4"/>
        <v>0</v>
      </c>
      <c r="M18" s="143">
        <f t="shared" si="4"/>
        <v>0</v>
      </c>
      <c r="N18" s="143">
        <f t="shared" si="4"/>
        <v>0</v>
      </c>
      <c r="O18" s="143">
        <f t="shared" si="4"/>
        <v>176811.43</v>
      </c>
      <c r="P18" s="143">
        <f t="shared" si="4"/>
        <v>6970324.959999999</v>
      </c>
      <c r="Q18" s="143">
        <f t="shared" si="4"/>
        <v>0</v>
      </c>
      <c r="R18" s="143">
        <f t="shared" si="4"/>
        <v>239594.56</v>
      </c>
      <c r="S18" s="143">
        <f t="shared" si="4"/>
        <v>0</v>
      </c>
      <c r="T18" s="143">
        <f t="shared" si="4"/>
        <v>5678994.21</v>
      </c>
      <c r="U18" s="143">
        <f t="shared" si="4"/>
        <v>120480</v>
      </c>
      <c r="V18" s="143">
        <f t="shared" si="4"/>
        <v>602400</v>
      </c>
      <c r="W18" s="143">
        <f t="shared" si="4"/>
        <v>0</v>
      </c>
      <c r="X18" s="143">
        <f t="shared" si="4"/>
        <v>152044.76</v>
      </c>
      <c r="Y18" s="143">
        <f t="shared" si="4"/>
        <v>0</v>
      </c>
      <c r="Z18" s="143">
        <f t="shared" si="4"/>
        <v>0</v>
      </c>
      <c r="AA18" s="143">
        <f t="shared" si="4"/>
        <v>0</v>
      </c>
      <c r="AB18" s="143">
        <f t="shared" si="4"/>
        <v>176811.43</v>
      </c>
      <c r="AC18" s="144">
        <f t="shared" si="4"/>
        <v>6970324.959999999</v>
      </c>
      <c r="AD18" s="1"/>
    </row>
    <row r="19" spans="1:30" s="147" customFormat="1" ht="15">
      <c r="A19" s="45" t="s">
        <v>106</v>
      </c>
      <c r="B19" s="21" t="s">
        <v>100</v>
      </c>
      <c r="C19" s="22">
        <f>5163125.96-1</f>
        <v>5163124.96</v>
      </c>
      <c r="D19" s="22">
        <v>0</v>
      </c>
      <c r="E19" s="22">
        <v>239594.56</v>
      </c>
      <c r="F19" s="22"/>
      <c r="G19" s="22">
        <v>4474194.21</v>
      </c>
      <c r="H19" s="22">
        <v>120480</v>
      </c>
      <c r="I19" s="22">
        <v>0</v>
      </c>
      <c r="J19" s="22"/>
      <c r="K19" s="22">
        <v>152044.76</v>
      </c>
      <c r="L19" s="22">
        <v>0</v>
      </c>
      <c r="M19" s="22">
        <v>0</v>
      </c>
      <c r="N19" s="22">
        <v>0</v>
      </c>
      <c r="O19" s="22">
        <v>176811.43</v>
      </c>
      <c r="P19" s="23">
        <f>SUM(D19:O19)</f>
        <v>5163124.959999999</v>
      </c>
      <c r="Q19" s="22">
        <v>0</v>
      </c>
      <c r="R19" s="22">
        <v>239594.56</v>
      </c>
      <c r="S19" s="22"/>
      <c r="T19" s="22">
        <v>4474194.21</v>
      </c>
      <c r="U19" s="22">
        <v>120480</v>
      </c>
      <c r="V19" s="22">
        <v>0</v>
      </c>
      <c r="W19" s="22"/>
      <c r="X19" s="22">
        <v>152044.76</v>
      </c>
      <c r="Y19" s="22">
        <v>0</v>
      </c>
      <c r="Z19" s="22"/>
      <c r="AA19" s="22">
        <v>0</v>
      </c>
      <c r="AB19" s="22">
        <v>176811.43</v>
      </c>
      <c r="AC19" s="24">
        <f>SUM(Q19:AB19)</f>
        <v>5163124.959999999</v>
      </c>
      <c r="AD19" s="12"/>
    </row>
    <row r="20" spans="1:29" s="12" customFormat="1" ht="15.75" thickBot="1">
      <c r="A20" s="48" t="s">
        <v>107</v>
      </c>
      <c r="B20" s="26" t="s">
        <v>131</v>
      </c>
      <c r="C20" s="27">
        <f>1833199.58-25999.58</f>
        <v>1807200</v>
      </c>
      <c r="D20" s="27">
        <v>0</v>
      </c>
      <c r="E20" s="27">
        <v>0</v>
      </c>
      <c r="F20" s="27"/>
      <c r="G20" s="27">
        <v>1204800</v>
      </c>
      <c r="H20" s="27">
        <v>0</v>
      </c>
      <c r="I20" s="27">
        <v>602400</v>
      </c>
      <c r="J20" s="27"/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8">
        <f>SUM(D20:O20)</f>
        <v>1807200</v>
      </c>
      <c r="Q20" s="27">
        <v>0</v>
      </c>
      <c r="R20" s="27">
        <v>0</v>
      </c>
      <c r="S20" s="27"/>
      <c r="T20" s="27">
        <v>1204800</v>
      </c>
      <c r="U20" s="27">
        <v>0</v>
      </c>
      <c r="V20" s="27">
        <v>602400</v>
      </c>
      <c r="W20" s="27"/>
      <c r="X20" s="27">
        <v>0</v>
      </c>
      <c r="Y20" s="27">
        <v>0</v>
      </c>
      <c r="Z20" s="27"/>
      <c r="AA20" s="27">
        <v>0</v>
      </c>
      <c r="AB20" s="27">
        <v>0</v>
      </c>
      <c r="AC20" s="29">
        <f>SUM(Q20:AB20)</f>
        <v>1807200</v>
      </c>
    </row>
    <row r="21" spans="1:30" s="30" customFormat="1" ht="16.5" thickBot="1">
      <c r="A21" s="85"/>
      <c r="B21" s="73" t="s">
        <v>62</v>
      </c>
      <c r="C21" s="34">
        <f aca="true" t="shared" si="5" ref="C21:AC21">SUM(C22:C22)</f>
        <v>273744594.39</v>
      </c>
      <c r="D21" s="34">
        <f t="shared" si="5"/>
        <v>0</v>
      </c>
      <c r="E21" s="34">
        <f t="shared" si="5"/>
        <v>40427023.85</v>
      </c>
      <c r="F21" s="34">
        <f t="shared" si="5"/>
        <v>233317570.54</v>
      </c>
      <c r="G21" s="34">
        <f t="shared" si="5"/>
        <v>0</v>
      </c>
      <c r="H21" s="34">
        <f t="shared" si="5"/>
        <v>0</v>
      </c>
      <c r="I21" s="34">
        <f t="shared" si="5"/>
        <v>0</v>
      </c>
      <c r="J21" s="34">
        <f t="shared" si="5"/>
        <v>0</v>
      </c>
      <c r="K21" s="34">
        <f t="shared" si="5"/>
        <v>0</v>
      </c>
      <c r="L21" s="34">
        <f t="shared" si="5"/>
        <v>0</v>
      </c>
      <c r="M21" s="34">
        <f t="shared" si="5"/>
        <v>0</v>
      </c>
      <c r="N21" s="34">
        <f t="shared" si="5"/>
        <v>0</v>
      </c>
      <c r="O21" s="34">
        <f t="shared" si="5"/>
        <v>0</v>
      </c>
      <c r="P21" s="34">
        <f t="shared" si="5"/>
        <v>273744594.39</v>
      </c>
      <c r="Q21" s="34">
        <f t="shared" si="5"/>
        <v>0</v>
      </c>
      <c r="R21" s="34">
        <f t="shared" si="5"/>
        <v>40427023.85</v>
      </c>
      <c r="S21" s="34">
        <f t="shared" si="5"/>
        <v>233317570.54</v>
      </c>
      <c r="T21" s="34">
        <f t="shared" si="5"/>
        <v>0</v>
      </c>
      <c r="U21" s="34">
        <f t="shared" si="5"/>
        <v>0</v>
      </c>
      <c r="V21" s="34">
        <f t="shared" si="5"/>
        <v>0</v>
      </c>
      <c r="W21" s="34">
        <f t="shared" si="5"/>
        <v>0</v>
      </c>
      <c r="X21" s="34">
        <f t="shared" si="5"/>
        <v>0</v>
      </c>
      <c r="Y21" s="34">
        <f t="shared" si="5"/>
        <v>0</v>
      </c>
      <c r="Z21" s="34">
        <f t="shared" si="5"/>
        <v>0</v>
      </c>
      <c r="AA21" s="34">
        <f t="shared" si="5"/>
        <v>0</v>
      </c>
      <c r="AB21" s="34">
        <f t="shared" si="5"/>
        <v>0</v>
      </c>
      <c r="AC21" s="35">
        <f t="shared" si="5"/>
        <v>273744594.39</v>
      </c>
      <c r="AD21" s="1"/>
    </row>
    <row r="22" spans="1:30" s="30" customFormat="1" ht="16.5" thickBot="1">
      <c r="A22" s="48" t="s">
        <v>80</v>
      </c>
      <c r="B22" s="26" t="s">
        <v>60</v>
      </c>
      <c r="C22" s="138">
        <v>273744594.39</v>
      </c>
      <c r="D22" s="137">
        <v>0</v>
      </c>
      <c r="E22" s="138">
        <v>40427023.85</v>
      </c>
      <c r="F22" s="138">
        <v>233317570.54</v>
      </c>
      <c r="G22" s="49">
        <v>0</v>
      </c>
      <c r="H22" s="49"/>
      <c r="I22" s="137"/>
      <c r="J22" s="137"/>
      <c r="K22" s="138"/>
      <c r="L22" s="138">
        <v>0</v>
      </c>
      <c r="M22" s="137"/>
      <c r="N22" s="137">
        <v>0</v>
      </c>
      <c r="O22" s="137"/>
      <c r="P22" s="28">
        <f>SUM(D22:O22)</f>
        <v>273744594.39</v>
      </c>
      <c r="Q22" s="137">
        <v>0</v>
      </c>
      <c r="R22" s="138">
        <v>40427023.85</v>
      </c>
      <c r="S22" s="138">
        <v>233317570.54</v>
      </c>
      <c r="T22" s="49"/>
      <c r="U22" s="49"/>
      <c r="V22" s="137">
        <v>0</v>
      </c>
      <c r="W22" s="137"/>
      <c r="X22" s="27">
        <v>0</v>
      </c>
      <c r="Y22" s="137">
        <v>0</v>
      </c>
      <c r="Z22" s="137"/>
      <c r="AA22" s="137">
        <v>0</v>
      </c>
      <c r="AB22" s="137">
        <v>0</v>
      </c>
      <c r="AC22" s="145">
        <f>SUM(Q22:AB22)</f>
        <v>273744594.39</v>
      </c>
      <c r="AD22" s="1"/>
    </row>
    <row r="23" spans="1:30" s="25" customFormat="1" ht="18.75" thickBot="1">
      <c r="A23" s="177" t="s">
        <v>50</v>
      </c>
      <c r="B23" s="178"/>
      <c r="C23" s="31">
        <f aca="true" t="shared" si="6" ref="C23:AC23">SUM(C14+C21)</f>
        <v>280715605.15999997</v>
      </c>
      <c r="D23" s="31">
        <f t="shared" si="6"/>
        <v>0</v>
      </c>
      <c r="E23" s="31">
        <f t="shared" si="6"/>
        <v>40666618.410000004</v>
      </c>
      <c r="F23" s="31">
        <f t="shared" si="6"/>
        <v>233317570.54</v>
      </c>
      <c r="G23" s="31">
        <f t="shared" si="6"/>
        <v>5679680.02</v>
      </c>
      <c r="H23" s="31">
        <f t="shared" si="6"/>
        <v>120480</v>
      </c>
      <c r="I23" s="31">
        <f t="shared" si="6"/>
        <v>602400</v>
      </c>
      <c r="J23" s="31">
        <f t="shared" si="6"/>
        <v>0</v>
      </c>
      <c r="K23" s="31">
        <f t="shared" si="6"/>
        <v>152044.76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6"/>
        <v>176811.43</v>
      </c>
      <c r="P23" s="31">
        <f t="shared" si="6"/>
        <v>280715605.15999997</v>
      </c>
      <c r="Q23" s="31">
        <f t="shared" si="6"/>
        <v>0</v>
      </c>
      <c r="R23" s="31">
        <f t="shared" si="6"/>
        <v>40666618.410000004</v>
      </c>
      <c r="S23" s="31">
        <f t="shared" si="6"/>
        <v>233317570.54</v>
      </c>
      <c r="T23" s="31">
        <f t="shared" si="6"/>
        <v>5679680.02</v>
      </c>
      <c r="U23" s="31">
        <f t="shared" si="6"/>
        <v>120480</v>
      </c>
      <c r="V23" s="31">
        <f t="shared" si="6"/>
        <v>602400</v>
      </c>
      <c r="W23" s="31">
        <f t="shared" si="6"/>
        <v>0</v>
      </c>
      <c r="X23" s="31">
        <f t="shared" si="6"/>
        <v>152044.76</v>
      </c>
      <c r="Y23" s="31">
        <f t="shared" si="6"/>
        <v>0</v>
      </c>
      <c r="Z23" s="31">
        <f t="shared" si="6"/>
        <v>0</v>
      </c>
      <c r="AA23" s="31">
        <f t="shared" si="6"/>
        <v>0</v>
      </c>
      <c r="AB23" s="31">
        <f t="shared" si="6"/>
        <v>176811.43</v>
      </c>
      <c r="AC23" s="81">
        <f t="shared" si="6"/>
        <v>280715605.15999997</v>
      </c>
      <c r="AD23" s="1"/>
    </row>
    <row r="24" spans="1:29" ht="12.75">
      <c r="A24" s="114" t="s">
        <v>113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1"/>
    </row>
    <row r="25" spans="1:29" ht="12.7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/>
    </row>
    <row r="26" spans="1:29" ht="12.75">
      <c r="A26" s="179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2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1"/>
    </row>
    <row r="27" spans="1:30" ht="15">
      <c r="A27" s="46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6"/>
      <c r="AD27" s="42"/>
    </row>
    <row r="28" spans="1:29" ht="12.75">
      <c r="A28" s="63">
        <f ca="1">TODAY()</f>
        <v>40211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6"/>
    </row>
    <row r="29" spans="1:29" ht="12.7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</row>
    <row r="30" spans="1:29" ht="12.7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6"/>
    </row>
    <row r="31" spans="1:29" ht="13.5" thickBot="1">
      <c r="A31" s="4"/>
      <c r="B31" s="77" t="s">
        <v>86</v>
      </c>
      <c r="C31" s="2"/>
      <c r="D31" s="5" t="s">
        <v>87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2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"/>
    </row>
    <row r="32" spans="1:29" ht="12.75">
      <c r="A32" s="4"/>
      <c r="B32" s="78" t="s">
        <v>126</v>
      </c>
      <c r="C32" s="3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83"/>
    </row>
    <row r="33" spans="1:29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6"/>
    </row>
    <row r="34" spans="1:29" ht="12.75">
      <c r="A34" s="36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6"/>
    </row>
    <row r="35" spans="1:29" ht="13.5" thickBot="1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9"/>
    </row>
  </sheetData>
  <mergeCells count="11">
    <mergeCell ref="A23:B23"/>
    <mergeCell ref="D32:P32"/>
    <mergeCell ref="A26:AC26"/>
    <mergeCell ref="Q32:AC32"/>
    <mergeCell ref="A5:AC5"/>
    <mergeCell ref="A7:B7"/>
    <mergeCell ref="A8:B8"/>
    <mergeCell ref="A1:AC1"/>
    <mergeCell ref="A2:AC2"/>
    <mergeCell ref="A3:AC3"/>
    <mergeCell ref="A4:AC4"/>
  </mergeCells>
  <printOptions horizontalCentered="1" verticalCentered="1"/>
  <pageMargins left="0.94" right="0.65" top="0.7874015748031497" bottom="0.5118110236220472" header="0" footer="0.1968503937007874"/>
  <pageSetup horizontalDpi="300" verticalDpi="300" orientation="landscape" paperSize="5" scale="85" r:id="rId1"/>
  <headerFooter alignWithMargins="0">
    <oddHeader>&amp;CHACIENDA 2009</oddHeader>
    <oddFooter>&amp;CPágina &amp;P&amp;R&amp;F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5" zoomScaleNormal="75" workbookViewId="0" topLeftCell="A11">
      <pane ySplit="645" topLeftCell="BM1" activePane="bottomLeft" state="split"/>
      <selection pane="topLeft" activeCell="AA11" sqref="AA1:AA16384"/>
      <selection pane="bottomLeft" activeCell="AC30" sqref="AC30"/>
    </sheetView>
  </sheetViews>
  <sheetFormatPr defaultColWidth="11.421875" defaultRowHeight="12.75"/>
  <cols>
    <col min="1" max="1" width="15.8515625" style="1" customWidth="1"/>
    <col min="2" max="2" width="45.28125" style="1" customWidth="1"/>
    <col min="3" max="3" width="20.8515625" style="1" customWidth="1"/>
    <col min="4" max="4" width="19.7109375" style="1" hidden="1" customWidth="1"/>
    <col min="5" max="5" width="18.57421875" style="1" hidden="1" customWidth="1"/>
    <col min="6" max="6" width="20.140625" style="1" hidden="1" customWidth="1"/>
    <col min="7" max="7" width="22.8515625" style="1" hidden="1" customWidth="1"/>
    <col min="8" max="8" width="20.28125" style="1" hidden="1" customWidth="1"/>
    <col min="9" max="10" width="19.140625" style="1" hidden="1" customWidth="1"/>
    <col min="11" max="11" width="21.00390625" style="1" hidden="1" customWidth="1"/>
    <col min="12" max="12" width="20.57421875" style="1" hidden="1" customWidth="1"/>
    <col min="13" max="13" width="19.140625" style="1" hidden="1" customWidth="1"/>
    <col min="14" max="14" width="21.140625" style="1" hidden="1" customWidth="1"/>
    <col min="15" max="15" width="21.57421875" style="1" customWidth="1"/>
    <col min="16" max="16" width="20.8515625" style="1" customWidth="1"/>
    <col min="17" max="17" width="18.57421875" style="1" hidden="1" customWidth="1"/>
    <col min="18" max="18" width="21.140625" style="1" hidden="1" customWidth="1"/>
    <col min="19" max="19" width="20.421875" style="1" hidden="1" customWidth="1"/>
    <col min="20" max="20" width="20.7109375" style="1" hidden="1" customWidth="1"/>
    <col min="21" max="21" width="19.57421875" style="1" hidden="1" customWidth="1"/>
    <col min="22" max="22" width="21.7109375" style="1" hidden="1" customWidth="1"/>
    <col min="23" max="23" width="19.421875" style="1" hidden="1" customWidth="1"/>
    <col min="24" max="24" width="20.8515625" style="1" hidden="1" customWidth="1"/>
    <col min="25" max="25" width="20.57421875" style="1" hidden="1" customWidth="1"/>
    <col min="26" max="26" width="21.140625" style="1" hidden="1" customWidth="1"/>
    <col min="27" max="27" width="21.00390625" style="1" hidden="1" customWidth="1"/>
    <col min="28" max="28" width="21.00390625" style="1" customWidth="1"/>
    <col min="29" max="29" width="21.57421875" style="1" bestFit="1" customWidth="1"/>
    <col min="30" max="30" width="18.140625" style="1" hidden="1" customWidth="1"/>
    <col min="31" max="31" width="20.00390625" style="1" hidden="1" customWidth="1"/>
    <col min="32" max="32" width="19.57421875" style="1" hidden="1" customWidth="1"/>
    <col min="33" max="33" width="20.421875" style="1" hidden="1" customWidth="1"/>
    <col min="34" max="35" width="21.8515625" style="1" hidden="1" customWidth="1"/>
    <col min="36" max="36" width="20.57421875" style="1" hidden="1" customWidth="1"/>
    <col min="37" max="37" width="22.421875" style="1" hidden="1" customWidth="1"/>
    <col min="38" max="38" width="21.28125" style="1" hidden="1" customWidth="1"/>
    <col min="39" max="39" width="20.00390625" style="1" hidden="1" customWidth="1"/>
    <col min="40" max="40" width="19.8515625" style="1" hidden="1" customWidth="1"/>
    <col min="41" max="41" width="23.00390625" style="1" customWidth="1"/>
    <col min="42" max="42" width="21.28125" style="1" bestFit="1" customWidth="1"/>
    <col min="43" max="43" width="21.28125" style="116" bestFit="1" customWidth="1"/>
    <col min="44" max="44" width="19.57421875" style="116" customWidth="1"/>
    <col min="45" max="45" width="17.7109375" style="141" customWidth="1"/>
    <col min="46" max="46" width="11.421875" style="1" customWidth="1"/>
    <col min="47" max="47" width="14.140625" style="1" customWidth="1"/>
    <col min="48" max="48" width="17.421875" style="1" bestFit="1" customWidth="1"/>
    <col min="49" max="16384" width="11.421875" style="1" customWidth="1"/>
  </cols>
  <sheetData>
    <row r="1" spans="1:42" ht="18">
      <c r="A1" s="162" t="s">
        <v>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4"/>
    </row>
    <row r="2" spans="1:42" ht="15.75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7"/>
    </row>
    <row r="3" spans="1:42" ht="18">
      <c r="A3" s="168" t="s">
        <v>51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70"/>
    </row>
    <row r="4" spans="1:42" ht="15.75">
      <c r="A4" s="165" t="s">
        <v>52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7"/>
    </row>
    <row r="5" spans="1:42" ht="20.25">
      <c r="A5" s="171" t="s">
        <v>3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  <c r="AI5" s="172"/>
      <c r="AJ5" s="172"/>
      <c r="AK5" s="172"/>
      <c r="AL5" s="172"/>
      <c r="AM5" s="172"/>
      <c r="AN5" s="172"/>
      <c r="AO5" s="172"/>
      <c r="AP5" s="173"/>
    </row>
    <row r="6" spans="1:43" ht="1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8"/>
      <c r="AI6" s="52"/>
      <c r="AJ6" s="52"/>
      <c r="AK6" s="52"/>
      <c r="AL6" s="52"/>
      <c r="AM6" s="52"/>
      <c r="AN6" s="52"/>
      <c r="AO6" s="52"/>
      <c r="AP6" s="53"/>
      <c r="AQ6" s="117"/>
    </row>
    <row r="7" spans="1:43" ht="15.75">
      <c r="A7" s="175" t="s">
        <v>4</v>
      </c>
      <c r="B7" s="176"/>
      <c r="C7" s="68" t="s">
        <v>48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69" t="s">
        <v>8</v>
      </c>
      <c r="AD7" s="71"/>
      <c r="AE7" s="71"/>
      <c r="AF7" s="71"/>
      <c r="AG7" s="71"/>
      <c r="AH7" s="58"/>
      <c r="AI7" s="71"/>
      <c r="AJ7" s="71"/>
      <c r="AK7" s="71"/>
      <c r="AL7" s="71"/>
      <c r="AM7" s="71"/>
      <c r="AN7" s="71"/>
      <c r="AO7" s="71"/>
      <c r="AP7" s="74" t="s">
        <v>142</v>
      </c>
      <c r="AQ7" s="118"/>
    </row>
    <row r="8" spans="1:43" ht="20.25">
      <c r="A8" s="175" t="s">
        <v>5</v>
      </c>
      <c r="B8" s="176"/>
      <c r="C8" s="67" t="s">
        <v>57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61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69" t="s">
        <v>9</v>
      </c>
      <c r="AD8" s="71"/>
      <c r="AE8" s="71"/>
      <c r="AF8" s="71"/>
      <c r="AG8" s="71"/>
      <c r="AH8" s="58"/>
      <c r="AI8" s="71"/>
      <c r="AJ8" s="71"/>
      <c r="AK8" s="71"/>
      <c r="AL8" s="71"/>
      <c r="AM8" s="71"/>
      <c r="AN8" s="71"/>
      <c r="AO8" s="71"/>
      <c r="AP8" s="70">
        <v>2009</v>
      </c>
      <c r="AQ8" s="41"/>
    </row>
    <row r="9" spans="1:42" ht="15.75" thickBot="1">
      <c r="A9" s="55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7"/>
    </row>
    <row r="10" spans="1:42" ht="15">
      <c r="A10" s="106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</row>
    <row r="11" spans="1:42" ht="15">
      <c r="A11" s="108" t="s">
        <v>40</v>
      </c>
      <c r="B11" s="108" t="s">
        <v>42</v>
      </c>
      <c r="C11" s="108" t="s">
        <v>43</v>
      </c>
      <c r="D11" s="108" t="s">
        <v>44</v>
      </c>
      <c r="E11" s="108" t="s">
        <v>44</v>
      </c>
      <c r="F11" s="108" t="s">
        <v>44</v>
      </c>
      <c r="G11" s="108" t="s">
        <v>44</v>
      </c>
      <c r="H11" s="108" t="s">
        <v>44</v>
      </c>
      <c r="I11" s="108" t="s">
        <v>44</v>
      </c>
      <c r="J11" s="108" t="s">
        <v>44</v>
      </c>
      <c r="K11" s="108" t="s">
        <v>44</v>
      </c>
      <c r="L11" s="108" t="s">
        <v>44</v>
      </c>
      <c r="M11" s="108" t="s">
        <v>44</v>
      </c>
      <c r="N11" s="108" t="s">
        <v>44</v>
      </c>
      <c r="O11" s="108" t="s">
        <v>44</v>
      </c>
      <c r="P11" s="108" t="s">
        <v>44</v>
      </c>
      <c r="Q11" s="108" t="s">
        <v>45</v>
      </c>
      <c r="R11" s="108" t="s">
        <v>45</v>
      </c>
      <c r="S11" s="108" t="s">
        <v>45</v>
      </c>
      <c r="T11" s="108" t="s">
        <v>45</v>
      </c>
      <c r="U11" s="108" t="s">
        <v>45</v>
      </c>
      <c r="V11" s="108" t="s">
        <v>45</v>
      </c>
      <c r="W11" s="108" t="s">
        <v>45</v>
      </c>
      <c r="X11" s="108" t="s">
        <v>45</v>
      </c>
      <c r="Y11" s="108" t="s">
        <v>45</v>
      </c>
      <c r="Z11" s="108" t="s">
        <v>45</v>
      </c>
      <c r="AA11" s="108" t="s">
        <v>45</v>
      </c>
      <c r="AB11" s="108" t="s">
        <v>45</v>
      </c>
      <c r="AC11" s="108" t="s">
        <v>45</v>
      </c>
      <c r="AD11" s="108" t="s">
        <v>46</v>
      </c>
      <c r="AE11" s="108" t="s">
        <v>46</v>
      </c>
      <c r="AF11" s="108" t="s">
        <v>46</v>
      </c>
      <c r="AG11" s="108" t="s">
        <v>46</v>
      </c>
      <c r="AH11" s="108" t="s">
        <v>46</v>
      </c>
      <c r="AI11" s="108" t="s">
        <v>46</v>
      </c>
      <c r="AJ11" s="108" t="s">
        <v>46</v>
      </c>
      <c r="AK11" s="108" t="s">
        <v>46</v>
      </c>
      <c r="AL11" s="108" t="s">
        <v>46</v>
      </c>
      <c r="AM11" s="108" t="s">
        <v>46</v>
      </c>
      <c r="AN11" s="108" t="s">
        <v>46</v>
      </c>
      <c r="AO11" s="108" t="s">
        <v>46</v>
      </c>
      <c r="AP11" s="108" t="s">
        <v>46</v>
      </c>
    </row>
    <row r="12" spans="1:45" ht="15.75" thickBot="1">
      <c r="A12" s="109" t="s">
        <v>41</v>
      </c>
      <c r="B12" s="109"/>
      <c r="C12" s="109" t="s">
        <v>12</v>
      </c>
      <c r="D12" s="109" t="s">
        <v>13</v>
      </c>
      <c r="E12" s="109" t="s">
        <v>14</v>
      </c>
      <c r="F12" s="109" t="s">
        <v>15</v>
      </c>
      <c r="G12" s="109" t="s">
        <v>83</v>
      </c>
      <c r="H12" s="109" t="s">
        <v>17</v>
      </c>
      <c r="I12" s="109" t="s">
        <v>18</v>
      </c>
      <c r="J12" s="109" t="s">
        <v>19</v>
      </c>
      <c r="K12" s="109" t="s">
        <v>20</v>
      </c>
      <c r="L12" s="109" t="s">
        <v>21</v>
      </c>
      <c r="M12" s="109" t="s">
        <v>22</v>
      </c>
      <c r="N12" s="109" t="s">
        <v>23</v>
      </c>
      <c r="O12" s="109" t="s">
        <v>24</v>
      </c>
      <c r="P12" s="109" t="s">
        <v>25</v>
      </c>
      <c r="Q12" s="109" t="s">
        <v>13</v>
      </c>
      <c r="R12" s="109" t="s">
        <v>14</v>
      </c>
      <c r="S12" s="109" t="s">
        <v>15</v>
      </c>
      <c r="T12" s="109" t="s">
        <v>16</v>
      </c>
      <c r="U12" s="109" t="s">
        <v>28</v>
      </c>
      <c r="V12" s="109" t="s">
        <v>29</v>
      </c>
      <c r="W12" s="109" t="s">
        <v>30</v>
      </c>
      <c r="X12" s="109" t="s">
        <v>20</v>
      </c>
      <c r="Y12" s="109" t="s">
        <v>21</v>
      </c>
      <c r="Z12" s="109" t="s">
        <v>31</v>
      </c>
      <c r="AA12" s="109" t="s">
        <v>23</v>
      </c>
      <c r="AB12" s="109" t="s">
        <v>24</v>
      </c>
      <c r="AC12" s="109" t="s">
        <v>47</v>
      </c>
      <c r="AD12" s="109" t="s">
        <v>13</v>
      </c>
      <c r="AE12" s="109" t="s">
        <v>14</v>
      </c>
      <c r="AF12" s="109" t="s">
        <v>15</v>
      </c>
      <c r="AG12" s="109" t="s">
        <v>16</v>
      </c>
      <c r="AH12" s="109" t="s">
        <v>28</v>
      </c>
      <c r="AI12" s="109" t="s">
        <v>29</v>
      </c>
      <c r="AJ12" s="109" t="s">
        <v>30</v>
      </c>
      <c r="AK12" s="109" t="s">
        <v>20</v>
      </c>
      <c r="AL12" s="109" t="s">
        <v>21</v>
      </c>
      <c r="AM12" s="109" t="s">
        <v>31</v>
      </c>
      <c r="AN12" s="109" t="s">
        <v>23</v>
      </c>
      <c r="AO12" s="109" t="s">
        <v>24</v>
      </c>
      <c r="AP12" s="109" t="s">
        <v>25</v>
      </c>
      <c r="AQ12" s="119"/>
      <c r="AR12" s="119"/>
      <c r="AS12" s="142"/>
    </row>
    <row r="13" spans="1:42" ht="15.75" thickBot="1">
      <c r="A13" s="110">
        <v>1</v>
      </c>
      <c r="B13" s="111">
        <v>2</v>
      </c>
      <c r="C13" s="111"/>
      <c r="D13" s="111"/>
      <c r="E13" s="111"/>
      <c r="F13" s="111">
        <v>3</v>
      </c>
      <c r="G13" s="111">
        <v>3</v>
      </c>
      <c r="H13" s="111">
        <v>3</v>
      </c>
      <c r="I13" s="111">
        <v>3</v>
      </c>
      <c r="J13" s="111">
        <v>3</v>
      </c>
      <c r="K13" s="111">
        <v>3</v>
      </c>
      <c r="L13" s="111">
        <v>3</v>
      </c>
      <c r="M13" s="111">
        <v>3</v>
      </c>
      <c r="N13" s="111">
        <v>3</v>
      </c>
      <c r="O13" s="111">
        <v>3</v>
      </c>
      <c r="P13" s="111">
        <v>4</v>
      </c>
      <c r="Q13" s="111"/>
      <c r="R13" s="111"/>
      <c r="S13" s="111">
        <v>5</v>
      </c>
      <c r="T13" s="111">
        <v>5</v>
      </c>
      <c r="U13" s="111">
        <v>5</v>
      </c>
      <c r="V13" s="111">
        <v>5</v>
      </c>
      <c r="W13" s="111">
        <v>5</v>
      </c>
      <c r="X13" s="111">
        <v>5</v>
      </c>
      <c r="Y13" s="111">
        <v>5</v>
      </c>
      <c r="Z13" s="111">
        <v>5</v>
      </c>
      <c r="AA13" s="111">
        <v>5</v>
      </c>
      <c r="AB13" s="111">
        <v>5</v>
      </c>
      <c r="AC13" s="111">
        <v>6</v>
      </c>
      <c r="AD13" s="111"/>
      <c r="AE13" s="111"/>
      <c r="AF13" s="111">
        <v>7</v>
      </c>
      <c r="AG13" s="111">
        <v>7</v>
      </c>
      <c r="AH13" s="111">
        <v>7</v>
      </c>
      <c r="AI13" s="111">
        <v>7</v>
      </c>
      <c r="AJ13" s="111">
        <v>7</v>
      </c>
      <c r="AK13" s="111">
        <v>7</v>
      </c>
      <c r="AL13" s="111">
        <v>7</v>
      </c>
      <c r="AM13" s="111">
        <v>7</v>
      </c>
      <c r="AN13" s="111">
        <v>7</v>
      </c>
      <c r="AO13" s="111">
        <v>7</v>
      </c>
      <c r="AP13" s="112">
        <v>8</v>
      </c>
    </row>
    <row r="14" spans="1:47" s="30" customFormat="1" ht="16.5" thickBot="1">
      <c r="A14" s="32"/>
      <c r="B14" s="72" t="s">
        <v>135</v>
      </c>
      <c r="C14" s="33">
        <f>C16</f>
        <v>126750000</v>
      </c>
      <c r="D14" s="33">
        <f>D16</f>
        <v>0</v>
      </c>
      <c r="E14" s="33">
        <f aca="true" t="shared" si="0" ref="E14:AP14">E16</f>
        <v>0</v>
      </c>
      <c r="F14" s="33">
        <f t="shared" si="0"/>
        <v>0</v>
      </c>
      <c r="G14" s="33">
        <f t="shared" si="0"/>
        <v>0</v>
      </c>
      <c r="H14" s="33">
        <f t="shared" si="0"/>
        <v>0</v>
      </c>
      <c r="I14" s="33">
        <f t="shared" si="0"/>
        <v>0</v>
      </c>
      <c r="J14" s="33">
        <f t="shared" si="0"/>
        <v>0</v>
      </c>
      <c r="K14" s="33">
        <f t="shared" si="0"/>
        <v>0</v>
      </c>
      <c r="L14" s="33">
        <f t="shared" si="0"/>
        <v>0</v>
      </c>
      <c r="M14" s="33">
        <f t="shared" si="0"/>
        <v>0</v>
      </c>
      <c r="N14" s="33">
        <f t="shared" si="0"/>
        <v>126750000</v>
      </c>
      <c r="O14" s="33">
        <f t="shared" si="0"/>
        <v>0</v>
      </c>
      <c r="P14" s="33">
        <f t="shared" si="0"/>
        <v>126750000</v>
      </c>
      <c r="Q14" s="33">
        <f t="shared" si="0"/>
        <v>0</v>
      </c>
      <c r="R14" s="33">
        <f t="shared" si="0"/>
        <v>0</v>
      </c>
      <c r="S14" s="33">
        <f t="shared" si="0"/>
        <v>0</v>
      </c>
      <c r="T14" s="33">
        <f t="shared" si="0"/>
        <v>0</v>
      </c>
      <c r="U14" s="33">
        <f t="shared" si="0"/>
        <v>0</v>
      </c>
      <c r="V14" s="33">
        <f t="shared" si="0"/>
        <v>0</v>
      </c>
      <c r="W14" s="33">
        <f t="shared" si="0"/>
        <v>0</v>
      </c>
      <c r="X14" s="33">
        <f t="shared" si="0"/>
        <v>0</v>
      </c>
      <c r="Y14" s="33">
        <f t="shared" si="0"/>
        <v>0</v>
      </c>
      <c r="Z14" s="33">
        <f t="shared" si="0"/>
        <v>0</v>
      </c>
      <c r="AA14" s="33">
        <f t="shared" si="0"/>
        <v>126750000</v>
      </c>
      <c r="AB14" s="33">
        <f t="shared" si="0"/>
        <v>0</v>
      </c>
      <c r="AC14" s="33">
        <f t="shared" si="0"/>
        <v>126750000</v>
      </c>
      <c r="AD14" s="33">
        <f t="shared" si="0"/>
        <v>0</v>
      </c>
      <c r="AE14" s="33">
        <f t="shared" si="0"/>
        <v>0</v>
      </c>
      <c r="AF14" s="33">
        <f t="shared" si="0"/>
        <v>0</v>
      </c>
      <c r="AG14" s="33">
        <f t="shared" si="0"/>
        <v>0</v>
      </c>
      <c r="AH14" s="33">
        <f t="shared" si="0"/>
        <v>0</v>
      </c>
      <c r="AI14" s="33">
        <f t="shared" si="0"/>
        <v>0</v>
      </c>
      <c r="AJ14" s="33">
        <f t="shared" si="0"/>
        <v>0</v>
      </c>
      <c r="AK14" s="33">
        <f t="shared" si="0"/>
        <v>0</v>
      </c>
      <c r="AL14" s="33">
        <f t="shared" si="0"/>
        <v>0</v>
      </c>
      <c r="AM14" s="33">
        <f t="shared" si="0"/>
        <v>0</v>
      </c>
      <c r="AN14" s="33">
        <f t="shared" si="0"/>
        <v>126750000</v>
      </c>
      <c r="AO14" s="33">
        <f t="shared" si="0"/>
        <v>0</v>
      </c>
      <c r="AP14" s="184">
        <f t="shared" si="0"/>
        <v>126750000</v>
      </c>
      <c r="AQ14" s="116"/>
      <c r="AR14" s="116"/>
      <c r="AS14" s="141"/>
      <c r="AT14" s="122"/>
      <c r="AU14" s="25"/>
    </row>
    <row r="15" spans="1:46" s="47" customFormat="1" ht="16.5" thickBot="1">
      <c r="A15" s="37"/>
      <c r="B15" s="73" t="s">
        <v>85</v>
      </c>
      <c r="C15" s="34">
        <f aca="true" t="shared" si="1" ref="C15:AQ15">SUM(C16:C17)</f>
        <v>126750000</v>
      </c>
      <c r="D15" s="34">
        <f t="shared" si="1"/>
        <v>0</v>
      </c>
      <c r="E15" s="34">
        <f t="shared" si="1"/>
        <v>0</v>
      </c>
      <c r="F15" s="34">
        <f t="shared" si="1"/>
        <v>0</v>
      </c>
      <c r="G15" s="34">
        <f t="shared" si="1"/>
        <v>0</v>
      </c>
      <c r="H15" s="34">
        <f t="shared" si="1"/>
        <v>0</v>
      </c>
      <c r="I15" s="34">
        <f t="shared" si="1"/>
        <v>0</v>
      </c>
      <c r="J15" s="34">
        <f t="shared" si="1"/>
        <v>0</v>
      </c>
      <c r="K15" s="34">
        <f t="shared" si="1"/>
        <v>0</v>
      </c>
      <c r="L15" s="34">
        <f t="shared" si="1"/>
        <v>0</v>
      </c>
      <c r="M15" s="34">
        <f t="shared" si="1"/>
        <v>0</v>
      </c>
      <c r="N15" s="34">
        <f t="shared" si="1"/>
        <v>126750000</v>
      </c>
      <c r="O15" s="34">
        <f t="shared" si="1"/>
        <v>0</v>
      </c>
      <c r="P15" s="34">
        <f t="shared" si="1"/>
        <v>126750000</v>
      </c>
      <c r="Q15" s="34">
        <f t="shared" si="1"/>
        <v>0</v>
      </c>
      <c r="R15" s="34">
        <f t="shared" si="1"/>
        <v>0</v>
      </c>
      <c r="S15" s="34">
        <f t="shared" si="1"/>
        <v>0</v>
      </c>
      <c r="T15" s="34">
        <f t="shared" si="1"/>
        <v>0</v>
      </c>
      <c r="U15" s="34">
        <f t="shared" si="1"/>
        <v>0</v>
      </c>
      <c r="V15" s="34">
        <f t="shared" si="1"/>
        <v>0</v>
      </c>
      <c r="W15" s="34">
        <f t="shared" si="1"/>
        <v>0</v>
      </c>
      <c r="X15" s="34">
        <f t="shared" si="1"/>
        <v>0</v>
      </c>
      <c r="Y15" s="34">
        <f t="shared" si="1"/>
        <v>0</v>
      </c>
      <c r="Z15" s="34">
        <f t="shared" si="1"/>
        <v>0</v>
      </c>
      <c r="AA15" s="34">
        <f t="shared" si="1"/>
        <v>126750000</v>
      </c>
      <c r="AB15" s="34">
        <f t="shared" si="1"/>
        <v>0</v>
      </c>
      <c r="AC15" s="34">
        <f t="shared" si="1"/>
        <v>126750000</v>
      </c>
      <c r="AD15" s="34">
        <f t="shared" si="1"/>
        <v>0</v>
      </c>
      <c r="AE15" s="34">
        <f t="shared" si="1"/>
        <v>0</v>
      </c>
      <c r="AF15" s="34">
        <f t="shared" si="1"/>
        <v>0</v>
      </c>
      <c r="AG15" s="34">
        <f t="shared" si="1"/>
        <v>0</v>
      </c>
      <c r="AH15" s="34">
        <f t="shared" si="1"/>
        <v>0</v>
      </c>
      <c r="AI15" s="34">
        <f t="shared" si="1"/>
        <v>0</v>
      </c>
      <c r="AJ15" s="34">
        <f t="shared" si="1"/>
        <v>0</v>
      </c>
      <c r="AK15" s="34">
        <f t="shared" si="1"/>
        <v>0</v>
      </c>
      <c r="AL15" s="34">
        <f t="shared" si="1"/>
        <v>0</v>
      </c>
      <c r="AM15" s="34">
        <f t="shared" si="1"/>
        <v>0</v>
      </c>
      <c r="AN15" s="34">
        <f t="shared" si="1"/>
        <v>126750000</v>
      </c>
      <c r="AO15" s="34">
        <f t="shared" si="1"/>
        <v>0</v>
      </c>
      <c r="AP15" s="35">
        <f t="shared" si="1"/>
        <v>126750000</v>
      </c>
      <c r="AQ15" s="116"/>
      <c r="AR15" s="116"/>
      <c r="AS15" s="141"/>
      <c r="AT15" s="122"/>
    </row>
    <row r="16" spans="1:46" s="12" customFormat="1" ht="15.75" thickBot="1">
      <c r="A16" s="84" t="s">
        <v>59</v>
      </c>
      <c r="B16" s="21" t="s">
        <v>133</v>
      </c>
      <c r="C16" s="22">
        <v>126750000</v>
      </c>
      <c r="D16" s="22">
        <v>0</v>
      </c>
      <c r="E16" s="22"/>
      <c r="F16" s="22"/>
      <c r="G16" s="22"/>
      <c r="H16" s="22"/>
      <c r="I16" s="22"/>
      <c r="J16" s="22"/>
      <c r="K16" s="22">
        <v>0</v>
      </c>
      <c r="L16" s="22">
        <v>0</v>
      </c>
      <c r="M16" s="22"/>
      <c r="N16" s="22">
        <v>126750000</v>
      </c>
      <c r="O16" s="22"/>
      <c r="P16" s="23">
        <f>SUM(D16:O16)</f>
        <v>126750000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49">
        <v>0</v>
      </c>
      <c r="Y16" s="22"/>
      <c r="Z16" s="22">
        <v>0</v>
      </c>
      <c r="AA16" s="22">
        <v>126750000</v>
      </c>
      <c r="AB16" s="22">
        <v>0</v>
      </c>
      <c r="AC16" s="23">
        <f>SUM(Q16:AB16)</f>
        <v>126750000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126750000</v>
      </c>
      <c r="AO16" s="22"/>
      <c r="AP16" s="24">
        <f>SUM(AD16:AO16)</f>
        <v>126750000</v>
      </c>
      <c r="AQ16" s="116"/>
      <c r="AR16" s="116"/>
      <c r="AS16" s="141"/>
      <c r="AT16" s="122"/>
    </row>
    <row r="17" spans="1:46" s="12" customFormat="1" ht="15.75" hidden="1" thickBot="1">
      <c r="A17" s="84" t="s">
        <v>94</v>
      </c>
      <c r="B17" s="21" t="s">
        <v>95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23">
        <f>SUM(D17:O17)</f>
        <v>0</v>
      </c>
      <c r="Q17" s="49"/>
      <c r="R17" s="49"/>
      <c r="S17" s="49"/>
      <c r="T17" s="49"/>
      <c r="U17" s="49"/>
      <c r="V17" s="49"/>
      <c r="W17" s="49"/>
      <c r="X17" s="49">
        <v>0</v>
      </c>
      <c r="Y17" s="49"/>
      <c r="Z17" s="49"/>
      <c r="AA17" s="49"/>
      <c r="AB17" s="49"/>
      <c r="AC17" s="23">
        <f>SUM(Q17:AB17)</f>
        <v>0</v>
      </c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24">
        <f>SUM(AD17:AO17)</f>
        <v>0</v>
      </c>
      <c r="AQ17" s="116"/>
      <c r="AR17" s="116"/>
      <c r="AS17" s="141"/>
      <c r="AT17" s="122"/>
    </row>
    <row r="18" spans="1:48" s="30" customFormat="1" ht="16.5" thickBot="1">
      <c r="A18" s="85"/>
      <c r="B18" s="73" t="s">
        <v>136</v>
      </c>
      <c r="C18" s="34">
        <f aca="true" t="shared" si="2" ref="C18:AS18">SUM(C19:C20)</f>
        <v>575350000</v>
      </c>
      <c r="D18" s="34">
        <f t="shared" si="2"/>
        <v>575350000</v>
      </c>
      <c r="E18" s="34">
        <f t="shared" si="2"/>
        <v>0</v>
      </c>
      <c r="F18" s="34">
        <f t="shared" si="2"/>
        <v>0</v>
      </c>
      <c r="G18" s="34">
        <f t="shared" si="2"/>
        <v>0</v>
      </c>
      <c r="H18" s="34">
        <f t="shared" si="2"/>
        <v>0</v>
      </c>
      <c r="I18" s="34">
        <f t="shared" si="2"/>
        <v>0</v>
      </c>
      <c r="J18" s="34">
        <f t="shared" si="2"/>
        <v>0</v>
      </c>
      <c r="K18" s="34">
        <f t="shared" si="2"/>
        <v>0</v>
      </c>
      <c r="L18" s="34">
        <f t="shared" si="2"/>
        <v>0</v>
      </c>
      <c r="M18" s="34">
        <f t="shared" si="2"/>
        <v>0</v>
      </c>
      <c r="N18" s="34">
        <f t="shared" si="2"/>
        <v>0</v>
      </c>
      <c r="O18" s="34">
        <f t="shared" si="2"/>
        <v>0</v>
      </c>
      <c r="P18" s="34">
        <f t="shared" si="2"/>
        <v>575350000</v>
      </c>
      <c r="Q18" s="34">
        <f t="shared" si="2"/>
        <v>0</v>
      </c>
      <c r="R18" s="34">
        <f t="shared" si="2"/>
        <v>0</v>
      </c>
      <c r="S18" s="34">
        <f t="shared" si="2"/>
        <v>0</v>
      </c>
      <c r="T18" s="34">
        <f t="shared" si="2"/>
        <v>0</v>
      </c>
      <c r="U18" s="34">
        <f t="shared" si="2"/>
        <v>0</v>
      </c>
      <c r="V18" s="34">
        <f t="shared" si="2"/>
        <v>0</v>
      </c>
      <c r="W18" s="34">
        <f t="shared" si="2"/>
        <v>0</v>
      </c>
      <c r="X18" s="34">
        <f t="shared" si="2"/>
        <v>287675000</v>
      </c>
      <c r="Y18" s="34">
        <f t="shared" si="2"/>
        <v>0</v>
      </c>
      <c r="Z18" s="34">
        <f t="shared" si="2"/>
        <v>0</v>
      </c>
      <c r="AA18" s="34">
        <f t="shared" si="2"/>
        <v>287675000</v>
      </c>
      <c r="AB18" s="34">
        <f t="shared" si="2"/>
        <v>0</v>
      </c>
      <c r="AC18" s="34">
        <f t="shared" si="2"/>
        <v>575350000</v>
      </c>
      <c r="AD18" s="34">
        <f t="shared" si="2"/>
        <v>0</v>
      </c>
      <c r="AE18" s="34">
        <f t="shared" si="2"/>
        <v>0</v>
      </c>
      <c r="AF18" s="34">
        <f t="shared" si="2"/>
        <v>0</v>
      </c>
      <c r="AG18" s="34">
        <f t="shared" si="2"/>
        <v>0</v>
      </c>
      <c r="AH18" s="34">
        <f t="shared" si="2"/>
        <v>0</v>
      </c>
      <c r="AI18" s="34">
        <f t="shared" si="2"/>
        <v>0</v>
      </c>
      <c r="AJ18" s="34">
        <f t="shared" si="2"/>
        <v>0</v>
      </c>
      <c r="AK18" s="34">
        <f t="shared" si="2"/>
        <v>287675000</v>
      </c>
      <c r="AL18" s="34">
        <f t="shared" si="2"/>
        <v>0</v>
      </c>
      <c r="AM18" s="34">
        <f t="shared" si="2"/>
        <v>0</v>
      </c>
      <c r="AN18" s="34">
        <f t="shared" si="2"/>
        <v>0</v>
      </c>
      <c r="AO18" s="34">
        <f t="shared" si="2"/>
        <v>287675000</v>
      </c>
      <c r="AP18" s="35">
        <f t="shared" si="2"/>
        <v>575350000</v>
      </c>
      <c r="AQ18" s="116"/>
      <c r="AR18" s="116"/>
      <c r="AS18" s="141"/>
      <c r="AT18" s="122"/>
      <c r="AU18" s="25"/>
      <c r="AV18" s="140"/>
    </row>
    <row r="19" spans="1:46" s="12" customFormat="1" ht="39.75" customHeight="1" thickBot="1">
      <c r="A19" s="48" t="s">
        <v>132</v>
      </c>
      <c r="B19" s="121" t="s">
        <v>134</v>
      </c>
      <c r="C19" s="27">
        <v>575350000</v>
      </c>
      <c r="D19" s="28">
        <v>575350000</v>
      </c>
      <c r="E19" s="27"/>
      <c r="F19" s="27"/>
      <c r="G19" s="27"/>
      <c r="H19" s="28"/>
      <c r="I19" s="27"/>
      <c r="J19" s="27"/>
      <c r="K19" s="133">
        <v>0</v>
      </c>
      <c r="L19" s="27"/>
      <c r="M19" s="27"/>
      <c r="N19" s="27"/>
      <c r="O19" s="28"/>
      <c r="P19" s="23">
        <f>SUM(D19:O19)</f>
        <v>575350000</v>
      </c>
      <c r="Q19" s="22">
        <v>0</v>
      </c>
      <c r="R19" s="27"/>
      <c r="S19" s="27"/>
      <c r="T19" s="27"/>
      <c r="U19" s="27"/>
      <c r="V19" s="27"/>
      <c r="W19" s="27"/>
      <c r="X19" s="27">
        <v>287675000</v>
      </c>
      <c r="Y19" s="27">
        <v>0</v>
      </c>
      <c r="Z19" s="27"/>
      <c r="AA19" s="27">
        <v>287675000</v>
      </c>
      <c r="AB19" s="27"/>
      <c r="AC19" s="23">
        <f>SUM(Q19:AB19)</f>
        <v>575350000</v>
      </c>
      <c r="AD19" s="22">
        <v>0</v>
      </c>
      <c r="AE19" s="27"/>
      <c r="AF19" s="27"/>
      <c r="AG19" s="27"/>
      <c r="AH19" s="27"/>
      <c r="AI19" s="27"/>
      <c r="AJ19" s="27"/>
      <c r="AK19" s="27">
        <v>287675000</v>
      </c>
      <c r="AL19" s="27">
        <v>0</v>
      </c>
      <c r="AM19" s="27"/>
      <c r="AN19" s="27"/>
      <c r="AO19" s="27">
        <v>287675000</v>
      </c>
      <c r="AP19" s="24">
        <f>SUM(AD19:AO19)</f>
        <v>575350000</v>
      </c>
      <c r="AQ19" s="116"/>
      <c r="AR19" s="116"/>
      <c r="AS19" s="141"/>
      <c r="AT19" s="122"/>
    </row>
    <row r="20" spans="1:46" s="12" customFormat="1" ht="31.5" customHeight="1" hidden="1" thickBot="1">
      <c r="A20" s="48" t="s">
        <v>93</v>
      </c>
      <c r="B20" s="121" t="s">
        <v>92</v>
      </c>
      <c r="C20" s="49"/>
      <c r="D20" s="28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28"/>
      <c r="P20" s="28">
        <f>SUM(D20:O20)</f>
        <v>0</v>
      </c>
      <c r="Q20" s="28"/>
      <c r="R20" s="49"/>
      <c r="S20" s="49"/>
      <c r="T20" s="49"/>
      <c r="U20" s="50"/>
      <c r="V20" s="49"/>
      <c r="W20" s="49"/>
      <c r="X20" s="49"/>
      <c r="Y20" s="49"/>
      <c r="Z20" s="49"/>
      <c r="AA20" s="49"/>
      <c r="AB20" s="49"/>
      <c r="AC20" s="27">
        <f>SUM(Q20:AB20)</f>
        <v>0</v>
      </c>
      <c r="AD20" s="28"/>
      <c r="AE20" s="49"/>
      <c r="AF20" s="49"/>
      <c r="AG20" s="49"/>
      <c r="AH20" s="50"/>
      <c r="AI20" s="49"/>
      <c r="AJ20" s="49"/>
      <c r="AK20" s="49"/>
      <c r="AL20" s="49"/>
      <c r="AM20" s="49"/>
      <c r="AN20" s="49"/>
      <c r="AO20" s="49"/>
      <c r="AP20" s="29">
        <f>SUM(AD20:AO20)</f>
        <v>0</v>
      </c>
      <c r="AQ20" s="116"/>
      <c r="AR20" s="116"/>
      <c r="AS20" s="141"/>
      <c r="AT20" s="122"/>
    </row>
    <row r="21" spans="1:48" s="25" customFormat="1" ht="18.75" thickBot="1">
      <c r="A21" s="177" t="s">
        <v>50</v>
      </c>
      <c r="B21" s="178"/>
      <c r="C21" s="31">
        <f>C14+C18</f>
        <v>702100000</v>
      </c>
      <c r="D21" s="31">
        <f aca="true" t="shared" si="3" ref="D21:AP21">D14+D18</f>
        <v>575350000</v>
      </c>
      <c r="E21" s="31">
        <f t="shared" si="3"/>
        <v>0</v>
      </c>
      <c r="F21" s="31">
        <f t="shared" si="3"/>
        <v>0</v>
      </c>
      <c r="G21" s="31">
        <f t="shared" si="3"/>
        <v>0</v>
      </c>
      <c r="H21" s="31">
        <f t="shared" si="3"/>
        <v>0</v>
      </c>
      <c r="I21" s="31">
        <f t="shared" si="3"/>
        <v>0</v>
      </c>
      <c r="J21" s="31">
        <f t="shared" si="3"/>
        <v>0</v>
      </c>
      <c r="K21" s="31">
        <f t="shared" si="3"/>
        <v>0</v>
      </c>
      <c r="L21" s="31">
        <f t="shared" si="3"/>
        <v>0</v>
      </c>
      <c r="M21" s="31">
        <f t="shared" si="3"/>
        <v>0</v>
      </c>
      <c r="N21" s="31">
        <f t="shared" si="3"/>
        <v>126750000</v>
      </c>
      <c r="O21" s="31">
        <f t="shared" si="3"/>
        <v>0</v>
      </c>
      <c r="P21" s="31">
        <f t="shared" si="3"/>
        <v>702100000</v>
      </c>
      <c r="Q21" s="31">
        <f t="shared" si="3"/>
        <v>0</v>
      </c>
      <c r="R21" s="31">
        <f t="shared" si="3"/>
        <v>0</v>
      </c>
      <c r="S21" s="31">
        <f t="shared" si="3"/>
        <v>0</v>
      </c>
      <c r="T21" s="31">
        <f t="shared" si="3"/>
        <v>0</v>
      </c>
      <c r="U21" s="31">
        <f t="shared" si="3"/>
        <v>0</v>
      </c>
      <c r="V21" s="31">
        <f t="shared" si="3"/>
        <v>0</v>
      </c>
      <c r="W21" s="31">
        <f t="shared" si="3"/>
        <v>0</v>
      </c>
      <c r="X21" s="31">
        <f t="shared" si="3"/>
        <v>287675000</v>
      </c>
      <c r="Y21" s="31">
        <f t="shared" si="3"/>
        <v>0</v>
      </c>
      <c r="Z21" s="31">
        <f t="shared" si="3"/>
        <v>0</v>
      </c>
      <c r="AA21" s="31">
        <f t="shared" si="3"/>
        <v>414425000</v>
      </c>
      <c r="AB21" s="31">
        <f t="shared" si="3"/>
        <v>0</v>
      </c>
      <c r="AC21" s="31">
        <f t="shared" si="3"/>
        <v>702100000</v>
      </c>
      <c r="AD21" s="31">
        <f t="shared" si="3"/>
        <v>0</v>
      </c>
      <c r="AE21" s="31">
        <f t="shared" si="3"/>
        <v>0</v>
      </c>
      <c r="AF21" s="31">
        <f t="shared" si="3"/>
        <v>0</v>
      </c>
      <c r="AG21" s="31">
        <f t="shared" si="3"/>
        <v>0</v>
      </c>
      <c r="AH21" s="31">
        <f t="shared" si="3"/>
        <v>0</v>
      </c>
      <c r="AI21" s="31">
        <f t="shared" si="3"/>
        <v>0</v>
      </c>
      <c r="AJ21" s="31">
        <f t="shared" si="3"/>
        <v>0</v>
      </c>
      <c r="AK21" s="31">
        <f t="shared" si="3"/>
        <v>287675000</v>
      </c>
      <c r="AL21" s="31">
        <f t="shared" si="3"/>
        <v>0</v>
      </c>
      <c r="AM21" s="31">
        <f t="shared" si="3"/>
        <v>0</v>
      </c>
      <c r="AN21" s="31">
        <f t="shared" si="3"/>
        <v>126750000</v>
      </c>
      <c r="AO21" s="31">
        <f t="shared" si="3"/>
        <v>287675000</v>
      </c>
      <c r="AP21" s="81">
        <f t="shared" si="3"/>
        <v>702100000</v>
      </c>
      <c r="AQ21" s="116"/>
      <c r="AR21" s="116"/>
      <c r="AS21" s="141"/>
      <c r="AT21" s="122"/>
      <c r="AV21" s="140"/>
    </row>
    <row r="22" spans="1:42" ht="15">
      <c r="A22" s="114" t="s">
        <v>113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1"/>
    </row>
    <row r="23" spans="1:42" ht="15">
      <c r="A23" s="12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</row>
    <row r="24" spans="1:42" ht="15">
      <c r="A24" s="159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1"/>
    </row>
    <row r="25" spans="1:42" ht="30.75" customHeight="1">
      <c r="A25" s="159"/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1"/>
    </row>
    <row r="26" spans="1:42" ht="15" hidden="1">
      <c r="A26" s="63">
        <f ca="1">TODAY()</f>
        <v>40211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</row>
    <row r="27" spans="1:42" ht="15" hidden="1">
      <c r="A27" s="6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</row>
    <row r="28" spans="1:42" ht="15" hidden="1">
      <c r="A28" s="6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</row>
    <row r="29" spans="1:42" ht="1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6"/>
    </row>
    <row r="30" spans="1:42" ht="15.75" thickBot="1">
      <c r="A30" s="4"/>
      <c r="B30" s="77" t="s">
        <v>86</v>
      </c>
      <c r="C30" s="2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 t="s">
        <v>87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</row>
    <row r="31" spans="1:42" ht="15.75">
      <c r="A31" s="4"/>
      <c r="B31" s="66"/>
      <c r="C31" s="174" t="s">
        <v>124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66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6"/>
    </row>
    <row r="32" spans="1:42" ht="1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spans="1:42" ht="15">
      <c r="A33" s="3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6"/>
    </row>
    <row r="34" spans="1:42" ht="15.75" thickBot="1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9"/>
    </row>
  </sheetData>
  <mergeCells count="10">
    <mergeCell ref="C31:P31"/>
    <mergeCell ref="A5:AP5"/>
    <mergeCell ref="A7:B7"/>
    <mergeCell ref="A8:B8"/>
    <mergeCell ref="A21:B21"/>
    <mergeCell ref="A24:AP25"/>
    <mergeCell ref="A1:AP1"/>
    <mergeCell ref="A2:AP2"/>
    <mergeCell ref="A3:AP3"/>
    <mergeCell ref="A4:AP4"/>
  </mergeCells>
  <printOptions horizontalCentered="1" verticalCentered="1"/>
  <pageMargins left="0.94" right="0.6692913385826772" top="0.7874015748031497" bottom="0.5118110236220472" header="0" footer="0.1968503937007874"/>
  <pageSetup horizontalDpi="300" verticalDpi="300" orientation="landscape" paperSize="5" scale="60" r:id="rId1"/>
  <headerFooter alignWithMargins="0">
    <oddHeader>&amp;CHACIENDA 2009</oddHeader>
    <oddFooter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="75" zoomScaleNormal="75" workbookViewId="0" topLeftCell="A1">
      <selection activeCell="Q12" sqref="Q12:Q30"/>
    </sheetView>
  </sheetViews>
  <sheetFormatPr defaultColWidth="11.421875" defaultRowHeight="12.75"/>
  <cols>
    <col min="1" max="1" width="18.8515625" style="1" customWidth="1"/>
    <col min="2" max="2" width="67.14062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hidden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customWidth="1"/>
    <col min="16" max="16" width="20.28125" style="1" customWidth="1"/>
    <col min="17" max="16384" width="11.421875" style="1" customWidth="1"/>
  </cols>
  <sheetData>
    <row r="1" spans="1:16" s="188" customFormat="1" ht="1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7"/>
    </row>
    <row r="2" spans="1:16" s="188" customFormat="1" ht="15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1"/>
    </row>
    <row r="3" spans="1:16" s="188" customFormat="1" ht="15">
      <c r="A3" s="189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1"/>
    </row>
    <row r="4" spans="1:16" s="188" customFormat="1" ht="15">
      <c r="A4" s="189" t="s">
        <v>56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1"/>
    </row>
    <row r="5" spans="1:16" s="188" customFormat="1" ht="15">
      <c r="A5" s="189" t="s">
        <v>144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1"/>
    </row>
    <row r="6" spans="1:16" s="188" customFormat="1" ht="14.2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4"/>
    </row>
    <row r="7" spans="1:16" s="188" customFormat="1" ht="15">
      <c r="A7" s="195" t="s">
        <v>4</v>
      </c>
      <c r="B7" s="196"/>
      <c r="C7" s="197" t="s">
        <v>48</v>
      </c>
      <c r="D7" s="193"/>
      <c r="E7" s="198" t="s">
        <v>8</v>
      </c>
      <c r="F7" s="193"/>
      <c r="G7" s="193"/>
      <c r="H7" s="193"/>
      <c r="I7" s="193"/>
      <c r="J7" s="193"/>
      <c r="K7" s="193"/>
      <c r="L7" s="193"/>
      <c r="M7" s="193"/>
      <c r="N7" s="193"/>
      <c r="O7" s="198" t="s">
        <v>8</v>
      </c>
      <c r="P7" s="199" t="s">
        <v>145</v>
      </c>
    </row>
    <row r="8" spans="1:16" s="188" customFormat="1" ht="15" customHeight="1" thickBot="1">
      <c r="A8" s="195" t="s">
        <v>5</v>
      </c>
      <c r="B8" s="196"/>
      <c r="C8" s="200" t="s">
        <v>57</v>
      </c>
      <c r="D8" s="193"/>
      <c r="E8" s="198" t="s">
        <v>9</v>
      </c>
      <c r="F8" s="193"/>
      <c r="G8" s="193"/>
      <c r="H8" s="193"/>
      <c r="I8" s="193"/>
      <c r="J8" s="193"/>
      <c r="K8" s="193"/>
      <c r="L8" s="193"/>
      <c r="M8" s="193"/>
      <c r="N8" s="193"/>
      <c r="O8" s="198" t="s">
        <v>9</v>
      </c>
      <c r="P8" s="201">
        <v>2009</v>
      </c>
    </row>
    <row r="9" spans="1:16" s="188" customFormat="1" ht="15" hidden="1" thickBo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4"/>
    </row>
    <row r="10" spans="1:16" s="188" customFormat="1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</row>
    <row r="11" spans="1:16" s="188" customFormat="1" ht="15">
      <c r="A11" s="206" t="s">
        <v>40</v>
      </c>
      <c r="B11" s="206" t="s">
        <v>42</v>
      </c>
      <c r="C11" s="206" t="s">
        <v>43</v>
      </c>
      <c r="D11" s="206" t="s">
        <v>46</v>
      </c>
      <c r="E11" s="206" t="s">
        <v>46</v>
      </c>
      <c r="F11" s="206" t="s">
        <v>46</v>
      </c>
      <c r="G11" s="206" t="s">
        <v>46</v>
      </c>
      <c r="H11" s="206" t="s">
        <v>46</v>
      </c>
      <c r="I11" s="206" t="s">
        <v>46</v>
      </c>
      <c r="J11" s="206" t="s">
        <v>46</v>
      </c>
      <c r="K11" s="206" t="s">
        <v>46</v>
      </c>
      <c r="L11" s="206" t="s">
        <v>46</v>
      </c>
      <c r="M11" s="206" t="s">
        <v>46</v>
      </c>
      <c r="N11" s="206" t="s">
        <v>46</v>
      </c>
      <c r="O11" s="206" t="s">
        <v>46</v>
      </c>
      <c r="P11" s="206" t="s">
        <v>46</v>
      </c>
    </row>
    <row r="12" spans="1:16" s="188" customFormat="1" ht="15.75" thickBot="1">
      <c r="A12" s="207" t="s">
        <v>41</v>
      </c>
      <c r="B12" s="207"/>
      <c r="C12" s="207" t="s">
        <v>12</v>
      </c>
      <c r="D12" s="207" t="s">
        <v>13</v>
      </c>
      <c r="E12" s="207" t="s">
        <v>14</v>
      </c>
      <c r="F12" s="207" t="s">
        <v>15</v>
      </c>
      <c r="G12" s="207" t="s">
        <v>16</v>
      </c>
      <c r="H12" s="207" t="s">
        <v>28</v>
      </c>
      <c r="I12" s="207" t="s">
        <v>29</v>
      </c>
      <c r="J12" s="207" t="s">
        <v>30</v>
      </c>
      <c r="K12" s="207" t="s">
        <v>20</v>
      </c>
      <c r="L12" s="207" t="s">
        <v>21</v>
      </c>
      <c r="M12" s="207" t="s">
        <v>31</v>
      </c>
      <c r="N12" s="207" t="s">
        <v>23</v>
      </c>
      <c r="O12" s="207" t="s">
        <v>24</v>
      </c>
      <c r="P12" s="207" t="s">
        <v>25</v>
      </c>
    </row>
    <row r="13" spans="1:16" s="188" customFormat="1" ht="15.75" thickBot="1">
      <c r="A13" s="208">
        <v>1</v>
      </c>
      <c r="B13" s="208">
        <v>2</v>
      </c>
      <c r="C13" s="208"/>
      <c r="D13" s="208">
        <v>7</v>
      </c>
      <c r="E13" s="208">
        <v>7</v>
      </c>
      <c r="F13" s="208">
        <v>7</v>
      </c>
      <c r="G13" s="208">
        <v>7</v>
      </c>
      <c r="H13" s="208">
        <v>7</v>
      </c>
      <c r="I13" s="208">
        <v>7</v>
      </c>
      <c r="J13" s="208">
        <v>7</v>
      </c>
      <c r="K13" s="208">
        <v>7</v>
      </c>
      <c r="L13" s="208">
        <v>7</v>
      </c>
      <c r="M13" s="208">
        <v>7</v>
      </c>
      <c r="N13" s="208">
        <v>7</v>
      </c>
      <c r="O13" s="208">
        <v>7</v>
      </c>
      <c r="P13" s="208">
        <v>8</v>
      </c>
    </row>
    <row r="14" spans="1:16" s="30" customFormat="1" ht="13.5" hidden="1" thickBot="1">
      <c r="A14" s="85"/>
      <c r="B14" s="209" t="s">
        <v>146</v>
      </c>
      <c r="C14" s="210">
        <f aca="true" t="shared" si="0" ref="C14:P14">SUM(C15:C17)</f>
        <v>0</v>
      </c>
      <c r="D14" s="210">
        <f t="shared" si="0"/>
        <v>0</v>
      </c>
      <c r="E14" s="210">
        <f t="shared" si="0"/>
        <v>0</v>
      </c>
      <c r="F14" s="210">
        <f t="shared" si="0"/>
        <v>0</v>
      </c>
      <c r="G14" s="210">
        <f t="shared" si="0"/>
        <v>0</v>
      </c>
      <c r="H14" s="210">
        <f t="shared" si="0"/>
        <v>0</v>
      </c>
      <c r="I14" s="210">
        <f t="shared" si="0"/>
        <v>0</v>
      </c>
      <c r="J14" s="210">
        <f t="shared" si="0"/>
        <v>0</v>
      </c>
      <c r="K14" s="210">
        <f t="shared" si="0"/>
        <v>0</v>
      </c>
      <c r="L14" s="210">
        <f t="shared" si="0"/>
        <v>0</v>
      </c>
      <c r="M14" s="210">
        <f t="shared" si="0"/>
        <v>0</v>
      </c>
      <c r="N14" s="210">
        <f t="shared" si="0"/>
        <v>0</v>
      </c>
      <c r="O14" s="210">
        <f t="shared" si="0"/>
        <v>0</v>
      </c>
      <c r="P14" s="211">
        <f t="shared" si="0"/>
        <v>0</v>
      </c>
    </row>
    <row r="15" spans="1:16" s="218" customFormat="1" ht="13.5" hidden="1" thickBot="1">
      <c r="A15" s="212" t="s">
        <v>147</v>
      </c>
      <c r="B15" s="213" t="s">
        <v>148</v>
      </c>
      <c r="C15" s="214"/>
      <c r="D15" s="215">
        <v>0</v>
      </c>
      <c r="E15" s="216"/>
      <c r="F15" s="215"/>
      <c r="G15" s="215"/>
      <c r="H15" s="215"/>
      <c r="I15" s="215"/>
      <c r="J15" s="215"/>
      <c r="K15" s="215"/>
      <c r="L15" s="214"/>
      <c r="M15" s="216"/>
      <c r="N15" s="215"/>
      <c r="O15" s="215"/>
      <c r="P15" s="217">
        <f>SUM(D15:O15)</f>
        <v>0</v>
      </c>
    </row>
    <row r="16" spans="1:16" s="218" customFormat="1" ht="13.5" hidden="1" thickBot="1">
      <c r="A16" s="45" t="s">
        <v>149</v>
      </c>
      <c r="B16" s="219" t="s">
        <v>150</v>
      </c>
      <c r="C16" s="215"/>
      <c r="D16" s="215">
        <v>0</v>
      </c>
      <c r="E16" s="216"/>
      <c r="F16" s="215"/>
      <c r="G16" s="215"/>
      <c r="H16" s="215"/>
      <c r="I16" s="215"/>
      <c r="J16" s="215"/>
      <c r="K16" s="215"/>
      <c r="L16" s="214"/>
      <c r="M16" s="216"/>
      <c r="N16" s="215"/>
      <c r="O16" s="215"/>
      <c r="P16" s="217">
        <f>SUM(D16:O16)</f>
        <v>0</v>
      </c>
    </row>
    <row r="17" spans="1:16" s="218" customFormat="1" ht="13.5" hidden="1" thickBot="1">
      <c r="A17" s="45" t="s">
        <v>151</v>
      </c>
      <c r="B17" s="219" t="s">
        <v>152</v>
      </c>
      <c r="C17" s="220"/>
      <c r="D17" s="220">
        <v>0</v>
      </c>
      <c r="E17" s="221"/>
      <c r="F17" s="222"/>
      <c r="G17" s="222"/>
      <c r="H17" s="223"/>
      <c r="I17" s="224"/>
      <c r="J17" s="222"/>
      <c r="K17" s="223"/>
      <c r="L17" s="225"/>
      <c r="M17" s="223"/>
      <c r="N17" s="215"/>
      <c r="O17" s="215"/>
      <c r="P17" s="217">
        <f>SUM(D17:O17)</f>
        <v>0</v>
      </c>
    </row>
    <row r="18" spans="1:16" s="30" customFormat="1" ht="18" customHeight="1" thickBot="1">
      <c r="A18" s="85"/>
      <c r="B18" s="209" t="s">
        <v>153</v>
      </c>
      <c r="C18" s="210">
        <f aca="true" t="shared" si="1" ref="C18:P18">SUM(C19:C28)</f>
        <v>5235215431.940001</v>
      </c>
      <c r="D18" s="210">
        <f t="shared" si="1"/>
        <v>255038596</v>
      </c>
      <c r="E18" s="210">
        <f t="shared" si="1"/>
        <v>3701743638.94</v>
      </c>
      <c r="F18" s="210">
        <f t="shared" si="1"/>
        <v>1264010114.5</v>
      </c>
      <c r="G18" s="210">
        <f t="shared" si="1"/>
        <v>13665789</v>
      </c>
      <c r="H18" s="210">
        <f t="shared" si="1"/>
        <v>0</v>
      </c>
      <c r="I18" s="210">
        <f t="shared" si="1"/>
        <v>0</v>
      </c>
      <c r="J18" s="210">
        <f t="shared" si="1"/>
        <v>757294</v>
      </c>
      <c r="K18" s="210">
        <f t="shared" si="1"/>
        <v>0</v>
      </c>
      <c r="L18" s="210">
        <f t="shared" si="1"/>
        <v>0</v>
      </c>
      <c r="M18" s="210">
        <f t="shared" si="1"/>
        <v>0</v>
      </c>
      <c r="N18" s="210">
        <f t="shared" si="1"/>
        <v>0</v>
      </c>
      <c r="O18" s="210">
        <f t="shared" si="1"/>
        <v>0</v>
      </c>
      <c r="P18" s="211">
        <f t="shared" si="1"/>
        <v>5235215431.940001</v>
      </c>
    </row>
    <row r="19" spans="1:16" s="12" customFormat="1" ht="12.75">
      <c r="A19" s="45" t="s">
        <v>154</v>
      </c>
      <c r="B19" s="226" t="s">
        <v>155</v>
      </c>
      <c r="C19" s="215">
        <v>2333761233.94</v>
      </c>
      <c r="D19" s="227">
        <v>191144980</v>
      </c>
      <c r="E19" s="215">
        <v>1413640149.94</v>
      </c>
      <c r="F19" s="215">
        <v>715976104</v>
      </c>
      <c r="G19" s="227">
        <v>13000000</v>
      </c>
      <c r="H19" s="227">
        <v>0</v>
      </c>
      <c r="I19" s="227">
        <v>0</v>
      </c>
      <c r="J19" s="227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7">
        <f aca="true" t="shared" si="2" ref="P19:P26">SUM(D19:O19)</f>
        <v>2333761233.94</v>
      </c>
    </row>
    <row r="20" spans="1:16" s="12" customFormat="1" ht="12.75">
      <c r="A20" s="45" t="s">
        <v>156</v>
      </c>
      <c r="B20" s="226" t="s">
        <v>157</v>
      </c>
      <c r="C20" s="215">
        <v>458605928</v>
      </c>
      <c r="D20" s="227">
        <v>15145435</v>
      </c>
      <c r="E20" s="215">
        <v>404969485</v>
      </c>
      <c r="F20" s="215">
        <v>38491008</v>
      </c>
      <c r="G20" s="227">
        <v>0</v>
      </c>
      <c r="H20" s="227">
        <v>0</v>
      </c>
      <c r="I20" s="227">
        <v>0</v>
      </c>
      <c r="J20" s="227">
        <v>0</v>
      </c>
      <c r="K20" s="215">
        <v>0</v>
      </c>
      <c r="L20" s="215">
        <v>0</v>
      </c>
      <c r="M20" s="215">
        <v>0</v>
      </c>
      <c r="N20" s="215">
        <v>0</v>
      </c>
      <c r="O20" s="215">
        <v>0</v>
      </c>
      <c r="P20" s="217">
        <f t="shared" si="2"/>
        <v>458605928</v>
      </c>
    </row>
    <row r="21" spans="1:16" s="12" customFormat="1" ht="12.75">
      <c r="A21" s="45" t="s">
        <v>158</v>
      </c>
      <c r="B21" s="226" t="s">
        <v>159</v>
      </c>
      <c r="C21" s="215">
        <v>1114144618</v>
      </c>
      <c r="D21" s="227">
        <v>10451061</v>
      </c>
      <c r="E21" s="215">
        <v>854697638</v>
      </c>
      <c r="F21" s="215">
        <v>248025804</v>
      </c>
      <c r="G21" s="227">
        <v>212821</v>
      </c>
      <c r="H21" s="227">
        <v>0</v>
      </c>
      <c r="I21" s="227">
        <v>0</v>
      </c>
      <c r="J21" s="227">
        <v>757294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7">
        <f t="shared" si="2"/>
        <v>1114144618</v>
      </c>
    </row>
    <row r="22" spans="1:16" s="12" customFormat="1" ht="12.75">
      <c r="A22" s="45" t="s">
        <v>160</v>
      </c>
      <c r="B22" s="226" t="s">
        <v>161</v>
      </c>
      <c r="C22" s="215">
        <v>154103051</v>
      </c>
      <c r="D22" s="227">
        <v>0</v>
      </c>
      <c r="E22" s="215">
        <v>100802980</v>
      </c>
      <c r="F22" s="215">
        <v>53300071</v>
      </c>
      <c r="G22" s="227">
        <v>0</v>
      </c>
      <c r="H22" s="227">
        <v>0</v>
      </c>
      <c r="I22" s="227">
        <v>0</v>
      </c>
      <c r="J22" s="227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7">
        <f t="shared" si="2"/>
        <v>154103051</v>
      </c>
    </row>
    <row r="23" spans="1:16" s="12" customFormat="1" ht="12.75">
      <c r="A23" s="45" t="s">
        <v>162</v>
      </c>
      <c r="B23" s="226" t="s">
        <v>163</v>
      </c>
      <c r="C23" s="215">
        <v>55563265</v>
      </c>
      <c r="D23" s="227">
        <v>1207254</v>
      </c>
      <c r="E23" s="215">
        <v>49722820</v>
      </c>
      <c r="F23" s="215">
        <v>4633191</v>
      </c>
      <c r="G23" s="227">
        <v>0</v>
      </c>
      <c r="H23" s="227">
        <v>0</v>
      </c>
      <c r="I23" s="227">
        <v>0</v>
      </c>
      <c r="J23" s="227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0</v>
      </c>
      <c r="P23" s="217">
        <f t="shared" si="2"/>
        <v>55563265</v>
      </c>
    </row>
    <row r="24" spans="1:16" s="12" customFormat="1" ht="12.75">
      <c r="A24" s="45" t="s">
        <v>164</v>
      </c>
      <c r="B24" s="226" t="s">
        <v>165</v>
      </c>
      <c r="C24" s="228">
        <f>100739273+1694628</f>
        <v>102433901</v>
      </c>
      <c r="D24" s="227">
        <v>12243629</v>
      </c>
      <c r="E24" s="215">
        <v>49711407</v>
      </c>
      <c r="F24" s="215">
        <v>40478865</v>
      </c>
      <c r="G24" s="227">
        <v>0</v>
      </c>
      <c r="H24" s="227">
        <v>0</v>
      </c>
      <c r="I24" s="227">
        <v>0</v>
      </c>
      <c r="J24" s="227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0</v>
      </c>
      <c r="P24" s="217">
        <f t="shared" si="2"/>
        <v>102433901</v>
      </c>
    </row>
    <row r="25" spans="1:16" s="12" customFormat="1" ht="12.75">
      <c r="A25" s="45" t="s">
        <v>166</v>
      </c>
      <c r="B25" s="226" t="s">
        <v>167</v>
      </c>
      <c r="C25" s="215">
        <v>241530300</v>
      </c>
      <c r="D25" s="227">
        <v>11987001</v>
      </c>
      <c r="E25" s="215">
        <v>203257110</v>
      </c>
      <c r="F25" s="215">
        <v>26286189</v>
      </c>
      <c r="G25" s="227">
        <v>0</v>
      </c>
      <c r="H25" s="227">
        <v>0</v>
      </c>
      <c r="I25" s="227">
        <v>0</v>
      </c>
      <c r="J25" s="227">
        <v>0</v>
      </c>
      <c r="K25" s="215">
        <v>0</v>
      </c>
      <c r="L25" s="215">
        <v>0</v>
      </c>
      <c r="M25" s="215">
        <v>0</v>
      </c>
      <c r="N25" s="215">
        <v>0</v>
      </c>
      <c r="O25" s="215">
        <v>0</v>
      </c>
      <c r="P25" s="217">
        <f t="shared" si="2"/>
        <v>241530300</v>
      </c>
    </row>
    <row r="26" spans="1:16" s="12" customFormat="1" ht="12.75">
      <c r="A26" s="45" t="s">
        <v>168</v>
      </c>
      <c r="B26" s="226" t="s">
        <v>169</v>
      </c>
      <c r="C26" s="215">
        <v>445476641</v>
      </c>
      <c r="D26" s="227">
        <v>3638466</v>
      </c>
      <c r="E26" s="215">
        <v>341066128</v>
      </c>
      <c r="F26" s="215">
        <v>100772047</v>
      </c>
      <c r="G26" s="227">
        <v>0</v>
      </c>
      <c r="H26" s="227">
        <v>0</v>
      </c>
      <c r="I26" s="227">
        <v>0</v>
      </c>
      <c r="J26" s="227">
        <v>0</v>
      </c>
      <c r="K26" s="215">
        <v>0</v>
      </c>
      <c r="L26" s="215">
        <v>0</v>
      </c>
      <c r="M26" s="215">
        <v>0</v>
      </c>
      <c r="N26" s="215">
        <v>0</v>
      </c>
      <c r="O26" s="215">
        <v>0</v>
      </c>
      <c r="P26" s="217">
        <f t="shared" si="2"/>
        <v>445476641</v>
      </c>
    </row>
    <row r="27" spans="1:16" s="12" customFormat="1" ht="12.75">
      <c r="A27" s="45" t="s">
        <v>170</v>
      </c>
      <c r="B27" s="226" t="s">
        <v>171</v>
      </c>
      <c r="C27" s="215">
        <v>165907136</v>
      </c>
      <c r="D27" s="227">
        <v>9220770</v>
      </c>
      <c r="E27" s="215">
        <v>120186563</v>
      </c>
      <c r="F27" s="215">
        <v>36046835.5</v>
      </c>
      <c r="G27" s="227">
        <v>452968</v>
      </c>
      <c r="H27" s="227">
        <v>0</v>
      </c>
      <c r="I27" s="227">
        <v>0</v>
      </c>
      <c r="J27" s="227">
        <v>0</v>
      </c>
      <c r="K27" s="215">
        <v>0</v>
      </c>
      <c r="L27" s="215">
        <v>0</v>
      </c>
      <c r="M27" s="215">
        <v>0</v>
      </c>
      <c r="N27" s="215">
        <v>0</v>
      </c>
      <c r="O27" s="215">
        <v>0</v>
      </c>
      <c r="P27" s="217">
        <f>SUM(D27:O27)-0.5</f>
        <v>165907136</v>
      </c>
    </row>
    <row r="28" spans="1:16" s="12" customFormat="1" ht="13.5" thickBot="1">
      <c r="A28" s="45" t="s">
        <v>172</v>
      </c>
      <c r="B28" s="226" t="s">
        <v>173</v>
      </c>
      <c r="C28" s="215">
        <v>163689358</v>
      </c>
      <c r="D28" s="227">
        <v>0</v>
      </c>
      <c r="E28" s="215">
        <v>163689358</v>
      </c>
      <c r="F28" s="215">
        <v>0</v>
      </c>
      <c r="G28" s="227">
        <v>0</v>
      </c>
      <c r="H28" s="227">
        <v>0</v>
      </c>
      <c r="I28" s="227">
        <v>0</v>
      </c>
      <c r="J28" s="227">
        <v>0</v>
      </c>
      <c r="K28" s="215">
        <v>0</v>
      </c>
      <c r="L28" s="215">
        <v>0</v>
      </c>
      <c r="M28" s="215">
        <v>0</v>
      </c>
      <c r="N28" s="229">
        <v>0</v>
      </c>
      <c r="O28" s="229">
        <v>0</v>
      </c>
      <c r="P28" s="217">
        <f>SUM(D28:O28)</f>
        <v>163689358</v>
      </c>
    </row>
    <row r="29" spans="1:16" s="140" customFormat="1" ht="13.5" thickBot="1">
      <c r="A29" s="230" t="s">
        <v>50</v>
      </c>
      <c r="B29" s="231"/>
      <c r="C29" s="210">
        <f aca="true" t="shared" si="3" ref="C29:P29">SUM(C18)</f>
        <v>5235215431.940001</v>
      </c>
      <c r="D29" s="210">
        <f t="shared" si="3"/>
        <v>255038596</v>
      </c>
      <c r="E29" s="210">
        <f t="shared" si="3"/>
        <v>3701743638.94</v>
      </c>
      <c r="F29" s="210">
        <f t="shared" si="3"/>
        <v>1264010114.5</v>
      </c>
      <c r="G29" s="210">
        <f t="shared" si="3"/>
        <v>13665789</v>
      </c>
      <c r="H29" s="210">
        <f t="shared" si="3"/>
        <v>0</v>
      </c>
      <c r="I29" s="210">
        <f t="shared" si="3"/>
        <v>0</v>
      </c>
      <c r="J29" s="210">
        <f t="shared" si="3"/>
        <v>757294</v>
      </c>
      <c r="K29" s="210">
        <f t="shared" si="3"/>
        <v>0</v>
      </c>
      <c r="L29" s="210">
        <f t="shared" si="3"/>
        <v>0</v>
      </c>
      <c r="M29" s="210">
        <f t="shared" si="3"/>
        <v>0</v>
      </c>
      <c r="N29" s="210">
        <f t="shared" si="3"/>
        <v>0</v>
      </c>
      <c r="O29" s="210">
        <f t="shared" si="3"/>
        <v>0</v>
      </c>
      <c r="P29" s="211">
        <f t="shared" si="3"/>
        <v>5235215431.940001</v>
      </c>
    </row>
    <row r="30" spans="1:16" ht="12.75">
      <c r="A30" s="232" t="s">
        <v>174</v>
      </c>
      <c r="B30" s="10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1"/>
    </row>
    <row r="31" spans="1:16" ht="12.75">
      <c r="A31" s="9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ht="12.75">
      <c r="A32" s="94"/>
      <c r="B32" s="23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ht="12.7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.7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ht="12.7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ht="15.75" thickBot="1">
      <c r="A36" s="4"/>
      <c r="B36" s="8"/>
      <c r="C36" s="3"/>
      <c r="D36" s="234"/>
      <c r="E36" s="234"/>
      <c r="F36" s="234"/>
      <c r="G36" s="234"/>
      <c r="H36" s="234"/>
      <c r="I36" s="234"/>
      <c r="J36" s="234"/>
      <c r="K36" s="5"/>
      <c r="L36" s="5"/>
      <c r="M36" s="5"/>
      <c r="N36" s="5"/>
      <c r="O36" s="5"/>
      <c r="P36" s="5"/>
    </row>
    <row r="37" spans="1:16" ht="15" customHeight="1">
      <c r="A37" s="4"/>
      <c r="B37" s="235" t="s">
        <v>125</v>
      </c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6"/>
    </row>
    <row r="38" spans="1:16" ht="0.75" customHeight="1" thickBot="1">
      <c r="A38" s="23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</sheetData>
  <sheetProtection/>
  <mergeCells count="10">
    <mergeCell ref="D36:J36"/>
    <mergeCell ref="C37:P37"/>
    <mergeCell ref="A5:P5"/>
    <mergeCell ref="A7:B7"/>
    <mergeCell ref="A8:B8"/>
    <mergeCell ref="A29:B29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  <headerFooter alignWithMargins="0">
    <oddFooter>&amp;CHACIENDA2009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48"/>
  <sheetViews>
    <sheetView tabSelected="1" zoomScale="75" zoomScaleNormal="75" workbookViewId="0" topLeftCell="C2">
      <pane xSplit="14790" ySplit="7500" topLeftCell="AQ45" activePane="topLeft" state="split"/>
      <selection pane="topLeft" activeCell="K38" sqref="K38:W38"/>
      <selection pane="topRight" activeCell="AQ3" sqref="AQ3"/>
      <selection pane="bottomLeft" activeCell="B46" sqref="B46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hidden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hidden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customWidth="1"/>
    <col min="29" max="29" width="20.28125" style="1" customWidth="1"/>
    <col min="30" max="16384" width="11.421875" style="1" customWidth="1"/>
  </cols>
  <sheetData>
    <row r="1" spans="1:29" s="188" customFormat="1" ht="15">
      <c r="A1" s="185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7"/>
    </row>
    <row r="2" spans="1:29" s="188" customFormat="1" ht="15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1"/>
    </row>
    <row r="3" spans="1:29" s="188" customFormat="1" ht="15">
      <c r="A3" s="189" t="s">
        <v>51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1"/>
    </row>
    <row r="4" spans="1:29" s="188" customFormat="1" ht="15">
      <c r="A4" s="189" t="s">
        <v>53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</row>
    <row r="5" spans="1:29" s="188" customFormat="1" ht="15">
      <c r="A5" s="189" t="s">
        <v>175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1"/>
    </row>
    <row r="6" spans="1:29" s="188" customFormat="1" ht="14.25">
      <c r="A6" s="192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4"/>
    </row>
    <row r="7" spans="1:29" s="188" customFormat="1" ht="15">
      <c r="A7" s="238" t="s">
        <v>4</v>
      </c>
      <c r="B7" s="239"/>
      <c r="C7" s="197" t="s">
        <v>48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8" t="s">
        <v>8</v>
      </c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9" t="s">
        <v>176</v>
      </c>
    </row>
    <row r="8" spans="1:29" s="188" customFormat="1" ht="15" customHeight="1" thickBot="1">
      <c r="A8" s="238" t="s">
        <v>5</v>
      </c>
      <c r="B8" s="239"/>
      <c r="C8" s="200" t="s">
        <v>57</v>
      </c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8" t="s">
        <v>9</v>
      </c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201">
        <v>2009</v>
      </c>
    </row>
    <row r="9" spans="1:29" s="188" customFormat="1" ht="15" hidden="1" thickBo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4"/>
    </row>
    <row r="10" spans="1:29" s="188" customFormat="1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</row>
    <row r="11" spans="1:29" s="188" customFormat="1" ht="15">
      <c r="A11" s="206" t="s">
        <v>40</v>
      </c>
      <c r="B11" s="206" t="s">
        <v>42</v>
      </c>
      <c r="C11" s="206" t="s">
        <v>43</v>
      </c>
      <c r="D11" s="206" t="s">
        <v>45</v>
      </c>
      <c r="E11" s="206" t="s">
        <v>45</v>
      </c>
      <c r="F11" s="206" t="s">
        <v>45</v>
      </c>
      <c r="G11" s="206" t="s">
        <v>45</v>
      </c>
      <c r="H11" s="206" t="s">
        <v>45</v>
      </c>
      <c r="I11" s="206" t="s">
        <v>45</v>
      </c>
      <c r="J11" s="206" t="s">
        <v>45</v>
      </c>
      <c r="K11" s="206" t="s">
        <v>45</v>
      </c>
      <c r="L11" s="206" t="s">
        <v>45</v>
      </c>
      <c r="M11" s="206" t="s">
        <v>45</v>
      </c>
      <c r="N11" s="206" t="s">
        <v>45</v>
      </c>
      <c r="O11" s="206" t="s">
        <v>45</v>
      </c>
      <c r="P11" s="206" t="s">
        <v>45</v>
      </c>
      <c r="Q11" s="206" t="s">
        <v>46</v>
      </c>
      <c r="R11" s="206" t="s">
        <v>46</v>
      </c>
      <c r="S11" s="206" t="s">
        <v>46</v>
      </c>
      <c r="T11" s="206" t="s">
        <v>46</v>
      </c>
      <c r="U11" s="206" t="s">
        <v>46</v>
      </c>
      <c r="V11" s="206" t="s">
        <v>46</v>
      </c>
      <c r="W11" s="206" t="s">
        <v>46</v>
      </c>
      <c r="X11" s="206" t="s">
        <v>46</v>
      </c>
      <c r="Y11" s="206" t="s">
        <v>46</v>
      </c>
      <c r="Z11" s="206" t="s">
        <v>46</v>
      </c>
      <c r="AA11" s="206" t="s">
        <v>46</v>
      </c>
      <c r="AB11" s="206" t="s">
        <v>46</v>
      </c>
      <c r="AC11" s="206" t="s">
        <v>46</v>
      </c>
    </row>
    <row r="12" spans="1:29" s="188" customFormat="1" ht="15.75" thickBot="1">
      <c r="A12" s="207" t="s">
        <v>41</v>
      </c>
      <c r="B12" s="207"/>
      <c r="C12" s="207" t="s">
        <v>12</v>
      </c>
      <c r="D12" s="207" t="s">
        <v>13</v>
      </c>
      <c r="E12" s="207" t="s">
        <v>14</v>
      </c>
      <c r="F12" s="207" t="s">
        <v>15</v>
      </c>
      <c r="G12" s="207" t="s">
        <v>16</v>
      </c>
      <c r="H12" s="207" t="s">
        <v>28</v>
      </c>
      <c r="I12" s="207" t="s">
        <v>29</v>
      </c>
      <c r="J12" s="207" t="s">
        <v>30</v>
      </c>
      <c r="K12" s="207" t="s">
        <v>20</v>
      </c>
      <c r="L12" s="207" t="s">
        <v>21</v>
      </c>
      <c r="M12" s="207" t="s">
        <v>31</v>
      </c>
      <c r="N12" s="207" t="s">
        <v>23</v>
      </c>
      <c r="O12" s="207" t="s">
        <v>24</v>
      </c>
      <c r="P12" s="207" t="s">
        <v>47</v>
      </c>
      <c r="Q12" s="207" t="s">
        <v>13</v>
      </c>
      <c r="R12" s="207" t="s">
        <v>14</v>
      </c>
      <c r="S12" s="207" t="s">
        <v>15</v>
      </c>
      <c r="T12" s="207" t="s">
        <v>16</v>
      </c>
      <c r="U12" s="207" t="s">
        <v>28</v>
      </c>
      <c r="V12" s="207" t="s">
        <v>29</v>
      </c>
      <c r="W12" s="207" t="s">
        <v>30</v>
      </c>
      <c r="X12" s="207" t="s">
        <v>20</v>
      </c>
      <c r="Y12" s="207" t="s">
        <v>21</v>
      </c>
      <c r="Z12" s="207" t="s">
        <v>31</v>
      </c>
      <c r="AA12" s="207" t="s">
        <v>23</v>
      </c>
      <c r="AB12" s="207" t="s">
        <v>24</v>
      </c>
      <c r="AC12" s="207" t="s">
        <v>25</v>
      </c>
    </row>
    <row r="13" spans="1:29" s="188" customFormat="1" ht="15.75" thickBot="1">
      <c r="A13" s="208">
        <v>1</v>
      </c>
      <c r="B13" s="208">
        <v>2</v>
      </c>
      <c r="C13" s="208"/>
      <c r="D13" s="208">
        <v>5</v>
      </c>
      <c r="E13" s="208">
        <v>5</v>
      </c>
      <c r="F13" s="208">
        <v>5</v>
      </c>
      <c r="G13" s="208">
        <v>5</v>
      </c>
      <c r="H13" s="208">
        <v>5</v>
      </c>
      <c r="I13" s="208">
        <v>5</v>
      </c>
      <c r="J13" s="208">
        <v>5</v>
      </c>
      <c r="K13" s="208">
        <v>5</v>
      </c>
      <c r="L13" s="208">
        <v>5</v>
      </c>
      <c r="M13" s="208">
        <v>5</v>
      </c>
      <c r="N13" s="208">
        <v>5</v>
      </c>
      <c r="O13" s="208">
        <v>5</v>
      </c>
      <c r="P13" s="208">
        <v>6</v>
      </c>
      <c r="Q13" s="208">
        <v>7</v>
      </c>
      <c r="R13" s="208">
        <v>7</v>
      </c>
      <c r="S13" s="208">
        <v>7</v>
      </c>
      <c r="T13" s="208">
        <v>7</v>
      </c>
      <c r="U13" s="208">
        <v>7</v>
      </c>
      <c r="V13" s="208">
        <v>7</v>
      </c>
      <c r="W13" s="208">
        <v>7</v>
      </c>
      <c r="X13" s="208">
        <v>7</v>
      </c>
      <c r="Y13" s="208">
        <v>7</v>
      </c>
      <c r="Z13" s="208">
        <v>7</v>
      </c>
      <c r="AA13" s="208">
        <v>7</v>
      </c>
      <c r="AB13" s="208">
        <v>7</v>
      </c>
      <c r="AC13" s="208">
        <v>8</v>
      </c>
    </row>
    <row r="14" spans="1:29" s="30" customFormat="1" ht="13.5" hidden="1" thickBot="1">
      <c r="A14" s="240"/>
      <c r="B14" s="241" t="s">
        <v>177</v>
      </c>
      <c r="C14" s="242">
        <f aca="true" t="shared" si="0" ref="C14:AB14">SUM(C15,C17,C19)</f>
        <v>0</v>
      </c>
      <c r="D14" s="242">
        <f t="shared" si="0"/>
        <v>0</v>
      </c>
      <c r="E14" s="242">
        <f t="shared" si="0"/>
        <v>0</v>
      </c>
      <c r="F14" s="242">
        <f t="shared" si="0"/>
        <v>0</v>
      </c>
      <c r="G14" s="242">
        <f t="shared" si="0"/>
        <v>0</v>
      </c>
      <c r="H14" s="242">
        <f t="shared" si="0"/>
        <v>0</v>
      </c>
      <c r="I14" s="242">
        <f t="shared" si="0"/>
        <v>0</v>
      </c>
      <c r="J14" s="242">
        <f t="shared" si="0"/>
        <v>0</v>
      </c>
      <c r="K14" s="242">
        <f t="shared" si="0"/>
        <v>0</v>
      </c>
      <c r="L14" s="242">
        <f t="shared" si="0"/>
        <v>0</v>
      </c>
      <c r="M14" s="242">
        <f t="shared" si="0"/>
        <v>0</v>
      </c>
      <c r="N14" s="242">
        <f t="shared" si="0"/>
        <v>0</v>
      </c>
      <c r="O14" s="242">
        <f t="shared" si="0"/>
        <v>0</v>
      </c>
      <c r="P14" s="242">
        <f t="shared" si="0"/>
        <v>0</v>
      </c>
      <c r="Q14" s="242">
        <f t="shared" si="0"/>
        <v>0</v>
      </c>
      <c r="R14" s="242">
        <f t="shared" si="0"/>
        <v>0</v>
      </c>
      <c r="S14" s="242">
        <f t="shared" si="0"/>
        <v>0</v>
      </c>
      <c r="T14" s="242">
        <f t="shared" si="0"/>
        <v>0</v>
      </c>
      <c r="U14" s="242">
        <f t="shared" si="0"/>
        <v>0</v>
      </c>
      <c r="V14" s="242">
        <f t="shared" si="0"/>
        <v>0</v>
      </c>
      <c r="W14" s="242">
        <f t="shared" si="0"/>
        <v>0</v>
      </c>
      <c r="X14" s="242">
        <f t="shared" si="0"/>
        <v>0</v>
      </c>
      <c r="Y14" s="242">
        <f t="shared" si="0"/>
        <v>0</v>
      </c>
      <c r="Z14" s="242">
        <f t="shared" si="0"/>
        <v>0</v>
      </c>
      <c r="AA14" s="242">
        <f t="shared" si="0"/>
        <v>0</v>
      </c>
      <c r="AB14" s="242">
        <f t="shared" si="0"/>
        <v>0</v>
      </c>
      <c r="AC14" s="243">
        <f>SUM(AC15,AC17)</f>
        <v>0</v>
      </c>
    </row>
    <row r="15" spans="1:29" s="30" customFormat="1" ht="13.5" hidden="1" thickBot="1">
      <c r="A15" s="240"/>
      <c r="B15" s="241" t="s">
        <v>63</v>
      </c>
      <c r="C15" s="242">
        <f aca="true" t="shared" si="1" ref="C15:AC15">SUM(C16:C16)</f>
        <v>0</v>
      </c>
      <c r="D15" s="242">
        <f t="shared" si="1"/>
        <v>0</v>
      </c>
      <c r="E15" s="242">
        <f t="shared" si="1"/>
        <v>0</v>
      </c>
      <c r="F15" s="242">
        <f t="shared" si="1"/>
        <v>0</v>
      </c>
      <c r="G15" s="242">
        <f t="shared" si="1"/>
        <v>0</v>
      </c>
      <c r="H15" s="242">
        <f t="shared" si="1"/>
        <v>0</v>
      </c>
      <c r="I15" s="242">
        <f t="shared" si="1"/>
        <v>0</v>
      </c>
      <c r="J15" s="242">
        <f t="shared" si="1"/>
        <v>0</v>
      </c>
      <c r="K15" s="242">
        <f t="shared" si="1"/>
        <v>0</v>
      </c>
      <c r="L15" s="242">
        <f t="shared" si="1"/>
        <v>0</v>
      </c>
      <c r="M15" s="242">
        <f t="shared" si="1"/>
        <v>0</v>
      </c>
      <c r="N15" s="242">
        <f t="shared" si="1"/>
        <v>0</v>
      </c>
      <c r="O15" s="242">
        <f t="shared" si="1"/>
        <v>0</v>
      </c>
      <c r="P15" s="242">
        <f t="shared" si="1"/>
        <v>0</v>
      </c>
      <c r="Q15" s="242">
        <f t="shared" si="1"/>
        <v>0</v>
      </c>
      <c r="R15" s="242">
        <f t="shared" si="1"/>
        <v>0</v>
      </c>
      <c r="S15" s="242">
        <f t="shared" si="1"/>
        <v>0</v>
      </c>
      <c r="T15" s="242">
        <f t="shared" si="1"/>
        <v>0</v>
      </c>
      <c r="U15" s="242">
        <f t="shared" si="1"/>
        <v>0</v>
      </c>
      <c r="V15" s="242">
        <f t="shared" si="1"/>
        <v>0</v>
      </c>
      <c r="W15" s="242">
        <f t="shared" si="1"/>
        <v>0</v>
      </c>
      <c r="X15" s="242">
        <f t="shared" si="1"/>
        <v>0</v>
      </c>
      <c r="Y15" s="242">
        <f t="shared" si="1"/>
        <v>0</v>
      </c>
      <c r="Z15" s="242">
        <f t="shared" si="1"/>
        <v>0</v>
      </c>
      <c r="AA15" s="242">
        <f t="shared" si="1"/>
        <v>0</v>
      </c>
      <c r="AB15" s="242">
        <f t="shared" si="1"/>
        <v>0</v>
      </c>
      <c r="AC15" s="243">
        <f t="shared" si="1"/>
        <v>0</v>
      </c>
    </row>
    <row r="16" spans="1:29" s="218" customFormat="1" ht="13.5" hidden="1" thickBot="1">
      <c r="A16" s="45" t="s">
        <v>178</v>
      </c>
      <c r="B16" s="219" t="s">
        <v>49</v>
      </c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6">
        <f>SUM(D16:O16)</f>
        <v>0</v>
      </c>
      <c r="Q16" s="215"/>
      <c r="R16" s="216"/>
      <c r="S16" s="215"/>
      <c r="T16" s="215"/>
      <c r="U16" s="215"/>
      <c r="V16" s="215"/>
      <c r="W16" s="215"/>
      <c r="X16" s="215"/>
      <c r="Y16" s="215"/>
      <c r="Z16" s="215"/>
      <c r="AA16" s="244"/>
      <c r="AB16" s="215"/>
      <c r="AC16" s="245">
        <f>SUM(Q16:AB16)</f>
        <v>0</v>
      </c>
    </row>
    <row r="17" spans="1:29" s="30" customFormat="1" ht="13.5" hidden="1" thickBot="1">
      <c r="A17" s="85"/>
      <c r="B17" s="209" t="s">
        <v>64</v>
      </c>
      <c r="C17" s="210">
        <f aca="true" t="shared" si="2" ref="C17:Z17">SUM(C18:C18)</f>
        <v>0</v>
      </c>
      <c r="D17" s="210">
        <f t="shared" si="2"/>
        <v>0</v>
      </c>
      <c r="E17" s="210">
        <f t="shared" si="2"/>
        <v>0</v>
      </c>
      <c r="F17" s="210">
        <f t="shared" si="2"/>
        <v>0</v>
      </c>
      <c r="G17" s="210">
        <f t="shared" si="2"/>
        <v>0</v>
      </c>
      <c r="H17" s="210">
        <f t="shared" si="2"/>
        <v>0</v>
      </c>
      <c r="I17" s="210">
        <f t="shared" si="2"/>
        <v>0</v>
      </c>
      <c r="J17" s="210">
        <f t="shared" si="2"/>
        <v>0</v>
      </c>
      <c r="K17" s="210">
        <f t="shared" si="2"/>
        <v>0</v>
      </c>
      <c r="L17" s="210">
        <f t="shared" si="2"/>
        <v>0</v>
      </c>
      <c r="M17" s="210">
        <f t="shared" si="2"/>
        <v>0</v>
      </c>
      <c r="N17" s="210">
        <f t="shared" si="2"/>
        <v>0</v>
      </c>
      <c r="O17" s="210">
        <f t="shared" si="2"/>
        <v>0</v>
      </c>
      <c r="P17" s="210">
        <f t="shared" si="2"/>
        <v>0</v>
      </c>
      <c r="Q17" s="210">
        <f t="shared" si="2"/>
        <v>0</v>
      </c>
      <c r="R17" s="210">
        <f t="shared" si="2"/>
        <v>0</v>
      </c>
      <c r="S17" s="210">
        <f t="shared" si="2"/>
        <v>0</v>
      </c>
      <c r="T17" s="210">
        <f t="shared" si="2"/>
        <v>0</v>
      </c>
      <c r="U17" s="210">
        <f t="shared" si="2"/>
        <v>0</v>
      </c>
      <c r="V17" s="210">
        <f t="shared" si="2"/>
        <v>0</v>
      </c>
      <c r="W17" s="210">
        <f t="shared" si="2"/>
        <v>0</v>
      </c>
      <c r="X17" s="210">
        <f t="shared" si="2"/>
        <v>0</v>
      </c>
      <c r="Y17" s="210">
        <f t="shared" si="2"/>
        <v>0</v>
      </c>
      <c r="Z17" s="210">
        <f t="shared" si="2"/>
        <v>0</v>
      </c>
      <c r="AA17" s="246">
        <v>0</v>
      </c>
      <c r="AB17" s="210">
        <f>SUM(AB18:AB18)</f>
        <v>0</v>
      </c>
      <c r="AC17" s="211">
        <f>SUM(AC18:AC18)</f>
        <v>0</v>
      </c>
    </row>
    <row r="18" spans="1:29" s="218" customFormat="1" ht="13.5" hidden="1" thickBot="1">
      <c r="A18" s="48" t="s">
        <v>179</v>
      </c>
      <c r="B18" s="247" t="s">
        <v>180</v>
      </c>
      <c r="C18" s="227"/>
      <c r="D18" s="227"/>
      <c r="E18" s="216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0"/>
      <c r="Q18" s="227"/>
      <c r="R18" s="216"/>
      <c r="S18" s="227"/>
      <c r="T18" s="227"/>
      <c r="U18" s="227"/>
      <c r="V18" s="227"/>
      <c r="W18" s="227"/>
      <c r="X18" s="227"/>
      <c r="Y18" s="227"/>
      <c r="Z18" s="227"/>
      <c r="AA18" s="248"/>
      <c r="AB18" s="227"/>
      <c r="AC18" s="249">
        <f>SUM(Q18:AB18)</f>
        <v>0</v>
      </c>
    </row>
    <row r="19" spans="1:29" s="30" customFormat="1" ht="13.5" hidden="1" thickBot="1">
      <c r="A19" s="85"/>
      <c r="B19" s="209" t="s">
        <v>146</v>
      </c>
      <c r="C19" s="210">
        <f aca="true" t="shared" si="3" ref="C19:Z19">SUM(C20:C22)</f>
        <v>0</v>
      </c>
      <c r="D19" s="210">
        <f t="shared" si="3"/>
        <v>0</v>
      </c>
      <c r="E19" s="210">
        <f t="shared" si="3"/>
        <v>0</v>
      </c>
      <c r="F19" s="210">
        <f t="shared" si="3"/>
        <v>0</v>
      </c>
      <c r="G19" s="210">
        <f t="shared" si="3"/>
        <v>0</v>
      </c>
      <c r="H19" s="210">
        <f t="shared" si="3"/>
        <v>0</v>
      </c>
      <c r="I19" s="210">
        <f t="shared" si="3"/>
        <v>0</v>
      </c>
      <c r="J19" s="210">
        <f t="shared" si="3"/>
        <v>0</v>
      </c>
      <c r="K19" s="210">
        <f t="shared" si="3"/>
        <v>0</v>
      </c>
      <c r="L19" s="210">
        <f t="shared" si="3"/>
        <v>0</v>
      </c>
      <c r="M19" s="210">
        <f t="shared" si="3"/>
        <v>0</v>
      </c>
      <c r="N19" s="210">
        <f t="shared" si="3"/>
        <v>0</v>
      </c>
      <c r="O19" s="210">
        <f t="shared" si="3"/>
        <v>0</v>
      </c>
      <c r="P19" s="210">
        <f t="shared" si="3"/>
        <v>0</v>
      </c>
      <c r="Q19" s="210">
        <f t="shared" si="3"/>
        <v>0</v>
      </c>
      <c r="R19" s="210">
        <f t="shared" si="3"/>
        <v>0</v>
      </c>
      <c r="S19" s="210">
        <f t="shared" si="3"/>
        <v>0</v>
      </c>
      <c r="T19" s="210">
        <f t="shared" si="3"/>
        <v>0</v>
      </c>
      <c r="U19" s="210">
        <f t="shared" si="3"/>
        <v>0</v>
      </c>
      <c r="V19" s="210">
        <f t="shared" si="3"/>
        <v>0</v>
      </c>
      <c r="W19" s="210">
        <f t="shared" si="3"/>
        <v>0</v>
      </c>
      <c r="X19" s="210">
        <f t="shared" si="3"/>
        <v>0</v>
      </c>
      <c r="Y19" s="210">
        <f t="shared" si="3"/>
        <v>0</v>
      </c>
      <c r="Z19" s="210">
        <f t="shared" si="3"/>
        <v>0</v>
      </c>
      <c r="AA19" s="215">
        <v>0</v>
      </c>
      <c r="AB19" s="210">
        <f>SUM(AB20:AB22)</f>
        <v>0</v>
      </c>
      <c r="AC19" s="211">
        <f>SUM(AC20:AC22)</f>
        <v>170194527</v>
      </c>
    </row>
    <row r="20" spans="1:29" s="218" customFormat="1" ht="13.5" hidden="1" thickBot="1">
      <c r="A20" s="212" t="s">
        <v>147</v>
      </c>
      <c r="B20" s="213" t="s">
        <v>148</v>
      </c>
      <c r="C20" s="214"/>
      <c r="D20" s="215"/>
      <c r="E20" s="250"/>
      <c r="F20" s="216"/>
      <c r="G20" s="214"/>
      <c r="H20" s="216"/>
      <c r="I20" s="215"/>
      <c r="J20" s="215"/>
      <c r="K20" s="215"/>
      <c r="L20" s="215"/>
      <c r="M20" s="215"/>
      <c r="N20" s="215"/>
      <c r="O20" s="215"/>
      <c r="P20" s="216">
        <f>SUM(D20:O20)</f>
        <v>0</v>
      </c>
      <c r="Q20" s="215">
        <v>0</v>
      </c>
      <c r="R20" s="216"/>
      <c r="S20" s="215"/>
      <c r="T20" s="215"/>
      <c r="U20" s="215"/>
      <c r="V20" s="215"/>
      <c r="W20" s="215"/>
      <c r="X20" s="215"/>
      <c r="Y20" s="214"/>
      <c r="Z20" s="216"/>
      <c r="AA20" s="210">
        <f>SUM(AA21:AA23)</f>
        <v>170194527</v>
      </c>
      <c r="AB20" s="215"/>
      <c r="AC20" s="217">
        <f>SUM(Q20:AB20)</f>
        <v>170194527</v>
      </c>
    </row>
    <row r="21" spans="1:29" s="218" customFormat="1" ht="13.5" hidden="1" thickBot="1">
      <c r="A21" s="45" t="s">
        <v>149</v>
      </c>
      <c r="B21" s="219" t="s">
        <v>150</v>
      </c>
      <c r="C21" s="215"/>
      <c r="D21" s="215"/>
      <c r="E21" s="250"/>
      <c r="F21" s="216"/>
      <c r="G21" s="215"/>
      <c r="H21" s="216"/>
      <c r="I21" s="215"/>
      <c r="J21" s="215"/>
      <c r="K21" s="215"/>
      <c r="L21" s="215"/>
      <c r="M21" s="215"/>
      <c r="N21" s="215"/>
      <c r="O21" s="215"/>
      <c r="P21" s="216">
        <f>SUM(D21:O21)</f>
        <v>0</v>
      </c>
      <c r="Q21" s="215">
        <v>0</v>
      </c>
      <c r="R21" s="216"/>
      <c r="S21" s="215"/>
      <c r="T21" s="215"/>
      <c r="U21" s="215"/>
      <c r="V21" s="215"/>
      <c r="W21" s="215"/>
      <c r="X21" s="215"/>
      <c r="Y21" s="214"/>
      <c r="Z21" s="216"/>
      <c r="AA21" s="215"/>
      <c r="AB21" s="215"/>
      <c r="AC21" s="217">
        <f>SUM(Q21:AB21)</f>
        <v>0</v>
      </c>
    </row>
    <row r="22" spans="1:29" s="218" customFormat="1" ht="13.5" hidden="1" thickBot="1">
      <c r="A22" s="45" t="s">
        <v>151</v>
      </c>
      <c r="B22" s="219" t="s">
        <v>152</v>
      </c>
      <c r="C22" s="220"/>
      <c r="D22" s="216"/>
      <c r="E22" s="221"/>
      <c r="F22" s="216"/>
      <c r="G22" s="223"/>
      <c r="H22" s="216"/>
      <c r="I22" s="224"/>
      <c r="J22" s="223"/>
      <c r="K22" s="223"/>
      <c r="L22" s="251"/>
      <c r="M22" s="223"/>
      <c r="N22" s="227"/>
      <c r="O22" s="215"/>
      <c r="P22" s="220">
        <f>SUM(D22:O22)</f>
        <v>0</v>
      </c>
      <c r="Q22" s="220">
        <v>0</v>
      </c>
      <c r="R22" s="221"/>
      <c r="S22" s="222"/>
      <c r="T22" s="222"/>
      <c r="U22" s="223"/>
      <c r="V22" s="224"/>
      <c r="W22" s="222"/>
      <c r="X22" s="223"/>
      <c r="Y22" s="225"/>
      <c r="Z22" s="223"/>
      <c r="AA22" s="215"/>
      <c r="AB22" s="215"/>
      <c r="AC22" s="217">
        <f>SUM(Q22:AB22)</f>
        <v>0</v>
      </c>
    </row>
    <row r="23" spans="1:29" s="30" customFormat="1" ht="18" customHeight="1" thickBot="1">
      <c r="A23" s="85"/>
      <c r="B23" s="209" t="s">
        <v>153</v>
      </c>
      <c r="C23" s="210">
        <f aca="true" t="shared" si="4" ref="C23:AC23">SUM(C24:C33)</f>
        <v>5768235874.13</v>
      </c>
      <c r="D23" s="210">
        <f t="shared" si="4"/>
        <v>0</v>
      </c>
      <c r="E23" s="210">
        <f t="shared" si="4"/>
        <v>1221697602</v>
      </c>
      <c r="F23" s="210">
        <f t="shared" si="4"/>
        <v>2402571460.13</v>
      </c>
      <c r="G23" s="210">
        <f t="shared" si="4"/>
        <v>455017480</v>
      </c>
      <c r="H23" s="210">
        <f t="shared" si="4"/>
        <v>174976064</v>
      </c>
      <c r="I23" s="210">
        <f t="shared" si="4"/>
        <v>272655850</v>
      </c>
      <c r="J23" s="210">
        <f t="shared" si="4"/>
        <v>306009231</v>
      </c>
      <c r="K23" s="210">
        <f t="shared" si="4"/>
        <v>800400</v>
      </c>
      <c r="L23" s="210">
        <f t="shared" si="4"/>
        <v>51963582</v>
      </c>
      <c r="M23" s="210">
        <f t="shared" si="4"/>
        <v>99307338</v>
      </c>
      <c r="N23" s="210">
        <f t="shared" si="4"/>
        <v>204104041</v>
      </c>
      <c r="O23" s="210">
        <f t="shared" si="4"/>
        <v>579132826</v>
      </c>
      <c r="P23" s="210">
        <f t="shared" si="4"/>
        <v>5768235874.13</v>
      </c>
      <c r="Q23" s="210">
        <f t="shared" si="4"/>
        <v>0</v>
      </c>
      <c r="R23" s="210">
        <f t="shared" si="4"/>
        <v>1035629326</v>
      </c>
      <c r="S23" s="210">
        <f t="shared" si="4"/>
        <v>2560730220.13</v>
      </c>
      <c r="T23" s="210">
        <f t="shared" si="4"/>
        <v>442723976</v>
      </c>
      <c r="U23" s="210">
        <f t="shared" si="4"/>
        <v>163772173</v>
      </c>
      <c r="V23" s="210">
        <f t="shared" si="4"/>
        <v>320025559</v>
      </c>
      <c r="W23" s="210">
        <f t="shared" si="4"/>
        <v>310046433</v>
      </c>
      <c r="X23" s="210">
        <f t="shared" si="4"/>
        <v>800400</v>
      </c>
      <c r="Y23" s="210">
        <f t="shared" si="4"/>
        <v>51963582</v>
      </c>
      <c r="Z23" s="210">
        <f t="shared" si="4"/>
        <v>99307338</v>
      </c>
      <c r="AA23" s="210">
        <f t="shared" si="4"/>
        <v>170194527</v>
      </c>
      <c r="AB23" s="210">
        <f t="shared" si="4"/>
        <v>613042340</v>
      </c>
      <c r="AC23" s="211">
        <f t="shared" si="4"/>
        <v>5768235874.13</v>
      </c>
    </row>
    <row r="24" spans="1:29" s="12" customFormat="1" ht="13.5" thickBot="1">
      <c r="A24" s="45" t="s">
        <v>154</v>
      </c>
      <c r="B24" s="226" t="s">
        <v>155</v>
      </c>
      <c r="C24" s="227">
        <f>3034111476.01-7077564-26677-1508000-754362-4015115</f>
        <v>3020729758.01</v>
      </c>
      <c r="D24" s="227">
        <v>0</v>
      </c>
      <c r="E24" s="227">
        <v>704136220</v>
      </c>
      <c r="F24" s="227">
        <v>929359556.01</v>
      </c>
      <c r="G24" s="227">
        <v>379780402</v>
      </c>
      <c r="H24" s="227">
        <v>112053236</v>
      </c>
      <c r="I24" s="227">
        <v>40429429</v>
      </c>
      <c r="J24" s="227">
        <v>271009231</v>
      </c>
      <c r="K24" s="227">
        <v>800400</v>
      </c>
      <c r="L24" s="227">
        <v>51963582</v>
      </c>
      <c r="M24" s="227">
        <v>58850452</v>
      </c>
      <c r="N24" s="215">
        <v>130244822</v>
      </c>
      <c r="O24" s="227">
        <v>342102428</v>
      </c>
      <c r="P24" s="217">
        <f aca="true" t="shared" si="5" ref="P24:P33">SUM(D24:O24)</f>
        <v>3020729758.01</v>
      </c>
      <c r="Q24" s="227">
        <v>0</v>
      </c>
      <c r="R24" s="220">
        <v>538253800</v>
      </c>
      <c r="S24" s="227">
        <v>1072315460.01</v>
      </c>
      <c r="T24" s="227">
        <v>395703898</v>
      </c>
      <c r="U24" s="227">
        <v>110024003</v>
      </c>
      <c r="V24" s="227">
        <v>49461682</v>
      </c>
      <c r="W24" s="227">
        <v>271009231</v>
      </c>
      <c r="X24" s="227">
        <v>800400</v>
      </c>
      <c r="Y24" s="227">
        <v>51963582</v>
      </c>
      <c r="Z24" s="227">
        <v>58850452</v>
      </c>
      <c r="AA24" s="248">
        <v>118332448</v>
      </c>
      <c r="AB24" s="227">
        <v>354014802</v>
      </c>
      <c r="AC24" s="217">
        <f aca="true" t="shared" si="6" ref="AC24:AC33">SUM(Q24:AB24)</f>
        <v>3020729758.01</v>
      </c>
    </row>
    <row r="25" spans="1:29" s="12" customFormat="1" ht="12.75">
      <c r="A25" s="45" t="s">
        <v>156</v>
      </c>
      <c r="B25" s="226" t="s">
        <v>157</v>
      </c>
      <c r="C25" s="227">
        <f>741487366-499284</f>
        <v>740988082</v>
      </c>
      <c r="D25" s="227">
        <v>0</v>
      </c>
      <c r="E25" s="227">
        <v>92231593</v>
      </c>
      <c r="F25" s="227">
        <v>628625493</v>
      </c>
      <c r="G25" s="227">
        <v>0</v>
      </c>
      <c r="H25" s="227">
        <v>20130996</v>
      </c>
      <c r="I25" s="227">
        <v>0</v>
      </c>
      <c r="J25" s="227">
        <v>0</v>
      </c>
      <c r="K25" s="227">
        <v>0</v>
      </c>
      <c r="L25" s="227">
        <v>0</v>
      </c>
      <c r="M25" s="227">
        <v>0</v>
      </c>
      <c r="N25" s="215">
        <v>0</v>
      </c>
      <c r="O25" s="227">
        <v>0</v>
      </c>
      <c r="P25" s="217">
        <f t="shared" si="5"/>
        <v>740988082</v>
      </c>
      <c r="Q25" s="227">
        <v>0</v>
      </c>
      <c r="R25" s="227">
        <v>92231593</v>
      </c>
      <c r="S25" s="227">
        <v>628625493</v>
      </c>
      <c r="T25" s="227">
        <v>0</v>
      </c>
      <c r="U25" s="227">
        <v>6574007</v>
      </c>
      <c r="V25" s="227">
        <v>13556989</v>
      </c>
      <c r="W25" s="227">
        <v>0</v>
      </c>
      <c r="X25" s="227">
        <v>0</v>
      </c>
      <c r="Y25" s="227">
        <v>0</v>
      </c>
      <c r="Z25" s="227">
        <v>0</v>
      </c>
      <c r="AA25" s="252">
        <v>0</v>
      </c>
      <c r="AB25" s="227">
        <v>0</v>
      </c>
      <c r="AC25" s="217">
        <f t="shared" si="6"/>
        <v>740988082</v>
      </c>
    </row>
    <row r="26" spans="1:29" s="12" customFormat="1" ht="12.75">
      <c r="A26" s="45" t="s">
        <v>158</v>
      </c>
      <c r="B26" s="226" t="s">
        <v>159</v>
      </c>
      <c r="C26" s="227">
        <f>677863223-255219</f>
        <v>677608004</v>
      </c>
      <c r="D26" s="227">
        <v>0</v>
      </c>
      <c r="E26" s="227">
        <v>71771622</v>
      </c>
      <c r="F26" s="227">
        <v>409200498</v>
      </c>
      <c r="G26" s="227">
        <v>3634186</v>
      </c>
      <c r="H26" s="227">
        <v>0</v>
      </c>
      <c r="I26" s="227">
        <v>50000000</v>
      </c>
      <c r="J26" s="227">
        <v>0</v>
      </c>
      <c r="K26" s="227">
        <v>0</v>
      </c>
      <c r="L26" s="227">
        <v>0</v>
      </c>
      <c r="M26" s="227">
        <v>18007481</v>
      </c>
      <c r="N26" s="215">
        <v>37588173</v>
      </c>
      <c r="O26" s="227">
        <v>87406044</v>
      </c>
      <c r="P26" s="217">
        <f t="shared" si="5"/>
        <v>677608004</v>
      </c>
      <c r="Q26" s="227">
        <v>0</v>
      </c>
      <c r="R26" s="227">
        <v>71771622</v>
      </c>
      <c r="S26" s="227">
        <v>409200498</v>
      </c>
      <c r="T26" s="227">
        <v>3634186</v>
      </c>
      <c r="U26" s="227">
        <v>0</v>
      </c>
      <c r="V26" s="227">
        <v>50000000</v>
      </c>
      <c r="W26" s="227">
        <v>0</v>
      </c>
      <c r="X26" s="227">
        <v>0</v>
      </c>
      <c r="Y26" s="227">
        <v>0</v>
      </c>
      <c r="Z26" s="227">
        <v>18007481</v>
      </c>
      <c r="AA26" s="252">
        <v>32831165</v>
      </c>
      <c r="AB26" s="227">
        <v>92163052</v>
      </c>
      <c r="AC26" s="217">
        <f t="shared" si="6"/>
        <v>677608004</v>
      </c>
    </row>
    <row r="27" spans="1:29" s="12" customFormat="1" ht="12.75">
      <c r="A27" s="45" t="s">
        <v>160</v>
      </c>
      <c r="B27" s="226" t="s">
        <v>161</v>
      </c>
      <c r="C27" s="227">
        <f>139334507-1350726</f>
        <v>137983781</v>
      </c>
      <c r="D27" s="227">
        <v>0</v>
      </c>
      <c r="E27" s="227">
        <v>85116040</v>
      </c>
      <c r="F27" s="227">
        <v>13306229</v>
      </c>
      <c r="G27" s="227">
        <v>0</v>
      </c>
      <c r="H27" s="227">
        <v>29561512</v>
      </c>
      <c r="I27" s="227">
        <v>0</v>
      </c>
      <c r="J27" s="227">
        <v>0</v>
      </c>
      <c r="K27" s="227">
        <v>0</v>
      </c>
      <c r="L27" s="227">
        <v>0</v>
      </c>
      <c r="M27" s="227">
        <v>1381425</v>
      </c>
      <c r="N27" s="215">
        <v>3225212</v>
      </c>
      <c r="O27" s="227">
        <v>5393363</v>
      </c>
      <c r="P27" s="217">
        <f t="shared" si="5"/>
        <v>137983781</v>
      </c>
      <c r="Q27" s="227">
        <v>0</v>
      </c>
      <c r="R27" s="227">
        <v>85116040</v>
      </c>
      <c r="S27" s="227">
        <v>13306229</v>
      </c>
      <c r="T27" s="227">
        <v>0</v>
      </c>
      <c r="U27" s="227">
        <v>9653650</v>
      </c>
      <c r="V27" s="227">
        <v>19907862</v>
      </c>
      <c r="W27" s="227">
        <v>0</v>
      </c>
      <c r="X27" s="227">
        <v>0</v>
      </c>
      <c r="Y27" s="227">
        <v>0</v>
      </c>
      <c r="Z27" s="227">
        <v>1381425</v>
      </c>
      <c r="AA27" s="252">
        <v>3225212</v>
      </c>
      <c r="AB27" s="227">
        <v>5393363</v>
      </c>
      <c r="AC27" s="217">
        <f t="shared" si="6"/>
        <v>137983781</v>
      </c>
    </row>
    <row r="28" spans="1:29" s="12" customFormat="1" ht="12.75">
      <c r="A28" s="45" t="s">
        <v>162</v>
      </c>
      <c r="B28" s="226" t="s">
        <v>163</v>
      </c>
      <c r="C28" s="227">
        <f>45684056-115053</f>
        <v>45569003</v>
      </c>
      <c r="D28" s="227">
        <v>0</v>
      </c>
      <c r="E28" s="227">
        <v>0</v>
      </c>
      <c r="F28" s="227">
        <v>26184056</v>
      </c>
      <c r="G28" s="227">
        <v>0</v>
      </c>
      <c r="H28" s="227">
        <v>0</v>
      </c>
      <c r="I28" s="227">
        <v>0</v>
      </c>
      <c r="J28" s="227">
        <v>0</v>
      </c>
      <c r="K28" s="227">
        <v>0</v>
      </c>
      <c r="L28" s="227">
        <v>0</v>
      </c>
      <c r="M28" s="227">
        <v>1890288</v>
      </c>
      <c r="N28" s="215">
        <v>2405466</v>
      </c>
      <c r="O28" s="227">
        <v>15089193</v>
      </c>
      <c r="P28" s="217">
        <f t="shared" si="5"/>
        <v>45569003</v>
      </c>
      <c r="Q28" s="227">
        <v>0</v>
      </c>
      <c r="R28" s="227">
        <v>0</v>
      </c>
      <c r="S28" s="227">
        <v>26184056</v>
      </c>
      <c r="T28" s="227">
        <v>0</v>
      </c>
      <c r="U28" s="227">
        <v>0</v>
      </c>
      <c r="V28" s="227">
        <v>0</v>
      </c>
      <c r="W28" s="227">
        <v>0</v>
      </c>
      <c r="X28" s="227">
        <v>0</v>
      </c>
      <c r="Y28" s="227">
        <v>0</v>
      </c>
      <c r="Z28" s="227">
        <v>1890288</v>
      </c>
      <c r="AA28" s="252">
        <v>261031</v>
      </c>
      <c r="AB28" s="227">
        <v>17233628</v>
      </c>
      <c r="AC28" s="217">
        <f t="shared" si="6"/>
        <v>45569003</v>
      </c>
    </row>
    <row r="29" spans="1:29" s="12" customFormat="1" ht="12.75">
      <c r="A29" s="45" t="s">
        <v>164</v>
      </c>
      <c r="B29" s="226" t="s">
        <v>165</v>
      </c>
      <c r="C29" s="227">
        <v>310703876</v>
      </c>
      <c r="D29" s="227">
        <v>0</v>
      </c>
      <c r="E29" s="227">
        <v>64272721</v>
      </c>
      <c r="F29" s="227">
        <v>155036211</v>
      </c>
      <c r="G29" s="227">
        <v>34794944</v>
      </c>
      <c r="H29" s="227">
        <v>0</v>
      </c>
      <c r="I29" s="227">
        <v>36600000</v>
      </c>
      <c r="J29" s="227">
        <v>0</v>
      </c>
      <c r="K29" s="227">
        <v>0</v>
      </c>
      <c r="L29" s="227">
        <v>0</v>
      </c>
      <c r="M29" s="227">
        <v>2762850</v>
      </c>
      <c r="N29" s="215">
        <v>6450424</v>
      </c>
      <c r="O29" s="227">
        <v>10786726</v>
      </c>
      <c r="P29" s="217">
        <f t="shared" si="5"/>
        <v>310703876</v>
      </c>
      <c r="Q29" s="227">
        <v>0</v>
      </c>
      <c r="R29" s="227">
        <v>62279041</v>
      </c>
      <c r="S29" s="227">
        <v>157029891</v>
      </c>
      <c r="T29" s="227">
        <v>1594944</v>
      </c>
      <c r="U29" s="227">
        <v>33200000</v>
      </c>
      <c r="V29" s="227">
        <v>36600000</v>
      </c>
      <c r="W29" s="227">
        <v>0</v>
      </c>
      <c r="X29" s="227">
        <v>0</v>
      </c>
      <c r="Y29" s="227">
        <v>0</v>
      </c>
      <c r="Z29" s="227">
        <v>2762850</v>
      </c>
      <c r="AA29" s="252">
        <v>6450424</v>
      </c>
      <c r="AB29" s="227">
        <v>10786726</v>
      </c>
      <c r="AC29" s="217">
        <f t="shared" si="6"/>
        <v>310703876</v>
      </c>
    </row>
    <row r="30" spans="1:29" s="12" customFormat="1" ht="12.75">
      <c r="A30" s="45" t="s">
        <v>166</v>
      </c>
      <c r="B30" s="226" t="s">
        <v>167</v>
      </c>
      <c r="C30" s="227">
        <f>327655260-271826</f>
        <v>327383434</v>
      </c>
      <c r="D30" s="227">
        <v>0</v>
      </c>
      <c r="E30" s="227">
        <v>60022289</v>
      </c>
      <c r="F30" s="227">
        <v>138623105</v>
      </c>
      <c r="G30" s="227">
        <v>1807948</v>
      </c>
      <c r="H30" s="227">
        <v>4814549</v>
      </c>
      <c r="I30" s="227">
        <v>56315753</v>
      </c>
      <c r="J30" s="227">
        <v>0</v>
      </c>
      <c r="K30" s="227">
        <v>0</v>
      </c>
      <c r="L30" s="227">
        <v>0</v>
      </c>
      <c r="M30" s="227">
        <v>7228934</v>
      </c>
      <c r="N30" s="215">
        <v>12133691</v>
      </c>
      <c r="O30" s="227">
        <v>46437165</v>
      </c>
      <c r="P30" s="217">
        <f t="shared" si="5"/>
        <v>327383434</v>
      </c>
      <c r="Q30" s="227">
        <v>0</v>
      </c>
      <c r="R30" s="227">
        <v>60022289</v>
      </c>
      <c r="S30" s="227">
        <v>133640105</v>
      </c>
      <c r="T30" s="227">
        <v>6790948</v>
      </c>
      <c r="U30" s="227">
        <v>1572246</v>
      </c>
      <c r="V30" s="227">
        <v>59558056</v>
      </c>
      <c r="W30" s="227">
        <v>0</v>
      </c>
      <c r="X30" s="227">
        <v>0</v>
      </c>
      <c r="Y30" s="227">
        <v>0</v>
      </c>
      <c r="Z30" s="227">
        <v>7228934</v>
      </c>
      <c r="AA30" s="252">
        <v>7067148</v>
      </c>
      <c r="AB30" s="227">
        <v>51503708</v>
      </c>
      <c r="AC30" s="217">
        <f t="shared" si="6"/>
        <v>327383434</v>
      </c>
    </row>
    <row r="31" spans="1:29" s="12" customFormat="1" ht="12.75">
      <c r="A31" s="45" t="s">
        <v>168</v>
      </c>
      <c r="B31" s="226" t="s">
        <v>169</v>
      </c>
      <c r="C31" s="227">
        <v>195542738.12</v>
      </c>
      <c r="D31" s="227">
        <v>0</v>
      </c>
      <c r="E31" s="227">
        <v>58624013</v>
      </c>
      <c r="F31" s="227">
        <v>70391640.12</v>
      </c>
      <c r="G31" s="227">
        <v>0</v>
      </c>
      <c r="H31" s="227">
        <v>4027085</v>
      </c>
      <c r="I31" s="227">
        <v>60000000</v>
      </c>
      <c r="J31" s="227">
        <v>0</v>
      </c>
      <c r="K31" s="227">
        <v>0</v>
      </c>
      <c r="L31" s="227">
        <v>0</v>
      </c>
      <c r="M31" s="227">
        <v>345356</v>
      </c>
      <c r="N31" s="215">
        <v>806303</v>
      </c>
      <c r="O31" s="227">
        <v>1348341</v>
      </c>
      <c r="P31" s="217">
        <f t="shared" si="5"/>
        <v>195542738.12</v>
      </c>
      <c r="Q31" s="227">
        <v>0</v>
      </c>
      <c r="R31" s="227">
        <v>58624013</v>
      </c>
      <c r="S31" s="227">
        <v>70391640.12</v>
      </c>
      <c r="T31" s="227">
        <v>0</v>
      </c>
      <c r="U31" s="227">
        <v>1315091</v>
      </c>
      <c r="V31" s="227">
        <v>62711994</v>
      </c>
      <c r="W31" s="227">
        <v>0</v>
      </c>
      <c r="X31" s="227">
        <v>0</v>
      </c>
      <c r="Y31" s="227">
        <v>0</v>
      </c>
      <c r="Z31" s="227">
        <v>345356</v>
      </c>
      <c r="AA31" s="252">
        <v>806303</v>
      </c>
      <c r="AB31" s="227">
        <v>1348341</v>
      </c>
      <c r="AC31" s="217">
        <f t="shared" si="6"/>
        <v>195542738.12</v>
      </c>
    </row>
    <row r="32" spans="1:29" s="12" customFormat="1" ht="12.75">
      <c r="A32" s="45" t="s">
        <v>170</v>
      </c>
      <c r="B32" s="226" t="s">
        <v>171</v>
      </c>
      <c r="C32" s="227">
        <f>152413716-204839</f>
        <v>152208877</v>
      </c>
      <c r="D32" s="227">
        <v>0</v>
      </c>
      <c r="E32" s="227">
        <v>77425023</v>
      </c>
      <c r="F32" s="227">
        <v>31844672</v>
      </c>
      <c r="G32" s="227">
        <v>0</v>
      </c>
      <c r="H32" s="227">
        <v>4388686</v>
      </c>
      <c r="I32" s="227">
        <v>4037202</v>
      </c>
      <c r="J32" s="227">
        <v>0</v>
      </c>
      <c r="K32" s="227">
        <v>0</v>
      </c>
      <c r="L32" s="227">
        <v>0</v>
      </c>
      <c r="M32" s="227">
        <v>3365501</v>
      </c>
      <c r="N32" s="215">
        <v>4282731</v>
      </c>
      <c r="O32" s="227">
        <v>26865062</v>
      </c>
      <c r="P32" s="217">
        <f t="shared" si="5"/>
        <v>152208877</v>
      </c>
      <c r="Q32" s="227">
        <v>0</v>
      </c>
      <c r="R32" s="227">
        <v>59232847</v>
      </c>
      <c r="S32" s="227">
        <v>50036848</v>
      </c>
      <c r="T32" s="227">
        <v>0</v>
      </c>
      <c r="U32" s="227">
        <v>1433176</v>
      </c>
      <c r="V32" s="227">
        <v>2955510</v>
      </c>
      <c r="W32" s="227">
        <v>4037202</v>
      </c>
      <c r="X32" s="227">
        <v>0</v>
      </c>
      <c r="Y32" s="227">
        <v>0</v>
      </c>
      <c r="Z32" s="227">
        <v>3365501</v>
      </c>
      <c r="AA32" s="215">
        <v>464742</v>
      </c>
      <c r="AB32" s="227">
        <v>30683051</v>
      </c>
      <c r="AC32" s="217">
        <f t="shared" si="6"/>
        <v>152208877</v>
      </c>
    </row>
    <row r="33" spans="1:29" s="12" customFormat="1" ht="13.5" thickBot="1">
      <c r="A33" s="45" t="s">
        <v>172</v>
      </c>
      <c r="B33" s="226" t="s">
        <v>173</v>
      </c>
      <c r="C33" s="227">
        <f>159851558-333237</f>
        <v>159518321</v>
      </c>
      <c r="D33" s="227">
        <v>0</v>
      </c>
      <c r="E33" s="227">
        <v>8098081</v>
      </c>
      <c r="F33" s="227">
        <v>0</v>
      </c>
      <c r="G33" s="227">
        <v>35000000</v>
      </c>
      <c r="H33" s="227">
        <v>0</v>
      </c>
      <c r="I33" s="227">
        <v>25273466</v>
      </c>
      <c r="J33" s="227">
        <v>35000000</v>
      </c>
      <c r="K33" s="227">
        <v>0</v>
      </c>
      <c r="L33" s="227">
        <v>0</v>
      </c>
      <c r="M33" s="227">
        <v>5475051</v>
      </c>
      <c r="N33" s="227">
        <v>6967219</v>
      </c>
      <c r="O33" s="227">
        <v>43704504</v>
      </c>
      <c r="P33" s="217">
        <f t="shared" si="5"/>
        <v>159518321</v>
      </c>
      <c r="Q33" s="227">
        <v>0</v>
      </c>
      <c r="R33" s="227">
        <v>8098081</v>
      </c>
      <c r="S33" s="227">
        <v>0</v>
      </c>
      <c r="T33" s="227">
        <v>35000000</v>
      </c>
      <c r="U33" s="227">
        <v>0</v>
      </c>
      <c r="V33" s="227">
        <v>25273466</v>
      </c>
      <c r="W33" s="227">
        <v>35000000</v>
      </c>
      <c r="X33" s="227">
        <v>0</v>
      </c>
      <c r="Y33" s="227">
        <v>0</v>
      </c>
      <c r="Z33" s="227">
        <v>5475051</v>
      </c>
      <c r="AA33" s="215">
        <v>756054</v>
      </c>
      <c r="AB33" s="227">
        <v>49915669</v>
      </c>
      <c r="AC33" s="217">
        <f t="shared" si="6"/>
        <v>159518321</v>
      </c>
    </row>
    <row r="34" spans="1:29" s="140" customFormat="1" ht="13.5" thickBot="1">
      <c r="A34" s="230" t="s">
        <v>50</v>
      </c>
      <c r="B34" s="231"/>
      <c r="C34" s="210">
        <f>SUM(C23)</f>
        <v>5768235874.13</v>
      </c>
      <c r="D34" s="210">
        <f>SUM(D23)</f>
        <v>0</v>
      </c>
      <c r="E34" s="210">
        <f>SUM(E23)</f>
        <v>1221697602</v>
      </c>
      <c r="F34" s="210">
        <f>SUM(F15+F17+F19+F23)</f>
        <v>2402571460.13</v>
      </c>
      <c r="G34" s="210">
        <f>SUM(G15+G17+G19+G23)</f>
        <v>455017480</v>
      </c>
      <c r="H34" s="210">
        <f>SUM(H15+H17+H19+H23)</f>
        <v>174976064</v>
      </c>
      <c r="I34" s="210">
        <f>SUM(I15+I17+I19+I23)</f>
        <v>272655850</v>
      </c>
      <c r="J34" s="210">
        <f>SUM(J15+J17+J19+J23)</f>
        <v>306009231</v>
      </c>
      <c r="K34" s="253">
        <f>SUM(K23)</f>
        <v>800400</v>
      </c>
      <c r="L34" s="210">
        <f>SUM(L15+L17+L19+L23)</f>
        <v>51963582</v>
      </c>
      <c r="M34" s="210">
        <f>SUM(M15+M17+M19+M23)</f>
        <v>99307338</v>
      </c>
      <c r="N34" s="210">
        <v>118332448</v>
      </c>
      <c r="O34" s="210">
        <f>SUM(O15+O17+O19+O23)</f>
        <v>579132826</v>
      </c>
      <c r="P34" s="210">
        <f>SUM(P23)</f>
        <v>5768235874.13</v>
      </c>
      <c r="Q34" s="210">
        <f>SUM(Q23)</f>
        <v>0</v>
      </c>
      <c r="R34" s="210">
        <f>SUM(R23)</f>
        <v>1035629326</v>
      </c>
      <c r="S34" s="210">
        <f>SUM(S15+S17+S19+S23)</f>
        <v>2560730220.13</v>
      </c>
      <c r="T34" s="210">
        <f>SUM(T15+T17+T19+T23)</f>
        <v>442723976</v>
      </c>
      <c r="U34" s="210">
        <f>SUM(U15+U17+U19+U23)</f>
        <v>163772173</v>
      </c>
      <c r="V34" s="210">
        <f>SUM(V15+V17+V19+V23)</f>
        <v>320025559</v>
      </c>
      <c r="W34" s="210">
        <f>SUM(W15+W17+W19+W23)</f>
        <v>310046433</v>
      </c>
      <c r="X34" s="253">
        <f>SUM(X23)</f>
        <v>800400</v>
      </c>
      <c r="Y34" s="210">
        <f>SUM(Y15+Y17+Y19+Y23)</f>
        <v>51963582</v>
      </c>
      <c r="Z34" s="210">
        <f>SUM(Z15+Z17+Z19+Z23)</f>
        <v>99307338</v>
      </c>
      <c r="AA34" s="210">
        <f>SUM(AA15+AA17+AA19+AA23)</f>
        <v>170194527</v>
      </c>
      <c r="AB34" s="210">
        <f>SUM(AB15+AB17+AB19+AB23)</f>
        <v>613042340</v>
      </c>
      <c r="AC34" s="211">
        <f>SUM(AC23)</f>
        <v>5768235874.13</v>
      </c>
    </row>
    <row r="35" spans="1:29" ht="12.75">
      <c r="A35" s="232" t="s">
        <v>174</v>
      </c>
      <c r="B35" s="1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1"/>
    </row>
    <row r="36" spans="1:29" ht="12.75">
      <c r="A36" s="9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6"/>
    </row>
    <row r="37" spans="1:29" ht="12.75">
      <c r="A37" s="94"/>
      <c r="B37" s="23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6"/>
    </row>
    <row r="38" spans="1:29" ht="15.75" thickBot="1">
      <c r="A38" s="5"/>
      <c r="B38" s="5"/>
      <c r="C38" s="3"/>
      <c r="D38" s="5"/>
      <c r="E38" s="5"/>
      <c r="F38" s="5"/>
      <c r="G38" s="5"/>
      <c r="H38" s="5"/>
      <c r="I38" s="5"/>
      <c r="J38" s="5"/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/>
      <c r="X38" s="5"/>
      <c r="Y38" s="5"/>
      <c r="Z38" s="5"/>
      <c r="AA38" s="5"/>
      <c r="AB38" s="5"/>
      <c r="AC38" s="5"/>
    </row>
    <row r="39" spans="1:29" ht="15.75">
      <c r="A39" s="4"/>
      <c r="B39" s="150" t="s">
        <v>125</v>
      </c>
      <c r="C39" s="5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5"/>
    </row>
    <row r="40" spans="1:29" ht="15.75">
      <c r="A40" s="4"/>
      <c r="B40" s="235"/>
      <c r="C40" s="5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7"/>
    </row>
    <row r="41" spans="1:29" ht="12.7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6"/>
    </row>
    <row r="42" spans="1:29" ht="15" customHeight="1">
      <c r="A42" s="258" t="s">
        <v>181</v>
      </c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/>
      <c r="T42" s="259"/>
      <c r="U42" s="259"/>
      <c r="V42" s="259"/>
      <c r="W42" s="259"/>
      <c r="X42" s="259"/>
      <c r="Y42" s="259"/>
      <c r="Z42" s="259"/>
      <c r="AA42" s="259"/>
      <c r="AB42" s="259"/>
      <c r="AC42" s="260"/>
    </row>
    <row r="43" spans="1:29" ht="8.25" customHeight="1" thickBot="1">
      <c r="A43" s="261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3"/>
    </row>
    <row r="44" spans="1:29" ht="0.75" customHeight="1" hidden="1" thickBot="1">
      <c r="A44" s="3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6"/>
    </row>
    <row r="45" spans="1:29" ht="0.75" customHeight="1" thickBot="1">
      <c r="A45" s="264"/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6"/>
    </row>
    <row r="46" spans="1:29" ht="0.75" customHeight="1" thickBot="1">
      <c r="A46" s="5"/>
      <c r="B46" s="267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</row>
    <row r="47" spans="1:29" ht="18" customHeight="1">
      <c r="A47" s="269"/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</row>
    <row r="48" spans="1:29" ht="12.75">
      <c r="A48" s="270"/>
      <c r="B48" s="270"/>
      <c r="C48" s="270"/>
      <c r="D48" s="270"/>
      <c r="E48" s="270"/>
      <c r="F48" s="270"/>
      <c r="G48" s="270"/>
      <c r="H48" s="270"/>
      <c r="I48" s="270"/>
      <c r="J48" s="270"/>
      <c r="K48" s="270"/>
      <c r="L48" s="270"/>
      <c r="M48" s="270"/>
      <c r="N48" s="270"/>
      <c r="O48" s="270"/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70"/>
      <c r="AB48" s="270"/>
      <c r="AC48" s="270"/>
    </row>
  </sheetData>
  <sheetProtection/>
  <mergeCells count="11">
    <mergeCell ref="K38:W38"/>
    <mergeCell ref="D39:AC39"/>
    <mergeCell ref="A42:AC43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rhescobarm</cp:lastModifiedBy>
  <cp:lastPrinted>2010-01-20T20:15:06Z</cp:lastPrinted>
  <dcterms:created xsi:type="dcterms:W3CDTF">1999-04-05T19:37:02Z</dcterms:created>
  <dcterms:modified xsi:type="dcterms:W3CDTF">2010-02-02T21:51:29Z</dcterms:modified>
  <cp:category/>
  <cp:version/>
  <cp:contentType/>
  <cp:contentStatus/>
</cp:coreProperties>
</file>