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11670" activeTab="1"/>
  </bookViews>
  <sheets>
    <sheet name="CUENTAS POR PAGAR" sheetId="1" r:id="rId1"/>
    <sheet name="Gastos Dane " sheetId="2" r:id="rId2"/>
    <sheet name="RESERVAS Dane" sheetId="3" r:id="rId3"/>
    <sheet name="Hoja1" sheetId="4" r:id="rId4"/>
  </sheets>
  <definedNames>
    <definedName name="_xlnm.Print_Area" localSheetId="0">'CUENTAS POR PAGAR'!$A$1:$P$47</definedName>
    <definedName name="_xlnm.Print_Area" localSheetId="1">'Gastos Dane '!$A$1:$AP$84</definedName>
    <definedName name="_xlnm.Print_Area" localSheetId="2">'RESERVAS Dane'!$A$1:$AC$49</definedName>
  </definedNames>
  <calcPr fullCalcOnLoad="1"/>
</workbook>
</file>

<file path=xl/sharedStrings.xml><?xml version="1.0" encoding="utf-8"?>
<sst xmlns="http://schemas.openxmlformats.org/spreadsheetml/2006/main" count="424" uniqueCount="200">
  <si>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</si>
  <si>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</si>
  <si>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</si>
  <si>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</si>
  <si>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</si>
  <si>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</si>
  <si>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</si>
  <si>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</si>
  <si>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</si>
  <si>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</si>
  <si>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</si>
  <si>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</si>
  <si>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</si>
  <si>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</si>
  <si>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</si>
  <si>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</si>
  <si>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</si>
  <si>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</si>
  <si>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</si>
  <si>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</si>
  <si>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</si>
  <si>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</si>
  <si>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</si>
  <si>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</si>
  <si>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</si>
  <si>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</si>
  <si>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</si>
  <si>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</si>
  <si>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</si>
  <si>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</si>
  <si>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</si>
  <si>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</si>
  <si>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</si>
  <si>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</si>
  <si>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</si>
  <si>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</si>
  <si>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</si>
  <si>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</si>
  <si>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</si>
  <si>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</si>
  <si>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</si>
  <si>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</si>
  <si>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</si>
  <si>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</si>
  <si>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</si>
  <si>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</si>
  <si>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</si>
  <si>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</si>
  <si>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</si>
  <si>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</si>
  <si>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</si>
  <si>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</si>
  <si>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</si>
  <si>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</si>
  <si>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</si>
  <si>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</si>
  <si>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</si>
  <si>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</si>
  <si>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</si>
  <si>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</si>
  <si>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</si>
  <si>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</si>
  <si>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</si>
  <si>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</si>
  <si>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</si>
  <si>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</si>
  <si>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</si>
  <si>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</si>
  <si>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</si>
  <si>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</si>
  <si>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</si>
  <si>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</si>
  <si>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</si>
  <si>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</si>
  <si>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</si>
  <si>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</si>
  <si>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</si>
  <si>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</si>
  <si>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</si>
  <si>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</si>
  <si>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</si>
  <si>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</si>
  <si>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</si>
  <si>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</si>
  <si>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</si>
  <si>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</si>
  <si>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</si>
  <si>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</si>
  <si>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</si>
  <si>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</si>
  <si>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</si>
  <si>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</si>
  <si>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</si>
  <si>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</si>
  <si>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</si>
  <si>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</si>
  <si>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</si>
  <si>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</si>
  <si>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</si>
  <si>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</si>
  <si>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</si>
  <si>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</si>
  <si>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</si>
  <si>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</si>
  <si>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</si>
  <si>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</si>
  <si>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</si>
  <si>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</si>
  <si>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</si>
  <si>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</si>
  <si>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</si>
  <si>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</si>
  <si>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</si>
  <si>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</si>
  <si>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SENTENCIAS Y CONCILIACION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</si>
  <si>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</si>
  <si>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</si>
  <si>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</si>
  <si>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</si>
  <si>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</si>
  <si>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</si>
  <si>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</si>
  <si>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</si>
  <si>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</si>
  <si>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</si>
  <si>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</si>
  <si>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</si>
  <si>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</si>
  <si>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</si>
  <si>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</si>
  <si>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 xml:space="preserve">OTROS GASTOS POR ADQUISICION DE SERVICIOS </t>
  </si>
  <si>
    <t>A|2|0|4|41|10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</si>
  <si>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</si>
  <si>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</si>
  <si>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</si>
  <si>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</si>
  <si>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</si>
  <si>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</si>
  <si>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</si>
  <si>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</si>
  <si>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</si>
  <si>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>A|2|0|4|4|10</t>
  </si>
  <si>
    <t>C|430|1000|39|11</t>
  </si>
  <si>
    <t>LEV. RECOP Y ACTUAL. INF AGROPECUARIA A NI.NAL.</t>
  </si>
  <si>
    <t xml:space="preserve">IMPRESOS  Y PUBLICACIONES </t>
  </si>
  <si>
    <t>A|2|0|4|7|10</t>
  </si>
  <si>
    <t>INVERSION</t>
  </si>
  <si>
    <t>A|2|0|4|21|10</t>
  </si>
  <si>
    <t xml:space="preserve">CAPACITACION, BIENESTAR SOCIAL Y ESTIMULOS </t>
  </si>
  <si>
    <t>A|2|0|4|02|10</t>
  </si>
  <si>
    <t xml:space="preserve">ENSERES  Y EQUIPOS DE OFICINA </t>
  </si>
  <si>
    <t>A|3|2|1|1|11</t>
  </si>
  <si>
    <t>C|430|1000|40|11</t>
  </si>
  <si>
    <t>LEV. RECOP Y ACTUAL. INF POBLACIONAL Y DEMOGRAFICA  NAL</t>
  </si>
  <si>
    <t xml:space="preserve">ADQUISICION DE BIENES Y SERVICIOS </t>
  </si>
  <si>
    <t>LEV. Y ACTUAL. INF AGROPECUARIA A NI.NAL.</t>
  </si>
  <si>
    <t>A|1|0|2|12|10</t>
  </si>
  <si>
    <t>LEV. RECOP Y ACTUAL. INF DATOS ESPACIALES A NIV. NAL.</t>
  </si>
  <si>
    <t xml:space="preserve"> </t>
  </si>
  <si>
    <t>LEV. RECOP Y ACTUAL.INF AGROPECUARIA A NI.NAL.</t>
  </si>
  <si>
    <t>Preparó : M.S.R.</t>
  </si>
  <si>
    <t xml:space="preserve">COORDINADORA PRESUPUESTO </t>
  </si>
  <si>
    <t xml:space="preserve">COORDINADORA  PRESUPUESTO </t>
  </si>
  <si>
    <t>A|2|0|4|01|10</t>
  </si>
  <si>
    <t xml:space="preserve">COMPRA DE EQUIPO </t>
  </si>
  <si>
    <t xml:space="preserve">VIATICOS Y GASTOS DE VIAJES </t>
  </si>
  <si>
    <t>A|2|0|4|11|10</t>
  </si>
  <si>
    <t>ANALISIS PARA LA ELAB. DEL DISEÑO DEL TERCER CENSO  NAL. AGROPECUARIO</t>
  </si>
  <si>
    <t>A|2|0|4|6|10</t>
  </si>
  <si>
    <t xml:space="preserve">COMUNICACIONES Y TRANSPORTES </t>
  </si>
  <si>
    <t>LEV. Y ACTUAL. INF POBLACIONAL Y DEMOGRAFICANAL.</t>
  </si>
  <si>
    <t>C|530|1000|40-2|11</t>
  </si>
  <si>
    <t>C|450|1003|1|10</t>
  </si>
  <si>
    <t>C|450|1003|2|10</t>
  </si>
  <si>
    <t>C|450|1003|2|11</t>
  </si>
  <si>
    <t>C|450|1003|310</t>
  </si>
  <si>
    <t>C|450|1003|4|10</t>
  </si>
  <si>
    <t>C|450|1003|5|10</t>
  </si>
  <si>
    <t>C|450|1003|7|10</t>
  </si>
  <si>
    <t>C|450|1003|8|10</t>
  </si>
  <si>
    <t>C|450|1003|9|10</t>
  </si>
  <si>
    <t>C|450|1003|10|10</t>
  </si>
  <si>
    <t>C|450|1003|11|10</t>
  </si>
  <si>
    <t>C|450|1003|13|10</t>
  </si>
  <si>
    <t>C|450|1003|14|10</t>
  </si>
  <si>
    <t>C|450|1003|12|10</t>
  </si>
  <si>
    <t>LEV. RECOP Y ACTUAL.  INF DATOS ESPACIALES   A NIVEL NAL.</t>
  </si>
  <si>
    <t xml:space="preserve">DESARR. E INTEG. Y ACTUAL.DE LOS MARCOS ESTADIS. A NIV.NAL.COLOMBIA </t>
  </si>
  <si>
    <t>A|1|0|1|1|10</t>
  </si>
  <si>
    <t xml:space="preserve">SUELDOS PERSONAL DE  NOMINA </t>
  </si>
  <si>
    <t>A|1|0|5|12|10</t>
  </si>
  <si>
    <t>A|3|6|3 ||20</t>
  </si>
  <si>
    <t>OTRAS TRANSFERENCIAS -PREVIO CONCEPTO DGPNN</t>
  </si>
  <si>
    <t>A|2|0|4|| |10</t>
  </si>
  <si>
    <t>CONTRIBUCIONES INHERENTES A LA NOMINA SECTO. PRIVADO Y PUBLICO</t>
  </si>
  <si>
    <t>A|2|0|4||10</t>
  </si>
  <si>
    <t>A MARZO</t>
  </si>
  <si>
    <t>C|450|1003|6|10</t>
  </si>
  <si>
    <t>NOTA:  MEDIANTE  ACTA No. 1  DE  FECHA  26 DE MARZO  DE  2012, SE  CANCELARON  RESERVAS  PRESUPUESTALES  POR  INVERSION  APN POR VALOR DE $11.331.397</t>
  </si>
  <si>
    <t xml:space="preserve">NOTA: MEDIANTE RESOLUCION No.202 DE FECHA MARZO 14 DE 2012, SE MODIFICA LA DESAGREGACION  DEL PRESUPUESTO DE GASTOS DE PERSONAL DEL DANE, POR VALOR DE $450.000.000, ASÍ: DE HONORARIOS A REMUNERACION SERVICIOS TÉCNICOS,  Y POR RESOLUCION No.231 DE FECHA MARZO 28 DE 2012, SE MODIFICA LA DESAGREGACION  DE GASTOS DE PERSONAL DEL DANE, POR VALOR DE $34.500.000, ASÍ: DE PRIMA DE NAVIDAD A  PRIMA DE COORDINACION. 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</si>
</sst>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 vertical="center"/>
    </xf>
    <xf numFmtId="4" fontId="1" fillId="0" borderId="26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4" fontId="1" fillId="0" borderId="28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0" fillId="0" borderId="45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1" fillId="0" borderId="22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/>
    </xf>
    <xf numFmtId="4" fontId="1" fillId="0" borderId="16" xfId="0" applyNumberFormat="1" applyFont="1" applyFill="1" applyBorder="1" applyAlignment="1" applyProtection="1">
      <alignment horizontal="right"/>
      <protection/>
    </xf>
    <xf numFmtId="40" fontId="0" fillId="0" borderId="28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Fill="1" applyBorder="1" applyAlignment="1" applyProtection="1">
      <alignment horizontal="right"/>
      <protection/>
    </xf>
    <xf numFmtId="40" fontId="0" fillId="0" borderId="46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4" fontId="10" fillId="0" borderId="46" xfId="0" applyNumberFormat="1" applyFont="1" applyBorder="1" applyAlignment="1" applyProtection="1">
      <alignment horizontal="right"/>
      <protection locked="0"/>
    </xf>
    <xf numFmtId="39" fontId="0" fillId="0" borderId="46" xfId="0" applyNumberFormat="1" applyFont="1" applyBorder="1" applyAlignment="1" applyProtection="1">
      <alignment horizontal="right"/>
      <protection locked="0"/>
    </xf>
    <xf numFmtId="4" fontId="0" fillId="34" borderId="46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left"/>
    </xf>
    <xf numFmtId="40" fontId="1" fillId="0" borderId="46" xfId="0" applyNumberFormat="1" applyFont="1" applyBorder="1" applyAlignment="1" applyProtection="1">
      <alignment horizontal="right"/>
      <protection locked="0"/>
    </xf>
    <xf numFmtId="4" fontId="1" fillId="0" borderId="26" xfId="0" applyNumberFormat="1" applyFont="1" applyFill="1" applyBorder="1" applyAlignment="1" applyProtection="1">
      <alignment horizontal="right"/>
      <protection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zoomScale="80" zoomScaleNormal="80" zoomScalePageLayoutView="0" workbookViewId="0" topLeftCell="A1">
      <selection activeCell="Q1" sqref="Q1:T16384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0.57421875" style="1" hidden="1" customWidth="1"/>
    <col min="11" max="11" width="20.7109375" style="1" hidden="1" customWidth="1"/>
    <col min="12" max="12" width="22.140625" style="1" hidden="1" customWidth="1"/>
    <col min="13" max="13" width="21.00390625" style="1" hidden="1" customWidth="1"/>
    <col min="14" max="14" width="19.8515625" style="1" hidden="1" customWidth="1"/>
    <col min="15" max="15" width="20.421875" style="1" hidden="1" customWidth="1"/>
    <col min="16" max="16" width="20.28125" style="1" customWidth="1"/>
    <col min="17" max="17" width="14.421875" style="1" customWidth="1"/>
    <col min="18" max="16384" width="11.421875" style="1" customWidth="1"/>
  </cols>
  <sheetData>
    <row r="1" spans="1:16" s="22" customFormat="1" ht="1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</row>
    <row r="2" spans="1:16" s="22" customFormat="1" ht="1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</row>
    <row r="3" spans="1:16" s="22" customFormat="1" ht="15">
      <c r="A3" s="128" t="s">
        <v>34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</row>
    <row r="4" spans="1:16" s="22" customFormat="1" ht="15">
      <c r="A4" s="128" t="s">
        <v>129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</row>
    <row r="5" spans="1:16" s="22" customFormat="1" ht="15">
      <c r="A5" s="128" t="s">
        <v>38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/>
    </row>
    <row r="6" spans="1:17" s="22" customFormat="1" ht="14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  <c r="Q6" s="44"/>
    </row>
    <row r="7" spans="1:16" s="22" customFormat="1" ht="15">
      <c r="A7" s="134" t="s">
        <v>2</v>
      </c>
      <c r="B7" s="135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9" t="s">
        <v>196</v>
      </c>
    </row>
    <row r="8" spans="1:16" s="22" customFormat="1" ht="15" customHeight="1" thickBot="1">
      <c r="A8" s="134" t="s">
        <v>3</v>
      </c>
      <c r="B8" s="135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30">
        <v>2012</v>
      </c>
    </row>
    <row r="9" spans="1:16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  <row r="10" spans="1:16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</row>
    <row r="11" spans="1:16" s="22" customFormat="1" ht="15">
      <c r="A11" s="64" t="s">
        <v>24</v>
      </c>
      <c r="B11" s="64" t="s">
        <v>26</v>
      </c>
      <c r="C11" s="64" t="s">
        <v>27</v>
      </c>
      <c r="D11" s="64" t="s">
        <v>30</v>
      </c>
      <c r="E11" s="64" t="s">
        <v>30</v>
      </c>
      <c r="F11" s="64" t="s">
        <v>30</v>
      </c>
      <c r="G11" s="64" t="s">
        <v>30</v>
      </c>
      <c r="H11" s="64" t="s">
        <v>30</v>
      </c>
      <c r="I11" s="64" t="s">
        <v>30</v>
      </c>
      <c r="J11" s="64" t="s">
        <v>30</v>
      </c>
      <c r="K11" s="64" t="s">
        <v>30</v>
      </c>
      <c r="L11" s="64" t="s">
        <v>30</v>
      </c>
      <c r="M11" s="64" t="s">
        <v>30</v>
      </c>
      <c r="N11" s="64" t="s">
        <v>30</v>
      </c>
      <c r="O11" s="64" t="s">
        <v>30</v>
      </c>
      <c r="P11" s="64" t="s">
        <v>30</v>
      </c>
    </row>
    <row r="12" spans="1:16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19</v>
      </c>
    </row>
    <row r="13" spans="1:16" s="22" customFormat="1" ht="15.75" thickBot="1">
      <c r="A13" s="66">
        <v>1</v>
      </c>
      <c r="B13" s="66">
        <v>2</v>
      </c>
      <c r="C13" s="66"/>
      <c r="D13" s="66">
        <v>7</v>
      </c>
      <c r="E13" s="66">
        <v>7</v>
      </c>
      <c r="F13" s="66">
        <v>7</v>
      </c>
      <c r="G13" s="66">
        <v>7</v>
      </c>
      <c r="H13" s="66">
        <v>7</v>
      </c>
      <c r="I13" s="66">
        <v>7</v>
      </c>
      <c r="J13" s="66">
        <v>7</v>
      </c>
      <c r="K13" s="66">
        <v>7</v>
      </c>
      <c r="L13" s="66">
        <v>7</v>
      </c>
      <c r="M13" s="66">
        <v>7</v>
      </c>
      <c r="N13" s="66">
        <v>7</v>
      </c>
      <c r="O13" s="66">
        <v>7</v>
      </c>
      <c r="P13" s="66">
        <v>8</v>
      </c>
    </row>
    <row r="14" spans="1:16" s="14" customFormat="1" ht="13.5" thickBot="1">
      <c r="A14" s="34"/>
      <c r="B14" s="35" t="s">
        <v>45</v>
      </c>
      <c r="C14" s="36">
        <f aca="true" t="shared" si="0" ref="C14:P14">SUM(C15+C19)</f>
        <v>391190581</v>
      </c>
      <c r="D14" s="36">
        <f t="shared" si="0"/>
        <v>360079949</v>
      </c>
      <c r="E14" s="36">
        <f t="shared" si="0"/>
        <v>31110632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391190581</v>
      </c>
    </row>
    <row r="15" spans="1:16" s="14" customFormat="1" ht="12.75">
      <c r="A15" s="34"/>
      <c r="B15" s="35" t="s">
        <v>42</v>
      </c>
      <c r="C15" s="36">
        <f aca="true" t="shared" si="1" ref="C15:P15">SUM(C16:C18)</f>
        <v>130914624</v>
      </c>
      <c r="D15" s="36">
        <f t="shared" si="1"/>
        <v>130914624</v>
      </c>
      <c r="E15" s="36">
        <f t="shared" si="1"/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t="shared" si="1"/>
        <v>130914624</v>
      </c>
    </row>
    <row r="16" spans="1:16" s="14" customFormat="1" ht="12.75">
      <c r="A16" s="15" t="s">
        <v>188</v>
      </c>
      <c r="B16" s="40" t="s">
        <v>189</v>
      </c>
      <c r="C16" s="41">
        <v>4733032</v>
      </c>
      <c r="D16" s="41">
        <v>4733032</v>
      </c>
      <c r="E16" s="42">
        <v>0</v>
      </c>
      <c r="F16" s="41">
        <v>0</v>
      </c>
      <c r="G16" s="41"/>
      <c r="H16" s="41"/>
      <c r="I16" s="41"/>
      <c r="J16" s="41"/>
      <c r="K16" s="41"/>
      <c r="L16" s="41"/>
      <c r="M16" s="41"/>
      <c r="N16" s="41"/>
      <c r="O16" s="41"/>
      <c r="P16" s="51">
        <f>SUM(D16:O16)</f>
        <v>4733032</v>
      </c>
    </row>
    <row r="17" spans="1:16" s="14" customFormat="1" ht="12.75">
      <c r="A17" s="15" t="s">
        <v>156</v>
      </c>
      <c r="B17" s="40" t="s">
        <v>32</v>
      </c>
      <c r="C17" s="41">
        <v>10369048</v>
      </c>
      <c r="D17" s="41">
        <v>10369048</v>
      </c>
      <c r="E17" s="42">
        <v>0</v>
      </c>
      <c r="F17" s="41">
        <v>0</v>
      </c>
      <c r="G17" s="41"/>
      <c r="H17" s="41"/>
      <c r="I17" s="41"/>
      <c r="J17" s="41"/>
      <c r="K17" s="41"/>
      <c r="L17" s="41"/>
      <c r="M17" s="41"/>
      <c r="N17" s="41"/>
      <c r="O17" s="41"/>
      <c r="P17" s="51">
        <f>SUM(D17:O17)</f>
        <v>10369048</v>
      </c>
    </row>
    <row r="18" spans="1:16" s="12" customFormat="1" ht="13.5" thickBot="1">
      <c r="A18" s="15" t="s">
        <v>190</v>
      </c>
      <c r="B18" s="40" t="s">
        <v>194</v>
      </c>
      <c r="C18" s="41">
        <v>115812544</v>
      </c>
      <c r="D18" s="41">
        <v>115812544</v>
      </c>
      <c r="E18" s="42">
        <v>0</v>
      </c>
      <c r="F18" s="41">
        <v>0</v>
      </c>
      <c r="G18" s="41"/>
      <c r="H18" s="41"/>
      <c r="I18" s="41"/>
      <c r="J18" s="41"/>
      <c r="K18" s="41"/>
      <c r="L18" s="41"/>
      <c r="M18" s="41"/>
      <c r="N18" s="41"/>
      <c r="O18" s="41"/>
      <c r="P18" s="51">
        <f>SUM(D18:O18)</f>
        <v>115812544</v>
      </c>
    </row>
    <row r="19" spans="1:16" s="14" customFormat="1" ht="13.5" thickBot="1">
      <c r="A19" s="21"/>
      <c r="B19" s="46" t="s">
        <v>43</v>
      </c>
      <c r="C19" s="47">
        <f aca="true" t="shared" si="2" ref="C19:P19">SUM(C20:C20)</f>
        <v>260275957</v>
      </c>
      <c r="D19" s="47">
        <f t="shared" si="2"/>
        <v>229165325</v>
      </c>
      <c r="E19" s="47">
        <f t="shared" si="2"/>
        <v>31110632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47">
        <f t="shared" si="2"/>
        <v>0</v>
      </c>
      <c r="M19" s="47">
        <f t="shared" si="2"/>
        <v>0</v>
      </c>
      <c r="N19" s="47">
        <f t="shared" si="2"/>
        <v>0</v>
      </c>
      <c r="O19" s="47">
        <f t="shared" si="2"/>
        <v>0</v>
      </c>
      <c r="P19" s="47">
        <f t="shared" si="2"/>
        <v>260275957</v>
      </c>
    </row>
    <row r="20" spans="1:16" s="14" customFormat="1" ht="13.5" thickBot="1">
      <c r="A20" s="16" t="s">
        <v>195</v>
      </c>
      <c r="B20" s="48" t="s">
        <v>154</v>
      </c>
      <c r="C20" s="104">
        <v>260275957</v>
      </c>
      <c r="D20" s="44">
        <v>229165325</v>
      </c>
      <c r="E20" s="44">
        <v>31110632</v>
      </c>
      <c r="F20" s="44">
        <v>0</v>
      </c>
      <c r="G20" s="44"/>
      <c r="H20" s="44"/>
      <c r="I20" s="44"/>
      <c r="J20" s="44"/>
      <c r="K20" s="44"/>
      <c r="L20" s="44"/>
      <c r="M20" s="44"/>
      <c r="N20" s="44"/>
      <c r="O20" s="44"/>
      <c r="P20" s="51">
        <f>SUM(D20:O20)</f>
        <v>260275957</v>
      </c>
    </row>
    <row r="21" spans="1:16" s="14" customFormat="1" ht="13.5" hidden="1" thickBot="1">
      <c r="A21" s="21"/>
      <c r="B21" s="46" t="s">
        <v>44</v>
      </c>
      <c r="C21" s="47">
        <f aca="true" t="shared" si="3" ref="C21:P21">SUM(C22:C23)</f>
        <v>0</v>
      </c>
      <c r="D21" s="47">
        <f t="shared" si="3"/>
        <v>0</v>
      </c>
      <c r="E21" s="47">
        <f t="shared" si="3"/>
        <v>0</v>
      </c>
      <c r="F21" s="47">
        <f t="shared" si="3"/>
        <v>0</v>
      </c>
      <c r="G21" s="47">
        <f t="shared" si="3"/>
        <v>0</v>
      </c>
      <c r="H21" s="47">
        <f t="shared" si="3"/>
        <v>0</v>
      </c>
      <c r="I21" s="47">
        <f t="shared" si="3"/>
        <v>0</v>
      </c>
      <c r="J21" s="47">
        <f t="shared" si="3"/>
        <v>0</v>
      </c>
      <c r="K21" s="47">
        <f t="shared" si="3"/>
        <v>0</v>
      </c>
      <c r="L21" s="47">
        <f t="shared" si="3"/>
        <v>0</v>
      </c>
      <c r="M21" s="47">
        <f t="shared" si="3"/>
        <v>0</v>
      </c>
      <c r="N21" s="47">
        <f t="shared" si="3"/>
        <v>0</v>
      </c>
      <c r="O21" s="47">
        <f t="shared" si="3"/>
        <v>0</v>
      </c>
      <c r="P21" s="37">
        <f t="shared" si="3"/>
        <v>0</v>
      </c>
    </row>
    <row r="22" spans="1:16" s="12" customFormat="1" ht="13.5" hidden="1" thickBot="1">
      <c r="A22" s="68" t="s">
        <v>40</v>
      </c>
      <c r="B22" s="52" t="s">
        <v>46</v>
      </c>
      <c r="C22" s="53"/>
      <c r="D22" s="41">
        <v>0</v>
      </c>
      <c r="E22" s="42"/>
      <c r="F22" s="41"/>
      <c r="G22" s="41"/>
      <c r="H22" s="41"/>
      <c r="I22" s="41"/>
      <c r="J22" s="41"/>
      <c r="K22" s="41"/>
      <c r="L22" s="53"/>
      <c r="M22" s="42"/>
      <c r="N22" s="41"/>
      <c r="O22" s="41"/>
      <c r="P22" s="43">
        <f>SUM(D22:O22)</f>
        <v>0</v>
      </c>
    </row>
    <row r="23" spans="1:16" s="12" customFormat="1" ht="13.5" hidden="1" thickBot="1">
      <c r="A23" s="15" t="s">
        <v>50</v>
      </c>
      <c r="B23" s="40" t="s">
        <v>49</v>
      </c>
      <c r="C23" s="41"/>
      <c r="D23" s="41">
        <v>0</v>
      </c>
      <c r="E23" s="42"/>
      <c r="F23" s="41"/>
      <c r="G23" s="41"/>
      <c r="H23" s="41"/>
      <c r="I23" s="41"/>
      <c r="J23" s="41"/>
      <c r="K23" s="41"/>
      <c r="L23" s="53"/>
      <c r="M23" s="42"/>
      <c r="N23" s="41"/>
      <c r="O23" s="41"/>
      <c r="P23" s="43">
        <f>SUM(D23:O23)</f>
        <v>0</v>
      </c>
    </row>
    <row r="24" spans="1:16" s="14" customFormat="1" ht="18" customHeight="1" thickBot="1">
      <c r="A24" s="21"/>
      <c r="B24" s="46" t="s">
        <v>146</v>
      </c>
      <c r="C24" s="47">
        <f aca="true" t="shared" si="4" ref="C24:P24">SUM(C25:C38)</f>
        <v>8623925010.04</v>
      </c>
      <c r="D24" s="47">
        <f t="shared" si="4"/>
        <v>7902739377.040001</v>
      </c>
      <c r="E24" s="47">
        <f t="shared" si="4"/>
        <v>720814908</v>
      </c>
      <c r="F24" s="47">
        <f t="shared" si="4"/>
        <v>0</v>
      </c>
      <c r="G24" s="47">
        <f t="shared" si="4"/>
        <v>0</v>
      </c>
      <c r="H24" s="47">
        <f t="shared" si="4"/>
        <v>0</v>
      </c>
      <c r="I24" s="47">
        <f t="shared" si="4"/>
        <v>0</v>
      </c>
      <c r="J24" s="47">
        <f t="shared" si="4"/>
        <v>0</v>
      </c>
      <c r="K24" s="47">
        <f t="shared" si="4"/>
        <v>0</v>
      </c>
      <c r="L24" s="47">
        <f t="shared" si="4"/>
        <v>0</v>
      </c>
      <c r="M24" s="47">
        <f t="shared" si="4"/>
        <v>0</v>
      </c>
      <c r="N24" s="47">
        <f t="shared" si="4"/>
        <v>0</v>
      </c>
      <c r="O24" s="47">
        <f t="shared" si="4"/>
        <v>0</v>
      </c>
      <c r="P24" s="47">
        <f t="shared" si="4"/>
        <v>8623554285.04</v>
      </c>
    </row>
    <row r="25" spans="1:16" s="10" customFormat="1" ht="12.75">
      <c r="A25" s="82" t="s">
        <v>116</v>
      </c>
      <c r="B25" s="13" t="s">
        <v>115</v>
      </c>
      <c r="C25" s="53">
        <v>1442898442</v>
      </c>
      <c r="D25" s="44">
        <v>1363913480</v>
      </c>
      <c r="E25" s="53">
        <f>71000000+7984962</f>
        <v>78984962</v>
      </c>
      <c r="F25" s="53">
        <v>0</v>
      </c>
      <c r="G25" s="44"/>
      <c r="H25" s="44"/>
      <c r="I25" s="44"/>
      <c r="J25" s="44"/>
      <c r="K25" s="44"/>
      <c r="L25" s="44"/>
      <c r="M25" s="44"/>
      <c r="N25" s="44"/>
      <c r="O25" s="44"/>
      <c r="P25" s="43">
        <f>SUM(D25:O25)</f>
        <v>1442898442</v>
      </c>
    </row>
    <row r="26" spans="1:16" s="10" customFormat="1" ht="12.75">
      <c r="A26" s="82" t="s">
        <v>117</v>
      </c>
      <c r="B26" s="13" t="s">
        <v>126</v>
      </c>
      <c r="C26" s="103">
        <v>776650267.31</v>
      </c>
      <c r="D26" s="103">
        <v>767782212.31</v>
      </c>
      <c r="E26" s="103">
        <f>868055+8000000</f>
        <v>8868055</v>
      </c>
      <c r="F26" s="103">
        <v>0</v>
      </c>
      <c r="G26" s="103"/>
      <c r="H26" s="103"/>
      <c r="I26" s="103"/>
      <c r="J26" s="103"/>
      <c r="K26" s="103"/>
      <c r="L26" s="103"/>
      <c r="M26" s="103"/>
      <c r="N26" s="103"/>
      <c r="O26" s="103"/>
      <c r="P26" s="43">
        <f aca="true" t="shared" si="5" ref="P26:P38">SUM(D26:O26)</f>
        <v>776650267.31</v>
      </c>
    </row>
    <row r="27" spans="1:16" s="10" customFormat="1" ht="12.75">
      <c r="A27" s="82" t="s">
        <v>118</v>
      </c>
      <c r="B27" s="13" t="s">
        <v>127</v>
      </c>
      <c r="C27" s="104">
        <v>1067492054.52</v>
      </c>
      <c r="D27" s="104">
        <v>958903193.52</v>
      </c>
      <c r="E27" s="104">
        <f>91243009+17345852</f>
        <v>108588861</v>
      </c>
      <c r="F27" s="104">
        <v>0</v>
      </c>
      <c r="G27" s="104"/>
      <c r="H27" s="104"/>
      <c r="I27" s="104"/>
      <c r="J27" s="104"/>
      <c r="K27" s="104"/>
      <c r="L27" s="104"/>
      <c r="M27" s="104"/>
      <c r="N27" s="104"/>
      <c r="O27" s="104"/>
      <c r="P27" s="43">
        <f t="shared" si="5"/>
        <v>1067492054.52</v>
      </c>
    </row>
    <row r="28" spans="1:16" s="10" customFormat="1" ht="12.75">
      <c r="A28" s="82" t="s">
        <v>119</v>
      </c>
      <c r="B28" s="13" t="s">
        <v>133</v>
      </c>
      <c r="C28" s="104">
        <v>354698385</v>
      </c>
      <c r="D28" s="104">
        <v>297888645</v>
      </c>
      <c r="E28" s="104">
        <f>53424936+3384804</f>
        <v>56809740</v>
      </c>
      <c r="F28" s="104">
        <v>0</v>
      </c>
      <c r="G28" s="104"/>
      <c r="H28" s="104"/>
      <c r="I28" s="104"/>
      <c r="J28" s="104"/>
      <c r="K28" s="104"/>
      <c r="L28" s="104"/>
      <c r="M28" s="104"/>
      <c r="N28" s="104"/>
      <c r="O28" s="104"/>
      <c r="P28" s="43">
        <f t="shared" si="5"/>
        <v>354698385</v>
      </c>
    </row>
    <row r="29" spans="1:16" s="10" customFormat="1" ht="12.75">
      <c r="A29" s="82" t="s">
        <v>120</v>
      </c>
      <c r="B29" s="13" t="s">
        <v>134</v>
      </c>
      <c r="C29" s="104">
        <v>384846292</v>
      </c>
      <c r="D29" s="104">
        <v>384066131</v>
      </c>
      <c r="E29" s="104">
        <f>409436</f>
        <v>409436</v>
      </c>
      <c r="F29" s="104">
        <v>0</v>
      </c>
      <c r="G29" s="104"/>
      <c r="H29" s="104"/>
      <c r="I29" s="104"/>
      <c r="J29" s="104"/>
      <c r="K29" s="104"/>
      <c r="L29" s="104"/>
      <c r="M29" s="104"/>
      <c r="N29" s="104"/>
      <c r="O29" s="104"/>
      <c r="P29" s="43">
        <f t="shared" si="5"/>
        <v>384475567</v>
      </c>
    </row>
    <row r="30" spans="1:16" s="10" customFormat="1" ht="12.75">
      <c r="A30" s="82" t="s">
        <v>121</v>
      </c>
      <c r="B30" s="13" t="s">
        <v>135</v>
      </c>
      <c r="C30" s="104">
        <v>1252296890.8</v>
      </c>
      <c r="D30" s="104">
        <v>1185607634.8</v>
      </c>
      <c r="E30" s="104">
        <f>66689256</f>
        <v>66689256</v>
      </c>
      <c r="F30" s="104">
        <v>0</v>
      </c>
      <c r="G30" s="104"/>
      <c r="H30" s="104"/>
      <c r="I30" s="104"/>
      <c r="J30" s="104"/>
      <c r="K30" s="104"/>
      <c r="L30" s="104"/>
      <c r="M30" s="104"/>
      <c r="N30" s="104"/>
      <c r="O30" s="104"/>
      <c r="P30" s="43">
        <f t="shared" si="5"/>
        <v>1252296890.8</v>
      </c>
    </row>
    <row r="31" spans="1:16" s="10" customFormat="1" ht="12.75">
      <c r="A31" s="82" t="s">
        <v>122</v>
      </c>
      <c r="B31" s="13" t="s">
        <v>136</v>
      </c>
      <c r="C31" s="104">
        <v>109298546</v>
      </c>
      <c r="D31" s="104">
        <v>68657815</v>
      </c>
      <c r="E31" s="104">
        <f>38295731+2345000</f>
        <v>40640731</v>
      </c>
      <c r="F31" s="104">
        <v>0</v>
      </c>
      <c r="G31" s="104"/>
      <c r="H31" s="104"/>
      <c r="I31" s="104"/>
      <c r="J31" s="104"/>
      <c r="K31" s="104"/>
      <c r="L31" s="104"/>
      <c r="M31" s="104"/>
      <c r="N31" s="104"/>
      <c r="O31" s="104"/>
      <c r="P31" s="43">
        <f t="shared" si="5"/>
        <v>109298546</v>
      </c>
    </row>
    <row r="32" spans="1:16" s="10" customFormat="1" ht="12.75">
      <c r="A32" s="82" t="s">
        <v>123</v>
      </c>
      <c r="B32" s="13" t="s">
        <v>157</v>
      </c>
      <c r="C32" s="104">
        <v>445045892</v>
      </c>
      <c r="D32" s="104">
        <v>384212562</v>
      </c>
      <c r="E32" s="104">
        <f>60833330</f>
        <v>60833330</v>
      </c>
      <c r="F32" s="104">
        <v>0</v>
      </c>
      <c r="G32" s="104"/>
      <c r="H32" s="104"/>
      <c r="I32" s="104"/>
      <c r="J32" s="104"/>
      <c r="K32" s="104"/>
      <c r="L32" s="104"/>
      <c r="M32" s="104"/>
      <c r="N32" s="104"/>
      <c r="O32" s="104"/>
      <c r="P32" s="43">
        <f>SUM(D32:O32)</f>
        <v>445045892</v>
      </c>
    </row>
    <row r="33" spans="1:16" s="10" customFormat="1" ht="12.75">
      <c r="A33" s="82" t="s">
        <v>124</v>
      </c>
      <c r="B33" s="13" t="s">
        <v>138</v>
      </c>
      <c r="C33" s="104">
        <v>302622387.01</v>
      </c>
      <c r="D33" s="104">
        <v>298272518.01</v>
      </c>
      <c r="E33" s="104">
        <f>605264+3744605</f>
        <v>4349869</v>
      </c>
      <c r="F33" s="104">
        <v>0</v>
      </c>
      <c r="G33" s="104"/>
      <c r="H33" s="104"/>
      <c r="I33" s="104"/>
      <c r="J33" s="104"/>
      <c r="K33" s="104"/>
      <c r="L33" s="104"/>
      <c r="M33" s="104"/>
      <c r="N33" s="104"/>
      <c r="O33" s="104"/>
      <c r="P33" s="43">
        <f t="shared" si="5"/>
        <v>302622387.01</v>
      </c>
    </row>
    <row r="34" spans="1:16" s="10" customFormat="1" ht="12.75">
      <c r="A34" s="82" t="s">
        <v>125</v>
      </c>
      <c r="B34" s="13" t="s">
        <v>139</v>
      </c>
      <c r="C34" s="104">
        <v>275786757</v>
      </c>
      <c r="D34" s="104">
        <v>254337757</v>
      </c>
      <c r="E34" s="104">
        <f>21449000</f>
        <v>21449000</v>
      </c>
      <c r="F34" s="104">
        <v>0</v>
      </c>
      <c r="G34" s="104"/>
      <c r="H34" s="104"/>
      <c r="I34" s="104"/>
      <c r="J34" s="104"/>
      <c r="K34" s="104"/>
      <c r="L34" s="104"/>
      <c r="M34" s="104"/>
      <c r="N34" s="104"/>
      <c r="O34" s="104"/>
      <c r="P34" s="43">
        <f t="shared" si="5"/>
        <v>275786757</v>
      </c>
    </row>
    <row r="35" spans="1:16" s="10" customFormat="1" ht="12.75">
      <c r="A35" s="82" t="s">
        <v>132</v>
      </c>
      <c r="B35" s="13" t="s">
        <v>140</v>
      </c>
      <c r="C35" s="58">
        <v>357001164.08</v>
      </c>
      <c r="D35" s="58">
        <v>317890457.08</v>
      </c>
      <c r="E35" s="58">
        <f>38000000+1110707</f>
        <v>39110707</v>
      </c>
      <c r="F35" s="58">
        <v>0</v>
      </c>
      <c r="G35" s="58"/>
      <c r="H35" s="58"/>
      <c r="I35" s="58"/>
      <c r="J35" s="58"/>
      <c r="K35" s="58"/>
      <c r="L35" s="58"/>
      <c r="M35" s="58"/>
      <c r="N35" s="58"/>
      <c r="O35" s="58"/>
      <c r="P35" s="43">
        <f>SUM(D35:O35)</f>
        <v>357001164.08</v>
      </c>
    </row>
    <row r="36" spans="1:16" s="10" customFormat="1" ht="12.75">
      <c r="A36" s="82" t="s">
        <v>142</v>
      </c>
      <c r="B36" s="13" t="s">
        <v>159</v>
      </c>
      <c r="C36" s="44">
        <v>362944014.31</v>
      </c>
      <c r="D36" s="44">
        <v>326470084.31</v>
      </c>
      <c r="E36" s="104">
        <f>10537+36463393</f>
        <v>36473930</v>
      </c>
      <c r="F36" s="104">
        <v>0</v>
      </c>
      <c r="G36" s="104"/>
      <c r="H36" s="104"/>
      <c r="I36" s="104"/>
      <c r="J36" s="104"/>
      <c r="K36" s="104"/>
      <c r="L36" s="104"/>
      <c r="M36" s="104"/>
      <c r="N36" s="104"/>
      <c r="O36" s="104"/>
      <c r="P36" s="43">
        <f>SUM(D36:O36)</f>
        <v>362944014.31</v>
      </c>
    </row>
    <row r="37" spans="1:16" s="10" customFormat="1" ht="12.75">
      <c r="A37" s="82" t="s">
        <v>152</v>
      </c>
      <c r="B37" s="13" t="s">
        <v>140</v>
      </c>
      <c r="C37" s="58">
        <v>669097087.01</v>
      </c>
      <c r="D37" s="58">
        <v>657143056.01</v>
      </c>
      <c r="E37" s="104">
        <f>7454031+4500000</f>
        <v>11954031</v>
      </c>
      <c r="F37" s="104">
        <v>0</v>
      </c>
      <c r="G37" s="104"/>
      <c r="H37" s="104"/>
      <c r="I37" s="104"/>
      <c r="J37" s="104"/>
      <c r="K37" s="104"/>
      <c r="L37" s="104"/>
      <c r="M37" s="104"/>
      <c r="N37" s="104"/>
      <c r="O37" s="104"/>
      <c r="P37" s="43">
        <f>SUM(D37:O37)</f>
        <v>669097087.01</v>
      </c>
    </row>
    <row r="38" spans="1:16" s="10" customFormat="1" ht="13.5" thickBot="1">
      <c r="A38" s="82" t="s">
        <v>171</v>
      </c>
      <c r="B38" s="13" t="s">
        <v>159</v>
      </c>
      <c r="C38" s="44">
        <v>823246831</v>
      </c>
      <c r="D38" s="44">
        <v>637593831</v>
      </c>
      <c r="E38" s="44">
        <f>185653000</f>
        <v>185653000</v>
      </c>
      <c r="F38" s="44">
        <v>0</v>
      </c>
      <c r="G38" s="44"/>
      <c r="H38" s="44"/>
      <c r="I38" s="44"/>
      <c r="J38" s="44"/>
      <c r="K38" s="44"/>
      <c r="L38" s="44"/>
      <c r="M38" s="44"/>
      <c r="N38" s="44"/>
      <c r="O38" s="44"/>
      <c r="P38" s="43">
        <f t="shared" si="5"/>
        <v>823246831</v>
      </c>
    </row>
    <row r="39" spans="1:16" s="11" customFormat="1" ht="13.5" thickBot="1">
      <c r="A39" s="136" t="s">
        <v>33</v>
      </c>
      <c r="B39" s="137"/>
      <c r="C39" s="47">
        <f aca="true" t="shared" si="6" ref="C39:P39">SUM(C14+C24)</f>
        <v>9015115591.04</v>
      </c>
      <c r="D39" s="47">
        <f t="shared" si="6"/>
        <v>8262819326.040001</v>
      </c>
      <c r="E39" s="47">
        <f>SUM(E14+E24)</f>
        <v>751925540</v>
      </c>
      <c r="F39" s="47">
        <f t="shared" si="6"/>
        <v>0</v>
      </c>
      <c r="G39" s="47">
        <f t="shared" si="6"/>
        <v>0</v>
      </c>
      <c r="H39" s="47">
        <f t="shared" si="6"/>
        <v>0</v>
      </c>
      <c r="I39" s="47">
        <f t="shared" si="6"/>
        <v>0</v>
      </c>
      <c r="J39" s="47">
        <f t="shared" si="6"/>
        <v>0</v>
      </c>
      <c r="K39" s="47">
        <f t="shared" si="6"/>
        <v>0</v>
      </c>
      <c r="L39" s="47">
        <f t="shared" si="6"/>
        <v>0</v>
      </c>
      <c r="M39" s="47">
        <f t="shared" si="6"/>
        <v>0</v>
      </c>
      <c r="N39" s="47">
        <f t="shared" si="6"/>
        <v>0</v>
      </c>
      <c r="O39" s="47">
        <f t="shared" si="6"/>
        <v>0</v>
      </c>
      <c r="P39" s="47">
        <f t="shared" si="6"/>
        <v>9014744866.04</v>
      </c>
    </row>
    <row r="40" spans="1:16" ht="12.75">
      <c r="A40" s="69" t="s">
        <v>160</v>
      </c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9"/>
    </row>
    <row r="41" spans="1:16" ht="12.75">
      <c r="A41" s="6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1:16" ht="12.75">
      <c r="A42" s="60"/>
      <c r="B42" s="5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1:16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5"/>
    </row>
    <row r="44" spans="1:16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5"/>
    </row>
    <row r="45" spans="1:16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/>
    </row>
    <row r="46" spans="1:16" ht="15.75" thickBot="1">
      <c r="A46" s="3"/>
      <c r="B46" s="6"/>
      <c r="C46" s="2"/>
      <c r="D46" s="131"/>
      <c r="E46" s="131"/>
      <c r="F46" s="131"/>
      <c r="G46" s="131"/>
      <c r="H46" s="131"/>
      <c r="I46" s="131"/>
      <c r="J46" s="131"/>
      <c r="K46" s="4"/>
      <c r="L46" s="4"/>
      <c r="M46" s="4"/>
      <c r="N46" s="4"/>
      <c r="O46" s="4"/>
      <c r="P46" s="4"/>
    </row>
    <row r="47" spans="1:16" ht="15" customHeight="1" thickBot="1">
      <c r="A47" s="101"/>
      <c r="B47" s="102" t="s">
        <v>162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3"/>
    </row>
    <row r="48" spans="1:16" ht="0.75" customHeight="1" thickBot="1">
      <c r="A48" s="2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7"/>
    </row>
  </sheetData>
  <sheetProtection/>
  <mergeCells count="10">
    <mergeCell ref="A1:P1"/>
    <mergeCell ref="A2:P2"/>
    <mergeCell ref="A3:P3"/>
    <mergeCell ref="A4:P4"/>
    <mergeCell ref="D46:J46"/>
    <mergeCell ref="C47:P47"/>
    <mergeCell ref="A5:P5"/>
    <mergeCell ref="A7:B7"/>
    <mergeCell ref="A8:B8"/>
    <mergeCell ref="A39:B39"/>
  </mergeCells>
  <printOptions/>
  <pageMargins left="0.5905511811023623" right="0.2755905511811024" top="0.5511811023622047" bottom="0.4724409448818898" header="0" footer="0"/>
  <pageSetup horizontalDpi="600" verticalDpi="600" orientation="landscape" paperSize="9" scale="90" r:id="rId1"/>
  <headerFooter alignWithMargins="0">
    <oddFooter>&amp;C
HACIENDA 2012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"/>
  <sheetViews>
    <sheetView tabSelected="1" zoomScale="85" zoomScaleNormal="85" zoomScalePageLayoutView="0" workbookViewId="0" topLeftCell="B5">
      <pane ySplit="1755" topLeftCell="A31" activePane="bottomLeft" state="split"/>
      <selection pane="topLeft" activeCell="AQ5" sqref="AQ1:AT16384"/>
      <selection pane="bottomLeft" activeCell="B47" sqref="B47"/>
    </sheetView>
  </sheetViews>
  <sheetFormatPr defaultColWidth="11.421875" defaultRowHeight="12.75"/>
  <cols>
    <col min="1" max="1" width="20.28125" style="1" customWidth="1"/>
    <col min="2" max="2" width="65.8515625" style="1" customWidth="1"/>
    <col min="3" max="3" width="17.421875" style="1" bestFit="1" customWidth="1"/>
    <col min="4" max="4" width="16.28125" style="1" hidden="1" customWidth="1"/>
    <col min="5" max="5" width="18.28125" style="1" hidden="1" customWidth="1"/>
    <col min="6" max="6" width="17.00390625" style="1" customWidth="1"/>
    <col min="7" max="8" width="17.00390625" style="1" hidden="1" customWidth="1"/>
    <col min="9" max="9" width="16.28125" style="1" hidden="1" customWidth="1"/>
    <col min="10" max="10" width="16.7109375" style="1" hidden="1" customWidth="1"/>
    <col min="11" max="11" width="15.421875" style="1" hidden="1" customWidth="1"/>
    <col min="12" max="12" width="17.140625" style="1" hidden="1" customWidth="1"/>
    <col min="13" max="13" width="15.421875" style="1" hidden="1" customWidth="1"/>
    <col min="14" max="14" width="16.140625" style="1" hidden="1" customWidth="1"/>
    <col min="15" max="15" width="17.57421875" style="1" hidden="1" customWidth="1"/>
    <col min="16" max="16" width="18.140625" style="1" customWidth="1"/>
    <col min="17" max="18" width="16.28125" style="1" hidden="1" customWidth="1"/>
    <col min="19" max="19" width="16.28125" style="1" customWidth="1"/>
    <col min="20" max="22" width="16.28125" style="1" hidden="1" customWidth="1"/>
    <col min="23" max="23" width="16.421875" style="1" hidden="1" customWidth="1"/>
    <col min="24" max="24" width="17.00390625" style="1" hidden="1" customWidth="1"/>
    <col min="25" max="25" width="16.140625" style="1" hidden="1" customWidth="1"/>
    <col min="26" max="26" width="16.7109375" style="1" hidden="1" customWidth="1"/>
    <col min="27" max="27" width="19.00390625" style="1" hidden="1" customWidth="1"/>
    <col min="28" max="28" width="16.7109375" style="1" hidden="1" customWidth="1"/>
    <col min="29" max="29" width="18.421875" style="1" customWidth="1"/>
    <col min="30" max="31" width="16.28125" style="1" hidden="1" customWidth="1"/>
    <col min="32" max="32" width="16.28125" style="1" customWidth="1"/>
    <col min="33" max="35" width="16.28125" style="1" hidden="1" customWidth="1"/>
    <col min="36" max="36" width="17.28125" style="1" hidden="1" customWidth="1"/>
    <col min="37" max="37" width="19.140625" style="1" hidden="1" customWidth="1"/>
    <col min="38" max="40" width="16.28125" style="1" hidden="1" customWidth="1"/>
    <col min="41" max="41" width="17.57421875" style="1" hidden="1" customWidth="1"/>
    <col min="42" max="42" width="16.28125" style="1" customWidth="1"/>
    <col min="43" max="43" width="21.7109375" style="1" customWidth="1"/>
    <col min="44" max="44" width="19.421875" style="1" customWidth="1"/>
    <col min="45" max="45" width="16.28125" style="1" bestFit="1" customWidth="1"/>
    <col min="46" max="46" width="16.28125" style="1" customWidth="1"/>
    <col min="47" max="16384" width="11.421875" style="1" customWidth="1"/>
  </cols>
  <sheetData>
    <row r="1" spans="1:42" ht="12.75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3"/>
    </row>
    <row r="2" spans="1:42" ht="12.75">
      <c r="A2" s="138" t="s">
        <v>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40"/>
    </row>
    <row r="3" spans="1:42" ht="12.75">
      <c r="A3" s="138" t="s">
        <v>34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40"/>
    </row>
    <row r="4" spans="1:42" ht="12.75">
      <c r="A4" s="138" t="s">
        <v>35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40"/>
    </row>
    <row r="5" spans="1:42" ht="12.75">
      <c r="A5" s="138" t="s">
        <v>38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40"/>
    </row>
    <row r="6" spans="1:42" ht="12.75">
      <c r="A6" s="86" t="s">
        <v>2</v>
      </c>
      <c r="B6" s="87"/>
      <c r="C6" s="18" t="s">
        <v>158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3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74" t="s">
        <v>196</v>
      </c>
    </row>
    <row r="7" spans="1:42" ht="14.25" customHeight="1" thickBot="1">
      <c r="A7" s="86" t="s">
        <v>3</v>
      </c>
      <c r="B7" s="88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75">
        <v>2012</v>
      </c>
    </row>
    <row r="8" spans="1:42" ht="11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ht="12.75">
      <c r="A9" s="62" t="s">
        <v>24</v>
      </c>
      <c r="B9" s="62" t="s">
        <v>26</v>
      </c>
      <c r="C9" s="62" t="s">
        <v>27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28</v>
      </c>
      <c r="N9" s="62" t="s">
        <v>28</v>
      </c>
      <c r="O9" s="62" t="s">
        <v>28</v>
      </c>
      <c r="P9" s="62" t="s">
        <v>28</v>
      </c>
      <c r="Q9" s="62" t="s">
        <v>29</v>
      </c>
      <c r="R9" s="62" t="s">
        <v>29</v>
      </c>
      <c r="S9" s="62" t="s">
        <v>29</v>
      </c>
      <c r="T9" s="62" t="s">
        <v>29</v>
      </c>
      <c r="U9" s="62" t="s">
        <v>29</v>
      </c>
      <c r="V9" s="62" t="s">
        <v>29</v>
      </c>
      <c r="W9" s="62" t="s">
        <v>29</v>
      </c>
      <c r="X9" s="62" t="s">
        <v>29</v>
      </c>
      <c r="Y9" s="62" t="s">
        <v>29</v>
      </c>
      <c r="Z9" s="62" t="s">
        <v>29</v>
      </c>
      <c r="AA9" s="62" t="s">
        <v>29</v>
      </c>
      <c r="AB9" s="62" t="s">
        <v>29</v>
      </c>
      <c r="AC9" s="62" t="s">
        <v>29</v>
      </c>
      <c r="AD9" s="62" t="s">
        <v>30</v>
      </c>
      <c r="AE9" s="62" t="s">
        <v>30</v>
      </c>
      <c r="AF9" s="62" t="s">
        <v>30</v>
      </c>
      <c r="AG9" s="62" t="s">
        <v>30</v>
      </c>
      <c r="AH9" s="62" t="s">
        <v>30</v>
      </c>
      <c r="AI9" s="62" t="s">
        <v>30</v>
      </c>
      <c r="AJ9" s="62" t="s">
        <v>30</v>
      </c>
      <c r="AK9" s="62" t="s">
        <v>30</v>
      </c>
      <c r="AL9" s="62" t="s">
        <v>30</v>
      </c>
      <c r="AM9" s="62" t="s">
        <v>30</v>
      </c>
      <c r="AN9" s="62" t="s">
        <v>30</v>
      </c>
      <c r="AO9" s="62" t="s">
        <v>30</v>
      </c>
      <c r="AP9" s="62" t="s">
        <v>30</v>
      </c>
    </row>
    <row r="10" spans="1:42" ht="12" customHeight="1" thickBot="1">
      <c r="A10" s="76" t="s">
        <v>25</v>
      </c>
      <c r="B10" s="76"/>
      <c r="C10" s="76" t="s">
        <v>6</v>
      </c>
      <c r="D10" s="76" t="s">
        <v>7</v>
      </c>
      <c r="E10" s="76" t="s">
        <v>8</v>
      </c>
      <c r="F10" s="76" t="s">
        <v>9</v>
      </c>
      <c r="G10" s="76" t="s">
        <v>10</v>
      </c>
      <c r="H10" s="76" t="s">
        <v>11</v>
      </c>
      <c r="I10" s="76" t="s">
        <v>12</v>
      </c>
      <c r="J10" s="76" t="s">
        <v>13</v>
      </c>
      <c r="K10" s="76" t="s">
        <v>14</v>
      </c>
      <c r="L10" s="76" t="s">
        <v>15</v>
      </c>
      <c r="M10" s="76" t="s">
        <v>16</v>
      </c>
      <c r="N10" s="76" t="s">
        <v>17</v>
      </c>
      <c r="O10" s="76" t="s">
        <v>18</v>
      </c>
      <c r="P10" s="76" t="s">
        <v>19</v>
      </c>
      <c r="Q10" s="76" t="s">
        <v>7</v>
      </c>
      <c r="R10" s="76" t="s">
        <v>8</v>
      </c>
      <c r="S10" s="76" t="s">
        <v>9</v>
      </c>
      <c r="T10" s="76" t="s">
        <v>10</v>
      </c>
      <c r="U10" s="76" t="s">
        <v>20</v>
      </c>
      <c r="V10" s="76" t="s">
        <v>21</v>
      </c>
      <c r="W10" s="76" t="s">
        <v>22</v>
      </c>
      <c r="X10" s="76" t="s">
        <v>14</v>
      </c>
      <c r="Y10" s="76" t="s">
        <v>15</v>
      </c>
      <c r="Z10" s="76" t="s">
        <v>23</v>
      </c>
      <c r="AA10" s="76" t="s">
        <v>17</v>
      </c>
      <c r="AB10" s="76" t="s">
        <v>18</v>
      </c>
      <c r="AC10" s="76" t="s">
        <v>31</v>
      </c>
      <c r="AD10" s="76" t="s">
        <v>7</v>
      </c>
      <c r="AE10" s="76" t="s">
        <v>8</v>
      </c>
      <c r="AF10" s="76" t="s">
        <v>9</v>
      </c>
      <c r="AG10" s="76" t="s">
        <v>10</v>
      </c>
      <c r="AH10" s="76" t="s">
        <v>20</v>
      </c>
      <c r="AI10" s="76" t="s">
        <v>21</v>
      </c>
      <c r="AJ10" s="76" t="s">
        <v>22</v>
      </c>
      <c r="AK10" s="76" t="s">
        <v>14</v>
      </c>
      <c r="AL10" s="76" t="s">
        <v>15</v>
      </c>
      <c r="AM10" s="76" t="s">
        <v>23</v>
      </c>
      <c r="AN10" s="76" t="s">
        <v>17</v>
      </c>
      <c r="AO10" s="76" t="s">
        <v>18</v>
      </c>
      <c r="AP10" s="76" t="s">
        <v>19</v>
      </c>
    </row>
    <row r="11" spans="1:42" s="81" customFormat="1" ht="12" customHeight="1" thickBot="1">
      <c r="A11" s="61">
        <v>1</v>
      </c>
      <c r="B11" s="61">
        <v>2</v>
      </c>
      <c r="C11" s="61"/>
      <c r="D11" s="61">
        <v>3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4</v>
      </c>
      <c r="Q11" s="61">
        <v>5</v>
      </c>
      <c r="R11" s="61">
        <v>5</v>
      </c>
      <c r="S11" s="61">
        <v>5</v>
      </c>
      <c r="T11" s="61">
        <v>5</v>
      </c>
      <c r="U11" s="61">
        <v>5</v>
      </c>
      <c r="V11" s="61">
        <v>5</v>
      </c>
      <c r="W11" s="61">
        <v>5</v>
      </c>
      <c r="X11" s="61">
        <v>5</v>
      </c>
      <c r="Y11" s="61">
        <v>5</v>
      </c>
      <c r="Z11" s="61">
        <v>5</v>
      </c>
      <c r="AA11" s="61">
        <v>5</v>
      </c>
      <c r="AB11" s="61">
        <v>5</v>
      </c>
      <c r="AC11" s="61">
        <v>6</v>
      </c>
      <c r="AD11" s="61">
        <v>7</v>
      </c>
      <c r="AE11" s="61">
        <v>7</v>
      </c>
      <c r="AF11" s="61">
        <v>7</v>
      </c>
      <c r="AG11" s="61">
        <v>7</v>
      </c>
      <c r="AH11" s="61">
        <v>7</v>
      </c>
      <c r="AI11" s="61">
        <v>7</v>
      </c>
      <c r="AJ11" s="61">
        <v>7</v>
      </c>
      <c r="AK11" s="61">
        <v>7</v>
      </c>
      <c r="AL11" s="61">
        <v>7</v>
      </c>
      <c r="AM11" s="61">
        <v>7</v>
      </c>
      <c r="AN11" s="61">
        <v>7</v>
      </c>
      <c r="AO11" s="61">
        <v>7</v>
      </c>
      <c r="AP11" s="61">
        <v>8</v>
      </c>
    </row>
    <row r="12" spans="1:42" s="14" customFormat="1" ht="13.5" thickBot="1">
      <c r="A12" s="34"/>
      <c r="B12" s="35" t="s">
        <v>45</v>
      </c>
      <c r="C12" s="36">
        <f>SUM(C13,C41,C54)</f>
        <v>50067520275</v>
      </c>
      <c r="D12" s="36">
        <f aca="true" t="shared" si="0" ref="D12:AP12">SUM(D13,D41,D54)</f>
        <v>5939783034</v>
      </c>
      <c r="E12" s="36">
        <f t="shared" si="0"/>
        <v>2020695695</v>
      </c>
      <c r="F12" s="36">
        <f t="shared" si="0"/>
        <v>3449927924.3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36">
        <f t="shared" si="0"/>
        <v>0</v>
      </c>
      <c r="M12" s="36">
        <f t="shared" si="0"/>
        <v>0</v>
      </c>
      <c r="N12" s="36">
        <f t="shared" si="0"/>
        <v>0</v>
      </c>
      <c r="O12" s="36">
        <f t="shared" si="0"/>
        <v>0</v>
      </c>
      <c r="P12" s="36">
        <f t="shared" si="0"/>
        <v>11410406653.3</v>
      </c>
      <c r="Q12" s="36">
        <f t="shared" si="0"/>
        <v>1322313876</v>
      </c>
      <c r="R12" s="36">
        <f t="shared" si="0"/>
        <v>2845807800</v>
      </c>
      <c r="S12" s="36">
        <f t="shared" si="0"/>
        <v>2934878283</v>
      </c>
      <c r="T12" s="36">
        <f t="shared" si="0"/>
        <v>0</v>
      </c>
      <c r="U12" s="36">
        <f t="shared" si="0"/>
        <v>0</v>
      </c>
      <c r="V12" s="36">
        <f t="shared" si="0"/>
        <v>0</v>
      </c>
      <c r="W12" s="36">
        <f t="shared" si="0"/>
        <v>0</v>
      </c>
      <c r="X12" s="36">
        <f t="shared" si="0"/>
        <v>0</v>
      </c>
      <c r="Y12" s="36">
        <f t="shared" si="0"/>
        <v>0</v>
      </c>
      <c r="Z12" s="36">
        <f t="shared" si="0"/>
        <v>0</v>
      </c>
      <c r="AA12" s="36">
        <f t="shared" si="0"/>
        <v>0</v>
      </c>
      <c r="AB12" s="36">
        <f t="shared" si="0"/>
        <v>0</v>
      </c>
      <c r="AC12" s="36">
        <f t="shared" si="0"/>
        <v>7102999959</v>
      </c>
      <c r="AD12" s="36">
        <f t="shared" si="0"/>
        <v>1225521668</v>
      </c>
      <c r="AE12" s="36">
        <f t="shared" si="0"/>
        <v>2822117218</v>
      </c>
      <c r="AF12" s="36">
        <f t="shared" si="0"/>
        <v>2654490346</v>
      </c>
      <c r="AG12" s="36">
        <f t="shared" si="0"/>
        <v>0</v>
      </c>
      <c r="AH12" s="36">
        <f t="shared" si="0"/>
        <v>0</v>
      </c>
      <c r="AI12" s="36">
        <f t="shared" si="0"/>
        <v>0</v>
      </c>
      <c r="AJ12" s="36">
        <f t="shared" si="0"/>
        <v>0</v>
      </c>
      <c r="AK12" s="36">
        <f t="shared" si="0"/>
        <v>0</v>
      </c>
      <c r="AL12" s="36">
        <f t="shared" si="0"/>
        <v>0</v>
      </c>
      <c r="AM12" s="36">
        <f t="shared" si="0"/>
        <v>0</v>
      </c>
      <c r="AN12" s="36">
        <f t="shared" si="0"/>
        <v>0</v>
      </c>
      <c r="AO12" s="36">
        <f t="shared" si="0"/>
        <v>0</v>
      </c>
      <c r="AP12" s="36">
        <f t="shared" si="0"/>
        <v>6702129232</v>
      </c>
    </row>
    <row r="13" spans="1:42" s="14" customFormat="1" ht="13.5" thickBot="1">
      <c r="A13" s="34"/>
      <c r="B13" s="35" t="s">
        <v>42</v>
      </c>
      <c r="C13" s="36">
        <f aca="true" t="shared" si="1" ref="C13:AP13">SUM(C14:C40)</f>
        <v>26202832271</v>
      </c>
      <c r="D13" s="36">
        <f t="shared" si="1"/>
        <v>4842491439</v>
      </c>
      <c r="E13" s="36">
        <f t="shared" si="1"/>
        <v>1761335985</v>
      </c>
      <c r="F13" s="36">
        <f t="shared" si="1"/>
        <v>2831589978.3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9435417402.3</v>
      </c>
      <c r="Q13" s="36">
        <f t="shared" si="1"/>
        <v>1281544620</v>
      </c>
      <c r="R13" s="36">
        <f t="shared" si="1"/>
        <v>2199120801</v>
      </c>
      <c r="S13" s="36">
        <f t="shared" si="1"/>
        <v>2743245883</v>
      </c>
      <c r="T13" s="36">
        <f t="shared" si="1"/>
        <v>0</v>
      </c>
      <c r="U13" s="36">
        <f t="shared" si="1"/>
        <v>0</v>
      </c>
      <c r="V13" s="36">
        <f t="shared" si="1"/>
        <v>0</v>
      </c>
      <c r="W13" s="36">
        <f t="shared" si="1"/>
        <v>0</v>
      </c>
      <c r="X13" s="36">
        <f t="shared" si="1"/>
        <v>0</v>
      </c>
      <c r="Y13" s="36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6223911304</v>
      </c>
      <c r="AD13" s="36">
        <f t="shared" si="1"/>
        <v>1202237197</v>
      </c>
      <c r="AE13" s="36">
        <f t="shared" si="1"/>
        <v>2157945434</v>
      </c>
      <c r="AF13" s="36">
        <f t="shared" si="1"/>
        <v>2462857946</v>
      </c>
      <c r="AG13" s="36">
        <f t="shared" si="1"/>
        <v>0</v>
      </c>
      <c r="AH13" s="36">
        <f t="shared" si="1"/>
        <v>0</v>
      </c>
      <c r="AI13" s="36">
        <f t="shared" si="1"/>
        <v>0</v>
      </c>
      <c r="AJ13" s="36">
        <f t="shared" si="1"/>
        <v>0</v>
      </c>
      <c r="AK13" s="36">
        <f t="shared" si="1"/>
        <v>0</v>
      </c>
      <c r="AL13" s="36">
        <f t="shared" si="1"/>
        <v>0</v>
      </c>
      <c r="AM13" s="36">
        <f t="shared" si="1"/>
        <v>0</v>
      </c>
      <c r="AN13" s="36">
        <f t="shared" si="1"/>
        <v>0</v>
      </c>
      <c r="AO13" s="36">
        <f t="shared" si="1"/>
        <v>0</v>
      </c>
      <c r="AP13" s="37">
        <f t="shared" si="1"/>
        <v>5823040577</v>
      </c>
    </row>
    <row r="14" spans="1:44" s="12" customFormat="1" ht="12.75">
      <c r="A14" s="38" t="s">
        <v>52</v>
      </c>
      <c r="B14" s="39" t="s">
        <v>54</v>
      </c>
      <c r="C14" s="107">
        <v>10246808992</v>
      </c>
      <c r="D14" s="106">
        <v>743493060</v>
      </c>
      <c r="E14" s="106">
        <v>869348349</v>
      </c>
      <c r="F14" s="106">
        <v>854193109</v>
      </c>
      <c r="G14" s="106"/>
      <c r="H14" s="107"/>
      <c r="I14" s="107"/>
      <c r="J14" s="107"/>
      <c r="K14" s="107"/>
      <c r="L14" s="107"/>
      <c r="M14" s="107"/>
      <c r="N14" s="107"/>
      <c r="O14" s="107"/>
      <c r="P14" s="71">
        <f>SUM(D14:O14)</f>
        <v>2467034518</v>
      </c>
      <c r="Q14" s="106">
        <v>743493060</v>
      </c>
      <c r="R14" s="106">
        <v>869348349</v>
      </c>
      <c r="S14" s="106">
        <v>854193109</v>
      </c>
      <c r="T14" s="106"/>
      <c r="U14" s="107"/>
      <c r="V14" s="107"/>
      <c r="W14" s="107"/>
      <c r="X14" s="107"/>
      <c r="Y14" s="107"/>
      <c r="Z14" s="107"/>
      <c r="AA14" s="107"/>
      <c r="AB14" s="107"/>
      <c r="AC14" s="71">
        <f>SUM(Q14:AB14)</f>
        <v>2467034518</v>
      </c>
      <c r="AD14" s="106">
        <v>743493060</v>
      </c>
      <c r="AE14" s="106">
        <v>869348349</v>
      </c>
      <c r="AF14" s="106">
        <v>854193109</v>
      </c>
      <c r="AG14" s="106"/>
      <c r="AH14" s="107"/>
      <c r="AI14" s="107"/>
      <c r="AJ14" s="107"/>
      <c r="AK14" s="107"/>
      <c r="AL14" s="107"/>
      <c r="AM14" s="107"/>
      <c r="AN14" s="107"/>
      <c r="AO14" s="107"/>
      <c r="AP14" s="72">
        <f>SUM(AD14:AO14)</f>
        <v>2467034518</v>
      </c>
      <c r="AQ14" s="120"/>
      <c r="AR14" s="120"/>
    </row>
    <row r="15" spans="1:44" s="12" customFormat="1" ht="12.75">
      <c r="A15" s="16" t="s">
        <v>53</v>
      </c>
      <c r="B15" s="48" t="s">
        <v>55</v>
      </c>
      <c r="C15" s="104">
        <v>761054985</v>
      </c>
      <c r="D15" s="108">
        <v>14554855</v>
      </c>
      <c r="E15" s="108">
        <v>25883805</v>
      </c>
      <c r="F15" s="108">
        <v>36635235</v>
      </c>
      <c r="G15" s="108"/>
      <c r="H15" s="104"/>
      <c r="I15" s="104"/>
      <c r="J15" s="104"/>
      <c r="K15" s="104"/>
      <c r="L15" s="104"/>
      <c r="M15" s="104"/>
      <c r="N15" s="104"/>
      <c r="O15" s="104"/>
      <c r="P15" s="110">
        <f aca="true" t="shared" si="2" ref="P15:P57">SUM(D15:O15)</f>
        <v>77073895</v>
      </c>
      <c r="Q15" s="108">
        <v>14554855</v>
      </c>
      <c r="R15" s="108">
        <v>25883805</v>
      </c>
      <c r="S15" s="108">
        <v>36635235</v>
      </c>
      <c r="T15" s="108"/>
      <c r="U15" s="104"/>
      <c r="V15" s="104"/>
      <c r="W15" s="104"/>
      <c r="X15" s="104"/>
      <c r="Y15" s="104"/>
      <c r="Z15" s="104"/>
      <c r="AA15" s="104"/>
      <c r="AB15" s="104"/>
      <c r="AC15" s="110">
        <f aca="true" t="shared" si="3" ref="AC15:AC40">SUM(Q15:AB15)</f>
        <v>77073895</v>
      </c>
      <c r="AD15" s="108">
        <v>14554855</v>
      </c>
      <c r="AE15" s="108">
        <v>25883805</v>
      </c>
      <c r="AF15" s="108">
        <v>36635235</v>
      </c>
      <c r="AG15" s="108"/>
      <c r="AH15" s="104"/>
      <c r="AI15" s="104"/>
      <c r="AJ15" s="104"/>
      <c r="AK15" s="104"/>
      <c r="AL15" s="104"/>
      <c r="AM15" s="104"/>
      <c r="AN15" s="104"/>
      <c r="AO15" s="104"/>
      <c r="AP15" s="115">
        <f aca="true" t="shared" si="4" ref="AP15:AP40">SUM(AD15:AO15)</f>
        <v>77073895</v>
      </c>
      <c r="AQ15" s="120"/>
      <c r="AR15" s="120"/>
    </row>
    <row r="16" spans="1:44" s="12" customFormat="1" ht="12.75">
      <c r="A16" s="16" t="s">
        <v>74</v>
      </c>
      <c r="B16" s="48" t="s">
        <v>56</v>
      </c>
      <c r="C16" s="104">
        <v>40000000</v>
      </c>
      <c r="D16" s="108">
        <v>550644</v>
      </c>
      <c r="E16" s="108">
        <v>431000</v>
      </c>
      <c r="F16" s="108">
        <v>1350933</v>
      </c>
      <c r="G16" s="108"/>
      <c r="H16" s="104"/>
      <c r="I16" s="104"/>
      <c r="J16" s="104"/>
      <c r="K16" s="104"/>
      <c r="L16" s="104"/>
      <c r="M16" s="104"/>
      <c r="N16" s="104"/>
      <c r="O16" s="104"/>
      <c r="P16" s="110">
        <f t="shared" si="2"/>
        <v>2332577</v>
      </c>
      <c r="Q16" s="108">
        <v>550644</v>
      </c>
      <c r="R16" s="108">
        <v>431000</v>
      </c>
      <c r="S16" s="108">
        <v>1350933</v>
      </c>
      <c r="T16" s="108"/>
      <c r="U16" s="104"/>
      <c r="V16" s="104"/>
      <c r="W16" s="104"/>
      <c r="X16" s="104"/>
      <c r="Y16" s="104"/>
      <c r="Z16" s="104"/>
      <c r="AA16" s="104"/>
      <c r="AB16" s="104"/>
      <c r="AC16" s="110">
        <f t="shared" si="3"/>
        <v>2332577</v>
      </c>
      <c r="AD16" s="108">
        <v>550644</v>
      </c>
      <c r="AE16" s="108">
        <v>431000</v>
      </c>
      <c r="AF16" s="108">
        <v>1350933</v>
      </c>
      <c r="AG16" s="108"/>
      <c r="AH16" s="104"/>
      <c r="AI16" s="104"/>
      <c r="AJ16" s="104"/>
      <c r="AK16" s="104"/>
      <c r="AL16" s="104"/>
      <c r="AM16" s="104"/>
      <c r="AN16" s="104"/>
      <c r="AO16" s="104"/>
      <c r="AP16" s="115">
        <f t="shared" si="4"/>
        <v>2332577</v>
      </c>
      <c r="AQ16" s="121"/>
      <c r="AR16" s="120"/>
    </row>
    <row r="17" spans="1:44" s="12" customFormat="1" ht="12.75">
      <c r="A17" s="16" t="s">
        <v>75</v>
      </c>
      <c r="B17" s="48" t="s">
        <v>57</v>
      </c>
      <c r="C17" s="104">
        <v>653112348</v>
      </c>
      <c r="D17" s="108">
        <v>47823060</v>
      </c>
      <c r="E17" s="108">
        <v>51423705</v>
      </c>
      <c r="F17" s="108">
        <v>53578161</v>
      </c>
      <c r="G17" s="108"/>
      <c r="H17" s="104"/>
      <c r="I17" s="104"/>
      <c r="J17" s="104"/>
      <c r="K17" s="104"/>
      <c r="L17" s="104"/>
      <c r="M17" s="104"/>
      <c r="N17" s="104"/>
      <c r="O17" s="104"/>
      <c r="P17" s="110">
        <f t="shared" si="2"/>
        <v>152824926</v>
      </c>
      <c r="Q17" s="108">
        <v>47823060</v>
      </c>
      <c r="R17" s="108">
        <v>51423705</v>
      </c>
      <c r="S17" s="108">
        <v>53578161</v>
      </c>
      <c r="T17" s="108"/>
      <c r="U17" s="104"/>
      <c r="V17" s="104"/>
      <c r="W17" s="104"/>
      <c r="X17" s="104"/>
      <c r="Y17" s="104"/>
      <c r="Z17" s="104"/>
      <c r="AA17" s="104"/>
      <c r="AB17" s="104"/>
      <c r="AC17" s="110">
        <f t="shared" si="3"/>
        <v>152824926</v>
      </c>
      <c r="AD17" s="108">
        <v>47823060</v>
      </c>
      <c r="AE17" s="108">
        <v>51423705</v>
      </c>
      <c r="AF17" s="108">
        <v>53578161</v>
      </c>
      <c r="AG17" s="108"/>
      <c r="AH17" s="104"/>
      <c r="AI17" s="104"/>
      <c r="AJ17" s="104"/>
      <c r="AK17" s="104"/>
      <c r="AL17" s="104"/>
      <c r="AM17" s="104"/>
      <c r="AN17" s="104"/>
      <c r="AO17" s="104"/>
      <c r="AP17" s="115">
        <f t="shared" si="4"/>
        <v>152824926</v>
      </c>
      <c r="AQ17" s="120"/>
      <c r="AR17" s="120"/>
    </row>
    <row r="18" spans="1:44" s="12" customFormat="1" ht="12.75">
      <c r="A18" s="16" t="s">
        <v>76</v>
      </c>
      <c r="B18" s="48" t="s">
        <v>58</v>
      </c>
      <c r="C18" s="104">
        <v>124810860</v>
      </c>
      <c r="D18" s="108">
        <v>10400905</v>
      </c>
      <c r="E18" s="108">
        <v>10400906</v>
      </c>
      <c r="F18" s="108">
        <v>5990834</v>
      </c>
      <c r="G18" s="108"/>
      <c r="H18" s="104"/>
      <c r="I18" s="104"/>
      <c r="J18" s="104"/>
      <c r="K18" s="104"/>
      <c r="L18" s="104"/>
      <c r="M18" s="104"/>
      <c r="N18" s="104"/>
      <c r="O18" s="104"/>
      <c r="P18" s="110">
        <f t="shared" si="2"/>
        <v>26792645</v>
      </c>
      <c r="Q18" s="108">
        <v>10400905</v>
      </c>
      <c r="R18" s="108">
        <v>10400906</v>
      </c>
      <c r="S18" s="108">
        <v>5990834</v>
      </c>
      <c r="T18" s="108"/>
      <c r="U18" s="104"/>
      <c r="V18" s="104"/>
      <c r="W18" s="104"/>
      <c r="X18" s="104"/>
      <c r="Y18" s="104"/>
      <c r="Z18" s="104"/>
      <c r="AA18" s="104"/>
      <c r="AB18" s="104"/>
      <c r="AC18" s="110">
        <f t="shared" si="3"/>
        <v>26792645</v>
      </c>
      <c r="AD18" s="108">
        <v>10400905</v>
      </c>
      <c r="AE18" s="108">
        <v>10400906</v>
      </c>
      <c r="AF18" s="108">
        <v>5990834</v>
      </c>
      <c r="AG18" s="108"/>
      <c r="AH18" s="104"/>
      <c r="AI18" s="104"/>
      <c r="AJ18" s="104"/>
      <c r="AK18" s="104"/>
      <c r="AL18" s="104"/>
      <c r="AM18" s="104"/>
      <c r="AN18" s="104"/>
      <c r="AO18" s="104"/>
      <c r="AP18" s="115">
        <f t="shared" si="4"/>
        <v>26792645</v>
      </c>
      <c r="AQ18" s="120"/>
      <c r="AR18" s="121"/>
    </row>
    <row r="19" spans="1:44" s="12" customFormat="1" ht="12.75">
      <c r="A19" s="16" t="s">
        <v>85</v>
      </c>
      <c r="B19" s="48" t="s">
        <v>86</v>
      </c>
      <c r="C19" s="104">
        <v>356170440</v>
      </c>
      <c r="D19" s="108">
        <v>32973366</v>
      </c>
      <c r="E19" s="108">
        <v>43293963</v>
      </c>
      <c r="F19" s="108">
        <v>19449704</v>
      </c>
      <c r="G19" s="108"/>
      <c r="H19" s="104"/>
      <c r="I19" s="104"/>
      <c r="J19" s="104"/>
      <c r="K19" s="104"/>
      <c r="L19" s="104"/>
      <c r="M19" s="104"/>
      <c r="N19" s="104"/>
      <c r="O19" s="104"/>
      <c r="P19" s="110">
        <f>SUM(D19:O19)</f>
        <v>95717033</v>
      </c>
      <c r="Q19" s="108">
        <v>32973366</v>
      </c>
      <c r="R19" s="108">
        <v>43293963</v>
      </c>
      <c r="S19" s="108">
        <v>19449704</v>
      </c>
      <c r="T19" s="108"/>
      <c r="U19" s="104"/>
      <c r="V19" s="104"/>
      <c r="W19" s="104"/>
      <c r="X19" s="104"/>
      <c r="Y19" s="104"/>
      <c r="Z19" s="104"/>
      <c r="AA19" s="104"/>
      <c r="AB19" s="104"/>
      <c r="AC19" s="110">
        <f>SUM(Q19:AB19)</f>
        <v>95717033</v>
      </c>
      <c r="AD19" s="108">
        <v>32973366</v>
      </c>
      <c r="AE19" s="108">
        <v>43293963</v>
      </c>
      <c r="AF19" s="108">
        <v>19449704</v>
      </c>
      <c r="AG19" s="108"/>
      <c r="AH19" s="104"/>
      <c r="AI19" s="104"/>
      <c r="AJ19" s="104"/>
      <c r="AK19" s="104"/>
      <c r="AL19" s="104"/>
      <c r="AM19" s="104"/>
      <c r="AN19" s="104"/>
      <c r="AO19" s="104"/>
      <c r="AP19" s="115">
        <f>SUM(AD19:AO19)</f>
        <v>95717033</v>
      </c>
      <c r="AQ19" s="120"/>
      <c r="AR19" s="121"/>
    </row>
    <row r="20" spans="1:44" s="12" customFormat="1" ht="12.75">
      <c r="A20" s="16" t="s">
        <v>90</v>
      </c>
      <c r="B20" s="48" t="s">
        <v>63</v>
      </c>
      <c r="C20" s="104">
        <v>62770435</v>
      </c>
      <c r="D20" s="108">
        <v>2185636</v>
      </c>
      <c r="E20" s="108">
        <v>2183916</v>
      </c>
      <c r="F20" s="108">
        <v>2471334</v>
      </c>
      <c r="G20" s="108"/>
      <c r="H20" s="104"/>
      <c r="I20" s="104"/>
      <c r="J20" s="104"/>
      <c r="K20" s="104"/>
      <c r="L20" s="104"/>
      <c r="M20" s="104"/>
      <c r="N20" s="104"/>
      <c r="O20" s="104"/>
      <c r="P20" s="110">
        <f>SUM(D20:O20)</f>
        <v>6840886</v>
      </c>
      <c r="Q20" s="108">
        <v>2185636</v>
      </c>
      <c r="R20" s="108">
        <v>2183916</v>
      </c>
      <c r="S20" s="108">
        <v>2471334</v>
      </c>
      <c r="T20" s="108"/>
      <c r="U20" s="104"/>
      <c r="V20" s="104"/>
      <c r="W20" s="104"/>
      <c r="X20" s="104"/>
      <c r="Y20" s="104"/>
      <c r="Z20" s="104"/>
      <c r="AA20" s="104"/>
      <c r="AB20" s="104"/>
      <c r="AC20" s="110">
        <f>SUM(Q20:AB20)</f>
        <v>6840886</v>
      </c>
      <c r="AD20" s="108">
        <v>2185636</v>
      </c>
      <c r="AE20" s="108">
        <v>2183916</v>
      </c>
      <c r="AF20" s="108">
        <v>2471334</v>
      </c>
      <c r="AG20" s="108"/>
      <c r="AH20" s="104"/>
      <c r="AI20" s="104"/>
      <c r="AJ20" s="104"/>
      <c r="AK20" s="104"/>
      <c r="AL20" s="104"/>
      <c r="AM20" s="104"/>
      <c r="AN20" s="104"/>
      <c r="AO20" s="104"/>
      <c r="AP20" s="115">
        <f>SUM(AD20:AO20)</f>
        <v>6840886</v>
      </c>
      <c r="AQ20" s="120"/>
      <c r="AR20" s="121"/>
    </row>
    <row r="21" spans="1:44" s="12" customFormat="1" ht="12.75">
      <c r="A21" s="16" t="s">
        <v>79</v>
      </c>
      <c r="B21" s="48" t="s">
        <v>77</v>
      </c>
      <c r="C21" s="104">
        <v>84715776</v>
      </c>
      <c r="D21" s="108">
        <v>5135158</v>
      </c>
      <c r="E21" s="108">
        <v>6150965</v>
      </c>
      <c r="F21" s="108">
        <v>6189242</v>
      </c>
      <c r="G21" s="108"/>
      <c r="H21" s="104"/>
      <c r="I21" s="104"/>
      <c r="J21" s="104"/>
      <c r="K21" s="104"/>
      <c r="L21" s="104"/>
      <c r="M21" s="104"/>
      <c r="N21" s="104"/>
      <c r="O21" s="104"/>
      <c r="P21" s="110">
        <f t="shared" si="2"/>
        <v>17475365</v>
      </c>
      <c r="Q21" s="108">
        <v>5135158</v>
      </c>
      <c r="R21" s="108">
        <v>6150965</v>
      </c>
      <c r="S21" s="108">
        <v>6189242</v>
      </c>
      <c r="T21" s="108"/>
      <c r="U21" s="104"/>
      <c r="V21" s="104"/>
      <c r="W21" s="104"/>
      <c r="X21" s="104"/>
      <c r="Y21" s="104"/>
      <c r="Z21" s="104"/>
      <c r="AA21" s="104"/>
      <c r="AB21" s="104"/>
      <c r="AC21" s="110">
        <f t="shared" si="3"/>
        <v>17475365</v>
      </c>
      <c r="AD21" s="108">
        <v>5135158</v>
      </c>
      <c r="AE21" s="108">
        <v>6150965</v>
      </c>
      <c r="AF21" s="108">
        <v>6189242</v>
      </c>
      <c r="AG21" s="108"/>
      <c r="AH21" s="104"/>
      <c r="AI21" s="104"/>
      <c r="AJ21" s="104"/>
      <c r="AK21" s="104"/>
      <c r="AL21" s="104"/>
      <c r="AM21" s="104"/>
      <c r="AN21" s="104"/>
      <c r="AO21" s="104"/>
      <c r="AP21" s="115">
        <f t="shared" si="4"/>
        <v>17475365</v>
      </c>
      <c r="AQ21" s="120"/>
      <c r="AR21" s="121"/>
    </row>
    <row r="22" spans="1:44" s="12" customFormat="1" ht="12.75">
      <c r="A22" s="16" t="s">
        <v>80</v>
      </c>
      <c r="B22" s="48" t="s">
        <v>78</v>
      </c>
      <c r="C22" s="104">
        <v>84715200</v>
      </c>
      <c r="D22" s="108">
        <v>6763940</v>
      </c>
      <c r="E22" s="108">
        <v>8246600</v>
      </c>
      <c r="F22" s="108">
        <v>8262560</v>
      </c>
      <c r="G22" s="108"/>
      <c r="H22" s="104"/>
      <c r="I22" s="104"/>
      <c r="J22" s="104"/>
      <c r="K22" s="104"/>
      <c r="L22" s="104"/>
      <c r="M22" s="104"/>
      <c r="N22" s="104"/>
      <c r="O22" s="104"/>
      <c r="P22" s="110">
        <f t="shared" si="2"/>
        <v>23273100</v>
      </c>
      <c r="Q22" s="108">
        <v>6763940</v>
      </c>
      <c r="R22" s="108">
        <v>8246600</v>
      </c>
      <c r="S22" s="108">
        <v>8262560</v>
      </c>
      <c r="T22" s="108"/>
      <c r="U22" s="104"/>
      <c r="V22" s="104"/>
      <c r="W22" s="104"/>
      <c r="X22" s="104"/>
      <c r="Y22" s="104"/>
      <c r="Z22" s="104"/>
      <c r="AA22" s="104"/>
      <c r="AB22" s="104"/>
      <c r="AC22" s="110">
        <f t="shared" si="3"/>
        <v>23273100</v>
      </c>
      <c r="AD22" s="108">
        <v>6763940</v>
      </c>
      <c r="AE22" s="108">
        <v>8246600</v>
      </c>
      <c r="AF22" s="108">
        <v>8262560</v>
      </c>
      <c r="AG22" s="108"/>
      <c r="AH22" s="104"/>
      <c r="AI22" s="104"/>
      <c r="AJ22" s="104"/>
      <c r="AK22" s="104"/>
      <c r="AL22" s="104"/>
      <c r="AM22" s="104"/>
      <c r="AN22" s="104"/>
      <c r="AO22" s="104"/>
      <c r="AP22" s="115">
        <f t="shared" si="4"/>
        <v>23273100</v>
      </c>
      <c r="AQ22" s="120"/>
      <c r="AR22" s="121"/>
    </row>
    <row r="23" spans="1:44" s="12" customFormat="1" ht="12.75">
      <c r="A23" s="16" t="s">
        <v>81</v>
      </c>
      <c r="B23" s="48" t="s">
        <v>59</v>
      </c>
      <c r="C23" s="104">
        <v>498145083</v>
      </c>
      <c r="D23" s="108">
        <v>989052</v>
      </c>
      <c r="E23" s="108">
        <v>371481</v>
      </c>
      <c r="F23" s="108">
        <v>1795880</v>
      </c>
      <c r="G23" s="108"/>
      <c r="H23" s="104"/>
      <c r="I23" s="104"/>
      <c r="J23" s="104"/>
      <c r="K23" s="104"/>
      <c r="L23" s="104"/>
      <c r="M23" s="104"/>
      <c r="N23" s="104"/>
      <c r="O23" s="104"/>
      <c r="P23" s="110">
        <f t="shared" si="2"/>
        <v>3156413</v>
      </c>
      <c r="Q23" s="108">
        <v>989052</v>
      </c>
      <c r="R23" s="108">
        <v>371481</v>
      </c>
      <c r="S23" s="108">
        <v>1795880</v>
      </c>
      <c r="T23" s="108"/>
      <c r="U23" s="104"/>
      <c r="V23" s="104"/>
      <c r="W23" s="104"/>
      <c r="X23" s="104"/>
      <c r="Y23" s="104"/>
      <c r="Z23" s="104"/>
      <c r="AA23" s="104"/>
      <c r="AB23" s="104"/>
      <c r="AC23" s="110">
        <f t="shared" si="3"/>
        <v>3156413</v>
      </c>
      <c r="AD23" s="108">
        <v>989052</v>
      </c>
      <c r="AE23" s="108">
        <v>371481</v>
      </c>
      <c r="AF23" s="108">
        <v>1795880</v>
      </c>
      <c r="AG23" s="108"/>
      <c r="AH23" s="104"/>
      <c r="AI23" s="104"/>
      <c r="AJ23" s="104"/>
      <c r="AK23" s="104"/>
      <c r="AL23" s="104"/>
      <c r="AM23" s="104"/>
      <c r="AN23" s="104"/>
      <c r="AO23" s="104"/>
      <c r="AP23" s="115">
        <f t="shared" si="4"/>
        <v>3156413</v>
      </c>
      <c r="AQ23" s="120"/>
      <c r="AR23" s="121"/>
    </row>
    <row r="24" spans="1:44" s="12" customFormat="1" ht="12.75">
      <c r="A24" s="16" t="s">
        <v>82</v>
      </c>
      <c r="B24" s="48" t="s">
        <v>61</v>
      </c>
      <c r="C24" s="104">
        <v>683697783</v>
      </c>
      <c r="D24" s="108">
        <v>22927313</v>
      </c>
      <c r="E24" s="108">
        <v>19508475</v>
      </c>
      <c r="F24" s="108">
        <v>25471205</v>
      </c>
      <c r="G24" s="108"/>
      <c r="H24" s="104"/>
      <c r="I24" s="104"/>
      <c r="J24" s="104"/>
      <c r="K24" s="104"/>
      <c r="L24" s="104"/>
      <c r="M24" s="104"/>
      <c r="N24" s="104"/>
      <c r="O24" s="104"/>
      <c r="P24" s="110">
        <f t="shared" si="2"/>
        <v>67906993</v>
      </c>
      <c r="Q24" s="108">
        <v>22927313</v>
      </c>
      <c r="R24" s="108">
        <v>19508475</v>
      </c>
      <c r="S24" s="108">
        <v>25471205</v>
      </c>
      <c r="T24" s="108"/>
      <c r="U24" s="104"/>
      <c r="V24" s="104"/>
      <c r="W24" s="104"/>
      <c r="X24" s="104"/>
      <c r="Y24" s="104"/>
      <c r="Z24" s="104"/>
      <c r="AA24" s="104"/>
      <c r="AB24" s="104"/>
      <c r="AC24" s="110">
        <f t="shared" si="3"/>
        <v>67906993</v>
      </c>
      <c r="AD24" s="108">
        <v>22927313</v>
      </c>
      <c r="AE24" s="108">
        <v>19508475</v>
      </c>
      <c r="AF24" s="108">
        <v>25471205</v>
      </c>
      <c r="AG24" s="108"/>
      <c r="AH24" s="104"/>
      <c r="AI24" s="104"/>
      <c r="AJ24" s="104"/>
      <c r="AK24" s="104"/>
      <c r="AL24" s="104"/>
      <c r="AM24" s="104"/>
      <c r="AN24" s="104"/>
      <c r="AO24" s="104"/>
      <c r="AP24" s="115">
        <f t="shared" si="4"/>
        <v>67906993</v>
      </c>
      <c r="AQ24" s="120"/>
      <c r="AR24" s="121"/>
    </row>
    <row r="25" spans="1:44" s="12" customFormat="1" ht="12.75">
      <c r="A25" s="16" t="s">
        <v>83</v>
      </c>
      <c r="B25" s="48" t="s">
        <v>60</v>
      </c>
      <c r="C25" s="104">
        <f>1081044019-34500000</f>
        <v>1046544019</v>
      </c>
      <c r="D25" s="108">
        <v>0</v>
      </c>
      <c r="E25" s="108">
        <v>111458</v>
      </c>
      <c r="F25" s="108">
        <v>924100</v>
      </c>
      <c r="G25" s="108"/>
      <c r="H25" s="104"/>
      <c r="I25" s="104"/>
      <c r="J25" s="104"/>
      <c r="K25" s="104"/>
      <c r="L25" s="104"/>
      <c r="M25" s="104"/>
      <c r="N25" s="104"/>
      <c r="O25" s="104"/>
      <c r="P25" s="110">
        <f t="shared" si="2"/>
        <v>1035558</v>
      </c>
      <c r="Q25" s="108">
        <v>0</v>
      </c>
      <c r="R25" s="108">
        <v>111458</v>
      </c>
      <c r="S25" s="108">
        <v>924100</v>
      </c>
      <c r="T25" s="108"/>
      <c r="U25" s="104"/>
      <c r="V25" s="104"/>
      <c r="W25" s="104"/>
      <c r="X25" s="104"/>
      <c r="Y25" s="104"/>
      <c r="Z25" s="104"/>
      <c r="AA25" s="104"/>
      <c r="AB25" s="104"/>
      <c r="AC25" s="110">
        <f t="shared" si="3"/>
        <v>1035558</v>
      </c>
      <c r="AD25" s="108">
        <v>0</v>
      </c>
      <c r="AE25" s="108">
        <v>111458</v>
      </c>
      <c r="AF25" s="108">
        <v>924100</v>
      </c>
      <c r="AG25" s="108"/>
      <c r="AH25" s="104"/>
      <c r="AI25" s="104"/>
      <c r="AJ25" s="104"/>
      <c r="AK25" s="104"/>
      <c r="AL25" s="104"/>
      <c r="AM25" s="104"/>
      <c r="AN25" s="104"/>
      <c r="AO25" s="104"/>
      <c r="AP25" s="115">
        <f t="shared" si="4"/>
        <v>1035558</v>
      </c>
      <c r="AQ25" s="120"/>
      <c r="AR25" s="121"/>
    </row>
    <row r="26" spans="1:44" s="12" customFormat="1" ht="12.75">
      <c r="A26" s="16" t="s">
        <v>84</v>
      </c>
      <c r="B26" s="48" t="s">
        <v>62</v>
      </c>
      <c r="C26" s="104">
        <v>2760007</v>
      </c>
      <c r="D26" s="108">
        <v>230001</v>
      </c>
      <c r="E26" s="108">
        <v>230000</v>
      </c>
      <c r="F26" s="108">
        <v>230000</v>
      </c>
      <c r="G26" s="108"/>
      <c r="H26" s="104"/>
      <c r="I26" s="104"/>
      <c r="J26" s="104"/>
      <c r="K26" s="104"/>
      <c r="L26" s="104"/>
      <c r="M26" s="104"/>
      <c r="N26" s="104"/>
      <c r="O26" s="104"/>
      <c r="P26" s="110">
        <f t="shared" si="2"/>
        <v>690001</v>
      </c>
      <c r="Q26" s="108">
        <v>230001</v>
      </c>
      <c r="R26" s="108">
        <v>230000</v>
      </c>
      <c r="S26" s="108">
        <v>230000</v>
      </c>
      <c r="T26" s="108"/>
      <c r="U26" s="104"/>
      <c r="V26" s="104"/>
      <c r="W26" s="104"/>
      <c r="X26" s="104"/>
      <c r="Y26" s="104"/>
      <c r="Z26" s="104"/>
      <c r="AA26" s="104"/>
      <c r="AB26" s="104"/>
      <c r="AC26" s="110">
        <f t="shared" si="3"/>
        <v>690001</v>
      </c>
      <c r="AD26" s="108">
        <v>230001</v>
      </c>
      <c r="AE26" s="108">
        <v>230000</v>
      </c>
      <c r="AF26" s="108">
        <v>230000</v>
      </c>
      <c r="AG26" s="108"/>
      <c r="AH26" s="104"/>
      <c r="AI26" s="104"/>
      <c r="AJ26" s="104"/>
      <c r="AK26" s="104"/>
      <c r="AL26" s="104"/>
      <c r="AM26" s="104"/>
      <c r="AN26" s="104"/>
      <c r="AO26" s="104"/>
      <c r="AP26" s="115">
        <f t="shared" si="4"/>
        <v>690001</v>
      </c>
      <c r="AQ26" s="120"/>
      <c r="AR26" s="121"/>
    </row>
    <row r="27" spans="1:44" s="12" customFormat="1" ht="12.75">
      <c r="A27" s="16" t="s">
        <v>87</v>
      </c>
      <c r="B27" s="48" t="s">
        <v>104</v>
      </c>
      <c r="C27" s="104">
        <v>35607612</v>
      </c>
      <c r="D27" s="108">
        <v>2967301</v>
      </c>
      <c r="E27" s="108">
        <v>2967302</v>
      </c>
      <c r="F27" s="108">
        <v>1483650</v>
      </c>
      <c r="G27" s="108"/>
      <c r="H27" s="104"/>
      <c r="I27" s="104"/>
      <c r="J27" s="104"/>
      <c r="K27" s="104"/>
      <c r="L27" s="104"/>
      <c r="M27" s="104"/>
      <c r="N27" s="104"/>
      <c r="O27" s="104"/>
      <c r="P27" s="110">
        <f t="shared" si="2"/>
        <v>7418253</v>
      </c>
      <c r="Q27" s="108">
        <v>2967301</v>
      </c>
      <c r="R27" s="108">
        <v>2967302</v>
      </c>
      <c r="S27" s="108">
        <v>1483650</v>
      </c>
      <c r="T27" s="108"/>
      <c r="U27" s="104"/>
      <c r="V27" s="104"/>
      <c r="W27" s="104"/>
      <c r="X27" s="104"/>
      <c r="Y27" s="104"/>
      <c r="Z27" s="104"/>
      <c r="AA27" s="104"/>
      <c r="AB27" s="104"/>
      <c r="AC27" s="110">
        <f t="shared" si="3"/>
        <v>7418253</v>
      </c>
      <c r="AD27" s="108">
        <v>2967301</v>
      </c>
      <c r="AE27" s="108">
        <v>2967302</v>
      </c>
      <c r="AF27" s="108">
        <v>1483650</v>
      </c>
      <c r="AG27" s="108"/>
      <c r="AH27" s="104"/>
      <c r="AI27" s="104"/>
      <c r="AJ27" s="104"/>
      <c r="AK27" s="104"/>
      <c r="AL27" s="104"/>
      <c r="AM27" s="104"/>
      <c r="AN27" s="104"/>
      <c r="AO27" s="104"/>
      <c r="AP27" s="115">
        <f t="shared" si="4"/>
        <v>7418253</v>
      </c>
      <c r="AQ27" s="120"/>
      <c r="AR27" s="121"/>
    </row>
    <row r="28" spans="1:44" s="12" customFormat="1" ht="12.75">
      <c r="A28" s="16" t="s">
        <v>89</v>
      </c>
      <c r="B28" s="48" t="s">
        <v>88</v>
      </c>
      <c r="C28" s="104">
        <f>233914744+34500000</f>
        <v>268414744</v>
      </c>
      <c r="D28" s="108">
        <v>16933713</v>
      </c>
      <c r="E28" s="108">
        <v>22027686</v>
      </c>
      <c r="F28" s="108">
        <v>20838473</v>
      </c>
      <c r="G28" s="108"/>
      <c r="H28" s="104"/>
      <c r="I28" s="104"/>
      <c r="J28" s="104"/>
      <c r="K28" s="104"/>
      <c r="L28" s="104"/>
      <c r="M28" s="104"/>
      <c r="N28" s="104"/>
      <c r="O28" s="104"/>
      <c r="P28" s="110">
        <f t="shared" si="2"/>
        <v>59799872</v>
      </c>
      <c r="Q28" s="108">
        <v>16933713</v>
      </c>
      <c r="R28" s="108">
        <v>22027686</v>
      </c>
      <c r="S28" s="108">
        <v>20838473</v>
      </c>
      <c r="T28" s="108"/>
      <c r="U28" s="104"/>
      <c r="V28" s="104"/>
      <c r="W28" s="104"/>
      <c r="X28" s="104"/>
      <c r="Y28" s="104"/>
      <c r="Z28" s="104"/>
      <c r="AA28" s="104"/>
      <c r="AB28" s="104"/>
      <c r="AC28" s="110">
        <f t="shared" si="3"/>
        <v>59799872</v>
      </c>
      <c r="AD28" s="108">
        <v>16933713</v>
      </c>
      <c r="AE28" s="108">
        <v>22027686</v>
      </c>
      <c r="AF28" s="108">
        <v>20838473</v>
      </c>
      <c r="AG28" s="108"/>
      <c r="AH28" s="104"/>
      <c r="AI28" s="104"/>
      <c r="AJ28" s="104"/>
      <c r="AK28" s="104"/>
      <c r="AL28" s="104"/>
      <c r="AM28" s="104"/>
      <c r="AN28" s="104"/>
      <c r="AO28" s="104"/>
      <c r="AP28" s="115">
        <f t="shared" si="4"/>
        <v>59799872</v>
      </c>
      <c r="AQ28" s="120"/>
      <c r="AR28" s="121"/>
    </row>
    <row r="29" spans="1:44" s="12" customFormat="1" ht="12.75">
      <c r="A29" s="16" t="s">
        <v>91</v>
      </c>
      <c r="B29" s="48" t="s">
        <v>64</v>
      </c>
      <c r="C29" s="104">
        <v>35607612</v>
      </c>
      <c r="D29" s="108">
        <v>0</v>
      </c>
      <c r="E29" s="108">
        <v>0</v>
      </c>
      <c r="F29" s="108">
        <v>0</v>
      </c>
      <c r="G29" s="108"/>
      <c r="H29" s="104"/>
      <c r="I29" s="104"/>
      <c r="J29" s="104"/>
      <c r="K29" s="104"/>
      <c r="L29" s="104"/>
      <c r="M29" s="104"/>
      <c r="N29" s="104"/>
      <c r="O29" s="104"/>
      <c r="P29" s="110">
        <f t="shared" si="2"/>
        <v>0</v>
      </c>
      <c r="Q29" s="108">
        <v>0</v>
      </c>
      <c r="R29" s="108">
        <v>0</v>
      </c>
      <c r="S29" s="108">
        <v>0</v>
      </c>
      <c r="T29" s="108"/>
      <c r="U29" s="104"/>
      <c r="V29" s="104"/>
      <c r="W29" s="104"/>
      <c r="X29" s="104"/>
      <c r="Y29" s="104"/>
      <c r="Z29" s="104"/>
      <c r="AA29" s="104"/>
      <c r="AB29" s="104"/>
      <c r="AC29" s="110">
        <f t="shared" si="3"/>
        <v>0</v>
      </c>
      <c r="AD29" s="108">
        <v>0</v>
      </c>
      <c r="AE29" s="108">
        <v>0</v>
      </c>
      <c r="AF29" s="108">
        <v>0</v>
      </c>
      <c r="AG29" s="108"/>
      <c r="AH29" s="104"/>
      <c r="AI29" s="104"/>
      <c r="AJ29" s="104"/>
      <c r="AK29" s="104"/>
      <c r="AL29" s="104"/>
      <c r="AM29" s="104"/>
      <c r="AN29" s="104"/>
      <c r="AO29" s="104"/>
      <c r="AP29" s="115">
        <f t="shared" si="4"/>
        <v>0</v>
      </c>
      <c r="AQ29" s="121"/>
      <c r="AR29" s="121"/>
    </row>
    <row r="30" spans="1:44" s="12" customFormat="1" ht="12.75">
      <c r="A30" s="16" t="s">
        <v>92</v>
      </c>
      <c r="B30" s="48" t="s">
        <v>65</v>
      </c>
      <c r="C30" s="104">
        <v>42452800</v>
      </c>
      <c r="D30" s="108">
        <v>0</v>
      </c>
      <c r="E30" s="108">
        <v>3685356</v>
      </c>
      <c r="F30" s="108">
        <v>4244858</v>
      </c>
      <c r="G30" s="108"/>
      <c r="H30" s="104"/>
      <c r="I30" s="104"/>
      <c r="J30" s="104"/>
      <c r="K30" s="104"/>
      <c r="L30" s="104"/>
      <c r="M30" s="104"/>
      <c r="N30" s="104"/>
      <c r="O30" s="104"/>
      <c r="P30" s="110">
        <f t="shared" si="2"/>
        <v>7930214</v>
      </c>
      <c r="Q30" s="108">
        <v>0</v>
      </c>
      <c r="R30" s="108">
        <v>3685356</v>
      </c>
      <c r="S30" s="108">
        <v>4244858</v>
      </c>
      <c r="T30" s="108"/>
      <c r="U30" s="104"/>
      <c r="V30" s="104"/>
      <c r="W30" s="104"/>
      <c r="X30" s="104"/>
      <c r="Y30" s="104"/>
      <c r="Z30" s="104"/>
      <c r="AA30" s="104"/>
      <c r="AB30" s="104"/>
      <c r="AC30" s="110">
        <f t="shared" si="3"/>
        <v>7930214</v>
      </c>
      <c r="AD30" s="108">
        <v>0</v>
      </c>
      <c r="AE30" s="108">
        <v>3685356</v>
      </c>
      <c r="AF30" s="108">
        <v>4244858</v>
      </c>
      <c r="AG30" s="108"/>
      <c r="AH30" s="104"/>
      <c r="AI30" s="104"/>
      <c r="AJ30" s="104"/>
      <c r="AK30" s="104"/>
      <c r="AL30" s="104"/>
      <c r="AM30" s="104"/>
      <c r="AN30" s="104"/>
      <c r="AO30" s="104"/>
      <c r="AP30" s="115">
        <f t="shared" si="4"/>
        <v>7930214</v>
      </c>
      <c r="AQ30" s="121"/>
      <c r="AR30" s="121"/>
    </row>
    <row r="31" spans="1:42" s="12" customFormat="1" ht="12.75">
      <c r="A31" s="16" t="s">
        <v>93</v>
      </c>
      <c r="B31" s="48" t="s">
        <v>66</v>
      </c>
      <c r="C31" s="104">
        <v>0</v>
      </c>
      <c r="D31" s="108">
        <v>0</v>
      </c>
      <c r="E31" s="108">
        <v>0</v>
      </c>
      <c r="F31" s="108">
        <v>0</v>
      </c>
      <c r="G31" s="108"/>
      <c r="H31" s="104"/>
      <c r="I31" s="104"/>
      <c r="J31" s="104"/>
      <c r="K31" s="104"/>
      <c r="L31" s="104"/>
      <c r="M31" s="104"/>
      <c r="N31" s="104"/>
      <c r="O31" s="104"/>
      <c r="P31" s="110">
        <f t="shared" si="2"/>
        <v>0</v>
      </c>
      <c r="Q31" s="108">
        <v>0</v>
      </c>
      <c r="R31" s="108">
        <v>0</v>
      </c>
      <c r="S31" s="108">
        <v>0</v>
      </c>
      <c r="T31" s="108"/>
      <c r="U31" s="104"/>
      <c r="V31" s="104"/>
      <c r="W31" s="104"/>
      <c r="X31" s="104"/>
      <c r="Y31" s="104"/>
      <c r="Z31" s="104"/>
      <c r="AA31" s="104"/>
      <c r="AB31" s="104"/>
      <c r="AC31" s="110">
        <f t="shared" si="3"/>
        <v>0</v>
      </c>
      <c r="AD31" s="108">
        <v>0</v>
      </c>
      <c r="AE31" s="108">
        <v>0</v>
      </c>
      <c r="AF31" s="108">
        <v>0</v>
      </c>
      <c r="AG31" s="108"/>
      <c r="AH31" s="104"/>
      <c r="AI31" s="104"/>
      <c r="AJ31" s="104"/>
      <c r="AK31" s="104"/>
      <c r="AL31" s="104"/>
      <c r="AM31" s="104"/>
      <c r="AN31" s="104"/>
      <c r="AO31" s="104"/>
      <c r="AP31" s="115">
        <f t="shared" si="4"/>
        <v>0</v>
      </c>
    </row>
    <row r="32" spans="1:42" s="12" customFormat="1" ht="12.75">
      <c r="A32" s="16" t="s">
        <v>94</v>
      </c>
      <c r="B32" s="40" t="s">
        <v>51</v>
      </c>
      <c r="C32" s="104">
        <v>50000000</v>
      </c>
      <c r="D32" s="108">
        <v>17222609</v>
      </c>
      <c r="E32" s="108">
        <v>1482414</v>
      </c>
      <c r="F32" s="108">
        <v>3279034</v>
      </c>
      <c r="G32" s="108"/>
      <c r="H32" s="104"/>
      <c r="I32" s="104"/>
      <c r="J32" s="104"/>
      <c r="K32" s="104"/>
      <c r="L32" s="104"/>
      <c r="M32" s="104"/>
      <c r="N32" s="104"/>
      <c r="O32" s="104"/>
      <c r="P32" s="110">
        <f t="shared" si="2"/>
        <v>21984057</v>
      </c>
      <c r="Q32" s="108">
        <v>17222609</v>
      </c>
      <c r="R32" s="108">
        <v>1482414</v>
      </c>
      <c r="S32" s="108">
        <v>3279034</v>
      </c>
      <c r="T32" s="108"/>
      <c r="U32" s="104"/>
      <c r="V32" s="104"/>
      <c r="W32" s="104"/>
      <c r="X32" s="104"/>
      <c r="Y32" s="104"/>
      <c r="Z32" s="104"/>
      <c r="AA32" s="104"/>
      <c r="AB32" s="104"/>
      <c r="AC32" s="110">
        <f t="shared" si="3"/>
        <v>21984057</v>
      </c>
      <c r="AD32" s="108">
        <v>17222609</v>
      </c>
      <c r="AE32" s="108">
        <v>1482414</v>
      </c>
      <c r="AF32" s="108">
        <v>3279034</v>
      </c>
      <c r="AG32" s="108"/>
      <c r="AH32" s="104"/>
      <c r="AI32" s="104"/>
      <c r="AJ32" s="104"/>
      <c r="AK32" s="104"/>
      <c r="AL32" s="104"/>
      <c r="AM32" s="104"/>
      <c r="AN32" s="104"/>
      <c r="AO32" s="104"/>
      <c r="AP32" s="115">
        <f t="shared" si="4"/>
        <v>21984057</v>
      </c>
    </row>
    <row r="33" spans="1:42" s="12" customFormat="1" ht="12.75">
      <c r="A33" s="16" t="s">
        <v>95</v>
      </c>
      <c r="B33" s="40" t="s">
        <v>67</v>
      </c>
      <c r="C33" s="116">
        <f>6004136200-600000000-450000000</f>
        <v>4954136200</v>
      </c>
      <c r="D33" s="108">
        <v>2934741143</v>
      </c>
      <c r="E33" s="108">
        <f>133253868+4640792+4200000+13592673+7825782+8124639</f>
        <v>171637754</v>
      </c>
      <c r="F33" s="108">
        <v>1156136648.3</v>
      </c>
      <c r="G33" s="108"/>
      <c r="H33" s="104"/>
      <c r="I33" s="104"/>
      <c r="J33" s="104"/>
      <c r="K33" s="104"/>
      <c r="L33" s="104"/>
      <c r="M33" s="104"/>
      <c r="N33" s="104"/>
      <c r="O33" s="104"/>
      <c r="P33" s="110">
        <f t="shared" si="2"/>
        <v>4262515545.3</v>
      </c>
      <c r="Q33" s="108">
        <v>0</v>
      </c>
      <c r="R33" s="108">
        <f>588047875+4512458+3620370+2320936+7521919+1027555</f>
        <v>607051113</v>
      </c>
      <c r="S33" s="108">
        <f>1023040315+4512458+7020344+6851827+13618440+5308880</f>
        <v>1060352264</v>
      </c>
      <c r="T33" s="108"/>
      <c r="U33" s="104"/>
      <c r="V33" s="104"/>
      <c r="W33" s="104"/>
      <c r="X33" s="104"/>
      <c r="Y33" s="104"/>
      <c r="Z33" s="104"/>
      <c r="AA33" s="104"/>
      <c r="AB33" s="104"/>
      <c r="AC33" s="110">
        <f t="shared" si="3"/>
        <v>1667403377</v>
      </c>
      <c r="AD33" s="108">
        <v>0</v>
      </c>
      <c r="AE33" s="108">
        <f>4512458+554611508+3620370+2320936+7521919+1027555</f>
        <v>573614746</v>
      </c>
      <c r="AF33" s="108">
        <f>1019308430+4512458+7020344+6851827+13618440+5308880</f>
        <v>1056620379</v>
      </c>
      <c r="AG33" s="108"/>
      <c r="AH33" s="104"/>
      <c r="AI33" s="104"/>
      <c r="AJ33" s="104"/>
      <c r="AK33" s="104"/>
      <c r="AL33" s="104"/>
      <c r="AM33" s="104"/>
      <c r="AN33" s="104"/>
      <c r="AO33" s="104"/>
      <c r="AP33" s="115">
        <f t="shared" si="4"/>
        <v>1630235125</v>
      </c>
    </row>
    <row r="34" spans="1:42" s="12" customFormat="1" ht="12.75">
      <c r="A34" s="16" t="s">
        <v>96</v>
      </c>
      <c r="B34" s="40" t="s">
        <v>68</v>
      </c>
      <c r="C34" s="116">
        <f>386090800+600000000+450000000</f>
        <v>1436090800</v>
      </c>
      <c r="D34" s="108">
        <v>626205676</v>
      </c>
      <c r="E34" s="108">
        <f>14594667+2952390+16394434+51071160+21475615+12366780+44256179</f>
        <v>163111225</v>
      </c>
      <c r="F34" s="108">
        <v>278073807</v>
      </c>
      <c r="G34" s="108"/>
      <c r="H34" s="104"/>
      <c r="I34" s="104"/>
      <c r="J34" s="104"/>
      <c r="K34" s="104"/>
      <c r="L34" s="104"/>
      <c r="M34" s="104"/>
      <c r="N34" s="104"/>
      <c r="O34" s="104"/>
      <c r="P34" s="110">
        <f t="shared" si="2"/>
        <v>1067390708</v>
      </c>
      <c r="Q34" s="108">
        <v>0</v>
      </c>
      <c r="R34" s="108">
        <f>97374232+18949816+9944557+12491270+8666436+4978296+13078075</f>
        <v>165482682</v>
      </c>
      <c r="S34" s="108">
        <f>135136650+17923442+16429101+29662451+17090476+15355203+53916773</f>
        <v>285514096</v>
      </c>
      <c r="T34" s="108"/>
      <c r="U34" s="104"/>
      <c r="V34" s="104"/>
      <c r="W34" s="104"/>
      <c r="X34" s="104"/>
      <c r="Y34" s="104"/>
      <c r="Z34" s="104"/>
      <c r="AA34" s="104"/>
      <c r="AB34" s="104"/>
      <c r="AC34" s="110">
        <f t="shared" si="3"/>
        <v>450996778</v>
      </c>
      <c r="AD34" s="108">
        <v>0</v>
      </c>
      <c r="AE34" s="108">
        <f>94234874+18949816+9944557+10278325+8666436+4978296+13078075</f>
        <v>160130379</v>
      </c>
      <c r="AF34" s="108">
        <f>134893257+17923442+6484544+31875396+17090476+15355203+53916773</f>
        <v>277539091</v>
      </c>
      <c r="AG34" s="108"/>
      <c r="AH34" s="104"/>
      <c r="AI34" s="104"/>
      <c r="AJ34" s="104"/>
      <c r="AK34" s="104"/>
      <c r="AL34" s="104"/>
      <c r="AM34" s="104"/>
      <c r="AN34" s="104"/>
      <c r="AO34" s="104"/>
      <c r="AP34" s="115">
        <f t="shared" si="4"/>
        <v>437669470</v>
      </c>
    </row>
    <row r="35" spans="1:42" s="12" customFormat="1" ht="12.75">
      <c r="A35" s="16" t="s">
        <v>97</v>
      </c>
      <c r="B35" s="40" t="s">
        <v>98</v>
      </c>
      <c r="C35" s="104">
        <v>2071454051</v>
      </c>
      <c r="D35" s="108">
        <v>157461084</v>
      </c>
      <c r="E35" s="108">
        <v>150426669</v>
      </c>
      <c r="F35" s="108">
        <v>149738047</v>
      </c>
      <c r="G35" s="108"/>
      <c r="H35" s="104"/>
      <c r="I35" s="104"/>
      <c r="J35" s="104"/>
      <c r="K35" s="104"/>
      <c r="L35" s="104"/>
      <c r="M35" s="104"/>
      <c r="N35" s="104"/>
      <c r="O35" s="104"/>
      <c r="P35" s="110">
        <f t="shared" si="2"/>
        <v>457625800</v>
      </c>
      <c r="Q35" s="108">
        <v>157461084</v>
      </c>
      <c r="R35" s="108">
        <v>150426669</v>
      </c>
      <c r="S35" s="108">
        <v>149738047</v>
      </c>
      <c r="T35" s="108"/>
      <c r="U35" s="104"/>
      <c r="V35" s="119"/>
      <c r="W35" s="104"/>
      <c r="X35" s="104"/>
      <c r="Y35" s="104"/>
      <c r="Z35" s="104"/>
      <c r="AA35" s="104"/>
      <c r="AB35" s="104"/>
      <c r="AC35" s="110">
        <f t="shared" si="3"/>
        <v>457625800</v>
      </c>
      <c r="AD35" s="108">
        <v>157461084</v>
      </c>
      <c r="AE35" s="108">
        <v>150426669</v>
      </c>
      <c r="AF35" s="108">
        <v>143200</v>
      </c>
      <c r="AG35" s="108"/>
      <c r="AH35" s="104"/>
      <c r="AI35" s="104"/>
      <c r="AJ35" s="104"/>
      <c r="AK35" s="104"/>
      <c r="AL35" s="104"/>
      <c r="AM35" s="104"/>
      <c r="AN35" s="104"/>
      <c r="AO35" s="104"/>
      <c r="AP35" s="115">
        <f t="shared" si="4"/>
        <v>308030953</v>
      </c>
    </row>
    <row r="36" spans="1:42" s="12" customFormat="1" ht="12.75">
      <c r="A36" s="16" t="s">
        <v>99</v>
      </c>
      <c r="B36" s="40" t="s">
        <v>69</v>
      </c>
      <c r="C36" s="104">
        <v>2015136111</v>
      </c>
      <c r="D36" s="108">
        <v>151506523</v>
      </c>
      <c r="E36" s="108">
        <v>159654156</v>
      </c>
      <c r="F36" s="108">
        <v>153634664</v>
      </c>
      <c r="G36" s="108"/>
      <c r="H36" s="104"/>
      <c r="I36" s="104"/>
      <c r="J36" s="104"/>
      <c r="K36" s="104"/>
      <c r="L36" s="104"/>
      <c r="M36" s="104"/>
      <c r="N36" s="104"/>
      <c r="O36" s="104"/>
      <c r="P36" s="110">
        <f t="shared" si="2"/>
        <v>464795343</v>
      </c>
      <c r="Q36" s="108">
        <v>151506523</v>
      </c>
      <c r="R36" s="108">
        <v>159654156</v>
      </c>
      <c r="S36" s="108">
        <v>153634664</v>
      </c>
      <c r="T36" s="108"/>
      <c r="U36" s="104"/>
      <c r="V36" s="104"/>
      <c r="W36" s="104"/>
      <c r="X36" s="104"/>
      <c r="Y36" s="104"/>
      <c r="Z36" s="104"/>
      <c r="AA36" s="104"/>
      <c r="AB36" s="104"/>
      <c r="AC36" s="110">
        <f t="shared" si="3"/>
        <v>464795343</v>
      </c>
      <c r="AD36" s="108">
        <v>72199100</v>
      </c>
      <c r="AE36" s="108">
        <v>157267459</v>
      </c>
      <c r="AF36" s="108">
        <v>82146364</v>
      </c>
      <c r="AG36" s="108"/>
      <c r="AH36" s="104"/>
      <c r="AI36" s="104"/>
      <c r="AJ36" s="104"/>
      <c r="AK36" s="104"/>
      <c r="AL36" s="104"/>
      <c r="AM36" s="104"/>
      <c r="AN36" s="104"/>
      <c r="AO36" s="104"/>
      <c r="AP36" s="115">
        <f t="shared" si="4"/>
        <v>311612923</v>
      </c>
    </row>
    <row r="37" spans="1:42" s="12" customFormat="1" ht="12.75">
      <c r="A37" s="16" t="s">
        <v>100</v>
      </c>
      <c r="B37" s="40" t="s">
        <v>70</v>
      </c>
      <c r="C37" s="104">
        <v>389175848</v>
      </c>
      <c r="D37" s="108">
        <v>28458100</v>
      </c>
      <c r="E37" s="108">
        <v>29259900</v>
      </c>
      <c r="F37" s="108">
        <v>28573800</v>
      </c>
      <c r="G37" s="108"/>
      <c r="H37" s="104"/>
      <c r="I37" s="104"/>
      <c r="J37" s="104"/>
      <c r="K37" s="104"/>
      <c r="L37" s="104"/>
      <c r="M37" s="104"/>
      <c r="N37" s="104"/>
      <c r="O37" s="104"/>
      <c r="P37" s="110">
        <f t="shared" si="2"/>
        <v>86291800</v>
      </c>
      <c r="Q37" s="108">
        <v>28458100</v>
      </c>
      <c r="R37" s="108">
        <v>29259900</v>
      </c>
      <c r="S37" s="108">
        <v>28573800</v>
      </c>
      <c r="T37" s="108"/>
      <c r="U37" s="104"/>
      <c r="V37" s="104"/>
      <c r="W37" s="104"/>
      <c r="X37" s="104"/>
      <c r="Y37" s="104"/>
      <c r="Z37" s="104"/>
      <c r="AA37" s="104"/>
      <c r="AB37" s="104"/>
      <c r="AC37" s="110">
        <f t="shared" si="3"/>
        <v>86291800</v>
      </c>
      <c r="AD37" s="108">
        <v>28458100</v>
      </c>
      <c r="AE37" s="108">
        <v>29259900</v>
      </c>
      <c r="AF37" s="108">
        <v>12300</v>
      </c>
      <c r="AG37" s="108"/>
      <c r="AH37" s="104"/>
      <c r="AI37" s="104"/>
      <c r="AJ37" s="104"/>
      <c r="AK37" s="104"/>
      <c r="AL37" s="104"/>
      <c r="AM37" s="104"/>
      <c r="AN37" s="104"/>
      <c r="AO37" s="104"/>
      <c r="AP37" s="115">
        <f t="shared" si="4"/>
        <v>57730300</v>
      </c>
    </row>
    <row r="38" spans="1:42" s="12" customFormat="1" ht="12.75">
      <c r="A38" s="16" t="s">
        <v>101</v>
      </c>
      <c r="B38" s="40" t="s">
        <v>71</v>
      </c>
      <c r="C38" s="104">
        <v>64862639</v>
      </c>
      <c r="D38" s="108">
        <v>4742400</v>
      </c>
      <c r="E38" s="108">
        <v>4873100</v>
      </c>
      <c r="F38" s="108">
        <v>4760100</v>
      </c>
      <c r="G38" s="108"/>
      <c r="H38" s="104"/>
      <c r="I38" s="104"/>
      <c r="J38" s="104"/>
      <c r="K38" s="104"/>
      <c r="L38" s="104"/>
      <c r="M38" s="104"/>
      <c r="N38" s="104"/>
      <c r="O38" s="104"/>
      <c r="P38" s="110">
        <f t="shared" si="2"/>
        <v>14375600</v>
      </c>
      <c r="Q38" s="108">
        <v>4742400</v>
      </c>
      <c r="R38" s="108">
        <v>4873100</v>
      </c>
      <c r="S38" s="108">
        <v>4760100</v>
      </c>
      <c r="T38" s="108"/>
      <c r="U38" s="104"/>
      <c r="V38" s="104"/>
      <c r="W38" s="104"/>
      <c r="X38" s="104"/>
      <c r="Y38" s="104"/>
      <c r="Z38" s="104"/>
      <c r="AA38" s="104"/>
      <c r="AB38" s="104"/>
      <c r="AC38" s="110">
        <f t="shared" si="3"/>
        <v>14375600</v>
      </c>
      <c r="AD38" s="108">
        <v>4742400</v>
      </c>
      <c r="AE38" s="108">
        <v>4873100</v>
      </c>
      <c r="AF38" s="108">
        <v>2100</v>
      </c>
      <c r="AG38" s="108"/>
      <c r="AH38" s="104"/>
      <c r="AI38" s="104"/>
      <c r="AJ38" s="104"/>
      <c r="AK38" s="104"/>
      <c r="AL38" s="104"/>
      <c r="AM38" s="104"/>
      <c r="AN38" s="104"/>
      <c r="AO38" s="104"/>
      <c r="AP38" s="115">
        <f t="shared" si="4"/>
        <v>9617600</v>
      </c>
    </row>
    <row r="39" spans="1:42" s="12" customFormat="1" ht="12.75">
      <c r="A39" s="16" t="s">
        <v>102</v>
      </c>
      <c r="B39" s="40" t="s">
        <v>72</v>
      </c>
      <c r="C39" s="104">
        <v>64862639</v>
      </c>
      <c r="D39" s="108">
        <v>4741700</v>
      </c>
      <c r="E39" s="108">
        <v>4873100</v>
      </c>
      <c r="F39" s="108">
        <v>4760100</v>
      </c>
      <c r="G39" s="108"/>
      <c r="H39" s="104"/>
      <c r="I39" s="104"/>
      <c r="J39" s="104"/>
      <c r="K39" s="104"/>
      <c r="L39" s="104"/>
      <c r="M39" s="104"/>
      <c r="N39" s="104"/>
      <c r="O39" s="104"/>
      <c r="P39" s="110">
        <f t="shared" si="2"/>
        <v>14374900</v>
      </c>
      <c r="Q39" s="108">
        <v>4741700</v>
      </c>
      <c r="R39" s="108">
        <v>4873100</v>
      </c>
      <c r="S39" s="108">
        <v>4760100</v>
      </c>
      <c r="T39" s="108"/>
      <c r="U39" s="104"/>
      <c r="V39" s="104"/>
      <c r="W39" s="104"/>
      <c r="X39" s="104"/>
      <c r="Y39" s="104"/>
      <c r="Z39" s="104"/>
      <c r="AA39" s="104"/>
      <c r="AB39" s="104"/>
      <c r="AC39" s="110">
        <f t="shared" si="3"/>
        <v>14374900</v>
      </c>
      <c r="AD39" s="108">
        <v>4741700</v>
      </c>
      <c r="AE39" s="108">
        <v>4873100</v>
      </c>
      <c r="AF39" s="108">
        <v>2100</v>
      </c>
      <c r="AG39" s="108"/>
      <c r="AH39" s="104"/>
      <c r="AI39" s="104"/>
      <c r="AJ39" s="104"/>
      <c r="AK39" s="104"/>
      <c r="AL39" s="104"/>
      <c r="AM39" s="104"/>
      <c r="AN39" s="104"/>
      <c r="AO39" s="104"/>
      <c r="AP39" s="115">
        <f t="shared" si="4"/>
        <v>9616900</v>
      </c>
    </row>
    <row r="40" spans="1:42" s="12" customFormat="1" ht="13.5" thickBot="1">
      <c r="A40" s="16" t="s">
        <v>103</v>
      </c>
      <c r="B40" s="40" t="s">
        <v>73</v>
      </c>
      <c r="C40" s="49">
        <v>129725287</v>
      </c>
      <c r="D40" s="105">
        <v>9484200</v>
      </c>
      <c r="E40" s="105">
        <v>9752700</v>
      </c>
      <c r="F40" s="105">
        <v>9524500</v>
      </c>
      <c r="G40" s="105"/>
      <c r="H40" s="49"/>
      <c r="I40" s="49"/>
      <c r="J40" s="49"/>
      <c r="K40" s="49"/>
      <c r="L40" s="49"/>
      <c r="M40" s="49"/>
      <c r="N40" s="49"/>
      <c r="O40" s="49"/>
      <c r="P40" s="45">
        <f t="shared" si="2"/>
        <v>28761400</v>
      </c>
      <c r="Q40" s="105">
        <v>9484200</v>
      </c>
      <c r="R40" s="105">
        <v>9752700</v>
      </c>
      <c r="S40" s="105">
        <v>9524500</v>
      </c>
      <c r="T40" s="105"/>
      <c r="U40" s="49"/>
      <c r="V40" s="49"/>
      <c r="W40" s="49"/>
      <c r="X40" s="49"/>
      <c r="Y40" s="49"/>
      <c r="Z40" s="49"/>
      <c r="AA40" s="49"/>
      <c r="AB40" s="49"/>
      <c r="AC40" s="45">
        <f t="shared" si="3"/>
        <v>28761400</v>
      </c>
      <c r="AD40" s="105">
        <v>9484200</v>
      </c>
      <c r="AE40" s="105">
        <v>9752700</v>
      </c>
      <c r="AF40" s="105">
        <v>4100</v>
      </c>
      <c r="AG40" s="105"/>
      <c r="AH40" s="49"/>
      <c r="AI40" s="49"/>
      <c r="AJ40" s="49"/>
      <c r="AK40" s="49"/>
      <c r="AL40" s="49"/>
      <c r="AM40" s="49"/>
      <c r="AN40" s="49"/>
      <c r="AO40" s="49"/>
      <c r="AP40" s="113">
        <f t="shared" si="4"/>
        <v>19241000</v>
      </c>
    </row>
    <row r="41" spans="1:43" s="14" customFormat="1" ht="13.5" thickBot="1">
      <c r="A41" s="21"/>
      <c r="B41" s="46" t="s">
        <v>43</v>
      </c>
      <c r="C41" s="47">
        <f aca="true" t="shared" si="5" ref="C41:AP41">SUM(C42:C53)</f>
        <v>3177262125</v>
      </c>
      <c r="D41" s="47">
        <f t="shared" si="5"/>
        <v>1097291595</v>
      </c>
      <c r="E41" s="47">
        <f t="shared" si="5"/>
        <v>259359710</v>
      </c>
      <c r="F41" s="47">
        <f t="shared" si="5"/>
        <v>618337946</v>
      </c>
      <c r="G41" s="47">
        <f t="shared" si="5"/>
        <v>0</v>
      </c>
      <c r="H41" s="47">
        <f t="shared" si="5"/>
        <v>0</v>
      </c>
      <c r="I41" s="47">
        <f t="shared" si="5"/>
        <v>0</v>
      </c>
      <c r="J41" s="47">
        <f t="shared" si="5"/>
        <v>0</v>
      </c>
      <c r="K41" s="47">
        <f t="shared" si="5"/>
        <v>0</v>
      </c>
      <c r="L41" s="47">
        <f t="shared" si="5"/>
        <v>0</v>
      </c>
      <c r="M41" s="47">
        <f t="shared" si="5"/>
        <v>0</v>
      </c>
      <c r="N41" s="47">
        <f t="shared" si="5"/>
        <v>0</v>
      </c>
      <c r="O41" s="47">
        <f t="shared" si="5"/>
        <v>0</v>
      </c>
      <c r="P41" s="47">
        <f t="shared" si="5"/>
        <v>1974989251</v>
      </c>
      <c r="Q41" s="47">
        <f t="shared" si="5"/>
        <v>40769256</v>
      </c>
      <c r="R41" s="47">
        <f t="shared" si="5"/>
        <v>646686999</v>
      </c>
      <c r="S41" s="47">
        <f t="shared" si="5"/>
        <v>191632400</v>
      </c>
      <c r="T41" s="47">
        <f t="shared" si="5"/>
        <v>0</v>
      </c>
      <c r="U41" s="47">
        <f t="shared" si="5"/>
        <v>0</v>
      </c>
      <c r="V41" s="47">
        <f t="shared" si="5"/>
        <v>0</v>
      </c>
      <c r="W41" s="47">
        <f t="shared" si="5"/>
        <v>0</v>
      </c>
      <c r="X41" s="47">
        <f t="shared" si="5"/>
        <v>0</v>
      </c>
      <c r="Y41" s="47">
        <f t="shared" si="5"/>
        <v>0</v>
      </c>
      <c r="Z41" s="47">
        <f t="shared" si="5"/>
        <v>0</v>
      </c>
      <c r="AA41" s="47">
        <f t="shared" si="5"/>
        <v>0</v>
      </c>
      <c r="AB41" s="47">
        <f t="shared" si="5"/>
        <v>0</v>
      </c>
      <c r="AC41" s="47">
        <f t="shared" si="5"/>
        <v>879088655</v>
      </c>
      <c r="AD41" s="47">
        <f t="shared" si="5"/>
        <v>23284471</v>
      </c>
      <c r="AE41" s="47">
        <f t="shared" si="5"/>
        <v>664171784</v>
      </c>
      <c r="AF41" s="47">
        <f t="shared" si="5"/>
        <v>191632400</v>
      </c>
      <c r="AG41" s="47">
        <f t="shared" si="5"/>
        <v>0</v>
      </c>
      <c r="AH41" s="47">
        <f t="shared" si="5"/>
        <v>0</v>
      </c>
      <c r="AI41" s="47">
        <f t="shared" si="5"/>
        <v>0</v>
      </c>
      <c r="AJ41" s="47">
        <f t="shared" si="5"/>
        <v>0</v>
      </c>
      <c r="AK41" s="47">
        <f t="shared" si="5"/>
        <v>0</v>
      </c>
      <c r="AL41" s="47">
        <f t="shared" si="5"/>
        <v>0</v>
      </c>
      <c r="AM41" s="47">
        <f t="shared" si="5"/>
        <v>0</v>
      </c>
      <c r="AN41" s="47">
        <f t="shared" si="5"/>
        <v>0</v>
      </c>
      <c r="AO41" s="47">
        <f t="shared" si="5"/>
        <v>0</v>
      </c>
      <c r="AP41" s="37">
        <f t="shared" si="5"/>
        <v>879088655</v>
      </c>
      <c r="AQ41" s="120"/>
    </row>
    <row r="42" spans="1:43" s="12" customFormat="1" ht="13.5" thickBot="1">
      <c r="A42" s="16" t="s">
        <v>163</v>
      </c>
      <c r="B42" s="48" t="s">
        <v>164</v>
      </c>
      <c r="C42" s="104">
        <v>0</v>
      </c>
      <c r="D42" s="104">
        <v>0</v>
      </c>
      <c r="E42" s="104"/>
      <c r="F42" s="108">
        <v>0</v>
      </c>
      <c r="G42" s="108"/>
      <c r="H42" s="108"/>
      <c r="I42" s="108"/>
      <c r="J42" s="108"/>
      <c r="K42" s="108"/>
      <c r="L42" s="108"/>
      <c r="M42" s="108"/>
      <c r="N42" s="108"/>
      <c r="O42" s="108"/>
      <c r="P42" s="71">
        <f t="shared" si="2"/>
        <v>0</v>
      </c>
      <c r="Q42" s="108">
        <v>0</v>
      </c>
      <c r="R42" s="104"/>
      <c r="S42" s="104">
        <v>0</v>
      </c>
      <c r="T42" s="104"/>
      <c r="U42" s="104"/>
      <c r="V42" s="104"/>
      <c r="W42" s="104"/>
      <c r="X42" s="104"/>
      <c r="Y42" s="104"/>
      <c r="Z42" s="104"/>
      <c r="AA42" s="104"/>
      <c r="AB42" s="108"/>
      <c r="AC42" s="110">
        <f aca="true" t="shared" si="6" ref="AC42:AC53">SUM(Q42:AB42)</f>
        <v>0</v>
      </c>
      <c r="AD42" s="108">
        <v>0</v>
      </c>
      <c r="AE42" s="108"/>
      <c r="AF42" s="108">
        <v>0</v>
      </c>
      <c r="AG42" s="108"/>
      <c r="AH42" s="108"/>
      <c r="AI42" s="108"/>
      <c r="AJ42" s="108"/>
      <c r="AK42" s="108"/>
      <c r="AL42" s="108"/>
      <c r="AM42" s="108"/>
      <c r="AN42" s="108"/>
      <c r="AO42" s="104"/>
      <c r="AP42" s="110">
        <f>SUM(AD42:AO42)</f>
        <v>0</v>
      </c>
      <c r="AQ42" s="120"/>
    </row>
    <row r="43" spans="1:43" s="12" customFormat="1" ht="12.75">
      <c r="A43" s="16" t="s">
        <v>149</v>
      </c>
      <c r="B43" s="48" t="s">
        <v>150</v>
      </c>
      <c r="C43" s="104">
        <v>0</v>
      </c>
      <c r="D43" s="104">
        <v>0</v>
      </c>
      <c r="E43" s="104"/>
      <c r="F43" s="108">
        <v>0</v>
      </c>
      <c r="G43" s="108"/>
      <c r="H43" s="108"/>
      <c r="I43" s="108"/>
      <c r="J43" s="108"/>
      <c r="K43" s="108"/>
      <c r="L43" s="108"/>
      <c r="M43" s="108"/>
      <c r="N43" s="108"/>
      <c r="O43" s="108"/>
      <c r="P43" s="71">
        <f>SUM(D43:O43)</f>
        <v>0</v>
      </c>
      <c r="Q43" s="108">
        <v>0</v>
      </c>
      <c r="R43" s="104"/>
      <c r="S43" s="104">
        <v>0</v>
      </c>
      <c r="T43" s="104"/>
      <c r="U43" s="104"/>
      <c r="V43" s="104"/>
      <c r="W43" s="104"/>
      <c r="X43" s="104"/>
      <c r="Y43" s="104"/>
      <c r="Z43" s="104"/>
      <c r="AA43" s="104"/>
      <c r="AB43" s="108"/>
      <c r="AC43" s="71">
        <f>SUM(Q43:AB43)</f>
        <v>0</v>
      </c>
      <c r="AD43" s="104">
        <v>0</v>
      </c>
      <c r="AE43" s="108"/>
      <c r="AF43" s="104">
        <v>0</v>
      </c>
      <c r="AG43" s="104"/>
      <c r="AH43" s="104"/>
      <c r="AI43" s="104"/>
      <c r="AJ43" s="104"/>
      <c r="AK43" s="104"/>
      <c r="AL43" s="104"/>
      <c r="AM43" s="104"/>
      <c r="AN43" s="104"/>
      <c r="AO43" s="104"/>
      <c r="AP43" s="72">
        <f>SUM(AD43:AO43)</f>
        <v>0</v>
      </c>
      <c r="AQ43" s="120"/>
    </row>
    <row r="44" spans="1:43" s="12" customFormat="1" ht="12.75">
      <c r="A44" s="16" t="s">
        <v>141</v>
      </c>
      <c r="B44" s="48" t="s">
        <v>106</v>
      </c>
      <c r="C44" s="116">
        <v>90000000</v>
      </c>
      <c r="D44" s="108">
        <v>0</v>
      </c>
      <c r="E44" s="104"/>
      <c r="F44" s="108">
        <v>0</v>
      </c>
      <c r="G44" s="108"/>
      <c r="H44" s="104"/>
      <c r="I44" s="104"/>
      <c r="J44" s="104"/>
      <c r="K44" s="104"/>
      <c r="L44" s="104"/>
      <c r="M44" s="104"/>
      <c r="N44" s="104"/>
      <c r="O44" s="104"/>
      <c r="P44" s="110">
        <f t="shared" si="2"/>
        <v>0</v>
      </c>
      <c r="Q44" s="108">
        <v>0</v>
      </c>
      <c r="R44" s="110"/>
      <c r="S44" s="108">
        <v>0</v>
      </c>
      <c r="T44" s="108"/>
      <c r="U44" s="104"/>
      <c r="V44" s="104"/>
      <c r="W44" s="104"/>
      <c r="X44" s="104"/>
      <c r="Y44" s="104"/>
      <c r="Z44" s="104"/>
      <c r="AA44" s="104"/>
      <c r="AB44" s="104"/>
      <c r="AC44" s="110">
        <f t="shared" si="6"/>
        <v>0</v>
      </c>
      <c r="AD44" s="104">
        <v>0</v>
      </c>
      <c r="AE44" s="109"/>
      <c r="AF44" s="104">
        <v>0</v>
      </c>
      <c r="AG44" s="108"/>
      <c r="AH44" s="104"/>
      <c r="AI44" s="104"/>
      <c r="AJ44" s="104"/>
      <c r="AK44" s="104"/>
      <c r="AL44" s="104"/>
      <c r="AM44" s="104"/>
      <c r="AN44" s="108"/>
      <c r="AO44" s="108"/>
      <c r="AP44" s="115">
        <f aca="true" t="shared" si="7" ref="AP44:AP53">SUM(AD44:AO44)</f>
        <v>0</v>
      </c>
      <c r="AQ44" s="120"/>
    </row>
    <row r="45" spans="1:43" s="12" customFormat="1" ht="12.75">
      <c r="A45" s="16" t="s">
        <v>111</v>
      </c>
      <c r="B45" s="48" t="s">
        <v>107</v>
      </c>
      <c r="C45" s="104">
        <v>1143967968</v>
      </c>
      <c r="D45" s="108">
        <v>260244998</v>
      </c>
      <c r="E45" s="104">
        <f>3037840+4266527</f>
        <v>7304367</v>
      </c>
      <c r="F45" s="108">
        <v>576619913</v>
      </c>
      <c r="G45" s="108"/>
      <c r="H45" s="104"/>
      <c r="I45" s="104"/>
      <c r="J45" s="104"/>
      <c r="K45" s="104"/>
      <c r="L45" s="104"/>
      <c r="M45" s="104"/>
      <c r="N45" s="104"/>
      <c r="O45" s="104"/>
      <c r="P45" s="110">
        <f t="shared" si="2"/>
        <v>844169278</v>
      </c>
      <c r="Q45" s="108">
        <v>17484785</v>
      </c>
      <c r="R45" s="104">
        <v>126681356</v>
      </c>
      <c r="S45" s="108">
        <f>94777427+775732</f>
        <v>95553159</v>
      </c>
      <c r="T45" s="108"/>
      <c r="U45" s="104"/>
      <c r="V45" s="104"/>
      <c r="W45" s="104"/>
      <c r="X45" s="104"/>
      <c r="Y45" s="104"/>
      <c r="Z45" s="104"/>
      <c r="AA45" s="104"/>
      <c r="AB45" s="104"/>
      <c r="AC45" s="110">
        <f t="shared" si="6"/>
        <v>239719300</v>
      </c>
      <c r="AD45" s="104">
        <v>0</v>
      </c>
      <c r="AE45" s="108">
        <v>144166141</v>
      </c>
      <c r="AF45" s="108">
        <f>94777427+775732</f>
        <v>95553159</v>
      </c>
      <c r="AG45" s="108"/>
      <c r="AH45" s="104"/>
      <c r="AI45" s="104"/>
      <c r="AJ45" s="104"/>
      <c r="AK45" s="104"/>
      <c r="AL45" s="104"/>
      <c r="AM45" s="104"/>
      <c r="AN45" s="104"/>
      <c r="AO45" s="108"/>
      <c r="AP45" s="115">
        <f t="shared" si="7"/>
        <v>239719300</v>
      </c>
      <c r="AQ45" s="120"/>
    </row>
    <row r="46" spans="1:43" s="12" customFormat="1" ht="12.75">
      <c r="A46" s="16" t="s">
        <v>168</v>
      </c>
      <c r="B46" s="48" t="s">
        <v>169</v>
      </c>
      <c r="C46" s="104">
        <v>3000000</v>
      </c>
      <c r="D46" s="108">
        <v>0</v>
      </c>
      <c r="E46" s="104"/>
      <c r="F46" s="108">
        <v>0</v>
      </c>
      <c r="G46" s="108"/>
      <c r="H46" s="104"/>
      <c r="I46" s="104"/>
      <c r="J46" s="104"/>
      <c r="K46" s="104"/>
      <c r="L46" s="104"/>
      <c r="M46" s="104"/>
      <c r="N46" s="104"/>
      <c r="O46" s="104"/>
      <c r="P46" s="110">
        <f>SUM(D46:O46)</f>
        <v>0</v>
      </c>
      <c r="Q46" s="108">
        <v>0</v>
      </c>
      <c r="R46" s="110"/>
      <c r="S46" s="108">
        <v>0</v>
      </c>
      <c r="T46" s="108"/>
      <c r="U46" s="104"/>
      <c r="V46" s="104"/>
      <c r="W46" s="104"/>
      <c r="X46" s="104"/>
      <c r="Y46" s="104"/>
      <c r="Z46" s="104"/>
      <c r="AA46" s="104"/>
      <c r="AB46" s="104"/>
      <c r="AC46" s="110">
        <f>SUM(Q46:AB46)</f>
        <v>0</v>
      </c>
      <c r="AD46" s="104">
        <v>0</v>
      </c>
      <c r="AE46" s="109"/>
      <c r="AF46" s="104">
        <v>0</v>
      </c>
      <c r="AG46" s="108"/>
      <c r="AH46" s="104"/>
      <c r="AI46" s="104"/>
      <c r="AJ46" s="104"/>
      <c r="AK46" s="104"/>
      <c r="AL46" s="104"/>
      <c r="AM46" s="104"/>
      <c r="AN46" s="104"/>
      <c r="AO46" s="108"/>
      <c r="AP46" s="115">
        <f>SUM(AD46:AO46)</f>
        <v>0</v>
      </c>
      <c r="AQ46" s="120"/>
    </row>
    <row r="47" spans="1:42" s="12" customFormat="1" ht="12.75">
      <c r="A47" s="16" t="s">
        <v>145</v>
      </c>
      <c r="B47" s="48" t="s">
        <v>144</v>
      </c>
      <c r="C47" s="104">
        <v>0</v>
      </c>
      <c r="D47" s="108">
        <v>0</v>
      </c>
      <c r="E47" s="104"/>
      <c r="F47" s="108">
        <v>0</v>
      </c>
      <c r="G47" s="108"/>
      <c r="H47" s="104"/>
      <c r="I47" s="104"/>
      <c r="J47" s="104"/>
      <c r="K47" s="104"/>
      <c r="L47" s="104"/>
      <c r="M47" s="104"/>
      <c r="N47" s="104"/>
      <c r="O47" s="104"/>
      <c r="P47" s="110">
        <f t="shared" si="2"/>
        <v>0</v>
      </c>
      <c r="Q47" s="108">
        <v>0</v>
      </c>
      <c r="R47" s="110"/>
      <c r="S47" s="108">
        <v>0</v>
      </c>
      <c r="T47" s="108"/>
      <c r="U47" s="104"/>
      <c r="V47" s="104"/>
      <c r="W47" s="104"/>
      <c r="X47" s="104"/>
      <c r="Y47" s="104"/>
      <c r="Z47" s="104"/>
      <c r="AA47" s="104"/>
      <c r="AB47" s="104"/>
      <c r="AC47" s="110">
        <f t="shared" si="6"/>
        <v>0</v>
      </c>
      <c r="AD47" s="104">
        <v>0</v>
      </c>
      <c r="AE47" s="109"/>
      <c r="AF47" s="104">
        <v>0</v>
      </c>
      <c r="AG47" s="108"/>
      <c r="AH47" s="104"/>
      <c r="AI47" s="104"/>
      <c r="AJ47" s="104"/>
      <c r="AK47" s="104"/>
      <c r="AL47" s="104"/>
      <c r="AM47" s="104"/>
      <c r="AN47" s="104"/>
      <c r="AO47" s="108"/>
      <c r="AP47" s="115">
        <f t="shared" si="7"/>
        <v>0</v>
      </c>
    </row>
    <row r="48" spans="1:42" s="12" customFormat="1" ht="12.75">
      <c r="A48" s="16" t="s">
        <v>112</v>
      </c>
      <c r="B48" s="48" t="s">
        <v>108</v>
      </c>
      <c r="C48" s="104">
        <v>737946000</v>
      </c>
      <c r="D48" s="108">
        <f>2935710+6744109+8981894+3755208+14807703</f>
        <v>37224624</v>
      </c>
      <c r="E48" s="110">
        <f>2388410+4649535+3803483+3261824-911078</f>
        <v>13192174</v>
      </c>
      <c r="F48" s="108">
        <f>2619090+5989792+4014923+3285309+16487826</f>
        <v>32396940</v>
      </c>
      <c r="G48" s="108"/>
      <c r="H48" s="104"/>
      <c r="I48" s="104"/>
      <c r="J48" s="104"/>
      <c r="K48" s="104"/>
      <c r="L48" s="104"/>
      <c r="M48" s="104"/>
      <c r="N48" s="104"/>
      <c r="O48" s="104"/>
      <c r="P48" s="110">
        <f t="shared" si="2"/>
        <v>82813738</v>
      </c>
      <c r="Q48" s="108">
        <f>2935710+6744109+8981894+3755208+867550</f>
        <v>23284471</v>
      </c>
      <c r="R48" s="110">
        <f>2388410+4649535+3803483+3261824+12778381</f>
        <v>26881633</v>
      </c>
      <c r="S48" s="108">
        <f>2599670+5989792+4014923+3285309+16738520</f>
        <v>32628214</v>
      </c>
      <c r="T48" s="108"/>
      <c r="U48" s="104"/>
      <c r="V48" s="104"/>
      <c r="W48" s="104"/>
      <c r="X48" s="104"/>
      <c r="Y48" s="104"/>
      <c r="Z48" s="104"/>
      <c r="AA48" s="104"/>
      <c r="AB48" s="104"/>
      <c r="AC48" s="110">
        <f t="shared" si="6"/>
        <v>82794318</v>
      </c>
      <c r="AD48" s="108">
        <f>2935710+6744109+8981894+3755208+867550</f>
        <v>23284471</v>
      </c>
      <c r="AE48" s="110">
        <f>2388410+4649535+3803483+3261824+12778381</f>
        <v>26881633</v>
      </c>
      <c r="AF48" s="108">
        <f>2599670+5989792+4014923+3285309+16738520</f>
        <v>32628214</v>
      </c>
      <c r="AG48" s="108"/>
      <c r="AH48" s="104"/>
      <c r="AI48" s="104"/>
      <c r="AJ48" s="104"/>
      <c r="AK48" s="104"/>
      <c r="AL48" s="104"/>
      <c r="AM48" s="104"/>
      <c r="AN48" s="104"/>
      <c r="AO48" s="108"/>
      <c r="AP48" s="115">
        <f t="shared" si="7"/>
        <v>82794318</v>
      </c>
    </row>
    <row r="49" spans="1:42" s="12" customFormat="1" ht="12.75">
      <c r="A49" s="16" t="s">
        <v>113</v>
      </c>
      <c r="B49" s="48" t="s">
        <v>109</v>
      </c>
      <c r="C49" s="104">
        <v>421138257</v>
      </c>
      <c r="D49" s="108">
        <v>421138257</v>
      </c>
      <c r="E49" s="104">
        <v>-1107477</v>
      </c>
      <c r="F49" s="108">
        <v>0</v>
      </c>
      <c r="G49" s="108"/>
      <c r="H49" s="104"/>
      <c r="I49" s="104"/>
      <c r="J49" s="104"/>
      <c r="K49" s="104"/>
      <c r="L49" s="104"/>
      <c r="M49" s="104"/>
      <c r="N49" s="104"/>
      <c r="O49" s="104"/>
      <c r="P49" s="110">
        <f t="shared" si="2"/>
        <v>420030780</v>
      </c>
      <c r="Q49" s="108">
        <v>0</v>
      </c>
      <c r="R49" s="110">
        <v>420030780</v>
      </c>
      <c r="S49" s="108">
        <v>0</v>
      </c>
      <c r="T49" s="108"/>
      <c r="U49" s="104"/>
      <c r="V49" s="104"/>
      <c r="W49" s="104"/>
      <c r="X49" s="104"/>
      <c r="Y49" s="104"/>
      <c r="Z49" s="104"/>
      <c r="AA49" s="104"/>
      <c r="AB49" s="104"/>
      <c r="AC49" s="110">
        <f t="shared" si="6"/>
        <v>420030780</v>
      </c>
      <c r="AD49" s="108">
        <v>0</v>
      </c>
      <c r="AE49" s="109">
        <v>420030780</v>
      </c>
      <c r="AF49" s="104">
        <v>0</v>
      </c>
      <c r="AG49" s="108"/>
      <c r="AH49" s="104"/>
      <c r="AI49" s="104"/>
      <c r="AJ49" s="104"/>
      <c r="AK49" s="108"/>
      <c r="AL49" s="104"/>
      <c r="AM49" s="108"/>
      <c r="AN49" s="104"/>
      <c r="AO49" s="108"/>
      <c r="AP49" s="115">
        <f t="shared" si="7"/>
        <v>420030780</v>
      </c>
    </row>
    <row r="50" spans="1:42" s="12" customFormat="1" ht="12.75">
      <c r="A50" s="16" t="s">
        <v>110</v>
      </c>
      <c r="B50" s="48" t="s">
        <v>105</v>
      </c>
      <c r="C50" s="104">
        <v>688411620</v>
      </c>
      <c r="D50" s="108">
        <f>45068400+130948080+93676600+108990636</f>
        <v>378683716</v>
      </c>
      <c r="E50" s="104">
        <f>123147640+46750000+69285506+787500</f>
        <v>239970646</v>
      </c>
      <c r="F50" s="108">
        <f>3366813</f>
        <v>3366813</v>
      </c>
      <c r="G50" s="108"/>
      <c r="H50" s="104"/>
      <c r="I50" s="104"/>
      <c r="J50" s="104"/>
      <c r="K50" s="104"/>
      <c r="L50" s="104"/>
      <c r="M50" s="104"/>
      <c r="N50" s="104"/>
      <c r="O50" s="104"/>
      <c r="P50" s="110">
        <f t="shared" si="2"/>
        <v>622021175</v>
      </c>
      <c r="Q50" s="108">
        <v>0</v>
      </c>
      <c r="R50" s="104">
        <f>9755874+4250000+16944210+21330912+4100000+16712234</f>
        <v>73093230</v>
      </c>
      <c r="S50" s="108">
        <f>12545532+4250000+14247810+13865456+8201572+10340657</f>
        <v>63451027</v>
      </c>
      <c r="T50" s="108"/>
      <c r="U50" s="104"/>
      <c r="V50" s="104"/>
      <c r="W50" s="104"/>
      <c r="X50" s="104"/>
      <c r="Y50" s="104"/>
      <c r="Z50" s="104"/>
      <c r="AA50" s="104"/>
      <c r="AB50" s="104"/>
      <c r="AC50" s="110">
        <f t="shared" si="6"/>
        <v>136544257</v>
      </c>
      <c r="AD50" s="104">
        <v>0</v>
      </c>
      <c r="AE50" s="104">
        <f>9755874+4250000+16944210+21330912+4100000+16712234</f>
        <v>73093230</v>
      </c>
      <c r="AF50" s="108">
        <f>12545532+4250000+14247810+13865456+8201572+10340657</f>
        <v>63451027</v>
      </c>
      <c r="AG50" s="108"/>
      <c r="AH50" s="104"/>
      <c r="AI50" s="104"/>
      <c r="AJ50" s="104"/>
      <c r="AK50" s="108"/>
      <c r="AL50" s="104"/>
      <c r="AM50" s="108"/>
      <c r="AN50" s="108"/>
      <c r="AO50" s="108"/>
      <c r="AP50" s="115">
        <f t="shared" si="7"/>
        <v>136544257</v>
      </c>
    </row>
    <row r="51" spans="1:42" s="12" customFormat="1" ht="12.75">
      <c r="A51" s="16" t="s">
        <v>166</v>
      </c>
      <c r="B51" s="48" t="s">
        <v>165</v>
      </c>
      <c r="C51" s="104">
        <v>0</v>
      </c>
      <c r="D51" s="108">
        <v>0</v>
      </c>
      <c r="E51" s="104"/>
      <c r="F51" s="108">
        <v>0</v>
      </c>
      <c r="G51" s="108"/>
      <c r="H51" s="104"/>
      <c r="I51" s="104"/>
      <c r="J51" s="104"/>
      <c r="K51" s="104"/>
      <c r="L51" s="104"/>
      <c r="M51" s="104"/>
      <c r="N51" s="104"/>
      <c r="O51" s="104"/>
      <c r="P51" s="110">
        <f>SUM(D51:O51)</f>
        <v>0</v>
      </c>
      <c r="Q51" s="108">
        <v>0</v>
      </c>
      <c r="R51" s="104"/>
      <c r="S51" s="108">
        <v>0</v>
      </c>
      <c r="T51" s="108"/>
      <c r="U51" s="104"/>
      <c r="V51" s="104"/>
      <c r="W51" s="104"/>
      <c r="X51" s="104"/>
      <c r="Y51" s="104"/>
      <c r="Z51" s="104"/>
      <c r="AA51" s="104"/>
      <c r="AB51" s="104"/>
      <c r="AC51" s="110">
        <f>SUM(Q51:AB51)</f>
        <v>0</v>
      </c>
      <c r="AD51" s="104">
        <v>0</v>
      </c>
      <c r="AE51" s="108"/>
      <c r="AF51" s="104">
        <v>0</v>
      </c>
      <c r="AG51" s="108"/>
      <c r="AH51" s="104"/>
      <c r="AI51" s="104"/>
      <c r="AJ51" s="104"/>
      <c r="AK51" s="108"/>
      <c r="AL51" s="104"/>
      <c r="AM51" s="108"/>
      <c r="AN51" s="108"/>
      <c r="AO51" s="108"/>
      <c r="AP51" s="115">
        <f>SUM(AD51:AO51)</f>
        <v>0</v>
      </c>
    </row>
    <row r="52" spans="1:42" s="12" customFormat="1" ht="12.75">
      <c r="A52" s="16" t="s">
        <v>147</v>
      </c>
      <c r="B52" s="48" t="s">
        <v>148</v>
      </c>
      <c r="C52" s="104">
        <v>80000000</v>
      </c>
      <c r="D52" s="108">
        <v>0</v>
      </c>
      <c r="E52" s="104"/>
      <c r="F52" s="108">
        <v>0</v>
      </c>
      <c r="G52" s="108"/>
      <c r="H52" s="104"/>
      <c r="I52" s="104"/>
      <c r="J52" s="104"/>
      <c r="K52" s="104"/>
      <c r="L52" s="104"/>
      <c r="M52" s="104"/>
      <c r="N52" s="104"/>
      <c r="O52" s="104"/>
      <c r="P52" s="110">
        <f t="shared" si="2"/>
        <v>0</v>
      </c>
      <c r="Q52" s="108">
        <v>0</v>
      </c>
      <c r="R52" s="110"/>
      <c r="S52" s="108">
        <v>0</v>
      </c>
      <c r="T52" s="108"/>
      <c r="U52" s="104"/>
      <c r="V52" s="104"/>
      <c r="W52" s="104"/>
      <c r="X52" s="104"/>
      <c r="Y52" s="104"/>
      <c r="Z52" s="104"/>
      <c r="AA52" s="104"/>
      <c r="AB52" s="104"/>
      <c r="AC52" s="110">
        <f t="shared" si="6"/>
        <v>0</v>
      </c>
      <c r="AD52" s="104">
        <v>0</v>
      </c>
      <c r="AE52" s="109"/>
      <c r="AF52" s="104">
        <v>0</v>
      </c>
      <c r="AG52" s="108"/>
      <c r="AH52" s="104"/>
      <c r="AI52" s="104"/>
      <c r="AJ52" s="104"/>
      <c r="AK52" s="108"/>
      <c r="AL52" s="104"/>
      <c r="AM52" s="108"/>
      <c r="AN52" s="108"/>
      <c r="AO52" s="108"/>
      <c r="AP52" s="115">
        <f t="shared" si="7"/>
        <v>0</v>
      </c>
    </row>
    <row r="53" spans="1:42" s="12" customFormat="1" ht="13.5" thickBot="1">
      <c r="A53" s="16" t="s">
        <v>131</v>
      </c>
      <c r="B53" s="48" t="s">
        <v>130</v>
      </c>
      <c r="C53" s="49">
        <v>12798280</v>
      </c>
      <c r="D53" s="105">
        <v>0</v>
      </c>
      <c r="E53" s="49"/>
      <c r="F53" s="105">
        <v>5954280</v>
      </c>
      <c r="G53" s="105"/>
      <c r="H53" s="49"/>
      <c r="I53" s="49"/>
      <c r="J53" s="49"/>
      <c r="K53" s="49"/>
      <c r="L53" s="49"/>
      <c r="M53" s="49"/>
      <c r="N53" s="49"/>
      <c r="O53" s="49"/>
      <c r="P53" s="45">
        <f t="shared" si="2"/>
        <v>5954280</v>
      </c>
      <c r="Q53" s="105">
        <v>0</v>
      </c>
      <c r="R53" s="50"/>
      <c r="S53" s="105">
        <v>0</v>
      </c>
      <c r="T53" s="105"/>
      <c r="U53" s="49"/>
      <c r="V53" s="49"/>
      <c r="W53" s="49"/>
      <c r="X53" s="49"/>
      <c r="Y53" s="49"/>
      <c r="Z53" s="49"/>
      <c r="AA53" s="49"/>
      <c r="AB53" s="49"/>
      <c r="AC53" s="45">
        <f t="shared" si="6"/>
        <v>0</v>
      </c>
      <c r="AD53" s="49">
        <v>0</v>
      </c>
      <c r="AE53" s="111"/>
      <c r="AF53" s="49">
        <v>0</v>
      </c>
      <c r="AG53" s="105"/>
      <c r="AH53" s="49"/>
      <c r="AI53" s="105"/>
      <c r="AJ53" s="49"/>
      <c r="AK53" s="105"/>
      <c r="AL53" s="105"/>
      <c r="AM53" s="105"/>
      <c r="AN53" s="49"/>
      <c r="AO53" s="105"/>
      <c r="AP53" s="113">
        <f t="shared" si="7"/>
        <v>0</v>
      </c>
    </row>
    <row r="54" spans="1:42" s="14" customFormat="1" ht="13.5" thickBot="1">
      <c r="A54" s="21"/>
      <c r="B54" s="46" t="s">
        <v>44</v>
      </c>
      <c r="C54" s="47">
        <f aca="true" t="shared" si="8" ref="C54:O54">SUM(C55:C57)</f>
        <v>20687425879</v>
      </c>
      <c r="D54" s="47">
        <f t="shared" si="8"/>
        <v>0</v>
      </c>
      <c r="E54" s="47">
        <f t="shared" si="8"/>
        <v>0</v>
      </c>
      <c r="F54" s="47">
        <f t="shared" si="8"/>
        <v>0</v>
      </c>
      <c r="G54" s="47">
        <f t="shared" si="8"/>
        <v>0</v>
      </c>
      <c r="H54" s="47">
        <f t="shared" si="8"/>
        <v>0</v>
      </c>
      <c r="I54" s="47">
        <f t="shared" si="8"/>
        <v>0</v>
      </c>
      <c r="J54" s="47">
        <f t="shared" si="8"/>
        <v>0</v>
      </c>
      <c r="K54" s="47">
        <f t="shared" si="8"/>
        <v>0</v>
      </c>
      <c r="L54" s="47">
        <f t="shared" si="8"/>
        <v>0</v>
      </c>
      <c r="M54" s="47">
        <f t="shared" si="8"/>
        <v>0</v>
      </c>
      <c r="N54" s="47">
        <f t="shared" si="8"/>
        <v>0</v>
      </c>
      <c r="O54" s="47">
        <f t="shared" si="8"/>
        <v>0</v>
      </c>
      <c r="P54" s="47">
        <f>SUM(P55:P57)</f>
        <v>0</v>
      </c>
      <c r="Q54" s="47">
        <f aca="true" t="shared" si="9" ref="Q54:AK54">SUM(Q55:Q57)</f>
        <v>0</v>
      </c>
      <c r="R54" s="47">
        <f t="shared" si="9"/>
        <v>0</v>
      </c>
      <c r="S54" s="47">
        <f t="shared" si="9"/>
        <v>0</v>
      </c>
      <c r="T54" s="47">
        <f t="shared" si="9"/>
        <v>0</v>
      </c>
      <c r="U54" s="47">
        <f t="shared" si="9"/>
        <v>0</v>
      </c>
      <c r="V54" s="47">
        <f t="shared" si="9"/>
        <v>0</v>
      </c>
      <c r="W54" s="47">
        <f t="shared" si="9"/>
        <v>0</v>
      </c>
      <c r="X54" s="47">
        <f t="shared" si="9"/>
        <v>0</v>
      </c>
      <c r="Y54" s="47">
        <f t="shared" si="9"/>
        <v>0</v>
      </c>
      <c r="Z54" s="47">
        <f t="shared" si="9"/>
        <v>0</v>
      </c>
      <c r="AA54" s="47">
        <f t="shared" si="9"/>
        <v>0</v>
      </c>
      <c r="AB54" s="47">
        <f t="shared" si="9"/>
        <v>0</v>
      </c>
      <c r="AC54" s="47">
        <f t="shared" si="9"/>
        <v>0</v>
      </c>
      <c r="AD54" s="47">
        <f t="shared" si="9"/>
        <v>0</v>
      </c>
      <c r="AE54" s="47">
        <f t="shared" si="9"/>
        <v>0</v>
      </c>
      <c r="AF54" s="47">
        <f t="shared" si="9"/>
        <v>0</v>
      </c>
      <c r="AG54" s="47">
        <f t="shared" si="9"/>
        <v>0</v>
      </c>
      <c r="AH54" s="47">
        <f t="shared" si="9"/>
        <v>0</v>
      </c>
      <c r="AI54" s="47">
        <f t="shared" si="9"/>
        <v>0</v>
      </c>
      <c r="AJ54" s="47">
        <f t="shared" si="9"/>
        <v>0</v>
      </c>
      <c r="AK54" s="47">
        <f t="shared" si="9"/>
        <v>0</v>
      </c>
      <c r="AL54" s="47">
        <v>0</v>
      </c>
      <c r="AM54" s="47">
        <f>SUM(AM55:AM57)</f>
        <v>0</v>
      </c>
      <c r="AN54" s="47">
        <f>SUM(AN55:AN57)</f>
        <v>0</v>
      </c>
      <c r="AO54" s="47">
        <f>SUM(AO55:AO57)</f>
        <v>0</v>
      </c>
      <c r="AP54" s="37">
        <f>SUM(AP55:AP57)</f>
        <v>0</v>
      </c>
    </row>
    <row r="55" spans="1:42" s="12" customFormat="1" ht="13.5" thickBot="1">
      <c r="A55" s="68" t="s">
        <v>151</v>
      </c>
      <c r="B55" s="52" t="s">
        <v>46</v>
      </c>
      <c r="C55" s="53">
        <v>217484500</v>
      </c>
      <c r="D55" s="104">
        <v>0</v>
      </c>
      <c r="E55" s="104">
        <v>0</v>
      </c>
      <c r="F55" s="104">
        <v>0</v>
      </c>
      <c r="G55" s="104"/>
      <c r="H55" s="104"/>
      <c r="I55" s="104"/>
      <c r="J55" s="104"/>
      <c r="K55" s="104"/>
      <c r="L55" s="104"/>
      <c r="M55" s="104"/>
      <c r="N55" s="104"/>
      <c r="O55" s="104"/>
      <c r="P55" s="71">
        <f t="shared" si="2"/>
        <v>0</v>
      </c>
      <c r="Q55" s="104">
        <v>0</v>
      </c>
      <c r="R55" s="108">
        <v>0</v>
      </c>
      <c r="S55" s="104">
        <v>0</v>
      </c>
      <c r="T55" s="104"/>
      <c r="U55" s="104"/>
      <c r="V55" s="104"/>
      <c r="W55" s="104"/>
      <c r="X55" s="104"/>
      <c r="Y55" s="104"/>
      <c r="Z55" s="104"/>
      <c r="AA55" s="104"/>
      <c r="AB55" s="104"/>
      <c r="AC55" s="71">
        <f>SUM(Q55:AB55)</f>
        <v>0</v>
      </c>
      <c r="AD55" s="104">
        <v>0</v>
      </c>
      <c r="AE55" s="108">
        <v>0</v>
      </c>
      <c r="AF55" s="104">
        <v>0</v>
      </c>
      <c r="AG55" s="104"/>
      <c r="AH55" s="104"/>
      <c r="AI55" s="104"/>
      <c r="AJ55" s="104"/>
      <c r="AK55" s="104"/>
      <c r="AL55" s="104"/>
      <c r="AM55" s="104"/>
      <c r="AN55" s="104"/>
      <c r="AO55" s="104"/>
      <c r="AP55" s="72">
        <f>SUM(AD55:AO55)</f>
        <v>0</v>
      </c>
    </row>
    <row r="56" spans="1:42" s="12" customFormat="1" ht="13.5" thickBot="1">
      <c r="A56" s="15" t="s">
        <v>50</v>
      </c>
      <c r="B56" s="40" t="s">
        <v>114</v>
      </c>
      <c r="C56" s="53">
        <v>1328638880</v>
      </c>
      <c r="D56" s="104">
        <v>0</v>
      </c>
      <c r="E56" s="104">
        <v>0</v>
      </c>
      <c r="F56" s="104">
        <v>0</v>
      </c>
      <c r="G56" s="104"/>
      <c r="H56" s="104"/>
      <c r="I56" s="104"/>
      <c r="J56" s="104"/>
      <c r="K56" s="104"/>
      <c r="L56" s="104"/>
      <c r="M56" s="104"/>
      <c r="N56" s="104"/>
      <c r="O56" s="104"/>
      <c r="P56" s="71">
        <f>SUM(D56:O56)</f>
        <v>0</v>
      </c>
      <c r="Q56" s="53">
        <v>0</v>
      </c>
      <c r="R56" s="124">
        <v>0</v>
      </c>
      <c r="S56" s="42">
        <v>0</v>
      </c>
      <c r="T56" s="53"/>
      <c r="U56" s="53"/>
      <c r="V56" s="104"/>
      <c r="W56" s="104"/>
      <c r="X56" s="104"/>
      <c r="Y56" s="104"/>
      <c r="Z56" s="104"/>
      <c r="AA56" s="104"/>
      <c r="AB56" s="104"/>
      <c r="AC56" s="71">
        <f>SUM(Q56:AB56)</f>
        <v>0</v>
      </c>
      <c r="AD56" s="108">
        <v>0</v>
      </c>
      <c r="AE56" s="108">
        <v>0</v>
      </c>
      <c r="AF56" s="108">
        <v>0</v>
      </c>
      <c r="AG56" s="108"/>
      <c r="AH56" s="108"/>
      <c r="AI56" s="108"/>
      <c r="AJ56" s="108"/>
      <c r="AK56" s="108"/>
      <c r="AL56" s="108"/>
      <c r="AM56" s="108"/>
      <c r="AN56" s="108"/>
      <c r="AO56" s="108"/>
      <c r="AP56" s="72">
        <f>SUM(AD56:AO56)</f>
        <v>0</v>
      </c>
    </row>
    <row r="57" spans="1:42" s="12" customFormat="1" ht="13.5" thickBot="1">
      <c r="A57" s="15" t="s">
        <v>191</v>
      </c>
      <c r="B57" s="40" t="s">
        <v>192</v>
      </c>
      <c r="C57" s="53">
        <v>19141302499</v>
      </c>
      <c r="D57" s="104">
        <v>0</v>
      </c>
      <c r="E57" s="104">
        <v>0</v>
      </c>
      <c r="F57" s="104">
        <v>0</v>
      </c>
      <c r="G57" s="104"/>
      <c r="H57" s="104"/>
      <c r="I57" s="104"/>
      <c r="J57" s="104"/>
      <c r="K57" s="104"/>
      <c r="L57" s="104"/>
      <c r="M57" s="104"/>
      <c r="N57" s="104"/>
      <c r="O57" s="104"/>
      <c r="P57" s="71">
        <f t="shared" si="2"/>
        <v>0</v>
      </c>
      <c r="Q57" s="53">
        <v>0</v>
      </c>
      <c r="R57" s="124">
        <v>0</v>
      </c>
      <c r="S57" s="42">
        <v>0</v>
      </c>
      <c r="T57" s="53"/>
      <c r="U57" s="53"/>
      <c r="V57" s="104"/>
      <c r="W57" s="104"/>
      <c r="X57" s="104"/>
      <c r="Y57" s="104"/>
      <c r="Z57" s="104"/>
      <c r="AA57" s="104"/>
      <c r="AB57" s="104"/>
      <c r="AC57" s="71">
        <f>SUM(Q57:AB57)</f>
        <v>0</v>
      </c>
      <c r="AD57" s="108">
        <v>0</v>
      </c>
      <c r="AE57" s="108">
        <v>0</v>
      </c>
      <c r="AF57" s="108">
        <v>0</v>
      </c>
      <c r="AG57" s="108"/>
      <c r="AH57" s="108"/>
      <c r="AI57" s="108"/>
      <c r="AJ57" s="108"/>
      <c r="AK57" s="108"/>
      <c r="AL57" s="108"/>
      <c r="AM57" s="108"/>
      <c r="AN57" s="108"/>
      <c r="AO57" s="108"/>
      <c r="AP57" s="72">
        <f>SUM(AD57:AO57)</f>
        <v>0</v>
      </c>
    </row>
    <row r="58" spans="1:42" s="14" customFormat="1" ht="18" customHeight="1" thickBot="1">
      <c r="A58" s="21"/>
      <c r="B58" s="46" t="s">
        <v>41</v>
      </c>
      <c r="C58" s="47">
        <f aca="true" t="shared" si="10" ref="C58:AP58">SUM(C59:C73)</f>
        <v>81851203596</v>
      </c>
      <c r="D58" s="47">
        <f t="shared" si="10"/>
        <v>12793504737.200005</v>
      </c>
      <c r="E58" s="84">
        <f t="shared" si="10"/>
        <v>13299391520</v>
      </c>
      <c r="F58" s="84">
        <f t="shared" si="10"/>
        <v>6443690458</v>
      </c>
      <c r="G58" s="84">
        <f t="shared" si="10"/>
        <v>0</v>
      </c>
      <c r="H58" s="84">
        <f t="shared" si="10"/>
        <v>0</v>
      </c>
      <c r="I58" s="47">
        <f t="shared" si="10"/>
        <v>0</v>
      </c>
      <c r="J58" s="47">
        <f t="shared" si="10"/>
        <v>0</v>
      </c>
      <c r="K58" s="47">
        <f t="shared" si="10"/>
        <v>0</v>
      </c>
      <c r="L58" s="47">
        <f t="shared" si="10"/>
        <v>0</v>
      </c>
      <c r="M58" s="47">
        <f t="shared" si="10"/>
        <v>0</v>
      </c>
      <c r="N58" s="47">
        <f t="shared" si="10"/>
        <v>0</v>
      </c>
      <c r="O58" s="47">
        <f t="shared" si="10"/>
        <v>0</v>
      </c>
      <c r="P58" s="47">
        <f t="shared" si="10"/>
        <v>32536586715.200005</v>
      </c>
      <c r="Q58" s="47">
        <f t="shared" si="10"/>
        <v>0</v>
      </c>
      <c r="R58" s="47">
        <f t="shared" si="10"/>
        <v>2573556325.200001</v>
      </c>
      <c r="S58" s="47">
        <f t="shared" si="10"/>
        <v>4111830289.2</v>
      </c>
      <c r="T58" s="47">
        <f t="shared" si="10"/>
        <v>0</v>
      </c>
      <c r="U58" s="47">
        <f t="shared" si="10"/>
        <v>0</v>
      </c>
      <c r="V58" s="47">
        <f t="shared" si="10"/>
        <v>0</v>
      </c>
      <c r="W58" s="47">
        <f t="shared" si="10"/>
        <v>0</v>
      </c>
      <c r="X58" s="47">
        <f t="shared" si="10"/>
        <v>0</v>
      </c>
      <c r="Y58" s="47">
        <f t="shared" si="10"/>
        <v>0</v>
      </c>
      <c r="Z58" s="47">
        <f t="shared" si="10"/>
        <v>0</v>
      </c>
      <c r="AA58" s="47">
        <f t="shared" si="10"/>
        <v>0</v>
      </c>
      <c r="AB58" s="47">
        <f t="shared" si="10"/>
        <v>0</v>
      </c>
      <c r="AC58" s="47">
        <f t="shared" si="10"/>
        <v>6685386614.400002</v>
      </c>
      <c r="AD58" s="47">
        <f t="shared" si="10"/>
        <v>0</v>
      </c>
      <c r="AE58" s="47">
        <f t="shared" si="10"/>
        <v>2554465107.200001</v>
      </c>
      <c r="AF58" s="47">
        <f t="shared" si="10"/>
        <v>4103543104.2</v>
      </c>
      <c r="AG58" s="47">
        <f t="shared" si="10"/>
        <v>0</v>
      </c>
      <c r="AH58" s="47">
        <f t="shared" si="10"/>
        <v>0</v>
      </c>
      <c r="AI58" s="47">
        <f t="shared" si="10"/>
        <v>0</v>
      </c>
      <c r="AJ58" s="47">
        <f t="shared" si="10"/>
        <v>0</v>
      </c>
      <c r="AK58" s="47">
        <f t="shared" si="10"/>
        <v>0</v>
      </c>
      <c r="AL58" s="47">
        <f t="shared" si="10"/>
        <v>0</v>
      </c>
      <c r="AM58" s="47">
        <f t="shared" si="10"/>
        <v>0</v>
      </c>
      <c r="AN58" s="47">
        <f t="shared" si="10"/>
        <v>0</v>
      </c>
      <c r="AO58" s="47">
        <f t="shared" si="10"/>
        <v>0</v>
      </c>
      <c r="AP58" s="37">
        <f t="shared" si="10"/>
        <v>6658008211.400002</v>
      </c>
    </row>
    <row r="59" spans="1:42" s="10" customFormat="1" ht="12.75">
      <c r="A59" s="82" t="s">
        <v>172</v>
      </c>
      <c r="B59" s="13" t="s">
        <v>115</v>
      </c>
      <c r="C59" s="44">
        <v>6173878265</v>
      </c>
      <c r="D59" s="99">
        <v>2135039808</v>
      </c>
      <c r="E59" s="99">
        <f>174447303+21000000</f>
        <v>195447303</v>
      </c>
      <c r="F59" s="99">
        <f>117468009</f>
        <v>117468009</v>
      </c>
      <c r="G59" s="99"/>
      <c r="H59" s="44"/>
      <c r="I59" s="44"/>
      <c r="J59" s="44"/>
      <c r="K59" s="44"/>
      <c r="L59" s="44"/>
      <c r="M59" s="44"/>
      <c r="N59" s="44"/>
      <c r="O59" s="112"/>
      <c r="P59" s="71">
        <f aca="true" t="shared" si="11" ref="P59:P71">SUM(D59:O59)</f>
        <v>2447955120</v>
      </c>
      <c r="Q59" s="44">
        <v>0</v>
      </c>
      <c r="R59" s="99">
        <f>95752393+8901456+1470000+980000+2976968+420000</f>
        <v>110500817</v>
      </c>
      <c r="S59" s="99">
        <f>231643019+8901456+4200000+4200000+8458882+4200000</f>
        <v>261603357</v>
      </c>
      <c r="T59" s="99"/>
      <c r="U59" s="44"/>
      <c r="V59" s="44"/>
      <c r="W59" s="44"/>
      <c r="X59" s="44"/>
      <c r="Y59" s="44"/>
      <c r="Z59" s="44"/>
      <c r="AA59" s="44"/>
      <c r="AB59" s="112"/>
      <c r="AC59" s="71">
        <f>SUM(Q59:AB59)</f>
        <v>372104174</v>
      </c>
      <c r="AD59" s="44">
        <v>0</v>
      </c>
      <c r="AE59" s="99">
        <f>95752393+8901456+1470000+980000+2976968+420000</f>
        <v>110500817</v>
      </c>
      <c r="AF59" s="99">
        <f>227007269+8901456+4200000+4200000+8458882+4200000</f>
        <v>256967607</v>
      </c>
      <c r="AG59" s="99"/>
      <c r="AH59" s="44"/>
      <c r="AI59" s="44"/>
      <c r="AJ59" s="44"/>
      <c r="AK59" s="44"/>
      <c r="AL59" s="44"/>
      <c r="AM59" s="44"/>
      <c r="AN59" s="44"/>
      <c r="AO59" s="112"/>
      <c r="AP59" s="72">
        <f>SUM(AD59:AO59)</f>
        <v>367468424</v>
      </c>
    </row>
    <row r="60" spans="1:42" s="10" customFormat="1" ht="12.75">
      <c r="A60" s="82" t="s">
        <v>173</v>
      </c>
      <c r="B60" s="13" t="s">
        <v>126</v>
      </c>
      <c r="C60" s="104">
        <v>7824618151</v>
      </c>
      <c r="D60" s="108">
        <v>308895459.2</v>
      </c>
      <c r="E60" s="108">
        <f>172048455+26308350+18578340+55629280+34788910+70679888</f>
        <v>378033223</v>
      </c>
      <c r="F60" s="108">
        <f>295963653+38999220+8287130+43147919</f>
        <v>386397922</v>
      </c>
      <c r="G60" s="108"/>
      <c r="H60" s="104"/>
      <c r="I60" s="104"/>
      <c r="J60" s="104"/>
      <c r="K60" s="104"/>
      <c r="L60" s="104"/>
      <c r="M60" s="104"/>
      <c r="N60" s="104"/>
      <c r="O60" s="114"/>
      <c r="P60" s="110">
        <f t="shared" si="11"/>
        <v>1073326604.2</v>
      </c>
      <c r="Q60" s="104">
        <v>0</v>
      </c>
      <c r="R60" s="108">
        <f>67190625.38</f>
        <v>67190625.38</v>
      </c>
      <c r="S60" s="108">
        <f>50811307+2630835+686326+2500000+7821765</f>
        <v>64450233</v>
      </c>
      <c r="T60" s="108"/>
      <c r="U60" s="104"/>
      <c r="V60" s="104"/>
      <c r="W60" s="104"/>
      <c r="X60" s="104"/>
      <c r="Y60" s="104"/>
      <c r="Z60" s="104"/>
      <c r="AA60" s="104"/>
      <c r="AB60" s="114"/>
      <c r="AC60" s="110">
        <f aca="true" t="shared" si="12" ref="AC60:AC71">SUM(Q60:AB60)</f>
        <v>131640858.38</v>
      </c>
      <c r="AD60" s="104">
        <v>0</v>
      </c>
      <c r="AE60" s="108">
        <f>67190625.38</f>
        <v>67190625.38</v>
      </c>
      <c r="AF60" s="108">
        <f>47496455+2630835+686326+2500000+7821765</f>
        <v>61135381</v>
      </c>
      <c r="AG60" s="108"/>
      <c r="AH60" s="104"/>
      <c r="AI60" s="104"/>
      <c r="AJ60" s="104"/>
      <c r="AK60" s="104"/>
      <c r="AL60" s="104"/>
      <c r="AM60" s="104"/>
      <c r="AN60" s="104"/>
      <c r="AO60" s="114"/>
      <c r="AP60" s="115">
        <f aca="true" t="shared" si="13" ref="AP60:AP71">SUM(AD60:AO60)</f>
        <v>128326006.38</v>
      </c>
    </row>
    <row r="61" spans="1:42" s="10" customFormat="1" ht="12.75">
      <c r="A61" s="82" t="s">
        <v>174</v>
      </c>
      <c r="B61" s="13" t="s">
        <v>126</v>
      </c>
      <c r="C61" s="117">
        <v>2000000000</v>
      </c>
      <c r="D61" s="108">
        <v>0</v>
      </c>
      <c r="E61" s="108">
        <v>0</v>
      </c>
      <c r="F61" s="108">
        <f>558293</f>
        <v>558293</v>
      </c>
      <c r="G61" s="108"/>
      <c r="H61" s="104"/>
      <c r="I61" s="104"/>
      <c r="J61" s="104"/>
      <c r="K61" s="104"/>
      <c r="L61" s="104"/>
      <c r="M61" s="104"/>
      <c r="N61" s="104"/>
      <c r="O61" s="114"/>
      <c r="P61" s="110">
        <f>SUM(D61:O61)</f>
        <v>558293</v>
      </c>
      <c r="Q61" s="104">
        <v>0</v>
      </c>
      <c r="R61" s="108">
        <v>0</v>
      </c>
      <c r="S61" s="108">
        <f>558293</f>
        <v>558293</v>
      </c>
      <c r="T61" s="108"/>
      <c r="U61" s="104"/>
      <c r="V61" s="104"/>
      <c r="W61" s="104"/>
      <c r="X61" s="104"/>
      <c r="Y61" s="104"/>
      <c r="Z61" s="104"/>
      <c r="AA61" s="104"/>
      <c r="AB61" s="114"/>
      <c r="AC61" s="110">
        <f t="shared" si="12"/>
        <v>558293</v>
      </c>
      <c r="AD61" s="104">
        <v>0</v>
      </c>
      <c r="AE61" s="108">
        <v>0</v>
      </c>
      <c r="AF61" s="108">
        <f>558293</f>
        <v>558293</v>
      </c>
      <c r="AG61" s="108"/>
      <c r="AH61" s="104"/>
      <c r="AI61" s="104"/>
      <c r="AJ61" s="104"/>
      <c r="AK61" s="104"/>
      <c r="AL61" s="104"/>
      <c r="AM61" s="104"/>
      <c r="AN61" s="104"/>
      <c r="AO61" s="114"/>
      <c r="AP61" s="110">
        <f t="shared" si="13"/>
        <v>558293</v>
      </c>
    </row>
    <row r="62" spans="1:42" s="10" customFormat="1" ht="12.75">
      <c r="A62" s="82" t="s">
        <v>175</v>
      </c>
      <c r="B62" s="13" t="s">
        <v>127</v>
      </c>
      <c r="C62" s="117">
        <v>7948602382</v>
      </c>
      <c r="D62" s="108">
        <v>2384731399.2</v>
      </c>
      <c r="E62" s="108">
        <f>276801970+37646877+13154174+20279838+36490195+69686422+102530525</f>
        <v>556590001</v>
      </c>
      <c r="F62" s="108">
        <f>155180877+32554948+22695833+42347531+20196322+23694960+94147986</f>
        <v>390818457</v>
      </c>
      <c r="G62" s="108"/>
      <c r="H62" s="104"/>
      <c r="I62" s="104"/>
      <c r="J62" s="104"/>
      <c r="K62" s="104"/>
      <c r="L62" s="104"/>
      <c r="M62" s="104"/>
      <c r="N62" s="104"/>
      <c r="O62" s="114"/>
      <c r="P62" s="110">
        <f>SUM(D62:O62)</f>
        <v>3332139857.2</v>
      </c>
      <c r="Q62" s="104">
        <v>0</v>
      </c>
      <c r="R62" s="108">
        <f>83901871.38+57810068+30518120+59952149+31471528+48965932+134384334</f>
        <v>447004002.38</v>
      </c>
      <c r="S62" s="108">
        <f>99979585+36444164+16835823.4+34628411+18171161+28714396+103782909</f>
        <v>338556449.4</v>
      </c>
      <c r="T62" s="108"/>
      <c r="U62" s="104"/>
      <c r="V62" s="104"/>
      <c r="W62" s="104"/>
      <c r="X62" s="104"/>
      <c r="Y62" s="104"/>
      <c r="Z62" s="104"/>
      <c r="AA62" s="104"/>
      <c r="AB62" s="114"/>
      <c r="AC62" s="110">
        <f t="shared" si="12"/>
        <v>785560451.78</v>
      </c>
      <c r="AD62" s="104">
        <v>0</v>
      </c>
      <c r="AE62" s="108">
        <f>83901871.38+57810068+30518120+58879111+31471528+48965932+134384334</f>
        <v>445930964.38</v>
      </c>
      <c r="AF62" s="108">
        <f>99979585+36444164+16835823.4+35701449+18171161+28714396+103782909</f>
        <v>339629487.4</v>
      </c>
      <c r="AG62" s="108"/>
      <c r="AH62" s="104"/>
      <c r="AI62" s="104"/>
      <c r="AJ62" s="104"/>
      <c r="AK62" s="104"/>
      <c r="AL62" s="104"/>
      <c r="AM62" s="104"/>
      <c r="AN62" s="104"/>
      <c r="AO62" s="114"/>
      <c r="AP62" s="115">
        <f t="shared" si="13"/>
        <v>785560451.78</v>
      </c>
    </row>
    <row r="63" spans="1:42" s="10" customFormat="1" ht="12.75">
      <c r="A63" s="82" t="s">
        <v>176</v>
      </c>
      <c r="B63" s="13" t="s">
        <v>133</v>
      </c>
      <c r="C63" s="104">
        <v>3591542380</v>
      </c>
      <c r="D63" s="108">
        <v>892341573</v>
      </c>
      <c r="E63" s="108">
        <f>19807377+2565000+27594000+664000+97500+675000+78686542</f>
        <v>130089419</v>
      </c>
      <c r="F63" s="108">
        <f>3775159+10793869+22500000+2109482+15974647+14779800</f>
        <v>69932957</v>
      </c>
      <c r="G63" s="108"/>
      <c r="H63" s="104"/>
      <c r="I63" s="104"/>
      <c r="J63" s="104"/>
      <c r="K63" s="104"/>
      <c r="L63" s="104"/>
      <c r="M63" s="104"/>
      <c r="N63" s="104"/>
      <c r="O63" s="114"/>
      <c r="P63" s="110">
        <f t="shared" si="11"/>
        <v>1092363949</v>
      </c>
      <c r="Q63" s="104">
        <v>0</v>
      </c>
      <c r="R63" s="108">
        <f>7334068+26730328+26289346+41944688+38177927+19832286+60211503</f>
        <v>220520146</v>
      </c>
      <c r="S63" s="108">
        <f>26750407+19673603+18514334+10183752+12733873+2850207+69602206</f>
        <v>160308382</v>
      </c>
      <c r="T63" s="108"/>
      <c r="U63" s="104"/>
      <c r="V63" s="104"/>
      <c r="W63" s="104"/>
      <c r="X63" s="104"/>
      <c r="Y63" s="104"/>
      <c r="Z63" s="104"/>
      <c r="AA63" s="104"/>
      <c r="AB63" s="114"/>
      <c r="AC63" s="110">
        <f t="shared" si="12"/>
        <v>380828528</v>
      </c>
      <c r="AD63" s="104">
        <v>0</v>
      </c>
      <c r="AE63" s="108">
        <f>7334068+26730328+26289346+40177766+38177927+19832286+60211503</f>
        <v>218753224</v>
      </c>
      <c r="AF63" s="108">
        <f>26750407+19673603+18514334+11950674+12733873+2850207+69602206</f>
        <v>162075304</v>
      </c>
      <c r="AG63" s="108"/>
      <c r="AH63" s="104"/>
      <c r="AI63" s="104"/>
      <c r="AJ63" s="104"/>
      <c r="AK63" s="104"/>
      <c r="AL63" s="104"/>
      <c r="AM63" s="104"/>
      <c r="AN63" s="104"/>
      <c r="AO63" s="114"/>
      <c r="AP63" s="115">
        <f t="shared" si="13"/>
        <v>380828528</v>
      </c>
    </row>
    <row r="64" spans="1:42" s="10" customFormat="1" ht="12.75">
      <c r="A64" s="82" t="s">
        <v>177</v>
      </c>
      <c r="B64" s="13" t="s">
        <v>134</v>
      </c>
      <c r="C64" s="104">
        <v>6615667233</v>
      </c>
      <c r="D64" s="108">
        <v>1320405723.2</v>
      </c>
      <c r="E64" s="108">
        <f>68638472+926407408+391105679+556607858+608744664+100741851+1017741522</f>
        <v>3669987454</v>
      </c>
      <c r="F64" s="108">
        <f>123538613+19499610+4143565+19131200+14125257+26532960+2149427</f>
        <v>209120632</v>
      </c>
      <c r="G64" s="108"/>
      <c r="H64" s="104"/>
      <c r="I64" s="104"/>
      <c r="J64" s="104"/>
      <c r="K64" s="104"/>
      <c r="L64" s="104"/>
      <c r="M64" s="104"/>
      <c r="N64" s="104"/>
      <c r="O64" s="114"/>
      <c r="P64" s="110">
        <f t="shared" si="11"/>
        <v>5199513809.2</v>
      </c>
      <c r="Q64" s="104">
        <v>0</v>
      </c>
      <c r="R64" s="108">
        <f>56630849.38+84857561+33408336+47704681+48630582+60016553+86171323</f>
        <v>417419885.38</v>
      </c>
      <c r="S64" s="108">
        <f>56345548+110246536+43696966.6+60895424+71565111+70130575+113842844</f>
        <v>526723004.6</v>
      </c>
      <c r="T64" s="108"/>
      <c r="U64" s="104"/>
      <c r="V64" s="104"/>
      <c r="W64" s="104"/>
      <c r="X64" s="104"/>
      <c r="Y64" s="104"/>
      <c r="Z64" s="104"/>
      <c r="AA64" s="104"/>
      <c r="AB64" s="114"/>
      <c r="AC64" s="110">
        <f t="shared" si="12"/>
        <v>944142889.98</v>
      </c>
      <c r="AD64" s="104">
        <v>0</v>
      </c>
      <c r="AE64" s="108">
        <f>56630849.38+84857561+33408336+46433897+48630582+60016553+86171323</f>
        <v>416149101.38</v>
      </c>
      <c r="AF64" s="108">
        <f>56345548+110246536+43696966.6+62166208+71565111+70130575+113842844</f>
        <v>527993788.6</v>
      </c>
      <c r="AG64" s="108"/>
      <c r="AH64" s="104"/>
      <c r="AI64" s="104"/>
      <c r="AJ64" s="104"/>
      <c r="AK64" s="104"/>
      <c r="AL64" s="104"/>
      <c r="AM64" s="104"/>
      <c r="AN64" s="104"/>
      <c r="AO64" s="114"/>
      <c r="AP64" s="115">
        <f t="shared" si="13"/>
        <v>944142889.98</v>
      </c>
    </row>
    <row r="65" spans="1:42" s="10" customFormat="1" ht="12.75">
      <c r="A65" s="82" t="s">
        <v>197</v>
      </c>
      <c r="B65" s="13" t="s">
        <v>135</v>
      </c>
      <c r="C65" s="104">
        <v>11038987114</v>
      </c>
      <c r="D65" s="108">
        <v>2389829149.2</v>
      </c>
      <c r="E65" s="108">
        <f>6126269+440883319+390290976+839579784+586592820+776847771+1118540954</f>
        <v>4158861893</v>
      </c>
      <c r="F65" s="108">
        <f>27034383+85528634+10974579+302064440+170386640+58915342+495275149</f>
        <v>1150179167</v>
      </c>
      <c r="G65" s="108"/>
      <c r="H65" s="104"/>
      <c r="I65" s="104"/>
      <c r="J65" s="104"/>
      <c r="K65" s="104"/>
      <c r="L65" s="104"/>
      <c r="M65" s="104"/>
      <c r="N65" s="104"/>
      <c r="O65" s="114"/>
      <c r="P65" s="110">
        <f t="shared" si="11"/>
        <v>7698870209.2</v>
      </c>
      <c r="Q65" s="104">
        <v>0</v>
      </c>
      <c r="R65" s="108">
        <f>25931141.38+244414749+86229613+113575232+141642740+134745282+173574841</f>
        <v>920113598.38</v>
      </c>
      <c r="S65" s="108">
        <f>57410353+279696018+62157105+127161680+137310772+147833726+239161154</f>
        <v>1050730808</v>
      </c>
      <c r="T65" s="108"/>
      <c r="U65" s="104"/>
      <c r="V65" s="104"/>
      <c r="W65" s="104"/>
      <c r="X65" s="104"/>
      <c r="Y65" s="104"/>
      <c r="Z65" s="104"/>
      <c r="AA65" s="104"/>
      <c r="AB65" s="114"/>
      <c r="AC65" s="110">
        <f t="shared" si="12"/>
        <v>1970844406.38</v>
      </c>
      <c r="AD65" s="104">
        <v>0</v>
      </c>
      <c r="AE65" s="108">
        <f>25931141.38+242164749+86229613+110173869+141642740+134745282+173574841</f>
        <v>914462235.38</v>
      </c>
      <c r="AF65" s="108">
        <f>57410353+281946018+62157105+130563043+137310772+147833726+239161154</f>
        <v>1056382171</v>
      </c>
      <c r="AG65" s="108"/>
      <c r="AH65" s="104"/>
      <c r="AI65" s="104"/>
      <c r="AJ65" s="104"/>
      <c r="AK65" s="104"/>
      <c r="AL65" s="104"/>
      <c r="AM65" s="104"/>
      <c r="AN65" s="104"/>
      <c r="AO65" s="114"/>
      <c r="AP65" s="115">
        <f t="shared" si="13"/>
        <v>1970844406.38</v>
      </c>
    </row>
    <row r="66" spans="1:42" s="10" customFormat="1" ht="12.75">
      <c r="A66" s="82" t="s">
        <v>178</v>
      </c>
      <c r="B66" s="13" t="s">
        <v>136</v>
      </c>
      <c r="C66" s="104">
        <v>259718744</v>
      </c>
      <c r="D66" s="108">
        <v>36600134</v>
      </c>
      <c r="E66" s="108">
        <f>3569123</f>
        <v>3569123</v>
      </c>
      <c r="F66" s="108">
        <v>0</v>
      </c>
      <c r="G66" s="108"/>
      <c r="H66" s="104"/>
      <c r="I66" s="104"/>
      <c r="J66" s="104"/>
      <c r="K66" s="104"/>
      <c r="L66" s="104"/>
      <c r="M66" s="104"/>
      <c r="N66" s="104"/>
      <c r="O66" s="114"/>
      <c r="P66" s="110">
        <f t="shared" si="11"/>
        <v>40169257</v>
      </c>
      <c r="Q66" s="104">
        <v>0</v>
      </c>
      <c r="R66" s="108">
        <f>801455</f>
        <v>801455</v>
      </c>
      <c r="S66" s="108">
        <f>4237482</f>
        <v>4237482</v>
      </c>
      <c r="T66" s="108"/>
      <c r="U66" s="104"/>
      <c r="V66" s="104"/>
      <c r="W66" s="104"/>
      <c r="X66" s="104"/>
      <c r="Y66" s="104"/>
      <c r="Z66" s="104"/>
      <c r="AA66" s="104"/>
      <c r="AB66" s="114"/>
      <c r="AC66" s="110">
        <f t="shared" si="12"/>
        <v>5038937</v>
      </c>
      <c r="AD66" s="104">
        <v>0</v>
      </c>
      <c r="AE66" s="108">
        <f>801455</f>
        <v>801455</v>
      </c>
      <c r="AF66" s="108">
        <f>4237482</f>
        <v>4237482</v>
      </c>
      <c r="AG66" s="108"/>
      <c r="AH66" s="104"/>
      <c r="AI66" s="104"/>
      <c r="AJ66" s="104"/>
      <c r="AK66" s="104"/>
      <c r="AL66" s="104"/>
      <c r="AM66" s="104"/>
      <c r="AN66" s="104"/>
      <c r="AO66" s="114"/>
      <c r="AP66" s="115">
        <f t="shared" si="13"/>
        <v>5038937</v>
      </c>
    </row>
    <row r="67" spans="1:42" s="10" customFormat="1" ht="12.75">
      <c r="A67" s="82" t="s">
        <v>179</v>
      </c>
      <c r="B67" s="13" t="s">
        <v>186</v>
      </c>
      <c r="C67" s="104">
        <v>1194030452</v>
      </c>
      <c r="D67" s="108">
        <v>273599704.2</v>
      </c>
      <c r="E67" s="108">
        <f>224959017</f>
        <v>224959017</v>
      </c>
      <c r="F67" s="108">
        <f>180388095</f>
        <v>180388095</v>
      </c>
      <c r="G67" s="108"/>
      <c r="H67" s="104"/>
      <c r="I67" s="104"/>
      <c r="J67" s="104"/>
      <c r="K67" s="104"/>
      <c r="L67" s="104"/>
      <c r="M67" s="104"/>
      <c r="N67" s="104"/>
      <c r="O67" s="114"/>
      <c r="P67" s="110">
        <f t="shared" si="11"/>
        <v>678946816.2</v>
      </c>
      <c r="Q67" s="104">
        <v>0</v>
      </c>
      <c r="R67" s="108">
        <f>23127227.38</f>
        <v>23127227.38</v>
      </c>
      <c r="S67" s="108">
        <f>57167996</f>
        <v>57167996</v>
      </c>
      <c r="T67" s="108"/>
      <c r="U67" s="104"/>
      <c r="V67" s="104"/>
      <c r="W67" s="104"/>
      <c r="X67" s="104"/>
      <c r="Y67" s="104"/>
      <c r="Z67" s="104"/>
      <c r="AA67" s="104"/>
      <c r="AB67" s="114"/>
      <c r="AC67" s="110">
        <f t="shared" si="12"/>
        <v>80295223.38</v>
      </c>
      <c r="AD67" s="104">
        <v>0</v>
      </c>
      <c r="AE67" s="108">
        <f>23127227.38</f>
        <v>23127227.38</v>
      </c>
      <c r="AF67" s="108">
        <f>54566996</f>
        <v>54566996</v>
      </c>
      <c r="AG67" s="108"/>
      <c r="AH67" s="104"/>
      <c r="AI67" s="104"/>
      <c r="AJ67" s="104"/>
      <c r="AK67" s="104"/>
      <c r="AL67" s="104"/>
      <c r="AM67" s="104"/>
      <c r="AN67" s="104"/>
      <c r="AO67" s="114"/>
      <c r="AP67" s="115">
        <f t="shared" si="13"/>
        <v>77694223.38</v>
      </c>
    </row>
    <row r="68" spans="1:42" s="10" customFormat="1" ht="12.75">
      <c r="A68" s="82" t="s">
        <v>180</v>
      </c>
      <c r="B68" s="13" t="s">
        <v>138</v>
      </c>
      <c r="C68" s="104">
        <v>1614933183</v>
      </c>
      <c r="D68" s="108">
        <v>31065200.2</v>
      </c>
      <c r="E68" s="108">
        <f>61370000</f>
        <v>61370000</v>
      </c>
      <c r="F68" s="108">
        <f>5853078</f>
        <v>5853078</v>
      </c>
      <c r="G68" s="108"/>
      <c r="H68" s="104"/>
      <c r="I68" s="104"/>
      <c r="J68" s="104"/>
      <c r="K68" s="104"/>
      <c r="L68" s="104"/>
      <c r="M68" s="104"/>
      <c r="N68" s="104"/>
      <c r="O68" s="114"/>
      <c r="P68" s="110">
        <f t="shared" si="11"/>
        <v>98288278.2</v>
      </c>
      <c r="Q68" s="104">
        <v>0</v>
      </c>
      <c r="R68" s="108">
        <f>2974093.38</f>
        <v>2974093.38</v>
      </c>
      <c r="S68" s="108">
        <f>14563610</f>
        <v>14563610</v>
      </c>
      <c r="T68" s="108"/>
      <c r="U68" s="104"/>
      <c r="V68" s="104"/>
      <c r="W68" s="104"/>
      <c r="X68" s="104"/>
      <c r="Y68" s="104"/>
      <c r="Z68" s="104"/>
      <c r="AA68" s="104"/>
      <c r="AB68" s="114"/>
      <c r="AC68" s="110">
        <f t="shared" si="12"/>
        <v>17537703.38</v>
      </c>
      <c r="AD68" s="104">
        <v>0</v>
      </c>
      <c r="AE68" s="108">
        <f>2974093.38</f>
        <v>2974093.38</v>
      </c>
      <c r="AF68" s="108">
        <f>14563610</f>
        <v>14563610</v>
      </c>
      <c r="AG68" s="108"/>
      <c r="AH68" s="104"/>
      <c r="AI68" s="104"/>
      <c r="AJ68" s="104"/>
      <c r="AK68" s="104"/>
      <c r="AL68" s="104"/>
      <c r="AM68" s="104"/>
      <c r="AN68" s="104"/>
      <c r="AO68" s="114"/>
      <c r="AP68" s="115">
        <f t="shared" si="13"/>
        <v>17537703.38</v>
      </c>
    </row>
    <row r="69" spans="1:42" s="10" customFormat="1" ht="12.75">
      <c r="A69" s="82" t="s">
        <v>181</v>
      </c>
      <c r="B69" s="13" t="s">
        <v>139</v>
      </c>
      <c r="C69" s="104">
        <v>703218740</v>
      </c>
      <c r="D69" s="108">
        <v>596272164.2</v>
      </c>
      <c r="E69" s="108">
        <f>-119195821</f>
        <v>-119195821</v>
      </c>
      <c r="F69" s="108">
        <f>75534691</f>
        <v>75534691</v>
      </c>
      <c r="G69" s="108"/>
      <c r="H69" s="104"/>
      <c r="I69" s="104"/>
      <c r="J69" s="104"/>
      <c r="K69" s="104"/>
      <c r="L69" s="104"/>
      <c r="M69" s="104"/>
      <c r="N69" s="104"/>
      <c r="O69" s="114"/>
      <c r="P69" s="110">
        <f t="shared" si="11"/>
        <v>552611034.2</v>
      </c>
      <c r="Q69" s="104">
        <v>0</v>
      </c>
      <c r="R69" s="108">
        <f>13083901.38</f>
        <v>13083901.38</v>
      </c>
      <c r="S69" s="108">
        <f>34217795</f>
        <v>34217795</v>
      </c>
      <c r="T69" s="108"/>
      <c r="U69" s="104"/>
      <c r="V69" s="104"/>
      <c r="W69" s="104"/>
      <c r="X69" s="104"/>
      <c r="Y69" s="104"/>
      <c r="Z69" s="104"/>
      <c r="AA69" s="104"/>
      <c r="AB69" s="114"/>
      <c r="AC69" s="110">
        <f t="shared" si="12"/>
        <v>47301696.38</v>
      </c>
      <c r="AD69" s="104">
        <v>0</v>
      </c>
      <c r="AE69" s="108">
        <f>13083901.38</f>
        <v>13083901.38</v>
      </c>
      <c r="AF69" s="108">
        <f>33212290</f>
        <v>33212290</v>
      </c>
      <c r="AG69" s="108"/>
      <c r="AH69" s="104"/>
      <c r="AI69" s="104"/>
      <c r="AJ69" s="104"/>
      <c r="AK69" s="104"/>
      <c r="AL69" s="104"/>
      <c r="AM69" s="104"/>
      <c r="AN69" s="104"/>
      <c r="AO69" s="114"/>
      <c r="AP69" s="115">
        <f t="shared" si="13"/>
        <v>46296191.38</v>
      </c>
    </row>
    <row r="70" spans="1:42" s="10" customFormat="1" ht="12.75">
      <c r="A70" s="82" t="s">
        <v>182</v>
      </c>
      <c r="B70" s="13" t="s">
        <v>140</v>
      </c>
      <c r="C70" s="104">
        <v>2772614321</v>
      </c>
      <c r="D70" s="108">
        <v>235955094.2</v>
      </c>
      <c r="E70" s="108">
        <f>629635575+30073425+29081170+29624808+29176110+28379594</f>
        <v>775970682</v>
      </c>
      <c r="F70" s="108">
        <f>341466623+2387905+2526900+2503112</f>
        <v>348884540</v>
      </c>
      <c r="G70" s="108"/>
      <c r="H70" s="104"/>
      <c r="I70" s="104"/>
      <c r="J70" s="104"/>
      <c r="K70" s="104"/>
      <c r="L70" s="104"/>
      <c r="M70" s="104"/>
      <c r="N70" s="104"/>
      <c r="O70" s="114"/>
      <c r="P70" s="110">
        <f t="shared" si="11"/>
        <v>1360810316.2</v>
      </c>
      <c r="Q70" s="104">
        <v>0</v>
      </c>
      <c r="R70" s="108">
        <f>7498112.38+726582+1017471+1112953</f>
        <v>10355118.379999999</v>
      </c>
      <c r="S70" s="108">
        <f>55830142+3340173+3074500+2080534+4520747+747433</f>
        <v>69593529</v>
      </c>
      <c r="T70" s="108"/>
      <c r="U70" s="104"/>
      <c r="V70" s="104"/>
      <c r="W70" s="104"/>
      <c r="X70" s="104"/>
      <c r="Y70" s="104"/>
      <c r="Z70" s="104"/>
      <c r="AA70" s="104"/>
      <c r="AB70" s="114"/>
      <c r="AC70" s="110">
        <f t="shared" si="12"/>
        <v>79948647.38</v>
      </c>
      <c r="AD70" s="104">
        <v>0</v>
      </c>
      <c r="AE70" s="108">
        <f>7498112.38+726582+1017471+1112953</f>
        <v>10355118.379999999</v>
      </c>
      <c r="AF70" s="108">
        <f>53515142+3340173+3074500+2080534+4520747+747433</f>
        <v>67278529</v>
      </c>
      <c r="AG70" s="108"/>
      <c r="AH70" s="104"/>
      <c r="AI70" s="104"/>
      <c r="AJ70" s="104"/>
      <c r="AK70" s="104"/>
      <c r="AL70" s="104"/>
      <c r="AM70" s="104"/>
      <c r="AN70" s="104"/>
      <c r="AO70" s="114"/>
      <c r="AP70" s="115">
        <f t="shared" si="13"/>
        <v>77633647.38</v>
      </c>
    </row>
    <row r="71" spans="1:42" s="10" customFormat="1" ht="12.75">
      <c r="A71" s="82" t="s">
        <v>185</v>
      </c>
      <c r="B71" s="13" t="s">
        <v>143</v>
      </c>
      <c r="C71" s="104">
        <v>23433891092</v>
      </c>
      <c r="D71" s="108">
        <v>939951747.2</v>
      </c>
      <c r="E71" s="108">
        <f>1015093821+12620668+316000+5469836+3306118+180000</f>
        <v>1036986443</v>
      </c>
      <c r="F71" s="108">
        <f>3064806325+6024084+10261178+8388212+6270012+8168507</f>
        <v>3103918318</v>
      </c>
      <c r="G71" s="108"/>
      <c r="H71" s="104"/>
      <c r="I71" s="118"/>
      <c r="J71" s="104"/>
      <c r="K71" s="104"/>
      <c r="L71" s="104"/>
      <c r="M71" s="104"/>
      <c r="N71" s="104"/>
      <c r="O71" s="114"/>
      <c r="P71" s="110">
        <f t="shared" si="11"/>
        <v>5080856508.2</v>
      </c>
      <c r="Q71" s="104">
        <v>0</v>
      </c>
      <c r="R71" s="108">
        <f>57611417.38+660142+385038+541643+2233870</f>
        <v>61432110.38</v>
      </c>
      <c r="S71" s="108">
        <f>1195373109+10849726+6397379+12846399+8720404+2733285+7534826</f>
        <v>1244455128</v>
      </c>
      <c r="T71" s="108"/>
      <c r="U71" s="104"/>
      <c r="V71" s="104"/>
      <c r="W71" s="104"/>
      <c r="X71" s="104"/>
      <c r="Y71" s="104"/>
      <c r="Z71" s="104"/>
      <c r="AA71" s="104"/>
      <c r="AB71" s="114"/>
      <c r="AC71" s="110">
        <f t="shared" si="12"/>
        <v>1305887238.38</v>
      </c>
      <c r="AD71" s="104">
        <v>0</v>
      </c>
      <c r="AE71" s="108">
        <f>49482306.38+660142+385038+541643+2233870</f>
        <v>53302999.38</v>
      </c>
      <c r="AF71" s="108">
        <f>1202369560+10849726+6397379+12846399+8720404+2733285+7534826</f>
        <v>1251451579</v>
      </c>
      <c r="AG71" s="108"/>
      <c r="AH71" s="104"/>
      <c r="AI71" s="104"/>
      <c r="AJ71" s="104"/>
      <c r="AK71" s="104"/>
      <c r="AL71" s="104"/>
      <c r="AM71" s="104"/>
      <c r="AN71" s="104"/>
      <c r="AO71" s="114"/>
      <c r="AP71" s="115">
        <f t="shared" si="13"/>
        <v>1304754578.38</v>
      </c>
    </row>
    <row r="72" spans="1:42" s="10" customFormat="1" ht="12.75">
      <c r="A72" s="82" t="s">
        <v>183</v>
      </c>
      <c r="B72" s="13" t="s">
        <v>153</v>
      </c>
      <c r="C72" s="49">
        <v>2899501539</v>
      </c>
      <c r="D72" s="123">
        <v>599594377.2</v>
      </c>
      <c r="E72" s="123">
        <f>299182303+140138352+63000030+62865030+65800760+51771340+87950168</f>
        <v>770707983</v>
      </c>
      <c r="F72" s="114">
        <f>-15048154+1733256+2100000+5719560+3153637</f>
        <v>-2341701</v>
      </c>
      <c r="G72" s="114"/>
      <c r="H72" s="114"/>
      <c r="I72" s="114"/>
      <c r="J72" s="114"/>
      <c r="K72" s="114"/>
      <c r="L72" s="114"/>
      <c r="M72" s="114"/>
      <c r="N72" s="114"/>
      <c r="O72" s="114"/>
      <c r="P72" s="45">
        <f>SUM(D72:O72)</f>
        <v>1367960659.2</v>
      </c>
      <c r="Q72" s="104">
        <v>0</v>
      </c>
      <c r="R72" s="108">
        <f>256652978.38</f>
        <v>256652978.38</v>
      </c>
      <c r="S72" s="108">
        <f>59614231+14067498+5827503+6286503+7835481+4087384+7768185</f>
        <v>105486785</v>
      </c>
      <c r="T72" s="104"/>
      <c r="U72" s="104"/>
      <c r="V72" s="104"/>
      <c r="W72" s="104"/>
      <c r="X72" s="104"/>
      <c r="Y72" s="104"/>
      <c r="Z72" s="104"/>
      <c r="AA72" s="104"/>
      <c r="AB72" s="114"/>
      <c r="AC72" s="45">
        <f>SUM(Q72:AB72)</f>
        <v>362139763.38</v>
      </c>
      <c r="AD72" s="104">
        <v>0</v>
      </c>
      <c r="AE72" s="108">
        <f>255452978.38</f>
        <v>255452978.38</v>
      </c>
      <c r="AF72" s="108">
        <f>55631595+14067498+5827503+6286503+7835481+4087384+7768185</f>
        <v>101504149</v>
      </c>
      <c r="AG72" s="104"/>
      <c r="AH72" s="104"/>
      <c r="AI72" s="104"/>
      <c r="AJ72" s="104"/>
      <c r="AK72" s="104"/>
      <c r="AL72" s="104"/>
      <c r="AM72" s="104"/>
      <c r="AN72" s="104"/>
      <c r="AO72" s="104"/>
      <c r="AP72" s="113">
        <f>SUM(AD72:AO72)</f>
        <v>356957127.38</v>
      </c>
    </row>
    <row r="73" spans="1:42" s="10" customFormat="1" ht="13.5" thickBot="1">
      <c r="A73" s="82" t="s">
        <v>184</v>
      </c>
      <c r="B73" s="13" t="s">
        <v>187</v>
      </c>
      <c r="C73" s="104">
        <v>3780000000</v>
      </c>
      <c r="D73" s="123">
        <v>649223204.2</v>
      </c>
      <c r="E73" s="123">
        <f>1148750000+52020000+51499800+52020000+50199300+24622800+76902900</f>
        <v>1456014800</v>
      </c>
      <c r="F73" s="123">
        <f>406978000</f>
        <v>406978000</v>
      </c>
      <c r="G73" s="114"/>
      <c r="H73" s="114"/>
      <c r="I73" s="114"/>
      <c r="J73" s="114"/>
      <c r="K73" s="114"/>
      <c r="L73" s="114"/>
      <c r="M73" s="114"/>
      <c r="N73" s="114"/>
      <c r="O73" s="114"/>
      <c r="P73" s="45">
        <f>SUM(D73:O73)</f>
        <v>2512216004.2</v>
      </c>
      <c r="Q73" s="104">
        <v>0</v>
      </c>
      <c r="R73" s="108">
        <f>22380366.4</f>
        <v>22380366.4</v>
      </c>
      <c r="S73" s="108">
        <f>152820637.2+5202000+4681800+5202000+3381300+1213800+6675900</f>
        <v>179177437.2</v>
      </c>
      <c r="T73" s="104"/>
      <c r="U73" s="104"/>
      <c r="V73" s="104"/>
      <c r="W73" s="104"/>
      <c r="X73" s="104"/>
      <c r="Y73" s="104"/>
      <c r="Z73" s="104"/>
      <c r="AA73" s="104"/>
      <c r="AB73" s="114"/>
      <c r="AC73" s="45">
        <f>SUM(Q73:AB73)</f>
        <v>201557803.6</v>
      </c>
      <c r="AD73" s="104">
        <v>0</v>
      </c>
      <c r="AE73" s="108">
        <f>22380366.4</f>
        <v>22380366.4</v>
      </c>
      <c r="AF73" s="108">
        <f>145629637.2+5202000+4681800+5202000+3381300+1213800+6675900</f>
        <v>171986437.2</v>
      </c>
      <c r="AG73" s="104"/>
      <c r="AH73" s="104"/>
      <c r="AI73" s="104"/>
      <c r="AJ73" s="104"/>
      <c r="AK73" s="104"/>
      <c r="AL73" s="104"/>
      <c r="AM73" s="104"/>
      <c r="AN73" s="104"/>
      <c r="AO73" s="104"/>
      <c r="AP73" s="113">
        <f>SUM(AD73:AO73)</f>
        <v>194366803.6</v>
      </c>
    </row>
    <row r="74" spans="1:42" s="11" customFormat="1" ht="13.5" thickBot="1">
      <c r="A74" s="146" t="s">
        <v>33</v>
      </c>
      <c r="B74" s="147"/>
      <c r="C74" s="47">
        <f aca="true" t="shared" si="14" ref="C74:AP74">SUM(C13+C41+C54+C58)</f>
        <v>131918723871</v>
      </c>
      <c r="D74" s="47">
        <f t="shared" si="14"/>
        <v>18733287771.200005</v>
      </c>
      <c r="E74" s="47">
        <f t="shared" si="14"/>
        <v>15320087215</v>
      </c>
      <c r="F74" s="47">
        <f t="shared" si="14"/>
        <v>9893618382.3</v>
      </c>
      <c r="G74" s="47">
        <f t="shared" si="14"/>
        <v>0</v>
      </c>
      <c r="H74" s="47">
        <f t="shared" si="14"/>
        <v>0</v>
      </c>
      <c r="I74" s="47">
        <f t="shared" si="14"/>
        <v>0</v>
      </c>
      <c r="J74" s="47">
        <f t="shared" si="14"/>
        <v>0</v>
      </c>
      <c r="K74" s="47">
        <f t="shared" si="14"/>
        <v>0</v>
      </c>
      <c r="L74" s="47">
        <f t="shared" si="14"/>
        <v>0</v>
      </c>
      <c r="M74" s="47">
        <f t="shared" si="14"/>
        <v>0</v>
      </c>
      <c r="N74" s="47">
        <f t="shared" si="14"/>
        <v>0</v>
      </c>
      <c r="O74" s="47">
        <f t="shared" si="14"/>
        <v>0</v>
      </c>
      <c r="P74" s="47">
        <f t="shared" si="14"/>
        <v>43946993368.5</v>
      </c>
      <c r="Q74" s="47">
        <f t="shared" si="14"/>
        <v>1322313876</v>
      </c>
      <c r="R74" s="47">
        <f t="shared" si="14"/>
        <v>5419364125.200001</v>
      </c>
      <c r="S74" s="47">
        <f t="shared" si="14"/>
        <v>7046708572.2</v>
      </c>
      <c r="T74" s="47">
        <f t="shared" si="14"/>
        <v>0</v>
      </c>
      <c r="U74" s="47">
        <f t="shared" si="14"/>
        <v>0</v>
      </c>
      <c r="V74" s="47">
        <f t="shared" si="14"/>
        <v>0</v>
      </c>
      <c r="W74" s="47">
        <f t="shared" si="14"/>
        <v>0</v>
      </c>
      <c r="X74" s="47">
        <f t="shared" si="14"/>
        <v>0</v>
      </c>
      <c r="Y74" s="47">
        <f t="shared" si="14"/>
        <v>0</v>
      </c>
      <c r="Z74" s="47">
        <f t="shared" si="14"/>
        <v>0</v>
      </c>
      <c r="AA74" s="47">
        <f t="shared" si="14"/>
        <v>0</v>
      </c>
      <c r="AB74" s="47">
        <f t="shared" si="14"/>
        <v>0</v>
      </c>
      <c r="AC74" s="47">
        <f t="shared" si="14"/>
        <v>13788386573.400002</v>
      </c>
      <c r="AD74" s="47">
        <f t="shared" si="14"/>
        <v>1225521668</v>
      </c>
      <c r="AE74" s="47">
        <f t="shared" si="14"/>
        <v>5376582325.200001</v>
      </c>
      <c r="AF74" s="47">
        <f t="shared" si="14"/>
        <v>6758033450.2</v>
      </c>
      <c r="AG74" s="47">
        <f t="shared" si="14"/>
        <v>0</v>
      </c>
      <c r="AH74" s="47">
        <f t="shared" si="14"/>
        <v>0</v>
      </c>
      <c r="AI74" s="47">
        <f t="shared" si="14"/>
        <v>0</v>
      </c>
      <c r="AJ74" s="47">
        <f t="shared" si="14"/>
        <v>0</v>
      </c>
      <c r="AK74" s="47">
        <f t="shared" si="14"/>
        <v>0</v>
      </c>
      <c r="AL74" s="47">
        <f t="shared" si="14"/>
        <v>0</v>
      </c>
      <c r="AM74" s="47">
        <f t="shared" si="14"/>
        <v>0</v>
      </c>
      <c r="AN74" s="47">
        <f t="shared" si="14"/>
        <v>0</v>
      </c>
      <c r="AO74" s="47">
        <f t="shared" si="14"/>
        <v>0</v>
      </c>
      <c r="AP74" s="37">
        <f t="shared" si="14"/>
        <v>13360137443.400002</v>
      </c>
    </row>
    <row r="75" spans="1:42" ht="12.75">
      <c r="A75" s="69" t="s">
        <v>160</v>
      </c>
      <c r="B75" s="77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78"/>
    </row>
    <row r="76" spans="1:42" ht="12.75">
      <c r="A76" s="122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79"/>
    </row>
    <row r="77" spans="1:42" ht="9.75" customHeight="1" thickBot="1">
      <c r="A77" s="70"/>
      <c r="B77" s="80"/>
      <c r="C77" s="2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59"/>
      <c r="AL77" s="59"/>
      <c r="AM77" s="59"/>
      <c r="AN77" s="59"/>
      <c r="AO77" s="59"/>
      <c r="AP77" s="79"/>
    </row>
    <row r="78" spans="1:42" ht="12.75" customHeight="1">
      <c r="A78" s="70"/>
      <c r="B78" s="100" t="s">
        <v>161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59"/>
      <c r="AM78" s="59"/>
      <c r="AN78" s="59"/>
      <c r="AO78" s="59"/>
      <c r="AP78" s="79"/>
    </row>
    <row r="79" spans="1:42" ht="0.75" customHeight="1" thickBot="1">
      <c r="A79" s="20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7"/>
    </row>
    <row r="80" spans="1:42" ht="0.75" customHeight="1">
      <c r="A80" s="98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0.75" customHeight="1">
      <c r="A81" s="98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ht="39" customHeight="1">
      <c r="A82" s="144" t="s">
        <v>199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</row>
    <row r="83" spans="1:42" ht="12.7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</row>
    <row r="84" spans="1:42" ht="0.75" customHeight="1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</row>
  </sheetData>
  <sheetProtection/>
  <mergeCells count="9">
    <mergeCell ref="A5:AP5"/>
    <mergeCell ref="A4:AP4"/>
    <mergeCell ref="A1:AP1"/>
    <mergeCell ref="A2:AP2"/>
    <mergeCell ref="A3:AP3"/>
    <mergeCell ref="A82:AP82"/>
    <mergeCell ref="X78:AK78"/>
    <mergeCell ref="X77:AJ77"/>
    <mergeCell ref="A74:B74"/>
  </mergeCells>
  <printOptions horizontalCentered="1" verticalCentered="1"/>
  <pageMargins left="0.9055118110236221" right="0.6692913385826772" top="0.15748031496062992" bottom="0.1968503937007874" header="0.15748031496062992" footer="0.1968503937007874"/>
  <pageSetup horizontalDpi="300" verticalDpi="300" orientation="landscape" paperSize="5" scale="55" r:id="rId1"/>
  <headerFooter alignWithMargins="0">
    <oddHeader>&amp;C
</oddHeader>
    <oddFooter>&amp;CHACIENDA2012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2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AG42" sqref="AG42"/>
    </sheetView>
  </sheetViews>
  <sheetFormatPr defaultColWidth="11.421875" defaultRowHeight="12.75"/>
  <cols>
    <col min="1" max="1" width="18.57421875" style="1" bestFit="1" customWidth="1"/>
    <col min="2" max="2" width="66.28125" style="1" bestFit="1" customWidth="1"/>
    <col min="3" max="3" width="16.421875" style="1" bestFit="1" customWidth="1"/>
    <col min="4" max="5" width="17.57421875" style="1" hidden="1" customWidth="1"/>
    <col min="6" max="6" width="17.57421875" style="1" customWidth="1"/>
    <col min="7" max="15" width="17.57421875" style="1" hidden="1" customWidth="1"/>
    <col min="16" max="16" width="21.8515625" style="1" customWidth="1"/>
    <col min="17" max="18" width="21.8515625" style="1" hidden="1" customWidth="1"/>
    <col min="19" max="19" width="21.8515625" style="1" customWidth="1"/>
    <col min="20" max="28" width="21.8515625" style="1" hidden="1" customWidth="1"/>
    <col min="29" max="29" width="19.28125" style="1" customWidth="1"/>
    <col min="30" max="16384" width="11.421875" style="1" customWidth="1"/>
  </cols>
  <sheetData>
    <row r="1" spans="1:29" s="22" customFormat="1" ht="1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7"/>
    </row>
    <row r="2" spans="1:29" s="22" customFormat="1" ht="15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30"/>
    </row>
    <row r="3" spans="1:29" s="22" customFormat="1" ht="15">
      <c r="A3" s="128" t="s">
        <v>34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30"/>
    </row>
    <row r="4" spans="1:29" s="22" customFormat="1" ht="15">
      <c r="A4" s="128" t="s">
        <v>36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30"/>
    </row>
    <row r="5" spans="1:29" s="22" customFormat="1" ht="15">
      <c r="A5" s="128" t="s">
        <v>38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30"/>
    </row>
    <row r="6" spans="1:29" s="22" customFormat="1" ht="14.25">
      <c r="A6" s="24"/>
      <c r="B6" s="25"/>
      <c r="C6" s="25"/>
      <c r="D6" s="25" t="s">
        <v>158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s="22" customFormat="1" ht="15">
      <c r="A7" s="154" t="s">
        <v>2</v>
      </c>
      <c r="B7" s="155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 t="s">
        <v>196</v>
      </c>
    </row>
    <row r="8" spans="1:29" s="22" customFormat="1" ht="15" customHeight="1" thickBot="1">
      <c r="A8" s="154" t="s">
        <v>3</v>
      </c>
      <c r="B8" s="155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 t="s">
        <v>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0">
        <v>2012</v>
      </c>
    </row>
    <row r="9" spans="1:29" s="22" customFormat="1" ht="1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s="22" customFormat="1" ht="1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22" customFormat="1" ht="15">
      <c r="A11" s="64" t="s">
        <v>24</v>
      </c>
      <c r="B11" s="64" t="s">
        <v>26</v>
      </c>
      <c r="C11" s="64" t="s">
        <v>27</v>
      </c>
      <c r="D11" s="64" t="s">
        <v>29</v>
      </c>
      <c r="E11" s="64" t="s">
        <v>29</v>
      </c>
      <c r="F11" s="64" t="s">
        <v>29</v>
      </c>
      <c r="G11" s="64" t="s">
        <v>29</v>
      </c>
      <c r="H11" s="64" t="s">
        <v>29</v>
      </c>
      <c r="I11" s="64" t="s">
        <v>29</v>
      </c>
      <c r="J11" s="64" t="s">
        <v>29</v>
      </c>
      <c r="K11" s="64" t="s">
        <v>29</v>
      </c>
      <c r="L11" s="64" t="s">
        <v>29</v>
      </c>
      <c r="M11" s="64" t="s">
        <v>29</v>
      </c>
      <c r="N11" s="64" t="s">
        <v>29</v>
      </c>
      <c r="O11" s="64" t="s">
        <v>29</v>
      </c>
      <c r="P11" s="64" t="s">
        <v>29</v>
      </c>
      <c r="Q11" s="64" t="s">
        <v>30</v>
      </c>
      <c r="R11" s="64" t="s">
        <v>30</v>
      </c>
      <c r="S11" s="64" t="s">
        <v>30</v>
      </c>
      <c r="T11" s="64" t="s">
        <v>30</v>
      </c>
      <c r="U11" s="64" t="s">
        <v>30</v>
      </c>
      <c r="V11" s="64" t="s">
        <v>30</v>
      </c>
      <c r="W11" s="64" t="s">
        <v>30</v>
      </c>
      <c r="X11" s="64" t="s">
        <v>30</v>
      </c>
      <c r="Y11" s="64" t="s">
        <v>30</v>
      </c>
      <c r="Z11" s="64" t="s">
        <v>30</v>
      </c>
      <c r="AA11" s="64" t="s">
        <v>30</v>
      </c>
      <c r="AB11" s="64" t="s">
        <v>30</v>
      </c>
      <c r="AC11" s="64" t="s">
        <v>30</v>
      </c>
    </row>
    <row r="12" spans="1:29" s="22" customFormat="1" ht="15.7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31</v>
      </c>
      <c r="Q12" s="65" t="s">
        <v>7</v>
      </c>
      <c r="R12" s="65" t="s">
        <v>8</v>
      </c>
      <c r="S12" s="65" t="s">
        <v>9</v>
      </c>
      <c r="T12" s="65" t="s">
        <v>10</v>
      </c>
      <c r="U12" s="65" t="s">
        <v>20</v>
      </c>
      <c r="V12" s="65" t="s">
        <v>21</v>
      </c>
      <c r="W12" s="65" t="s">
        <v>22</v>
      </c>
      <c r="X12" s="65" t="s">
        <v>14</v>
      </c>
      <c r="Y12" s="65" t="s">
        <v>15</v>
      </c>
      <c r="Z12" s="65" t="s">
        <v>23</v>
      </c>
      <c r="AA12" s="65" t="s">
        <v>17</v>
      </c>
      <c r="AB12" s="65" t="s">
        <v>18</v>
      </c>
      <c r="AC12" s="65" t="s">
        <v>19</v>
      </c>
    </row>
    <row r="13" spans="1:29" s="22" customFormat="1" ht="18.75" customHeight="1" thickBot="1">
      <c r="A13" s="66">
        <v>1</v>
      </c>
      <c r="B13" s="66">
        <v>2</v>
      </c>
      <c r="C13" s="66"/>
      <c r="D13" s="66">
        <v>5</v>
      </c>
      <c r="E13" s="66">
        <v>5</v>
      </c>
      <c r="F13" s="66">
        <v>5</v>
      </c>
      <c r="G13" s="66">
        <v>5</v>
      </c>
      <c r="H13" s="66">
        <v>5</v>
      </c>
      <c r="I13" s="66">
        <v>5</v>
      </c>
      <c r="J13" s="66">
        <v>5</v>
      </c>
      <c r="K13" s="66">
        <v>5</v>
      </c>
      <c r="L13" s="66">
        <v>5</v>
      </c>
      <c r="M13" s="66">
        <v>5</v>
      </c>
      <c r="N13" s="66">
        <v>5</v>
      </c>
      <c r="O13" s="66">
        <v>5</v>
      </c>
      <c r="P13" s="66">
        <v>6</v>
      </c>
      <c r="Q13" s="66">
        <v>7</v>
      </c>
      <c r="R13" s="66">
        <v>7</v>
      </c>
      <c r="S13" s="66">
        <v>7</v>
      </c>
      <c r="T13" s="66">
        <v>7</v>
      </c>
      <c r="U13" s="66">
        <v>7</v>
      </c>
      <c r="V13" s="66">
        <v>7</v>
      </c>
      <c r="W13" s="66">
        <v>7</v>
      </c>
      <c r="X13" s="66">
        <v>7</v>
      </c>
      <c r="Y13" s="66">
        <v>7</v>
      </c>
      <c r="Z13" s="66">
        <v>7</v>
      </c>
      <c r="AA13" s="66">
        <v>7</v>
      </c>
      <c r="AB13" s="66">
        <v>7</v>
      </c>
      <c r="AC13" s="66">
        <v>8</v>
      </c>
    </row>
    <row r="14" spans="1:29" s="14" customFormat="1" ht="13.5" thickBot="1">
      <c r="A14" s="34"/>
      <c r="B14" s="35" t="s">
        <v>45</v>
      </c>
      <c r="C14" s="36">
        <f aca="true" t="shared" si="0" ref="C14:AC14">SUM(C17)</f>
        <v>31685253</v>
      </c>
      <c r="D14" s="36">
        <f t="shared" si="0"/>
        <v>0</v>
      </c>
      <c r="E14" s="36">
        <f t="shared" si="0"/>
        <v>8787744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8787744</v>
      </c>
      <c r="Q14" s="36">
        <f t="shared" si="0"/>
        <v>0</v>
      </c>
      <c r="R14" s="36">
        <f t="shared" si="0"/>
        <v>7224858</v>
      </c>
      <c r="S14" s="36">
        <f t="shared" si="0"/>
        <v>1562886</v>
      </c>
      <c r="T14" s="36">
        <f t="shared" si="0"/>
        <v>0</v>
      </c>
      <c r="U14" s="36">
        <f t="shared" si="0"/>
        <v>0</v>
      </c>
      <c r="V14" s="36">
        <f t="shared" si="0"/>
        <v>0</v>
      </c>
      <c r="W14" s="36">
        <f t="shared" si="0"/>
        <v>0</v>
      </c>
      <c r="X14" s="36">
        <f t="shared" si="0"/>
        <v>0</v>
      </c>
      <c r="Y14" s="36">
        <f t="shared" si="0"/>
        <v>0</v>
      </c>
      <c r="Z14" s="36">
        <f t="shared" si="0"/>
        <v>0</v>
      </c>
      <c r="AA14" s="36">
        <f t="shared" si="0"/>
        <v>0</v>
      </c>
      <c r="AB14" s="36">
        <f t="shared" si="0"/>
        <v>0</v>
      </c>
      <c r="AC14" s="36">
        <f t="shared" si="0"/>
        <v>8787744</v>
      </c>
    </row>
    <row r="15" spans="1:29" s="14" customFormat="1" ht="13.5" hidden="1" thickBot="1">
      <c r="A15" s="34"/>
      <c r="B15" s="35" t="s">
        <v>42</v>
      </c>
      <c r="C15" s="36">
        <f aca="true" t="shared" si="1" ref="C15:O15">SUM(C16:C16)</f>
        <v>0</v>
      </c>
      <c r="D15" s="36">
        <f t="shared" si="1"/>
        <v>0</v>
      </c>
      <c r="E15" s="36">
        <f t="shared" si="1"/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  <c r="L15" s="36">
        <f t="shared" si="1"/>
        <v>0</v>
      </c>
      <c r="M15" s="36">
        <f t="shared" si="1"/>
        <v>0</v>
      </c>
      <c r="N15" s="36">
        <f t="shared" si="1"/>
        <v>0</v>
      </c>
      <c r="O15" s="36">
        <f t="shared" si="1"/>
        <v>0</v>
      </c>
      <c r="P15" s="36">
        <f aca="true" t="shared" si="2" ref="P15:AC15">SUM(P16:P16)</f>
        <v>0</v>
      </c>
      <c r="Q15" s="36">
        <f t="shared" si="2"/>
        <v>0</v>
      </c>
      <c r="R15" s="36">
        <f t="shared" si="2"/>
        <v>0</v>
      </c>
      <c r="S15" s="36">
        <f t="shared" si="2"/>
        <v>0</v>
      </c>
      <c r="T15" s="36">
        <f t="shared" si="2"/>
        <v>0</v>
      </c>
      <c r="U15" s="36">
        <f t="shared" si="2"/>
        <v>0</v>
      </c>
      <c r="V15" s="36">
        <f t="shared" si="2"/>
        <v>0</v>
      </c>
      <c r="W15" s="36">
        <f t="shared" si="2"/>
        <v>0</v>
      </c>
      <c r="X15" s="36">
        <f t="shared" si="2"/>
        <v>0</v>
      </c>
      <c r="Y15" s="36">
        <f t="shared" si="2"/>
        <v>0</v>
      </c>
      <c r="Z15" s="36">
        <f t="shared" si="2"/>
        <v>0</v>
      </c>
      <c r="AA15" s="36">
        <f t="shared" si="2"/>
        <v>0</v>
      </c>
      <c r="AB15" s="36">
        <f t="shared" si="2"/>
        <v>0</v>
      </c>
      <c r="AC15" s="36">
        <f t="shared" si="2"/>
        <v>0</v>
      </c>
    </row>
    <row r="16" spans="1:29" s="12" customFormat="1" ht="13.5" hidden="1" thickBot="1">
      <c r="A16" s="15" t="s">
        <v>128</v>
      </c>
      <c r="B16" s="40" t="s">
        <v>32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50">
        <f>SUM(D16:O16)</f>
        <v>0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83"/>
    </row>
    <row r="17" spans="1:29" s="14" customFormat="1" ht="13.5" thickBot="1">
      <c r="A17" s="21"/>
      <c r="B17" s="46" t="s">
        <v>43</v>
      </c>
      <c r="C17" s="47">
        <f aca="true" t="shared" si="3" ref="C17:AC17">SUM(C18:C18)</f>
        <v>31685253</v>
      </c>
      <c r="D17" s="47">
        <f t="shared" si="3"/>
        <v>0</v>
      </c>
      <c r="E17" s="47">
        <f t="shared" si="3"/>
        <v>8787744</v>
      </c>
      <c r="F17" s="47">
        <f t="shared" si="3"/>
        <v>0</v>
      </c>
      <c r="G17" s="47">
        <f t="shared" si="3"/>
        <v>0</v>
      </c>
      <c r="H17" s="47">
        <f t="shared" si="3"/>
        <v>0</v>
      </c>
      <c r="I17" s="47">
        <f t="shared" si="3"/>
        <v>0</v>
      </c>
      <c r="J17" s="47">
        <f t="shared" si="3"/>
        <v>0</v>
      </c>
      <c r="K17" s="47">
        <f t="shared" si="3"/>
        <v>0</v>
      </c>
      <c r="L17" s="47">
        <f t="shared" si="3"/>
        <v>0</v>
      </c>
      <c r="M17" s="47">
        <f t="shared" si="3"/>
        <v>0</v>
      </c>
      <c r="N17" s="47">
        <f t="shared" si="3"/>
        <v>0</v>
      </c>
      <c r="O17" s="47">
        <f t="shared" si="3"/>
        <v>0</v>
      </c>
      <c r="P17" s="47">
        <f t="shared" si="3"/>
        <v>8787744</v>
      </c>
      <c r="Q17" s="47">
        <f t="shared" si="3"/>
        <v>0</v>
      </c>
      <c r="R17" s="47">
        <f t="shared" si="3"/>
        <v>7224858</v>
      </c>
      <c r="S17" s="47">
        <f t="shared" si="3"/>
        <v>1562886</v>
      </c>
      <c r="T17" s="47">
        <f t="shared" si="3"/>
        <v>0</v>
      </c>
      <c r="U17" s="47">
        <f t="shared" si="3"/>
        <v>0</v>
      </c>
      <c r="V17" s="47">
        <f t="shared" si="3"/>
        <v>0</v>
      </c>
      <c r="W17" s="47">
        <f t="shared" si="3"/>
        <v>0</v>
      </c>
      <c r="X17" s="47">
        <f t="shared" si="3"/>
        <v>0</v>
      </c>
      <c r="Y17" s="47">
        <f t="shared" si="3"/>
        <v>0</v>
      </c>
      <c r="Z17" s="47">
        <f t="shared" si="3"/>
        <v>0</v>
      </c>
      <c r="AA17" s="47">
        <f t="shared" si="3"/>
        <v>0</v>
      </c>
      <c r="AB17" s="47">
        <f t="shared" si="3"/>
        <v>0</v>
      </c>
      <c r="AC17" s="37">
        <f t="shared" si="3"/>
        <v>8787744</v>
      </c>
    </row>
    <row r="18" spans="1:29" s="14" customFormat="1" ht="13.5" thickBot="1">
      <c r="A18" s="16" t="s">
        <v>193</v>
      </c>
      <c r="B18" s="48" t="s">
        <v>154</v>
      </c>
      <c r="C18" s="89">
        <v>31685253</v>
      </c>
      <c r="D18" s="85">
        <v>0</v>
      </c>
      <c r="E18" s="89">
        <v>8787744</v>
      </c>
      <c r="F18" s="85">
        <v>0</v>
      </c>
      <c r="G18" s="85"/>
      <c r="H18" s="85"/>
      <c r="I18" s="85"/>
      <c r="J18" s="85"/>
      <c r="K18" s="85"/>
      <c r="L18" s="85"/>
      <c r="M18" s="85"/>
      <c r="N18" s="85"/>
      <c r="O18" s="85"/>
      <c r="P18" s="50">
        <f>SUM(D18:O18)</f>
        <v>8787744</v>
      </c>
      <c r="Q18" s="85">
        <v>0</v>
      </c>
      <c r="R18" s="85">
        <v>7224858</v>
      </c>
      <c r="S18" s="89">
        <v>1562886</v>
      </c>
      <c r="T18" s="85"/>
      <c r="U18" s="85"/>
      <c r="V18" s="85"/>
      <c r="W18" s="85"/>
      <c r="X18" s="85"/>
      <c r="Y18" s="85"/>
      <c r="Z18" s="85"/>
      <c r="AA18" s="99"/>
      <c r="AB18" s="85"/>
      <c r="AC18" s="83">
        <f>SUM(Q18:AB18)</f>
        <v>8787744</v>
      </c>
    </row>
    <row r="19" spans="1:29" s="14" customFormat="1" ht="13.5" hidden="1" thickBot="1">
      <c r="A19" s="21"/>
      <c r="B19" s="46" t="s">
        <v>44</v>
      </c>
      <c r="C19" s="47">
        <f aca="true" t="shared" si="4" ref="C19:AC19">SUM(C20:C22)</f>
        <v>0</v>
      </c>
      <c r="D19" s="47">
        <f t="shared" si="4"/>
        <v>0</v>
      </c>
      <c r="E19" s="47">
        <f t="shared" si="4"/>
        <v>0</v>
      </c>
      <c r="F19" s="47">
        <f t="shared" si="4"/>
        <v>0</v>
      </c>
      <c r="G19" s="47">
        <f t="shared" si="4"/>
        <v>0</v>
      </c>
      <c r="H19" s="47">
        <f t="shared" si="4"/>
        <v>0</v>
      </c>
      <c r="I19" s="47">
        <f t="shared" si="4"/>
        <v>0</v>
      </c>
      <c r="J19" s="47">
        <f t="shared" si="4"/>
        <v>0</v>
      </c>
      <c r="K19" s="47">
        <f t="shared" si="4"/>
        <v>0</v>
      </c>
      <c r="L19" s="47">
        <f t="shared" si="4"/>
        <v>0</v>
      </c>
      <c r="M19" s="47">
        <f t="shared" si="4"/>
        <v>0</v>
      </c>
      <c r="N19" s="47">
        <f t="shared" si="4"/>
        <v>0</v>
      </c>
      <c r="O19" s="47">
        <f t="shared" si="4"/>
        <v>0</v>
      </c>
      <c r="P19" s="47">
        <f t="shared" si="4"/>
        <v>0</v>
      </c>
      <c r="Q19" s="47">
        <f t="shared" si="4"/>
        <v>0</v>
      </c>
      <c r="R19" s="47">
        <f t="shared" si="4"/>
        <v>0</v>
      </c>
      <c r="S19" s="47">
        <f t="shared" si="4"/>
        <v>0</v>
      </c>
      <c r="T19" s="47">
        <f t="shared" si="4"/>
        <v>0</v>
      </c>
      <c r="U19" s="47">
        <f t="shared" si="4"/>
        <v>0</v>
      </c>
      <c r="V19" s="47">
        <f t="shared" si="4"/>
        <v>0</v>
      </c>
      <c r="W19" s="47">
        <f t="shared" si="4"/>
        <v>0</v>
      </c>
      <c r="X19" s="47">
        <f t="shared" si="4"/>
        <v>0</v>
      </c>
      <c r="Y19" s="47">
        <f t="shared" si="4"/>
        <v>0</v>
      </c>
      <c r="Z19" s="47">
        <f t="shared" si="4"/>
        <v>0</v>
      </c>
      <c r="AA19" s="41">
        <v>0</v>
      </c>
      <c r="AB19" s="47">
        <f t="shared" si="4"/>
        <v>0</v>
      </c>
      <c r="AC19" s="37">
        <f t="shared" si="4"/>
        <v>0</v>
      </c>
    </row>
    <row r="20" spans="1:29" s="12" customFormat="1" ht="13.5" hidden="1" thickBot="1">
      <c r="A20" s="68" t="s">
        <v>40</v>
      </c>
      <c r="B20" s="52" t="s">
        <v>46</v>
      </c>
      <c r="C20" s="53"/>
      <c r="D20" s="41"/>
      <c r="E20" s="45"/>
      <c r="F20" s="42"/>
      <c r="G20" s="53"/>
      <c r="H20" s="42"/>
      <c r="I20" s="41"/>
      <c r="J20" s="41"/>
      <c r="K20" s="41"/>
      <c r="L20" s="41"/>
      <c r="M20" s="41"/>
      <c r="N20" s="41"/>
      <c r="O20" s="41"/>
      <c r="P20" s="42">
        <f>SUM(D20:O20)</f>
        <v>0</v>
      </c>
      <c r="Q20" s="41">
        <v>0</v>
      </c>
      <c r="R20" s="42"/>
      <c r="S20" s="41"/>
      <c r="T20" s="41"/>
      <c r="U20" s="41"/>
      <c r="V20" s="41"/>
      <c r="W20" s="41"/>
      <c r="X20" s="41"/>
      <c r="Y20" s="53"/>
      <c r="Z20" s="42"/>
      <c r="AA20" s="47">
        <f>SUM(AA21:AA23)</f>
        <v>0</v>
      </c>
      <c r="AB20" s="41"/>
      <c r="AC20" s="43">
        <f>SUM(Q20:AB20)</f>
        <v>0</v>
      </c>
    </row>
    <row r="21" spans="1:29" s="12" customFormat="1" ht="13.5" hidden="1" thickBot="1">
      <c r="A21" s="15" t="s">
        <v>50</v>
      </c>
      <c r="B21" s="40" t="s">
        <v>49</v>
      </c>
      <c r="C21" s="41"/>
      <c r="D21" s="41"/>
      <c r="E21" s="45"/>
      <c r="F21" s="42"/>
      <c r="G21" s="41"/>
      <c r="H21" s="42"/>
      <c r="I21" s="41"/>
      <c r="J21" s="41"/>
      <c r="K21" s="41"/>
      <c r="L21" s="41"/>
      <c r="M21" s="41"/>
      <c r="N21" s="41"/>
      <c r="O21" s="41"/>
      <c r="P21" s="42">
        <f>SUM(D21:O21)</f>
        <v>0</v>
      </c>
      <c r="Q21" s="41">
        <v>0</v>
      </c>
      <c r="R21" s="42"/>
      <c r="S21" s="41"/>
      <c r="T21" s="41"/>
      <c r="U21" s="41"/>
      <c r="V21" s="41"/>
      <c r="W21" s="41"/>
      <c r="X21" s="41"/>
      <c r="Y21" s="53"/>
      <c r="Z21" s="42"/>
      <c r="AA21" s="41"/>
      <c r="AB21" s="41"/>
      <c r="AC21" s="43">
        <f>SUM(Q21:AB21)</f>
        <v>0</v>
      </c>
    </row>
    <row r="22" spans="1:29" s="12" customFormat="1" ht="13.5" hidden="1" thickBot="1">
      <c r="A22" s="15" t="s">
        <v>47</v>
      </c>
      <c r="B22" s="40" t="s">
        <v>48</v>
      </c>
      <c r="C22" s="50"/>
      <c r="D22" s="42"/>
      <c r="E22" s="56"/>
      <c r="F22" s="42"/>
      <c r="G22" s="44"/>
      <c r="H22" s="42"/>
      <c r="I22" s="57"/>
      <c r="J22" s="44"/>
      <c r="K22" s="44"/>
      <c r="L22" s="58"/>
      <c r="M22" s="44"/>
      <c r="N22" s="49"/>
      <c r="O22" s="41"/>
      <c r="P22" s="50">
        <f>SUM(D22:O22)</f>
        <v>0</v>
      </c>
      <c r="Q22" s="50">
        <v>0</v>
      </c>
      <c r="R22" s="56"/>
      <c r="S22" s="54"/>
      <c r="T22" s="54"/>
      <c r="U22" s="44"/>
      <c r="V22" s="57"/>
      <c r="W22" s="54"/>
      <c r="X22" s="44"/>
      <c r="Y22" s="55"/>
      <c r="Z22" s="44"/>
      <c r="AA22" s="41"/>
      <c r="AB22" s="41"/>
      <c r="AC22" s="43">
        <f>SUM(Q22:AB22)</f>
        <v>0</v>
      </c>
    </row>
    <row r="23" spans="1:29" s="14" customFormat="1" ht="18" customHeight="1" thickBot="1">
      <c r="A23" s="21"/>
      <c r="B23" s="46" t="s">
        <v>41</v>
      </c>
      <c r="C23" s="47">
        <f aca="true" t="shared" si="5" ref="C23:AC23">SUM(C24:C37)</f>
        <v>1714984020.5</v>
      </c>
      <c r="D23" s="47">
        <f t="shared" si="5"/>
        <v>0</v>
      </c>
      <c r="E23" s="47">
        <f t="shared" si="5"/>
        <v>159768398</v>
      </c>
      <c r="F23" s="47">
        <f t="shared" si="5"/>
        <v>419986298.5</v>
      </c>
      <c r="G23" s="47">
        <f t="shared" si="5"/>
        <v>0</v>
      </c>
      <c r="H23" s="47">
        <f t="shared" si="5"/>
        <v>0</v>
      </c>
      <c r="I23" s="47">
        <f t="shared" si="5"/>
        <v>0</v>
      </c>
      <c r="J23" s="47">
        <f t="shared" si="5"/>
        <v>0</v>
      </c>
      <c r="K23" s="47">
        <f t="shared" si="5"/>
        <v>0</v>
      </c>
      <c r="L23" s="47">
        <f t="shared" si="5"/>
        <v>0</v>
      </c>
      <c r="M23" s="47">
        <f t="shared" si="5"/>
        <v>0</v>
      </c>
      <c r="N23" s="47">
        <f t="shared" si="5"/>
        <v>0</v>
      </c>
      <c r="O23" s="47">
        <f t="shared" si="5"/>
        <v>0</v>
      </c>
      <c r="P23" s="47">
        <f t="shared" si="5"/>
        <v>579754696.5</v>
      </c>
      <c r="Q23" s="47">
        <f t="shared" si="5"/>
        <v>0</v>
      </c>
      <c r="R23" s="47">
        <f t="shared" si="5"/>
        <v>105073739</v>
      </c>
      <c r="S23" s="47">
        <f t="shared" si="5"/>
        <v>474680957.5</v>
      </c>
      <c r="T23" s="47">
        <f t="shared" si="5"/>
        <v>0</v>
      </c>
      <c r="U23" s="47">
        <f t="shared" si="5"/>
        <v>0</v>
      </c>
      <c r="V23" s="47">
        <f t="shared" si="5"/>
        <v>0</v>
      </c>
      <c r="W23" s="47">
        <f t="shared" si="5"/>
        <v>0</v>
      </c>
      <c r="X23" s="47">
        <f t="shared" si="5"/>
        <v>0</v>
      </c>
      <c r="Y23" s="47">
        <f t="shared" si="5"/>
        <v>0</v>
      </c>
      <c r="Z23" s="47">
        <f t="shared" si="5"/>
        <v>0</v>
      </c>
      <c r="AA23" s="47">
        <f t="shared" si="5"/>
        <v>0</v>
      </c>
      <c r="AB23" s="47">
        <f t="shared" si="5"/>
        <v>0</v>
      </c>
      <c r="AC23" s="37">
        <f t="shared" si="5"/>
        <v>579754696.5</v>
      </c>
    </row>
    <row r="24" spans="1:29" s="10" customFormat="1" ht="13.5" thickBot="1">
      <c r="A24" s="82" t="s">
        <v>116</v>
      </c>
      <c r="B24" s="13" t="s">
        <v>115</v>
      </c>
      <c r="C24" s="49">
        <f>758486046-11181397</f>
        <v>747304649</v>
      </c>
      <c r="D24" s="105">
        <v>0</v>
      </c>
      <c r="E24" s="105">
        <v>44825418</v>
      </c>
      <c r="F24" s="105">
        <f>56468702</f>
        <v>56468702</v>
      </c>
      <c r="G24" s="105"/>
      <c r="H24" s="105"/>
      <c r="I24" s="105"/>
      <c r="J24" s="105"/>
      <c r="K24" s="105"/>
      <c r="L24" s="105"/>
      <c r="M24" s="105"/>
      <c r="N24" s="97"/>
      <c r="O24" s="105"/>
      <c r="P24" s="50">
        <f aca="true" t="shared" si="6" ref="P24:P36">SUM(D24:O24)</f>
        <v>101294120</v>
      </c>
      <c r="Q24" s="105">
        <v>0</v>
      </c>
      <c r="R24" s="111">
        <v>30790153</v>
      </c>
      <c r="S24" s="105">
        <f>70503967</f>
        <v>70503967</v>
      </c>
      <c r="T24" s="105"/>
      <c r="U24" s="105"/>
      <c r="V24" s="105"/>
      <c r="W24" s="105"/>
      <c r="X24" s="105"/>
      <c r="Y24" s="105"/>
      <c r="Z24" s="105"/>
      <c r="AA24" s="47"/>
      <c r="AB24" s="105"/>
      <c r="AC24" s="43">
        <f aca="true" t="shared" si="7" ref="AC24:AC37">SUM(Q24:AB24)</f>
        <v>101294120</v>
      </c>
    </row>
    <row r="25" spans="1:29" s="10" customFormat="1" ht="12.75">
      <c r="A25" s="82" t="s">
        <v>117</v>
      </c>
      <c r="B25" s="13" t="s">
        <v>126</v>
      </c>
      <c r="C25" s="49">
        <v>203312176</v>
      </c>
      <c r="D25" s="105">
        <v>0</v>
      </c>
      <c r="E25" s="105">
        <v>78016014</v>
      </c>
      <c r="F25" s="105">
        <f>73019734+5372162+770336</f>
        <v>79162232</v>
      </c>
      <c r="G25" s="105"/>
      <c r="H25" s="105"/>
      <c r="I25" s="105"/>
      <c r="J25" s="105"/>
      <c r="K25" s="105"/>
      <c r="L25" s="105"/>
      <c r="M25" s="105"/>
      <c r="N25" s="97"/>
      <c r="O25" s="105"/>
      <c r="P25" s="50">
        <f t="shared" si="6"/>
        <v>157178246</v>
      </c>
      <c r="Q25" s="105">
        <v>0</v>
      </c>
      <c r="R25" s="105">
        <v>54803070</v>
      </c>
      <c r="S25" s="105">
        <f>93673648+2559030+5372162+770336</f>
        <v>102375176</v>
      </c>
      <c r="T25" s="105"/>
      <c r="U25" s="105"/>
      <c r="V25" s="105"/>
      <c r="W25" s="105"/>
      <c r="X25" s="105"/>
      <c r="Y25" s="105"/>
      <c r="Z25" s="105"/>
      <c r="AA25" s="97"/>
      <c r="AB25" s="105"/>
      <c r="AC25" s="43">
        <f t="shared" si="7"/>
        <v>157178246</v>
      </c>
    </row>
    <row r="26" spans="1:29" s="10" customFormat="1" ht="12.75">
      <c r="A26" s="82" t="s">
        <v>118</v>
      </c>
      <c r="B26" s="13" t="s">
        <v>127</v>
      </c>
      <c r="C26" s="49">
        <v>45970329</v>
      </c>
      <c r="D26" s="105">
        <v>0</v>
      </c>
      <c r="E26" s="105">
        <v>4218957</v>
      </c>
      <c r="F26" s="105">
        <f>14139047+1881578</f>
        <v>16020625</v>
      </c>
      <c r="G26" s="105"/>
      <c r="H26" s="105"/>
      <c r="I26" s="105"/>
      <c r="J26" s="105"/>
      <c r="K26" s="105"/>
      <c r="L26" s="105"/>
      <c r="M26" s="105"/>
      <c r="N26" s="105"/>
      <c r="O26" s="105"/>
      <c r="P26" s="50">
        <f t="shared" si="6"/>
        <v>20239582</v>
      </c>
      <c r="Q26" s="105">
        <v>0</v>
      </c>
      <c r="R26" s="105">
        <v>0</v>
      </c>
      <c r="S26" s="105">
        <f>15182035+3175969+1881578</f>
        <v>20239582</v>
      </c>
      <c r="T26" s="105"/>
      <c r="U26" s="105"/>
      <c r="V26" s="105"/>
      <c r="W26" s="105"/>
      <c r="X26" s="105"/>
      <c r="Y26" s="105"/>
      <c r="Z26" s="105"/>
      <c r="AA26" s="97"/>
      <c r="AB26" s="105"/>
      <c r="AC26" s="43">
        <f t="shared" si="7"/>
        <v>20239582</v>
      </c>
    </row>
    <row r="27" spans="1:29" s="10" customFormat="1" ht="12.75">
      <c r="A27" s="82" t="s">
        <v>119</v>
      </c>
      <c r="B27" s="13" t="s">
        <v>133</v>
      </c>
      <c r="C27" s="49">
        <v>93282109</v>
      </c>
      <c r="D27" s="105">
        <v>0</v>
      </c>
      <c r="E27" s="105">
        <v>182980</v>
      </c>
      <c r="F27" s="105">
        <f>3352599</f>
        <v>3352599</v>
      </c>
      <c r="G27" s="105"/>
      <c r="H27" s="105"/>
      <c r="I27" s="105"/>
      <c r="J27" s="105"/>
      <c r="K27" s="105"/>
      <c r="L27" s="105"/>
      <c r="M27" s="105"/>
      <c r="N27" s="105"/>
      <c r="O27" s="105"/>
      <c r="P27" s="50">
        <f t="shared" si="6"/>
        <v>3535579</v>
      </c>
      <c r="Q27" s="105">
        <v>0</v>
      </c>
      <c r="R27" s="111">
        <v>0</v>
      </c>
      <c r="S27" s="105">
        <f>182980+3352599</f>
        <v>3535579</v>
      </c>
      <c r="T27" s="105"/>
      <c r="U27" s="105"/>
      <c r="V27" s="105"/>
      <c r="W27" s="105"/>
      <c r="X27" s="105"/>
      <c r="Y27" s="105"/>
      <c r="Z27" s="105"/>
      <c r="AA27" s="97"/>
      <c r="AB27" s="105"/>
      <c r="AC27" s="43">
        <f t="shared" si="7"/>
        <v>3535579</v>
      </c>
    </row>
    <row r="28" spans="1:29" s="10" customFormat="1" ht="12.75">
      <c r="A28" s="82" t="s">
        <v>120</v>
      </c>
      <c r="B28" s="13" t="s">
        <v>134</v>
      </c>
      <c r="C28" s="49">
        <v>8786216</v>
      </c>
      <c r="D28" s="105">
        <v>0</v>
      </c>
      <c r="E28" s="105">
        <v>2917534</v>
      </c>
      <c r="F28" s="105">
        <f>480291</f>
        <v>480291</v>
      </c>
      <c r="G28" s="105"/>
      <c r="H28" s="105"/>
      <c r="I28" s="105"/>
      <c r="J28" s="105"/>
      <c r="K28" s="105"/>
      <c r="L28" s="105"/>
      <c r="M28" s="105"/>
      <c r="N28" s="105"/>
      <c r="O28" s="105"/>
      <c r="P28" s="50">
        <f t="shared" si="6"/>
        <v>3397825</v>
      </c>
      <c r="Q28" s="105">
        <v>0</v>
      </c>
      <c r="R28" s="105">
        <v>954312</v>
      </c>
      <c r="S28" s="105">
        <f>365961+1597261+480291</f>
        <v>2443513</v>
      </c>
      <c r="T28" s="105"/>
      <c r="U28" s="105"/>
      <c r="V28" s="105"/>
      <c r="W28" s="105"/>
      <c r="X28" s="105"/>
      <c r="Y28" s="105"/>
      <c r="Z28" s="105"/>
      <c r="AA28" s="97"/>
      <c r="AB28" s="105"/>
      <c r="AC28" s="43">
        <f t="shared" si="7"/>
        <v>3397825</v>
      </c>
    </row>
    <row r="29" spans="1:29" s="10" customFormat="1" ht="12.75">
      <c r="A29" s="82" t="s">
        <v>121</v>
      </c>
      <c r="B29" s="13" t="s">
        <v>135</v>
      </c>
      <c r="C29" s="49">
        <v>157670597</v>
      </c>
      <c r="D29" s="105">
        <v>0</v>
      </c>
      <c r="E29" s="105">
        <v>0</v>
      </c>
      <c r="F29" s="105">
        <f>68914358</f>
        <v>68914358</v>
      </c>
      <c r="G29" s="105"/>
      <c r="H29" s="105"/>
      <c r="I29" s="105"/>
      <c r="J29" s="105"/>
      <c r="K29" s="105"/>
      <c r="L29" s="105"/>
      <c r="M29" s="105"/>
      <c r="N29" s="105"/>
      <c r="O29" s="105"/>
      <c r="P29" s="50">
        <f t="shared" si="6"/>
        <v>68914358</v>
      </c>
      <c r="Q29" s="105">
        <v>0</v>
      </c>
      <c r="R29" s="111">
        <v>0</v>
      </c>
      <c r="S29" s="105">
        <f>68914358</f>
        <v>68914358</v>
      </c>
      <c r="T29" s="105"/>
      <c r="U29" s="105"/>
      <c r="V29" s="105"/>
      <c r="W29" s="105"/>
      <c r="X29" s="105"/>
      <c r="Y29" s="105"/>
      <c r="Z29" s="105"/>
      <c r="AA29" s="97"/>
      <c r="AB29" s="105"/>
      <c r="AC29" s="43">
        <f t="shared" si="7"/>
        <v>68914358</v>
      </c>
    </row>
    <row r="30" spans="1:29" s="10" customFormat="1" ht="12.75">
      <c r="A30" s="82" t="s">
        <v>122</v>
      </c>
      <c r="B30" s="13" t="s">
        <v>136</v>
      </c>
      <c r="C30" s="49">
        <v>10588925</v>
      </c>
      <c r="D30" s="105">
        <v>0</v>
      </c>
      <c r="E30" s="105">
        <v>2923583</v>
      </c>
      <c r="F30" s="105">
        <f>2875359+2574731</f>
        <v>5450090</v>
      </c>
      <c r="G30" s="105"/>
      <c r="H30" s="105"/>
      <c r="I30" s="105"/>
      <c r="J30" s="105"/>
      <c r="K30" s="105"/>
      <c r="L30" s="105"/>
      <c r="M30" s="105"/>
      <c r="N30" s="105"/>
      <c r="O30" s="105"/>
      <c r="P30" s="50">
        <f t="shared" si="6"/>
        <v>8373673</v>
      </c>
      <c r="Q30" s="105">
        <v>0</v>
      </c>
      <c r="R30" s="111">
        <v>2158026</v>
      </c>
      <c r="S30" s="105">
        <f>3640916+2574731</f>
        <v>6215647</v>
      </c>
      <c r="T30" s="105"/>
      <c r="U30" s="105"/>
      <c r="V30" s="105"/>
      <c r="W30" s="105"/>
      <c r="X30" s="105"/>
      <c r="Y30" s="105"/>
      <c r="Z30" s="105"/>
      <c r="AA30" s="97"/>
      <c r="AB30" s="105"/>
      <c r="AC30" s="43">
        <f t="shared" si="7"/>
        <v>8373673</v>
      </c>
    </row>
    <row r="31" spans="1:29" s="10" customFormat="1" ht="12.75">
      <c r="A31" s="82" t="s">
        <v>123</v>
      </c>
      <c r="B31" s="13" t="s">
        <v>137</v>
      </c>
      <c r="C31" s="49">
        <v>56184419</v>
      </c>
      <c r="D31" s="105">
        <v>0</v>
      </c>
      <c r="E31" s="105">
        <v>3881948</v>
      </c>
      <c r="F31" s="105">
        <f>27257568</f>
        <v>27257568</v>
      </c>
      <c r="G31" s="105"/>
      <c r="H31" s="105"/>
      <c r="I31" s="105"/>
      <c r="J31" s="105"/>
      <c r="K31" s="105"/>
      <c r="L31" s="105"/>
      <c r="M31" s="105"/>
      <c r="N31" s="105"/>
      <c r="O31" s="105"/>
      <c r="P31" s="50">
        <f t="shared" si="6"/>
        <v>31139516</v>
      </c>
      <c r="Q31" s="105">
        <v>0</v>
      </c>
      <c r="R31" s="105">
        <v>0</v>
      </c>
      <c r="S31" s="105">
        <f>31139516</f>
        <v>31139516</v>
      </c>
      <c r="T31" s="105"/>
      <c r="U31" s="105"/>
      <c r="V31" s="105"/>
      <c r="W31" s="105"/>
      <c r="X31" s="105"/>
      <c r="Y31" s="105"/>
      <c r="Z31" s="105"/>
      <c r="AA31" s="97"/>
      <c r="AB31" s="105"/>
      <c r="AC31" s="43">
        <f t="shared" si="7"/>
        <v>31139516</v>
      </c>
    </row>
    <row r="32" spans="1:29" s="10" customFormat="1" ht="12.75">
      <c r="A32" s="82" t="s">
        <v>124</v>
      </c>
      <c r="B32" s="13" t="s">
        <v>138</v>
      </c>
      <c r="C32" s="49">
        <v>10129816</v>
      </c>
      <c r="D32" s="105">
        <v>0</v>
      </c>
      <c r="E32" s="105">
        <v>1838641</v>
      </c>
      <c r="F32" s="105">
        <f>986999</f>
        <v>986999</v>
      </c>
      <c r="G32" s="105"/>
      <c r="H32" s="105"/>
      <c r="I32" s="105"/>
      <c r="J32" s="105"/>
      <c r="K32" s="105"/>
      <c r="L32" s="105"/>
      <c r="M32" s="105"/>
      <c r="N32" s="105"/>
      <c r="O32" s="105"/>
      <c r="P32" s="50">
        <f t="shared" si="6"/>
        <v>2825640</v>
      </c>
      <c r="Q32" s="105">
        <v>0</v>
      </c>
      <c r="R32" s="105">
        <v>0</v>
      </c>
      <c r="S32" s="105">
        <f>807243+1031398+986999</f>
        <v>2825640</v>
      </c>
      <c r="T32" s="105"/>
      <c r="U32" s="105"/>
      <c r="V32" s="105"/>
      <c r="W32" s="105"/>
      <c r="X32" s="105"/>
      <c r="Y32" s="105"/>
      <c r="Z32" s="105"/>
      <c r="AA32" s="97"/>
      <c r="AB32" s="105"/>
      <c r="AC32" s="43">
        <f t="shared" si="7"/>
        <v>2825640</v>
      </c>
    </row>
    <row r="33" spans="1:29" s="10" customFormat="1" ht="12.75">
      <c r="A33" s="82" t="s">
        <v>125</v>
      </c>
      <c r="B33" s="13" t="s">
        <v>139</v>
      </c>
      <c r="C33" s="49">
        <v>3159225</v>
      </c>
      <c r="D33" s="105">
        <v>0</v>
      </c>
      <c r="E33" s="105">
        <v>548941</v>
      </c>
      <c r="F33" s="105">
        <f>2202301</f>
        <v>2202301</v>
      </c>
      <c r="G33" s="105"/>
      <c r="H33" s="105"/>
      <c r="I33" s="105"/>
      <c r="J33" s="105"/>
      <c r="K33" s="105"/>
      <c r="L33" s="105"/>
      <c r="M33" s="105"/>
      <c r="N33" s="105"/>
      <c r="O33" s="105"/>
      <c r="P33" s="50">
        <f t="shared" si="6"/>
        <v>2751242</v>
      </c>
      <c r="Q33" s="105">
        <v>0</v>
      </c>
      <c r="R33" s="111">
        <v>0</v>
      </c>
      <c r="S33" s="105">
        <f>2751242</f>
        <v>2751242</v>
      </c>
      <c r="T33" s="105"/>
      <c r="U33" s="105"/>
      <c r="V33" s="105"/>
      <c r="W33" s="105"/>
      <c r="X33" s="105"/>
      <c r="Y33" s="105"/>
      <c r="Z33" s="105"/>
      <c r="AA33" s="97"/>
      <c r="AB33" s="105"/>
      <c r="AC33" s="43">
        <f t="shared" si="7"/>
        <v>2751242</v>
      </c>
    </row>
    <row r="34" spans="1:29" s="10" customFormat="1" ht="12.75">
      <c r="A34" s="82" t="s">
        <v>132</v>
      </c>
      <c r="B34" s="13" t="s">
        <v>140</v>
      </c>
      <c r="C34" s="49">
        <v>2318702</v>
      </c>
      <c r="D34" s="105">
        <v>0</v>
      </c>
      <c r="E34" s="105">
        <v>798640</v>
      </c>
      <c r="F34" s="105">
        <v>0</v>
      </c>
      <c r="G34" s="105"/>
      <c r="H34" s="105"/>
      <c r="I34" s="105"/>
      <c r="J34" s="105"/>
      <c r="K34" s="105"/>
      <c r="L34" s="105"/>
      <c r="M34" s="105"/>
      <c r="N34" s="105"/>
      <c r="O34" s="105"/>
      <c r="P34" s="43">
        <f t="shared" si="6"/>
        <v>798640</v>
      </c>
      <c r="Q34" s="105">
        <v>0</v>
      </c>
      <c r="R34" s="111">
        <v>0</v>
      </c>
      <c r="S34" s="105">
        <f>798640</f>
        <v>798640</v>
      </c>
      <c r="T34" s="105"/>
      <c r="U34" s="105"/>
      <c r="V34" s="105"/>
      <c r="W34" s="105"/>
      <c r="X34" s="105"/>
      <c r="Y34" s="105"/>
      <c r="Z34" s="105"/>
      <c r="AA34" s="97"/>
      <c r="AB34" s="105"/>
      <c r="AC34" s="43">
        <f t="shared" si="7"/>
        <v>798640</v>
      </c>
    </row>
    <row r="35" spans="1:29" s="10" customFormat="1" ht="12.75">
      <c r="A35" s="82" t="s">
        <v>142</v>
      </c>
      <c r="B35" s="13" t="s">
        <v>155</v>
      </c>
      <c r="C35" s="49">
        <f>66909291-150000</f>
        <v>66759291</v>
      </c>
      <c r="D35" s="105">
        <v>0</v>
      </c>
      <c r="E35" s="105">
        <v>14699847</v>
      </c>
      <c r="F35" s="105">
        <f>9185541+6801693+1767888</f>
        <v>17755122</v>
      </c>
      <c r="G35" s="105"/>
      <c r="H35" s="105"/>
      <c r="I35" s="105"/>
      <c r="J35" s="105"/>
      <c r="K35" s="105"/>
      <c r="L35" s="105"/>
      <c r="M35" s="105"/>
      <c r="N35" s="105"/>
      <c r="O35" s="105"/>
      <c r="P35" s="50">
        <f>SUM(D35:O35)</f>
        <v>32454969</v>
      </c>
      <c r="Q35" s="105">
        <v>0</v>
      </c>
      <c r="R35" s="111">
        <v>12963568</v>
      </c>
      <c r="S35" s="105">
        <f>10921820+6801693+1767888</f>
        <v>19491401</v>
      </c>
      <c r="T35" s="105"/>
      <c r="U35" s="105"/>
      <c r="V35" s="105"/>
      <c r="W35" s="105"/>
      <c r="X35" s="105"/>
      <c r="Y35" s="105"/>
      <c r="Z35" s="105"/>
      <c r="AA35" s="97"/>
      <c r="AB35" s="105"/>
      <c r="AC35" s="43">
        <f>SUM(Q35:AB35)</f>
        <v>32454969</v>
      </c>
    </row>
    <row r="36" spans="1:29" s="10" customFormat="1" ht="12.75">
      <c r="A36" s="82" t="s">
        <v>152</v>
      </c>
      <c r="B36" s="13" t="s">
        <v>170</v>
      </c>
      <c r="C36" s="49">
        <v>139635134</v>
      </c>
      <c r="D36" s="105">
        <v>0</v>
      </c>
      <c r="E36" s="105">
        <v>4915895</v>
      </c>
      <c r="F36" s="105">
        <f>15217707</f>
        <v>15217707</v>
      </c>
      <c r="G36" s="105"/>
      <c r="H36" s="105"/>
      <c r="I36" s="105"/>
      <c r="J36" s="105"/>
      <c r="K36" s="105"/>
      <c r="L36" s="105"/>
      <c r="M36" s="105"/>
      <c r="N36" s="105"/>
      <c r="O36" s="105"/>
      <c r="P36" s="43">
        <f t="shared" si="6"/>
        <v>20133602</v>
      </c>
      <c r="Q36" s="105">
        <v>0</v>
      </c>
      <c r="R36" s="111">
        <v>3404610</v>
      </c>
      <c r="S36" s="105">
        <f>15345885+1383107</f>
        <v>16728992</v>
      </c>
      <c r="T36" s="105"/>
      <c r="U36" s="105"/>
      <c r="V36" s="105"/>
      <c r="W36" s="105"/>
      <c r="X36" s="105"/>
      <c r="Y36" s="105"/>
      <c r="Z36" s="105"/>
      <c r="AA36" s="97"/>
      <c r="AB36" s="105"/>
      <c r="AC36" s="43">
        <f>SUM(Q36:AB36)</f>
        <v>20133602</v>
      </c>
    </row>
    <row r="37" spans="1:29" s="10" customFormat="1" ht="13.5" thickBot="1">
      <c r="A37" s="82" t="s">
        <v>171</v>
      </c>
      <c r="B37" s="13" t="s">
        <v>167</v>
      </c>
      <c r="C37" s="49">
        <v>169882432.5</v>
      </c>
      <c r="D37" s="105">
        <v>0</v>
      </c>
      <c r="E37" s="105">
        <v>0</v>
      </c>
      <c r="F37" s="105">
        <f>126717704.5</f>
        <v>126717704.5</v>
      </c>
      <c r="G37" s="105"/>
      <c r="H37" s="105"/>
      <c r="I37" s="105"/>
      <c r="J37" s="105"/>
      <c r="K37" s="105"/>
      <c r="L37" s="105"/>
      <c r="M37" s="105"/>
      <c r="N37" s="105"/>
      <c r="O37" s="105"/>
      <c r="P37" s="50">
        <f>SUM(D37:O37)</f>
        <v>126717704.5</v>
      </c>
      <c r="Q37" s="105">
        <v>0</v>
      </c>
      <c r="R37" s="111">
        <v>0</v>
      </c>
      <c r="S37" s="105">
        <f>126717704.5</f>
        <v>126717704.5</v>
      </c>
      <c r="T37" s="105"/>
      <c r="U37" s="105"/>
      <c r="V37" s="105"/>
      <c r="W37" s="105"/>
      <c r="X37" s="105"/>
      <c r="Y37" s="105"/>
      <c r="Z37" s="105"/>
      <c r="AA37" s="97"/>
      <c r="AB37" s="105"/>
      <c r="AC37" s="43">
        <f t="shared" si="7"/>
        <v>126717704.5</v>
      </c>
    </row>
    <row r="38" spans="1:29" s="11" customFormat="1" ht="13.5" thickBot="1">
      <c r="A38" s="136" t="s">
        <v>33</v>
      </c>
      <c r="B38" s="137"/>
      <c r="C38" s="47">
        <f aca="true" t="shared" si="8" ref="C38:AC38">SUM(C14+C23)</f>
        <v>1746669273.5</v>
      </c>
      <c r="D38" s="47">
        <f t="shared" si="8"/>
        <v>0</v>
      </c>
      <c r="E38" s="47">
        <f t="shared" si="8"/>
        <v>168556142</v>
      </c>
      <c r="F38" s="47">
        <f t="shared" si="8"/>
        <v>419986298.5</v>
      </c>
      <c r="G38" s="47">
        <f t="shared" si="8"/>
        <v>0</v>
      </c>
      <c r="H38" s="47">
        <f t="shared" si="8"/>
        <v>0</v>
      </c>
      <c r="I38" s="47">
        <f t="shared" si="8"/>
        <v>0</v>
      </c>
      <c r="J38" s="47">
        <f t="shared" si="8"/>
        <v>0</v>
      </c>
      <c r="K38" s="47">
        <f t="shared" si="8"/>
        <v>0</v>
      </c>
      <c r="L38" s="47">
        <f t="shared" si="8"/>
        <v>0</v>
      </c>
      <c r="M38" s="47">
        <f t="shared" si="8"/>
        <v>0</v>
      </c>
      <c r="N38" s="47">
        <f t="shared" si="8"/>
        <v>0</v>
      </c>
      <c r="O38" s="47">
        <f t="shared" si="8"/>
        <v>0</v>
      </c>
      <c r="P38" s="47">
        <f t="shared" si="8"/>
        <v>588542440.5</v>
      </c>
      <c r="Q38" s="47">
        <f t="shared" si="8"/>
        <v>0</v>
      </c>
      <c r="R38" s="47">
        <f t="shared" si="8"/>
        <v>112298597</v>
      </c>
      <c r="S38" s="47">
        <f t="shared" si="8"/>
        <v>476243843.5</v>
      </c>
      <c r="T38" s="47">
        <f t="shared" si="8"/>
        <v>0</v>
      </c>
      <c r="U38" s="47">
        <f t="shared" si="8"/>
        <v>0</v>
      </c>
      <c r="V38" s="47">
        <f t="shared" si="8"/>
        <v>0</v>
      </c>
      <c r="W38" s="47">
        <f t="shared" si="8"/>
        <v>0</v>
      </c>
      <c r="X38" s="47">
        <f t="shared" si="8"/>
        <v>0</v>
      </c>
      <c r="Y38" s="47">
        <f t="shared" si="8"/>
        <v>0</v>
      </c>
      <c r="Z38" s="47">
        <f t="shared" si="8"/>
        <v>0</v>
      </c>
      <c r="AA38" s="47">
        <f t="shared" si="8"/>
        <v>0</v>
      </c>
      <c r="AB38" s="47">
        <f t="shared" si="8"/>
        <v>0</v>
      </c>
      <c r="AC38" s="47">
        <f t="shared" si="8"/>
        <v>588542440.5</v>
      </c>
    </row>
    <row r="39" spans="1:29" ht="12.75">
      <c r="A39" s="69" t="s">
        <v>160</v>
      </c>
      <c r="B39" s="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9"/>
    </row>
    <row r="40" spans="1:29" ht="12.75">
      <c r="A40" s="6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3.5" thickBot="1">
      <c r="A41" s="60"/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12.75">
      <c r="A42" s="60"/>
      <c r="B42" s="98" t="s">
        <v>161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5"/>
    </row>
    <row r="43" spans="1:29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</row>
    <row r="44" spans="1:29" ht="18.75" customHeight="1">
      <c r="A44" s="148" t="s">
        <v>198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50"/>
    </row>
    <row r="45" spans="1:29" ht="21" customHeight="1" hidden="1" thickBot="1">
      <c r="A45" s="151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3"/>
    </row>
    <row r="46" spans="1:29" ht="10.5" customHeight="1" hidden="1">
      <c r="A46" s="9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5"/>
    </row>
    <row r="47" spans="1:29" ht="0.75" customHeight="1" hidden="1" thickBot="1">
      <c r="A47" s="94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5"/>
    </row>
    <row r="48" spans="1:29" ht="0.75" customHeight="1" hidden="1" thickBot="1">
      <c r="A48" s="4"/>
      <c r="B48" s="91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</row>
    <row r="49" spans="1:2" ht="12.75">
      <c r="A49" s="4"/>
      <c r="B49" s="4"/>
    </row>
    <row r="52" ht="12.75">
      <c r="P52" s="10"/>
    </row>
  </sheetData>
  <sheetProtection/>
  <mergeCells count="9">
    <mergeCell ref="A1:AC1"/>
    <mergeCell ref="A2:AC2"/>
    <mergeCell ref="A3:AC3"/>
    <mergeCell ref="A44:AC45"/>
    <mergeCell ref="A5:AC5"/>
    <mergeCell ref="A7:B7"/>
    <mergeCell ref="A8:B8"/>
    <mergeCell ref="A38:B38"/>
    <mergeCell ref="A4:AC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2012-04-11T16:34:12Z</cp:lastPrinted>
  <dcterms:created xsi:type="dcterms:W3CDTF">1999-04-05T19:37:02Z</dcterms:created>
  <dcterms:modified xsi:type="dcterms:W3CDTF">2012-04-19T21:19:55Z</dcterms:modified>
  <cp:category/>
  <cp:version/>
  <cp:contentType/>
  <cp:contentStatus/>
</cp:coreProperties>
</file>