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0" windowWidth="15456" windowHeight="5628" activeTab="1"/>
  </bookViews>
  <sheets>
    <sheet name="Ingresos Fond. " sheetId="1" r:id="rId1"/>
    <sheet name="Gastos Fond " sheetId="2" r:id="rId2"/>
    <sheet name="CXP FONDANE" sheetId="3" r:id="rId3"/>
    <sheet name="RESERVA FONDANE" sheetId="4" r:id="rId4"/>
    <sheet name="Gastos Fond APN" sheetId="5" r:id="rId5"/>
  </sheets>
  <definedNames>
    <definedName name="_xlnm.Print_Area" localSheetId="2">'CXP FONDANE'!$A$1:$P$77</definedName>
    <definedName name="_xlnm.Print_Area" localSheetId="1">'Gastos Fond '!$A$1:$AP$58</definedName>
    <definedName name="_xlnm.Print_Area" localSheetId="4">'Gastos Fond APN'!$A$4:$AP$34</definedName>
    <definedName name="_xlnm.Print_Area" localSheetId="0">'Ingresos Fond. '!$A$1:$CI$27</definedName>
    <definedName name="_xlnm.Print_Area" localSheetId="3">'RESERVA FONDANE'!$A$1:$AC$54</definedName>
  </definedNames>
  <calcPr fullCalcOnLoad="1"/>
</workbook>
</file>

<file path=xl/sharedStrings.xml><?xml version="1.0" encoding="utf-8"?>
<sst xmlns="http://schemas.openxmlformats.org/spreadsheetml/2006/main" count="830" uniqueCount="276">
  <si>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</si>
  <si>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</si>
  <si>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</si>
  <si>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</si>
  <si>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</si>
  <si>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</si>
  <si>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</si>
  <si>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</si>
  <si>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</si>
  <si>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</si>
  <si>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</si>
  <si>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</si>
  <si>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</si>
  <si>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</si>
  <si>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</si>
  <si>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</si>
  <si>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</si>
  <si>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</si>
  <si>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</si>
  <si>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</si>
  <si>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</si>
  <si>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</si>
  <si>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</si>
  <si>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</si>
  <si>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</si>
  <si>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</si>
  <si>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</si>
  <si>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</si>
  <si>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</si>
  <si>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</si>
  <si>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</si>
  <si>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</si>
  <si>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</si>
  <si>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</si>
  <si>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</si>
  <si>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</si>
  <si>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</si>
  <si>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</si>
  <si>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</si>
  <si>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</si>
  <si>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</si>
  <si>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</si>
  <si>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</si>
  <si>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</si>
  <si>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</si>
  <si>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</si>
  <si>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</si>
  <si>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</si>
  <si>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</si>
  <si>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</si>
  <si>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</si>
  <si>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</si>
  <si>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</si>
  <si>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</t>
  </si>
  <si>
    <t>CONSTITUIDAS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</si>
  <si>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</si>
  <si>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</si>
  <si>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</si>
  <si>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</si>
  <si>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</si>
  <si>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</si>
  <si>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</si>
  <si>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</si>
  <si>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</si>
  <si>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</si>
  <si>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</si>
  <si>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</si>
  <si>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</si>
  <si>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</si>
  <si>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</si>
  <si>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</si>
  <si>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</si>
  <si>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</si>
  <si>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</si>
  <si>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</si>
  <si>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</si>
  <si>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</si>
  <si>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</si>
  <si>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</si>
  <si>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</si>
  <si>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</si>
  <si>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</si>
  <si>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</si>
  <si>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</si>
  <si>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</si>
  <si>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</si>
  <si>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</si>
  <si>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</si>
  <si>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</si>
  <si>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</si>
  <si>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</si>
  <si>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</si>
  <si>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</si>
  <si>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</si>
  <si>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</si>
  <si>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</si>
  <si>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</si>
  <si>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</si>
  <si>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</si>
  <si>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</si>
  <si>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</si>
  <si>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</si>
  <si>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</si>
  <si>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</si>
  <si>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</si>
  <si>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</si>
  <si>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</si>
  <si>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</si>
  <si>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</si>
  <si>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</si>
  <si>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</si>
  <si>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</si>
  <si>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</si>
  <si>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 xml:space="preserve">CUOTA DE AUDITAJE - CONTRALORIA </t>
  </si>
  <si>
    <t>GASTOS DE FUNCIONAMIENTO APN</t>
  </si>
  <si>
    <t>MES 06</t>
  </si>
  <si>
    <t>ENSERES Y EQUIPOS DE OFICINA</t>
  </si>
  <si>
    <t>A|2|0|4|0|21</t>
  </si>
  <si>
    <t>A|2|0|4|5|21</t>
  </si>
  <si>
    <t xml:space="preserve">MES </t>
  </si>
  <si>
    <t>OTROS GASTOS POR ADQUISICION DE SERVICIOS</t>
  </si>
  <si>
    <t>A|3|2|1|1|11</t>
  </si>
  <si>
    <t>A|1|0|2|14|20</t>
  </si>
  <si>
    <t>A|2|0|3|0|20</t>
  </si>
  <si>
    <t>A|2|0|3|50|20</t>
  </si>
  <si>
    <t>A|3|2|1|1|20</t>
  </si>
  <si>
    <t>A|3|6|1|1|20</t>
  </si>
  <si>
    <t>VIATICOS Y GSTOS DE VIAJE</t>
  </si>
  <si>
    <t>A|2|0|4|2|21</t>
  </si>
  <si>
    <t>A|2|0|4|4|21</t>
  </si>
  <si>
    <t>REPUESTOS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</si>
  <si>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</si>
  <si>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</si>
  <si>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</si>
  <si>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</si>
  <si>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</si>
  <si>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</si>
  <si>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</si>
  <si>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</si>
  <si>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</si>
  <si>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</si>
  <si>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</si>
  <si>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</si>
  <si>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</si>
  <si>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</si>
  <si>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</si>
  <si>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A|2|0|4|1|21</t>
  </si>
  <si>
    <t>A|2|0|4|6|21</t>
  </si>
  <si>
    <t>A|2|0|4|7|21</t>
  </si>
  <si>
    <t>A|2|0|4|8|21</t>
  </si>
  <si>
    <t>A|2|0|4|9|21</t>
  </si>
  <si>
    <t>A|2|0|4|10|21</t>
  </si>
  <si>
    <t>A|2|0|4|41|21</t>
  </si>
  <si>
    <t xml:space="preserve">IMPUESTOS Y MULTAS </t>
  </si>
  <si>
    <t>Otros impuestos</t>
  </si>
  <si>
    <t>A|2|0|3|50|90i20</t>
  </si>
  <si>
    <t xml:space="preserve">EQUIPO DE COMUNICACIÓN </t>
  </si>
  <si>
    <t xml:space="preserve">EQUIPOS Y MAQUINAS PARA OFICINA </t>
  </si>
  <si>
    <t>A|2|0|4|4|20</t>
  </si>
  <si>
    <t xml:space="preserve">COMBUSTIBLES Y LUBRICANTES </t>
  </si>
  <si>
    <t>A|2|0|4|4|1|20</t>
  </si>
  <si>
    <t>PRODUCTOS DE ASEO Y LIMPIEZA</t>
  </si>
  <si>
    <t>A|2|0|4|4|17|20</t>
  </si>
  <si>
    <t xml:space="preserve">PRODUCTOS DE CAFETERIA Y RESTAURANTE </t>
  </si>
  <si>
    <t>A|2|0|4|4|18|20</t>
  </si>
  <si>
    <t>A|2|0|4|4|20|20</t>
  </si>
  <si>
    <t xml:space="preserve">OTROS MATERIALES Y SUMINISTROS </t>
  </si>
  <si>
    <t>A|2|0|4|5|20</t>
  </si>
  <si>
    <t>A|2|0|4|5|1|20</t>
  </si>
  <si>
    <t>MANTENIMIENTO DE BIENES MUEBLES EQUIPOS Y ENSERES</t>
  </si>
  <si>
    <t>A|2|0|4|5|2|20</t>
  </si>
  <si>
    <t xml:space="preserve">MANTENIMIENTO EQUIPO COMUNICACIONES Y COMPUTACION </t>
  </si>
  <si>
    <t>MANTENIMIENTO EQUIPO NAVEGACION Y TRANSPORTE</t>
  </si>
  <si>
    <t xml:space="preserve">SERVICIO DE SEGURIDAD Y VIGILANCIA </t>
  </si>
  <si>
    <t>A|2|0|4|5|6|20</t>
  </si>
  <si>
    <t xml:space="preserve">COMUNICACIONES Y TRANSPORTE </t>
  </si>
  <si>
    <t xml:space="preserve">TRANSPORTE </t>
  </si>
  <si>
    <t>A|2|0|4|6|7|20</t>
  </si>
  <si>
    <t xml:space="preserve">SERVICIOS PUBLICOS </t>
  </si>
  <si>
    <t xml:space="preserve">ENERGIA </t>
  </si>
  <si>
    <t xml:space="preserve">TELEFONIA MOVIL CELULAR </t>
  </si>
  <si>
    <t>A|2|0|4|8|2l20</t>
  </si>
  <si>
    <t>A|2|0|4|8|5l20</t>
  </si>
  <si>
    <t xml:space="preserve">SUSCRIPCIONES </t>
  </si>
  <si>
    <t xml:space="preserve">IMPRESOS Y PUBLICACIONES </t>
  </si>
  <si>
    <t>A|2|0|4|7||20</t>
  </si>
  <si>
    <t>A|2|0|4|8|1|20</t>
  </si>
  <si>
    <t>ACUEDUCTO ALCANTARILLADO Y ASEO</t>
  </si>
  <si>
    <t>ENERGIA</t>
  </si>
  <si>
    <t>A|2|0|4|8|2|20</t>
  </si>
  <si>
    <t>A|2|0|4|8|5|20</t>
  </si>
  <si>
    <t>JULIO</t>
  </si>
  <si>
    <t>A|2|0|4|22|21</t>
  </si>
  <si>
    <t xml:space="preserve">COMISIONES BANCARIAS </t>
  </si>
  <si>
    <t>OTROS SERVICIOS PARA CAPACITACION BIENESTAR SOCIAL</t>
  </si>
  <si>
    <t>A|2|0|4|6|20</t>
  </si>
  <si>
    <t>A|2|0|4|7|20</t>
  </si>
  <si>
    <t>A|2|0|4|11|20</t>
  </si>
  <si>
    <t>VIGENCIA FISCAL 2013</t>
  </si>
  <si>
    <t>VIGENCIA FISCAL   2013</t>
  </si>
  <si>
    <t xml:space="preserve">COMPRA DE EQUIPOS 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</si>
  <si>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</si>
  <si>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</si>
  <si>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MOBILIARIO Y ENSERES</t>
  </si>
  <si>
    <t>OTROS MATERIALES Y SUMINISTROS</t>
  </si>
  <si>
    <t xml:space="preserve">SERVICIO DE ASEO </t>
  </si>
  <si>
    <t>SERVICIO DE SEGURIDAD Y VIGILANCIA</t>
  </si>
  <si>
    <t>A|2|0|4|5|8|21</t>
  </si>
  <si>
    <t>COMUNICACIÓN Y TRANSPORTE</t>
  </si>
  <si>
    <t>CORREO</t>
  </si>
  <si>
    <t>A|2|0|4|6|2|21</t>
  </si>
  <si>
    <t>A|2|0|4|6|3|21</t>
  </si>
  <si>
    <t>A|2|0|4|6|7|21</t>
  </si>
  <si>
    <t>EMBALAJE Y ACARREOS</t>
  </si>
  <si>
    <t>TRANSPORTE</t>
  </si>
  <si>
    <t>A|2|0|4|7|5|21</t>
  </si>
  <si>
    <t>A|2|0|4|10|1|20</t>
  </si>
  <si>
    <t>A|2|0|4|10|20</t>
  </si>
  <si>
    <t>ARRENDAMIENTOS BIENES MUEBLES</t>
  </si>
  <si>
    <t>A|2|0|4|11|2|20</t>
  </si>
  <si>
    <t>A|2|0|4|1|6|21</t>
  </si>
  <si>
    <t>A|2|0|4|2|2|21</t>
  </si>
  <si>
    <t>A|2|0|4|1|6l21</t>
  </si>
  <si>
    <t>EQUIPO DE SISTEMAS</t>
  </si>
  <si>
    <t>A|2|0|4|1|9l21</t>
  </si>
  <si>
    <t>EQUIPO DE CAFETERIA</t>
  </si>
  <si>
    <t>A|2|0|4|1|26l21</t>
  </si>
  <si>
    <t>A|2|0|4|2|1l21</t>
  </si>
  <si>
    <t>A|2|0|4|2|2l21</t>
  </si>
  <si>
    <t>A|2|0|4|4|1|21</t>
  </si>
  <si>
    <t>A|2|0|4|4|15|21</t>
  </si>
  <si>
    <t>PAPELERIA Y UTILES DE ESCRITORIO</t>
  </si>
  <si>
    <t>A|2|0|4|4|17|21</t>
  </si>
  <si>
    <t>A|2|0|4|4|18|21</t>
  </si>
  <si>
    <t>A|2|0|4|4|23|21</t>
  </si>
  <si>
    <t>A|2|0|4|4|20|21</t>
  </si>
  <si>
    <t>A|2|0|4|5|1|21</t>
  </si>
  <si>
    <t>A|2|0|4|5|10|21</t>
  </si>
  <si>
    <t>A|2|0|4|5|5|21</t>
  </si>
  <si>
    <t>A|2|0|4|5|6|21</t>
  </si>
  <si>
    <t>A|2|0|4|5|9|21</t>
  </si>
  <si>
    <t>A|2|0|4|5|2|21</t>
  </si>
  <si>
    <t>MANTENIMIENTO SERVICIO DE ASEO</t>
  </si>
  <si>
    <t>MANTENIMIENTO SERVICIO DE CAFETERIA Y RESTAURANTE</t>
  </si>
  <si>
    <t>A|2|0|4|6||21</t>
  </si>
  <si>
    <t>EMBALAJE Y ACARREO</t>
  </si>
  <si>
    <t>A|2|0|4|7|6|21</t>
  </si>
  <si>
    <t>SUSCRIPCIONES</t>
  </si>
  <si>
    <t xml:space="preserve">OTROS GASTOS POR IMPRESOS Y PUBLICACIONES </t>
  </si>
  <si>
    <t>A|2|0|4|8|2l21</t>
  </si>
  <si>
    <t>A|2|0|4|8|3l21</t>
  </si>
  <si>
    <t>GAS NATURAL</t>
  </si>
  <si>
    <t>A|2|0|4|10|2l21</t>
  </si>
  <si>
    <t>A|2|0|4|10|1l21</t>
  </si>
  <si>
    <t>ARRENDAMIENTOS BIENES INMUEBLES</t>
  </si>
  <si>
    <t>A|2|0|4|11|21</t>
  </si>
  <si>
    <t>A|2|0|4|11|2l21</t>
  </si>
  <si>
    <t>CAPACITACION, BIENESTAR SOCIAL</t>
  </si>
  <si>
    <t>OTROS SERVICIOS PARA CAPACITACIONES  BIENESTAR SOCIAL</t>
  </si>
  <si>
    <t>A|2|0|4|22|11l21</t>
  </si>
  <si>
    <t>GASTOS FINANCIEROS</t>
  </si>
  <si>
    <t>COMISIONES BANCARIAS</t>
  </si>
  <si>
    <t>A|2|0|4|21|21</t>
  </si>
  <si>
    <t>A|2|0|4|22|1l21</t>
  </si>
  <si>
    <t xml:space="preserve">OTROS GASTOS POR ADQUISICION DE BIENES </t>
  </si>
  <si>
    <t>A|2|0|4|40|15l21</t>
  </si>
  <si>
    <t>A|2|0|4|40|21</t>
  </si>
  <si>
    <t>CUENTAS POR PAGAR 2012</t>
  </si>
  <si>
    <t>RESERVAS PRESUPUESTALES</t>
  </si>
  <si>
    <t>A|2|0|3|50|21</t>
  </si>
  <si>
    <t>A|2|0|4|21|20</t>
  </si>
  <si>
    <t>A|2|0|3|0|21</t>
  </si>
  <si>
    <t>A|2|0|4|1|20</t>
  </si>
  <si>
    <t>A NOVIEMBRE</t>
  </si>
  <si>
    <t>MES NOVIEMBRE</t>
  </si>
  <si>
    <t>MES: NOVIEMBRE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</si>
</sst>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$-240A]\ #,##0.00"/>
    <numFmt numFmtId="215" formatCode="&quot;$&quot;\ #,##0.00"/>
    <numFmt numFmtId="216" formatCode="#,##0.0"/>
    <numFmt numFmtId="217" formatCode="#,##0.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5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42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2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6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7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9" fillId="0" borderId="29" xfId="0" applyNumberFormat="1" applyFont="1" applyBorder="1" applyAlignment="1" applyProtection="1">
      <alignment horizontal="right"/>
      <protection locked="0"/>
    </xf>
    <xf numFmtId="4" fontId="9" fillId="0" borderId="29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1" xfId="0" applyFont="1" applyBorder="1" applyAlignment="1">
      <alignment horizontal="center"/>
    </xf>
    <xf numFmtId="4" fontId="9" fillId="0" borderId="3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4" xfId="0" applyNumberFormat="1" applyFont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4" fontId="1" fillId="0" borderId="35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6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185" fontId="13" fillId="33" borderId="37" xfId="5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29" xfId="0" applyNumberFormat="1" applyFont="1" applyBorder="1" applyAlignment="1" applyProtection="1">
      <alignment horizontal="left"/>
      <protection locked="0"/>
    </xf>
    <xf numFmtId="40" fontId="9" fillId="0" borderId="29" xfId="0" applyNumberFormat="1" applyFont="1" applyBorder="1" applyAlignment="1" applyProtection="1">
      <alignment horizontal="right"/>
      <protection locked="0"/>
    </xf>
    <xf numFmtId="4" fontId="9" fillId="0" borderId="29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Border="1" applyAlignment="1">
      <alignment horizontal="right"/>
    </xf>
    <xf numFmtId="4" fontId="9" fillId="0" borderId="29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0" fillId="0" borderId="40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1" xfId="0" applyNumberFormat="1" applyFont="1" applyBorder="1" applyAlignment="1" applyProtection="1">
      <alignment horizontal="right"/>
      <protection locked="0"/>
    </xf>
    <xf numFmtId="0" fontId="7" fillId="33" borderId="4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 horizontal="right"/>
    </xf>
    <xf numFmtId="4" fontId="2" fillId="34" borderId="22" xfId="0" applyNumberFormat="1" applyFont="1" applyFill="1" applyBorder="1" applyAlignment="1">
      <alignment horizontal="right"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4" borderId="22" xfId="0" applyNumberFormat="1" applyFont="1" applyFill="1" applyBorder="1" applyAlignment="1" applyProtection="1">
      <alignment horizontal="right"/>
      <protection locked="0"/>
    </xf>
    <xf numFmtId="4" fontId="2" fillId="34" borderId="21" xfId="0" applyNumberFormat="1" applyFont="1" applyFill="1" applyBorder="1" applyAlignment="1" applyProtection="1">
      <alignment horizontal="right"/>
      <protection locked="0"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/>
    </xf>
    <xf numFmtId="4" fontId="9" fillId="34" borderId="29" xfId="0" applyNumberFormat="1" applyFont="1" applyFill="1" applyBorder="1" applyAlignment="1" applyProtection="1">
      <alignment horizontal="right"/>
      <protection locked="0"/>
    </xf>
    <xf numFmtId="4" fontId="9" fillId="34" borderId="21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3" fontId="0" fillId="0" borderId="0" xfId="48" applyFont="1" applyAlignment="1">
      <alignment/>
    </xf>
    <xf numFmtId="4" fontId="0" fillId="0" borderId="0" xfId="0" applyNumberFormat="1" applyAlignment="1">
      <alignment vertical="center"/>
    </xf>
    <xf numFmtId="4" fontId="0" fillId="33" borderId="0" xfId="0" applyNumberFormat="1" applyFont="1" applyFill="1" applyBorder="1" applyAlignment="1">
      <alignment/>
    </xf>
    <xf numFmtId="4" fontId="0" fillId="0" borderId="0" xfId="48" applyNumberFormat="1" applyFont="1" applyAlignment="1">
      <alignment/>
    </xf>
    <xf numFmtId="4" fontId="9" fillId="0" borderId="24" xfId="0" applyNumberFormat="1" applyFont="1" applyBorder="1" applyAlignment="1">
      <alignment horizontal="right"/>
    </xf>
    <xf numFmtId="4" fontId="2" fillId="0" borderId="29" xfId="0" applyNumberFormat="1" applyFont="1" applyBorder="1" applyAlignment="1" applyProtection="1">
      <alignment horizontal="right"/>
      <protection locked="0"/>
    </xf>
    <xf numFmtId="43" fontId="9" fillId="0" borderId="0" xfId="48" applyFont="1" applyAlignment="1">
      <alignment/>
    </xf>
    <xf numFmtId="43" fontId="9" fillId="0" borderId="0" xfId="48" applyFont="1" applyFill="1" applyAlignment="1">
      <alignment/>
    </xf>
    <xf numFmtId="43" fontId="2" fillId="0" borderId="0" xfId="48" applyFont="1" applyFill="1" applyAlignment="1">
      <alignment/>
    </xf>
    <xf numFmtId="4" fontId="2" fillId="0" borderId="0" xfId="0" applyNumberFormat="1" applyFont="1" applyFill="1" applyAlignment="1">
      <alignment/>
    </xf>
    <xf numFmtId="43" fontId="1" fillId="0" borderId="0" xfId="48" applyFont="1" applyAlignment="1">
      <alignment/>
    </xf>
    <xf numFmtId="4" fontId="0" fillId="34" borderId="17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 horizontal="right"/>
      <protection locked="0"/>
    </xf>
    <xf numFmtId="0" fontId="2" fillId="33" borderId="15" xfId="0" applyFont="1" applyFill="1" applyBorder="1" applyAlignment="1" quotePrefix="1">
      <alignment horizontal="left"/>
    </xf>
    <xf numFmtId="0" fontId="0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9" fillId="33" borderId="16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2" fillId="0" borderId="43" xfId="0" applyNumberFormat="1" applyFont="1" applyBorder="1" applyAlignment="1">
      <alignment horizontal="right"/>
    </xf>
    <xf numFmtId="4" fontId="2" fillId="0" borderId="25" xfId="0" applyNumberFormat="1" applyFont="1" applyBorder="1" applyAlignment="1" applyProtection="1">
      <alignment horizontal="right"/>
      <protection locked="0"/>
    </xf>
    <xf numFmtId="4" fontId="2" fillId="0" borderId="32" xfId="0" applyNumberFormat="1" applyFont="1" applyBorder="1" applyAlignment="1" applyProtection="1">
      <alignment horizontal="right"/>
      <protection locked="0"/>
    </xf>
    <xf numFmtId="4" fontId="2" fillId="0" borderId="44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214" fontId="0" fillId="0" borderId="0" xfId="0" applyNumberFormat="1" applyFont="1" applyAlignment="1">
      <alignment/>
    </xf>
    <xf numFmtId="4" fontId="8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48" applyNumberFormat="1" applyFont="1" applyBorder="1" applyAlignment="1">
      <alignment/>
    </xf>
    <xf numFmtId="43" fontId="0" fillId="0" borderId="0" xfId="48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0" xfId="0" applyNumberFormat="1" applyFont="1" applyFill="1" applyAlignment="1">
      <alignment/>
    </xf>
    <xf numFmtId="43" fontId="52" fillId="0" borderId="46" xfId="48" applyFont="1" applyBorder="1" applyAlignment="1">
      <alignment horizontal="left" wrapText="1"/>
    </xf>
    <xf numFmtId="0" fontId="53" fillId="0" borderId="0" xfId="0" applyFont="1" applyAlignment="1">
      <alignment/>
    </xf>
    <xf numFmtId="4" fontId="54" fillId="0" borderId="0" xfId="0" applyNumberFormat="1" applyFont="1" applyAlignment="1">
      <alignment/>
    </xf>
    <xf numFmtId="215" fontId="9" fillId="0" borderId="0" xfId="0" applyNumberFormat="1" applyFont="1" applyAlignment="1">
      <alignment/>
    </xf>
    <xf numFmtId="215" fontId="0" fillId="0" borderId="0" xfId="0" applyNumberFormat="1" applyFont="1" applyAlignment="1">
      <alignment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4" fontId="9" fillId="0" borderId="47" xfId="0" applyNumberFormat="1" applyFont="1" applyBorder="1" applyAlignment="1" applyProtection="1">
      <alignment horizontal="right"/>
      <protection locked="0"/>
    </xf>
    <xf numFmtId="4" fontId="9" fillId="0" borderId="48" xfId="0" applyNumberFormat="1" applyFont="1" applyBorder="1" applyAlignment="1" applyProtection="1">
      <alignment horizontal="right"/>
      <protection locked="0"/>
    </xf>
    <xf numFmtId="4" fontId="2" fillId="0" borderId="4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47" xfId="0" applyNumberFormat="1" applyFont="1" applyBorder="1" applyAlignment="1" applyProtection="1">
      <alignment horizontal="right"/>
      <protection locked="0"/>
    </xf>
    <xf numFmtId="4" fontId="2" fillId="0" borderId="49" xfId="0" applyNumberFormat="1" applyFont="1" applyFill="1" applyBorder="1" applyAlignment="1" applyProtection="1">
      <alignment horizontal="right"/>
      <protection/>
    </xf>
    <xf numFmtId="4" fontId="9" fillId="0" borderId="50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 locked="0"/>
    </xf>
    <xf numFmtId="4" fontId="2" fillId="0" borderId="39" xfId="0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Border="1" applyAlignment="1">
      <alignment horizontal="right"/>
    </xf>
    <xf numFmtId="4" fontId="9" fillId="0" borderId="27" xfId="0" applyNumberFormat="1" applyFont="1" applyFill="1" applyBorder="1" applyAlignment="1" applyProtection="1">
      <alignment horizontal="right"/>
      <protection/>
    </xf>
    <xf numFmtId="4" fontId="2" fillId="0" borderId="3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2" fillId="34" borderId="21" xfId="0" applyNumberFormat="1" applyFont="1" applyFill="1" applyBorder="1" applyAlignment="1" applyProtection="1">
      <alignment horizontal="right"/>
      <protection/>
    </xf>
    <xf numFmtId="4" fontId="8" fillId="34" borderId="21" xfId="0" applyNumberFormat="1" applyFont="1" applyFill="1" applyBorder="1" applyAlignment="1" applyProtection="1">
      <alignment horizontal="left"/>
      <protection locked="0"/>
    </xf>
    <xf numFmtId="206" fontId="0" fillId="0" borderId="0" xfId="0" applyNumberFormat="1" applyFont="1" applyAlignment="1">
      <alignment/>
    </xf>
    <xf numFmtId="215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4" fontId="0" fillId="0" borderId="51" xfId="0" applyNumberFormat="1" applyFont="1" applyBorder="1" applyAlignment="1" applyProtection="1">
      <alignment horizontal="center"/>
      <protection locked="0"/>
    </xf>
    <xf numFmtId="4" fontId="0" fillId="0" borderId="52" xfId="0" applyNumberFormat="1" applyFont="1" applyBorder="1" applyAlignment="1" applyProtection="1">
      <alignment horizontal="center"/>
      <protection locked="0"/>
    </xf>
    <xf numFmtId="4" fontId="8" fillId="0" borderId="53" xfId="0" applyNumberFormat="1" applyFont="1" applyBorder="1" applyAlignment="1" applyProtection="1">
      <alignment horizontal="left"/>
      <protection locked="0"/>
    </xf>
    <xf numFmtId="0" fontId="0" fillId="0" borderId="53" xfId="0" applyFont="1" applyBorder="1" applyAlignment="1">
      <alignment/>
    </xf>
    <xf numFmtId="4" fontId="8" fillId="0" borderId="53" xfId="0" applyNumberFormat="1" applyFont="1" applyBorder="1" applyAlignment="1" applyProtection="1">
      <alignment horizontal="left" wrapText="1"/>
      <protection locked="0"/>
    </xf>
    <xf numFmtId="4" fontId="2" fillId="0" borderId="54" xfId="0" applyNumberFormat="1" applyFont="1" applyBorder="1" applyAlignment="1" applyProtection="1">
      <alignment horizontal="right"/>
      <protection/>
    </xf>
    <xf numFmtId="4" fontId="9" fillId="0" borderId="53" xfId="0" applyNumberFormat="1" applyFont="1" applyBorder="1" applyAlignment="1" applyProtection="1">
      <alignment horizontal="right"/>
      <protection locked="0"/>
    </xf>
    <xf numFmtId="4" fontId="9" fillId="0" borderId="53" xfId="0" applyNumberFormat="1" applyFont="1" applyFill="1" applyBorder="1" applyAlignment="1" applyProtection="1">
      <alignment horizontal="right"/>
      <protection/>
    </xf>
    <xf numFmtId="4" fontId="2" fillId="0" borderId="53" xfId="0" applyNumberFormat="1" applyFont="1" applyBorder="1" applyAlignment="1" applyProtection="1">
      <alignment horizontal="right"/>
      <protection/>
    </xf>
    <xf numFmtId="206" fontId="9" fillId="0" borderId="0" xfId="0" applyNumberFormat="1" applyFont="1" applyAlignment="1">
      <alignment/>
    </xf>
    <xf numFmtId="4" fontId="2" fillId="0" borderId="24" xfId="0" applyNumberFormat="1" applyFont="1" applyBorder="1" applyAlignment="1" applyProtection="1">
      <alignment horizontal="right"/>
      <protection locked="0"/>
    </xf>
    <xf numFmtId="4" fontId="2" fillId="0" borderId="55" xfId="0" applyNumberFormat="1" applyFont="1" applyBorder="1" applyAlignment="1" applyProtection="1">
      <alignment horizontal="right"/>
      <protection locked="0"/>
    </xf>
    <xf numFmtId="4" fontId="2" fillId="0" borderId="56" xfId="0" applyNumberFormat="1" applyFont="1" applyBorder="1" applyAlignment="1" applyProtection="1">
      <alignment horizontal="right"/>
      <protection locked="0"/>
    </xf>
    <xf numFmtId="4" fontId="2" fillId="0" borderId="57" xfId="0" applyNumberFormat="1" applyFont="1" applyBorder="1" applyAlignment="1" applyProtection="1">
      <alignment horizontal="right"/>
      <protection locked="0"/>
    </xf>
    <xf numFmtId="4" fontId="2" fillId="34" borderId="58" xfId="0" applyNumberFormat="1" applyFont="1" applyFill="1" applyBorder="1" applyAlignment="1" applyProtection="1">
      <alignment horizontal="right"/>
      <protection locked="0"/>
    </xf>
    <xf numFmtId="4" fontId="2" fillId="0" borderId="59" xfId="0" applyNumberFormat="1" applyFont="1" applyBorder="1" applyAlignment="1" applyProtection="1">
      <alignment horizontal="right"/>
      <protection locked="0"/>
    </xf>
    <xf numFmtId="4" fontId="2" fillId="34" borderId="39" xfId="0" applyNumberFormat="1" applyFont="1" applyFill="1" applyBorder="1" applyAlignment="1" applyProtection="1">
      <alignment horizontal="right"/>
      <protection locked="0"/>
    </xf>
    <xf numFmtId="4" fontId="2" fillId="34" borderId="42" xfId="0" applyNumberFormat="1" applyFont="1" applyFill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" fontId="9" fillId="19" borderId="29" xfId="0" applyNumberFormat="1" applyFont="1" applyFill="1" applyBorder="1" applyAlignment="1" applyProtection="1">
      <alignment horizontal="right"/>
      <protection locked="0"/>
    </xf>
    <xf numFmtId="4" fontId="9" fillId="0" borderId="60" xfId="0" applyNumberFormat="1" applyFont="1" applyFill="1" applyBorder="1" applyAlignment="1" applyProtection="1">
      <alignment horizontal="right"/>
      <protection/>
    </xf>
    <xf numFmtId="4" fontId="2" fillId="0" borderId="60" xfId="0" applyNumberFormat="1" applyFont="1" applyBorder="1" applyAlignment="1" applyProtection="1">
      <alignment horizontal="right"/>
      <protection/>
    </xf>
    <xf numFmtId="4" fontId="2" fillId="0" borderId="61" xfId="0" applyNumberFormat="1" applyFont="1" applyBorder="1" applyAlignment="1" applyProtection="1">
      <alignment horizontal="right"/>
      <protection/>
    </xf>
    <xf numFmtId="4" fontId="2" fillId="0" borderId="62" xfId="0" applyNumberFormat="1" applyFont="1" applyBorder="1" applyAlignment="1">
      <alignment horizontal="right"/>
    </xf>
    <xf numFmtId="4" fontId="2" fillId="34" borderId="62" xfId="0" applyNumberFormat="1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4" fontId="2" fillId="0" borderId="63" xfId="0" applyNumberFormat="1" applyFont="1" applyBorder="1" applyAlignment="1">
      <alignment horizontal="right"/>
    </xf>
    <xf numFmtId="4" fontId="2" fillId="0" borderId="64" xfId="0" applyNumberFormat="1" applyFont="1" applyBorder="1" applyAlignment="1">
      <alignment horizontal="right"/>
    </xf>
    <xf numFmtId="4" fontId="2" fillId="0" borderId="65" xfId="0" applyNumberFormat="1" applyFont="1" applyBorder="1" applyAlignment="1">
      <alignment horizontal="right"/>
    </xf>
    <xf numFmtId="4" fontId="2" fillId="34" borderId="39" xfId="0" applyNumberFormat="1" applyFont="1" applyFill="1" applyBorder="1" applyAlignment="1">
      <alignment horizontal="right"/>
    </xf>
    <xf numFmtId="0" fontId="5" fillId="0" borderId="66" xfId="0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/>
      <protection/>
    </xf>
    <xf numFmtId="40" fontId="2" fillId="0" borderId="25" xfId="0" applyNumberFormat="1" applyFont="1" applyBorder="1" applyAlignment="1">
      <alignment horizontal="right"/>
    </xf>
    <xf numFmtId="4" fontId="0" fillId="34" borderId="29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6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3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4" fontId="3" fillId="0" borderId="67" xfId="0" applyNumberFormat="1" applyFont="1" applyBorder="1" applyAlignment="1" applyProtection="1">
      <alignment horizontal="center"/>
      <protection/>
    </xf>
    <xf numFmtId="4" fontId="3" fillId="0" borderId="6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4"/>
  <sheetViews>
    <sheetView zoomScale="85" zoomScaleNormal="85" zoomScalePageLayoutView="0" workbookViewId="0" topLeftCell="C1">
      <selection activeCell="A23" sqref="A23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71093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0" width="15.00390625" style="1" hidden="1" customWidth="1"/>
    <col min="11" max="11" width="16.00390625" style="1" hidden="1" customWidth="1"/>
    <col min="12" max="12" width="20.7109375" style="1" hidden="1" customWidth="1"/>
    <col min="13" max="14" width="16.57421875" style="1" hidden="1" customWidth="1"/>
    <col min="15" max="16" width="15.57421875" style="1" hidden="1" customWidth="1"/>
    <col min="17" max="17" width="15.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customWidth="1"/>
    <col min="27" max="27" width="19.421875" style="1" hidden="1" customWidth="1"/>
    <col min="28" max="28" width="22.00390625" style="1" customWidth="1"/>
    <col min="29" max="29" width="19.7109375" style="1" hidden="1" customWidth="1"/>
    <col min="30" max="30" width="17.57421875" style="1" hidden="1" customWidth="1"/>
    <col min="31" max="31" width="15.57421875" style="1" hidden="1" customWidth="1"/>
    <col min="32" max="32" width="16.7109375" style="1" hidden="1" customWidth="1"/>
    <col min="33" max="33" width="17.140625" style="1" hidden="1" customWidth="1"/>
    <col min="34" max="36" width="16.7109375" style="1" hidden="1" customWidth="1"/>
    <col min="37" max="37" width="15.421875" style="1" hidden="1" customWidth="1"/>
    <col min="38" max="40" width="18.421875" style="1" hidden="1" customWidth="1"/>
    <col min="41" max="43" width="17.28125" style="1" hidden="1" customWidth="1"/>
    <col min="44" max="46" width="17.8515625" style="1" hidden="1" customWidth="1"/>
    <col min="47" max="47" width="16.57421875" style="1" hidden="1" customWidth="1"/>
    <col min="48" max="48" width="18.140625" style="1" hidden="1" customWidth="1"/>
    <col min="49" max="49" width="19.421875" style="1" hidden="1" customWidth="1"/>
    <col min="50" max="50" width="21.140625" style="1" hidden="1" customWidth="1"/>
    <col min="51" max="51" width="19.140625" style="1" hidden="1" customWidth="1"/>
    <col min="52" max="54" width="16.57421875" style="1" hidden="1" customWidth="1"/>
    <col min="55" max="55" width="15.28125" style="1" hidden="1" customWidth="1"/>
    <col min="56" max="56" width="17.28125" style="1" hidden="1" customWidth="1"/>
    <col min="57" max="57" width="14.28125" style="1" hidden="1" customWidth="1"/>
    <col min="58" max="58" width="17.140625" style="1" hidden="1" customWidth="1"/>
    <col min="59" max="59" width="16.57421875" style="1" hidden="1" customWidth="1"/>
    <col min="60" max="60" width="18.8515625" style="1" hidden="1" customWidth="1"/>
    <col min="61" max="62" width="17.8515625" style="1" hidden="1" customWidth="1"/>
    <col min="63" max="63" width="17.7109375" style="1" hidden="1" customWidth="1"/>
    <col min="64" max="64" width="16.421875" style="1" hidden="1" customWidth="1"/>
    <col min="65" max="65" width="17.00390625" style="1" hidden="1" customWidth="1"/>
    <col min="66" max="66" width="17.57421875" style="1" hidden="1" customWidth="1"/>
    <col min="67" max="67" width="16.57421875" style="1" hidden="1" customWidth="1"/>
    <col min="68" max="68" width="18.00390625" style="1" hidden="1" customWidth="1"/>
    <col min="69" max="69" width="16.421875" style="1" hidden="1" customWidth="1"/>
    <col min="70" max="70" width="17.57421875" style="1" customWidth="1"/>
    <col min="71" max="71" width="15.28125" style="1" hidden="1" customWidth="1"/>
    <col min="72" max="72" width="16.57421875" style="1" hidden="1" customWidth="1"/>
    <col min="73" max="73" width="15.8515625" style="1" customWidth="1"/>
    <col min="74" max="74" width="12.7109375" style="1" hidden="1" customWidth="1"/>
    <col min="75" max="75" width="14.140625" style="1" hidden="1" customWidth="1"/>
    <col min="76" max="76" width="13.421875" style="1" hidden="1" customWidth="1"/>
    <col min="77" max="77" width="15.00390625" style="1" hidden="1" customWidth="1"/>
    <col min="78" max="78" width="15.8515625" style="1" hidden="1" customWidth="1"/>
    <col min="79" max="79" width="16.8515625" style="1" hidden="1" customWidth="1"/>
    <col min="80" max="80" width="16.57421875" style="1" hidden="1" customWidth="1"/>
    <col min="81" max="81" width="15.8515625" style="1" hidden="1" customWidth="1"/>
    <col min="82" max="82" width="17.140625" style="1" hidden="1" customWidth="1"/>
    <col min="83" max="83" width="19.421875" style="1" hidden="1" customWidth="1"/>
    <col min="84" max="84" width="16.421875" style="1" customWidth="1"/>
    <col min="85" max="85" width="12.57421875" style="1" hidden="1" customWidth="1"/>
    <col min="86" max="86" width="12.28125" style="1" customWidth="1"/>
    <col min="87" max="87" width="15.00390625" style="1" customWidth="1"/>
    <col min="88" max="88" width="12.421875" style="1" bestFit="1" customWidth="1"/>
    <col min="89" max="89" width="15.421875" style="1" bestFit="1" customWidth="1"/>
    <col min="90" max="90" width="12.421875" style="1" bestFit="1" customWidth="1"/>
    <col min="91" max="16384" width="11.421875" style="1" customWidth="1"/>
  </cols>
  <sheetData>
    <row r="1" spans="1:87" ht="17.2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3"/>
    </row>
    <row r="2" spans="1:89" ht="15">
      <c r="A2" s="274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6"/>
      <c r="CK2" s="12"/>
    </row>
    <row r="3" spans="1:89" ht="17.25">
      <c r="A3" s="277" t="s">
        <v>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9"/>
      <c r="CK3" s="12"/>
    </row>
    <row r="4" spans="1:89" ht="21">
      <c r="A4" s="280" t="s">
        <v>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2"/>
      <c r="CK4" s="12"/>
    </row>
    <row r="5" spans="1:89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50"/>
      <c r="CK5" s="12"/>
    </row>
    <row r="6" spans="1:87" ht="12.75">
      <c r="A6" s="265" t="s">
        <v>4</v>
      </c>
      <c r="B6" s="266"/>
      <c r="C6" s="56"/>
      <c r="D6" s="56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1" t="s">
        <v>6</v>
      </c>
      <c r="AC6" s="51"/>
      <c r="AD6" s="51"/>
      <c r="AE6" s="51"/>
      <c r="AF6" s="51"/>
      <c r="AG6" s="51"/>
      <c r="AH6" s="51"/>
      <c r="AI6" s="51"/>
      <c r="AJ6" s="51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57" t="s">
        <v>274</v>
      </c>
      <c r="BV6" s="49"/>
      <c r="BW6" s="49"/>
      <c r="BX6" s="49"/>
      <c r="BY6" s="49"/>
      <c r="BZ6" s="82"/>
      <c r="CA6" s="131"/>
      <c r="CB6" s="187" t="s">
        <v>191</v>
      </c>
      <c r="CC6" s="49"/>
      <c r="CD6" s="49"/>
      <c r="CE6" s="49"/>
      <c r="CF6" s="49"/>
      <c r="CG6" s="49"/>
      <c r="CH6" s="82"/>
      <c r="CI6" s="50"/>
    </row>
    <row r="7" spans="1:87" ht="12.75">
      <c r="A7" s="265" t="s">
        <v>5</v>
      </c>
      <c r="B7" s="266"/>
      <c r="C7" s="56"/>
      <c r="D7" s="56"/>
      <c r="E7" s="56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1" t="s">
        <v>7</v>
      </c>
      <c r="AC7" s="51"/>
      <c r="AD7" s="51"/>
      <c r="AE7" s="51"/>
      <c r="AF7" s="51"/>
      <c r="AG7" s="51"/>
      <c r="AH7" s="49"/>
      <c r="AI7" s="51"/>
      <c r="AJ7" s="51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57" t="s">
        <v>198</v>
      </c>
      <c r="BV7" s="49"/>
      <c r="BW7" s="49"/>
      <c r="BX7" s="49"/>
      <c r="BY7" s="49"/>
      <c r="BZ7" s="56"/>
      <c r="CA7" s="57"/>
      <c r="CB7" s="49">
        <v>2012</v>
      </c>
      <c r="CC7" s="49"/>
      <c r="CD7" s="49"/>
      <c r="CE7" s="49"/>
      <c r="CF7" s="49"/>
      <c r="CG7" s="49"/>
      <c r="CH7" s="56"/>
      <c r="CI7" s="50"/>
    </row>
    <row r="8" spans="1:87" ht="13.5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49"/>
      <c r="AF8" s="53"/>
      <c r="AG8" s="53"/>
      <c r="AH8" s="53"/>
      <c r="AI8" s="53"/>
      <c r="AJ8" s="53"/>
      <c r="AK8" s="49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4"/>
    </row>
    <row r="9" spans="1:87" ht="12.75">
      <c r="A9" s="94" t="s">
        <v>76</v>
      </c>
      <c r="B9" s="86"/>
      <c r="C9" s="87" t="s">
        <v>64</v>
      </c>
      <c r="D9" s="87"/>
      <c r="E9" s="87" t="s">
        <v>133</v>
      </c>
      <c r="F9" s="86" t="s">
        <v>62</v>
      </c>
      <c r="G9" s="86"/>
      <c r="H9" s="87" t="s">
        <v>133</v>
      </c>
      <c r="I9" s="86" t="s">
        <v>62</v>
      </c>
      <c r="J9" s="86"/>
      <c r="K9" s="87" t="s">
        <v>133</v>
      </c>
      <c r="L9" s="86" t="s">
        <v>62</v>
      </c>
      <c r="M9" s="86"/>
      <c r="N9" s="87" t="s">
        <v>133</v>
      </c>
      <c r="O9" s="86" t="s">
        <v>62</v>
      </c>
      <c r="P9" s="86"/>
      <c r="Q9" s="87" t="s">
        <v>133</v>
      </c>
      <c r="R9" s="86" t="s">
        <v>62</v>
      </c>
      <c r="S9" s="86"/>
      <c r="T9" s="87" t="s">
        <v>133</v>
      </c>
      <c r="U9" s="86" t="s">
        <v>62</v>
      </c>
      <c r="V9" s="86" t="s">
        <v>62</v>
      </c>
      <c r="W9" s="86" t="s">
        <v>62</v>
      </c>
      <c r="X9" s="86" t="s">
        <v>62</v>
      </c>
      <c r="Y9" s="86" t="s">
        <v>62</v>
      </c>
      <c r="Z9" s="86" t="s">
        <v>62</v>
      </c>
      <c r="AA9" s="86" t="s">
        <v>62</v>
      </c>
      <c r="AB9" s="86" t="s">
        <v>62</v>
      </c>
      <c r="AC9" s="87" t="s">
        <v>66</v>
      </c>
      <c r="AD9" s="87" t="s">
        <v>66</v>
      </c>
      <c r="AE9" s="86" t="s">
        <v>66</v>
      </c>
      <c r="AF9" s="87" t="s">
        <v>66</v>
      </c>
      <c r="AG9" s="87" t="s">
        <v>66</v>
      </c>
      <c r="AH9" s="87" t="s">
        <v>66</v>
      </c>
      <c r="AI9" s="87"/>
      <c r="AJ9" s="87" t="s">
        <v>133</v>
      </c>
      <c r="AK9" s="86" t="s">
        <v>26</v>
      </c>
      <c r="AL9" s="87" t="s">
        <v>133</v>
      </c>
      <c r="AM9" s="87"/>
      <c r="AN9" s="87"/>
      <c r="AO9" s="86" t="s">
        <v>26</v>
      </c>
      <c r="AP9" s="87" t="s">
        <v>66</v>
      </c>
      <c r="AQ9" s="87" t="s">
        <v>66</v>
      </c>
      <c r="AR9" s="86" t="s">
        <v>66</v>
      </c>
      <c r="AS9" s="87"/>
      <c r="AT9" s="87"/>
      <c r="AU9" s="86" t="s">
        <v>26</v>
      </c>
      <c r="AV9" s="86" t="s">
        <v>66</v>
      </c>
      <c r="AW9" s="86" t="s">
        <v>26</v>
      </c>
      <c r="AX9" s="86" t="s">
        <v>26</v>
      </c>
      <c r="AY9" s="86" t="s">
        <v>26</v>
      </c>
      <c r="AZ9" s="86" t="s">
        <v>66</v>
      </c>
      <c r="BA9" s="87"/>
      <c r="BB9" s="87" t="s">
        <v>133</v>
      </c>
      <c r="BC9" s="86" t="s">
        <v>26</v>
      </c>
      <c r="BD9" s="86" t="s">
        <v>66</v>
      </c>
      <c r="BE9" s="87"/>
      <c r="BF9" s="87" t="s">
        <v>133</v>
      </c>
      <c r="BG9" s="86" t="s">
        <v>26</v>
      </c>
      <c r="BH9" s="86" t="s">
        <v>66</v>
      </c>
      <c r="BI9" s="86" t="s">
        <v>26</v>
      </c>
      <c r="BJ9" s="86" t="s">
        <v>66</v>
      </c>
      <c r="BK9" s="86" t="s">
        <v>66</v>
      </c>
      <c r="BL9" s="86" t="s">
        <v>26</v>
      </c>
      <c r="BM9" s="87" t="s">
        <v>66</v>
      </c>
      <c r="BN9" s="86" t="s">
        <v>26</v>
      </c>
      <c r="BO9" s="86" t="s">
        <v>66</v>
      </c>
      <c r="BP9" s="86" t="s">
        <v>26</v>
      </c>
      <c r="BQ9" s="86" t="s">
        <v>66</v>
      </c>
      <c r="BR9" s="86" t="s">
        <v>26</v>
      </c>
      <c r="BS9" s="86" t="s">
        <v>66</v>
      </c>
      <c r="BT9" s="86" t="s">
        <v>26</v>
      </c>
      <c r="BU9" s="86" t="s">
        <v>32</v>
      </c>
      <c r="BV9" s="86" t="s">
        <v>34</v>
      </c>
      <c r="BW9" s="86" t="s">
        <v>34</v>
      </c>
      <c r="BX9" s="86" t="s">
        <v>34</v>
      </c>
      <c r="BY9" s="86" t="s">
        <v>34</v>
      </c>
      <c r="BZ9" s="86" t="s">
        <v>34</v>
      </c>
      <c r="CA9" s="86" t="s">
        <v>34</v>
      </c>
      <c r="CB9" s="86" t="s">
        <v>34</v>
      </c>
      <c r="CC9" s="86" t="s">
        <v>34</v>
      </c>
      <c r="CD9" s="86" t="s">
        <v>34</v>
      </c>
      <c r="CE9" s="86" t="s">
        <v>34</v>
      </c>
      <c r="CF9" s="86" t="s">
        <v>34</v>
      </c>
      <c r="CG9" s="86" t="s">
        <v>34</v>
      </c>
      <c r="CH9" s="86" t="s">
        <v>34</v>
      </c>
      <c r="CI9" s="86" t="s">
        <v>37</v>
      </c>
    </row>
    <row r="10" spans="1:87" ht="12.75">
      <c r="A10" s="95" t="s">
        <v>10</v>
      </c>
      <c r="B10" s="88" t="s">
        <v>11</v>
      </c>
      <c r="C10" s="89" t="s">
        <v>65</v>
      </c>
      <c r="D10" s="88" t="s">
        <v>132</v>
      </c>
      <c r="E10" s="88" t="s">
        <v>136</v>
      </c>
      <c r="F10" s="88" t="s">
        <v>63</v>
      </c>
      <c r="G10" s="89" t="s">
        <v>132</v>
      </c>
      <c r="H10" s="89" t="s">
        <v>136</v>
      </c>
      <c r="I10" s="88" t="s">
        <v>63</v>
      </c>
      <c r="J10" s="89" t="s">
        <v>132</v>
      </c>
      <c r="K10" s="89" t="s">
        <v>136</v>
      </c>
      <c r="L10" s="88" t="s">
        <v>63</v>
      </c>
      <c r="M10" s="89" t="s">
        <v>132</v>
      </c>
      <c r="N10" s="89" t="s">
        <v>136</v>
      </c>
      <c r="O10" s="88" t="s">
        <v>63</v>
      </c>
      <c r="P10" s="89" t="s">
        <v>132</v>
      </c>
      <c r="Q10" s="89" t="s">
        <v>136</v>
      </c>
      <c r="R10" s="88" t="s">
        <v>63</v>
      </c>
      <c r="S10" s="89" t="s">
        <v>132</v>
      </c>
      <c r="T10" s="89" t="s">
        <v>136</v>
      </c>
      <c r="U10" s="88" t="s">
        <v>63</v>
      </c>
      <c r="V10" s="88" t="s">
        <v>63</v>
      </c>
      <c r="W10" s="88" t="s">
        <v>63</v>
      </c>
      <c r="X10" s="88" t="s">
        <v>63</v>
      </c>
      <c r="Y10" s="88" t="s">
        <v>63</v>
      </c>
      <c r="Z10" s="88" t="s">
        <v>63</v>
      </c>
      <c r="AA10" s="88" t="s">
        <v>63</v>
      </c>
      <c r="AB10" s="88" t="s">
        <v>63</v>
      </c>
      <c r="AC10" s="89" t="s">
        <v>137</v>
      </c>
      <c r="AD10" s="89" t="s">
        <v>138</v>
      </c>
      <c r="AE10" s="89" t="s">
        <v>65</v>
      </c>
      <c r="AF10" s="89" t="s">
        <v>137</v>
      </c>
      <c r="AG10" s="89" t="s">
        <v>139</v>
      </c>
      <c r="AH10" s="89" t="s">
        <v>140</v>
      </c>
      <c r="AI10" s="88" t="s">
        <v>132</v>
      </c>
      <c r="AJ10" s="88" t="s">
        <v>136</v>
      </c>
      <c r="AK10" s="88" t="s">
        <v>27</v>
      </c>
      <c r="AL10" s="89" t="s">
        <v>134</v>
      </c>
      <c r="AM10" s="89" t="s">
        <v>142</v>
      </c>
      <c r="AN10" s="89" t="s">
        <v>136</v>
      </c>
      <c r="AO10" s="88" t="s">
        <v>27</v>
      </c>
      <c r="AP10" s="89" t="s">
        <v>137</v>
      </c>
      <c r="AQ10" s="89" t="s">
        <v>139</v>
      </c>
      <c r="AR10" s="88" t="s">
        <v>65</v>
      </c>
      <c r="AS10" s="89" t="s">
        <v>142</v>
      </c>
      <c r="AT10" s="89" t="s">
        <v>136</v>
      </c>
      <c r="AU10" s="88" t="s">
        <v>27</v>
      </c>
      <c r="AV10" s="88" t="s">
        <v>65</v>
      </c>
      <c r="AW10" s="88" t="s">
        <v>144</v>
      </c>
      <c r="AX10" s="88" t="s">
        <v>145</v>
      </c>
      <c r="AY10" s="88" t="s">
        <v>27</v>
      </c>
      <c r="AZ10" s="88" t="s">
        <v>65</v>
      </c>
      <c r="BA10" s="88" t="s">
        <v>132</v>
      </c>
      <c r="BB10" s="88" t="s">
        <v>136</v>
      </c>
      <c r="BC10" s="88" t="s">
        <v>27</v>
      </c>
      <c r="BD10" s="88" t="s">
        <v>65</v>
      </c>
      <c r="BE10" s="88" t="s">
        <v>132</v>
      </c>
      <c r="BF10" s="88" t="s">
        <v>136</v>
      </c>
      <c r="BG10" s="88" t="s">
        <v>27</v>
      </c>
      <c r="BH10" s="90" t="s">
        <v>65</v>
      </c>
      <c r="BI10" s="90" t="s">
        <v>27</v>
      </c>
      <c r="BJ10" s="88" t="s">
        <v>65</v>
      </c>
      <c r="BK10" s="88" t="s">
        <v>65</v>
      </c>
      <c r="BL10" s="88" t="s">
        <v>27</v>
      </c>
      <c r="BM10" s="89" t="s">
        <v>65</v>
      </c>
      <c r="BN10" s="88" t="s">
        <v>27</v>
      </c>
      <c r="BO10" s="88" t="s">
        <v>65</v>
      </c>
      <c r="BP10" s="88" t="s">
        <v>27</v>
      </c>
      <c r="BQ10" s="88" t="s">
        <v>65</v>
      </c>
      <c r="BR10" s="88" t="s">
        <v>27</v>
      </c>
      <c r="BS10" s="88" t="s">
        <v>65</v>
      </c>
      <c r="BT10" s="88" t="s">
        <v>27</v>
      </c>
      <c r="BU10" s="88" t="s">
        <v>27</v>
      </c>
      <c r="BV10" s="88" t="s">
        <v>35</v>
      </c>
      <c r="BW10" s="88" t="s">
        <v>35</v>
      </c>
      <c r="BX10" s="88" t="s">
        <v>35</v>
      </c>
      <c r="BY10" s="88" t="s">
        <v>35</v>
      </c>
      <c r="BZ10" s="88" t="s">
        <v>35</v>
      </c>
      <c r="CA10" s="88" t="s">
        <v>35</v>
      </c>
      <c r="CB10" s="88" t="s">
        <v>35</v>
      </c>
      <c r="CC10" s="88" t="s">
        <v>35</v>
      </c>
      <c r="CD10" s="88" t="s">
        <v>35</v>
      </c>
      <c r="CE10" s="88" t="s">
        <v>35</v>
      </c>
      <c r="CF10" s="88" t="s">
        <v>35</v>
      </c>
      <c r="CG10" s="88" t="s">
        <v>35</v>
      </c>
      <c r="CH10" s="88" t="s">
        <v>36</v>
      </c>
      <c r="CI10" s="88" t="s">
        <v>38</v>
      </c>
    </row>
    <row r="11" spans="1:87" ht="13.5" thickBot="1">
      <c r="A11" s="96"/>
      <c r="B11" s="91" t="s">
        <v>12</v>
      </c>
      <c r="C11" s="91" t="s">
        <v>24</v>
      </c>
      <c r="D11" s="91" t="s">
        <v>13</v>
      </c>
      <c r="E11" s="91" t="s">
        <v>13</v>
      </c>
      <c r="F11" s="91" t="s">
        <v>13</v>
      </c>
      <c r="G11" s="91" t="s">
        <v>14</v>
      </c>
      <c r="H11" s="91" t="s">
        <v>135</v>
      </c>
      <c r="I11" s="91" t="s">
        <v>14</v>
      </c>
      <c r="J11" s="91" t="s">
        <v>15</v>
      </c>
      <c r="K11" s="91" t="s">
        <v>119</v>
      </c>
      <c r="L11" s="91" t="s">
        <v>15</v>
      </c>
      <c r="M11" s="91" t="s">
        <v>16</v>
      </c>
      <c r="N11" s="91" t="s">
        <v>16</v>
      </c>
      <c r="O11" s="91" t="s">
        <v>16</v>
      </c>
      <c r="P11" s="91" t="s">
        <v>28</v>
      </c>
      <c r="Q11" s="91" t="s">
        <v>28</v>
      </c>
      <c r="R11" s="91" t="s">
        <v>17</v>
      </c>
      <c r="S11" s="91" t="s">
        <v>29</v>
      </c>
      <c r="T11" s="91" t="s">
        <v>29</v>
      </c>
      <c r="U11" s="91" t="s">
        <v>18</v>
      </c>
      <c r="V11" s="91" t="s">
        <v>19</v>
      </c>
      <c r="W11" s="91" t="s">
        <v>20</v>
      </c>
      <c r="X11" s="91" t="s">
        <v>21</v>
      </c>
      <c r="Y11" s="91" t="s">
        <v>22</v>
      </c>
      <c r="Z11" s="91" t="s">
        <v>23</v>
      </c>
      <c r="AA11" s="91" t="s">
        <v>24</v>
      </c>
      <c r="AB11" s="91" t="s">
        <v>25</v>
      </c>
      <c r="AC11" s="91" t="s">
        <v>104</v>
      </c>
      <c r="AD11" s="91" t="s">
        <v>104</v>
      </c>
      <c r="AE11" s="91" t="s">
        <v>104</v>
      </c>
      <c r="AF11" s="91" t="s">
        <v>75</v>
      </c>
      <c r="AG11" s="91" t="s">
        <v>75</v>
      </c>
      <c r="AH11" s="91" t="s">
        <v>141</v>
      </c>
      <c r="AI11" s="91" t="s">
        <v>13</v>
      </c>
      <c r="AJ11" s="91" t="s">
        <v>13</v>
      </c>
      <c r="AK11" s="91" t="s">
        <v>13</v>
      </c>
      <c r="AL11" s="91" t="s">
        <v>135</v>
      </c>
      <c r="AM11" s="91" t="s">
        <v>14</v>
      </c>
      <c r="AN11" s="91" t="s">
        <v>14</v>
      </c>
      <c r="AO11" s="91" t="s">
        <v>14</v>
      </c>
      <c r="AP11" s="91" t="s">
        <v>74</v>
      </c>
      <c r="AQ11" s="91" t="s">
        <v>74</v>
      </c>
      <c r="AR11" s="91" t="s">
        <v>74</v>
      </c>
      <c r="AS11" s="91" t="s">
        <v>15</v>
      </c>
      <c r="AT11" s="91" t="s">
        <v>15</v>
      </c>
      <c r="AU11" s="91" t="s">
        <v>15</v>
      </c>
      <c r="AV11" s="91" t="s">
        <v>73</v>
      </c>
      <c r="AW11" s="91" t="s">
        <v>16</v>
      </c>
      <c r="AX11" s="91" t="s">
        <v>16</v>
      </c>
      <c r="AY11" s="91" t="s">
        <v>16</v>
      </c>
      <c r="AZ11" s="91" t="s">
        <v>72</v>
      </c>
      <c r="BA11" s="91" t="s">
        <v>28</v>
      </c>
      <c r="BB11" s="91" t="s">
        <v>28</v>
      </c>
      <c r="BC11" s="91" t="s">
        <v>28</v>
      </c>
      <c r="BD11" s="91" t="s">
        <v>71</v>
      </c>
      <c r="BE11" s="91" t="s">
        <v>29</v>
      </c>
      <c r="BF11" s="91" t="s">
        <v>29</v>
      </c>
      <c r="BG11" s="91" t="s">
        <v>29</v>
      </c>
      <c r="BH11" s="91" t="s">
        <v>71</v>
      </c>
      <c r="BI11" s="91" t="s">
        <v>30</v>
      </c>
      <c r="BJ11" s="91" t="s">
        <v>19</v>
      </c>
      <c r="BK11" s="91" t="s">
        <v>70</v>
      </c>
      <c r="BL11" s="91" t="s">
        <v>20</v>
      </c>
      <c r="BM11" s="91" t="s">
        <v>69</v>
      </c>
      <c r="BN11" s="91" t="s">
        <v>21</v>
      </c>
      <c r="BO11" s="91" t="s">
        <v>22</v>
      </c>
      <c r="BP11" s="91" t="s">
        <v>31</v>
      </c>
      <c r="BQ11" s="91" t="s">
        <v>68</v>
      </c>
      <c r="BR11" s="91" t="s">
        <v>23</v>
      </c>
      <c r="BS11" s="91" t="s">
        <v>67</v>
      </c>
      <c r="BT11" s="91" t="s">
        <v>24</v>
      </c>
      <c r="BU11" s="91" t="s">
        <v>33</v>
      </c>
      <c r="BV11" s="91" t="s">
        <v>13</v>
      </c>
      <c r="BW11" s="91" t="s">
        <v>14</v>
      </c>
      <c r="BX11" s="91" t="s">
        <v>15</v>
      </c>
      <c r="BY11" s="91" t="s">
        <v>16</v>
      </c>
      <c r="BZ11" s="91" t="s">
        <v>28</v>
      </c>
      <c r="CA11" s="91" t="s">
        <v>115</v>
      </c>
      <c r="CB11" s="91" t="s">
        <v>30</v>
      </c>
      <c r="CC11" s="91" t="s">
        <v>20</v>
      </c>
      <c r="CD11" s="91" t="s">
        <v>21</v>
      </c>
      <c r="CE11" s="91" t="s">
        <v>31</v>
      </c>
      <c r="CF11" s="91" t="s">
        <v>23</v>
      </c>
      <c r="CG11" s="91" t="s">
        <v>24</v>
      </c>
      <c r="CH11" s="91" t="s">
        <v>33</v>
      </c>
      <c r="CI11" s="91" t="s">
        <v>39</v>
      </c>
    </row>
    <row r="12" spans="1:87" ht="13.5" thickBot="1">
      <c r="A12" s="92">
        <v>1</v>
      </c>
      <c r="B12" s="92">
        <v>2</v>
      </c>
      <c r="C12" s="92">
        <v>3</v>
      </c>
      <c r="D12" s="92"/>
      <c r="E12" s="92"/>
      <c r="F12" s="92">
        <v>3</v>
      </c>
      <c r="G12" s="92"/>
      <c r="H12" s="92"/>
      <c r="I12" s="93">
        <v>3</v>
      </c>
      <c r="J12" s="93"/>
      <c r="K12" s="93"/>
      <c r="L12" s="93">
        <v>3</v>
      </c>
      <c r="M12" s="93"/>
      <c r="N12" s="93"/>
      <c r="O12" s="93">
        <v>3</v>
      </c>
      <c r="P12" s="93"/>
      <c r="Q12" s="93"/>
      <c r="R12" s="93">
        <v>3</v>
      </c>
      <c r="S12" s="93"/>
      <c r="T12" s="93"/>
      <c r="U12" s="93">
        <v>3</v>
      </c>
      <c r="V12" s="93">
        <v>3</v>
      </c>
      <c r="W12" s="93">
        <v>3</v>
      </c>
      <c r="X12" s="93">
        <v>3</v>
      </c>
      <c r="Y12" s="93">
        <v>3</v>
      </c>
      <c r="Z12" s="93">
        <v>3</v>
      </c>
      <c r="AA12" s="93">
        <v>3</v>
      </c>
      <c r="AB12" s="92">
        <v>4</v>
      </c>
      <c r="AC12" s="92"/>
      <c r="AD12" s="92"/>
      <c r="AE12" s="92">
        <v>5</v>
      </c>
      <c r="AF12" s="92"/>
      <c r="AG12" s="92"/>
      <c r="AH12" s="92"/>
      <c r="AI12" s="92"/>
      <c r="AJ12" s="92"/>
      <c r="AK12" s="92">
        <v>5</v>
      </c>
      <c r="AL12" s="92"/>
      <c r="AM12" s="92"/>
      <c r="AN12" s="92"/>
      <c r="AO12" s="92">
        <v>5</v>
      </c>
      <c r="AP12" s="92"/>
      <c r="AQ12" s="92"/>
      <c r="AR12" s="92">
        <v>5</v>
      </c>
      <c r="AS12" s="92"/>
      <c r="AT12" s="92"/>
      <c r="AU12" s="92">
        <v>5</v>
      </c>
      <c r="AV12" s="92">
        <v>5</v>
      </c>
      <c r="AW12" s="92"/>
      <c r="AX12" s="92"/>
      <c r="AY12" s="92">
        <v>5</v>
      </c>
      <c r="AZ12" s="92">
        <v>5</v>
      </c>
      <c r="BA12" s="92"/>
      <c r="BB12" s="92"/>
      <c r="BC12" s="92">
        <v>5</v>
      </c>
      <c r="BD12" s="92">
        <v>5</v>
      </c>
      <c r="BE12" s="92"/>
      <c r="BF12" s="92"/>
      <c r="BG12" s="92">
        <v>5</v>
      </c>
      <c r="BH12" s="92">
        <v>5</v>
      </c>
      <c r="BI12" s="92">
        <v>5</v>
      </c>
      <c r="BJ12" s="92"/>
      <c r="BK12" s="92">
        <v>5</v>
      </c>
      <c r="BL12" s="92">
        <v>5</v>
      </c>
      <c r="BM12" s="92">
        <v>5</v>
      </c>
      <c r="BN12" s="92">
        <v>5</v>
      </c>
      <c r="BO12" s="92">
        <v>5</v>
      </c>
      <c r="BP12" s="92">
        <v>5</v>
      </c>
      <c r="BQ12" s="92">
        <v>5</v>
      </c>
      <c r="BR12" s="92">
        <v>5</v>
      </c>
      <c r="BS12" s="92">
        <v>5</v>
      </c>
      <c r="BT12" s="92">
        <v>5</v>
      </c>
      <c r="BU12" s="92">
        <v>6</v>
      </c>
      <c r="BV12" s="92">
        <v>7</v>
      </c>
      <c r="BW12" s="92">
        <v>7</v>
      </c>
      <c r="BX12" s="92">
        <v>7</v>
      </c>
      <c r="BY12" s="92">
        <v>7</v>
      </c>
      <c r="BZ12" s="92">
        <v>7</v>
      </c>
      <c r="CA12" s="92">
        <v>7</v>
      </c>
      <c r="CB12" s="92">
        <v>7</v>
      </c>
      <c r="CC12" s="92">
        <v>7</v>
      </c>
      <c r="CD12" s="92">
        <v>7</v>
      </c>
      <c r="CE12" s="92">
        <v>7</v>
      </c>
      <c r="CF12" s="92">
        <v>7</v>
      </c>
      <c r="CG12" s="92">
        <v>7</v>
      </c>
      <c r="CH12" s="92">
        <v>8</v>
      </c>
      <c r="CI12" s="92">
        <v>10</v>
      </c>
    </row>
    <row r="13" spans="1:88" ht="24.75" customHeight="1">
      <c r="A13" s="61" t="s">
        <v>78</v>
      </c>
      <c r="B13" s="18">
        <v>10661500000</v>
      </c>
      <c r="C13" s="17">
        <f>948316491-465911826</f>
        <v>482404665</v>
      </c>
      <c r="D13" s="17"/>
      <c r="E13" s="17">
        <v>0</v>
      </c>
      <c r="F13" s="17">
        <v>119834443.72</v>
      </c>
      <c r="G13" s="17">
        <v>0</v>
      </c>
      <c r="H13" s="17">
        <v>0</v>
      </c>
      <c r="I13" s="17">
        <v>468697704.35</v>
      </c>
      <c r="J13" s="17"/>
      <c r="K13" s="17">
        <v>0</v>
      </c>
      <c r="L13" s="17">
        <v>21291780.53</v>
      </c>
      <c r="M13" s="17">
        <v>0</v>
      </c>
      <c r="N13" s="17">
        <v>0</v>
      </c>
      <c r="O13" s="17">
        <v>610012285.03</v>
      </c>
      <c r="P13" s="17">
        <v>0</v>
      </c>
      <c r="Q13" s="17">
        <v>0</v>
      </c>
      <c r="R13" s="166">
        <v>178021252.72</v>
      </c>
      <c r="S13" s="166">
        <v>0</v>
      </c>
      <c r="T13" s="166">
        <v>0</v>
      </c>
      <c r="U13" s="166">
        <v>278105616.5</v>
      </c>
      <c r="V13" s="167">
        <v>12578241.7</v>
      </c>
      <c r="W13" s="166">
        <v>3334573962.94</v>
      </c>
      <c r="X13" s="166">
        <v>1589885505.43</v>
      </c>
      <c r="Y13" s="166">
        <v>964901050.19</v>
      </c>
      <c r="Z13" s="166">
        <v>498121699.36</v>
      </c>
      <c r="AA13" s="166">
        <v>0</v>
      </c>
      <c r="AB13" s="168">
        <f>SUM(C13+F13+I13+L13+O13+R13+U13+V13+W13+X13+Y13+Z13+AA13)</f>
        <v>8558428207.47</v>
      </c>
      <c r="AC13" s="169">
        <v>0</v>
      </c>
      <c r="AD13" s="169">
        <v>23214011.2</v>
      </c>
      <c r="AE13" s="170">
        <v>247768975</v>
      </c>
      <c r="AF13" s="170">
        <v>1000000</v>
      </c>
      <c r="AG13" s="170">
        <v>0</v>
      </c>
      <c r="AH13" s="170">
        <v>0</v>
      </c>
      <c r="AI13" s="134">
        <v>0</v>
      </c>
      <c r="AJ13" s="134">
        <v>0</v>
      </c>
      <c r="AK13" s="133">
        <v>3066908.72</v>
      </c>
      <c r="AL13" s="133">
        <v>0</v>
      </c>
      <c r="AM13" s="133">
        <v>0</v>
      </c>
      <c r="AN13" s="133">
        <v>0</v>
      </c>
      <c r="AO13" s="13">
        <v>574514017.35</v>
      </c>
      <c r="AP13" s="135">
        <v>0</v>
      </c>
      <c r="AQ13" s="135">
        <v>0</v>
      </c>
      <c r="AR13" s="136">
        <v>0</v>
      </c>
      <c r="AS13" s="135">
        <v>0</v>
      </c>
      <c r="AT13" s="135">
        <v>0</v>
      </c>
      <c r="AU13" s="133">
        <v>5891522.53</v>
      </c>
      <c r="AV13" s="133">
        <v>0</v>
      </c>
      <c r="AW13" s="133">
        <v>0</v>
      </c>
      <c r="AX13" s="133">
        <v>0</v>
      </c>
      <c r="AY13" s="133">
        <v>348112341.03</v>
      </c>
      <c r="AZ13" s="133">
        <v>1400000</v>
      </c>
      <c r="BA13" s="133">
        <v>0</v>
      </c>
      <c r="BB13" s="133">
        <v>0</v>
      </c>
      <c r="BC13" s="166">
        <v>269461110.72</v>
      </c>
      <c r="BD13" s="166">
        <v>0</v>
      </c>
      <c r="BE13" s="166">
        <v>0</v>
      </c>
      <c r="BF13" s="166">
        <v>0</v>
      </c>
      <c r="BG13" s="166">
        <v>25696177.5</v>
      </c>
      <c r="BH13" s="166">
        <v>0</v>
      </c>
      <c r="BI13" s="166">
        <v>434862955.7</v>
      </c>
      <c r="BJ13" s="166">
        <v>0</v>
      </c>
      <c r="BK13" s="166">
        <v>0</v>
      </c>
      <c r="BL13" s="166">
        <v>3317313070.94</v>
      </c>
      <c r="BM13" s="166">
        <v>0</v>
      </c>
      <c r="BN13" s="166">
        <v>21994404.42</v>
      </c>
      <c r="BO13" s="166">
        <v>0</v>
      </c>
      <c r="BP13" s="166">
        <v>1596082008.19</v>
      </c>
      <c r="BQ13" s="18">
        <v>0</v>
      </c>
      <c r="BR13" s="166">
        <v>1185659618.36</v>
      </c>
      <c r="BS13" s="166">
        <v>0</v>
      </c>
      <c r="BT13" s="166">
        <v>0</v>
      </c>
      <c r="BU13" s="18">
        <f>AE13+AO13+AK13+AH13+AU13+AR13+AY13+BC13+BG13+BI13+BL13+BN13+BP13+BR13+BT13+BH13+BD13+AF13+AZ13</f>
        <v>8032823110.46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/>
      <c r="CD13" s="17">
        <v>0</v>
      </c>
      <c r="CE13" s="17">
        <v>0</v>
      </c>
      <c r="CF13" s="17">
        <v>0</v>
      </c>
      <c r="CG13" s="17">
        <v>0</v>
      </c>
      <c r="CH13" s="13">
        <f>SUM(BV13:CG13)</f>
        <v>0</v>
      </c>
      <c r="CI13" s="15">
        <v>525605097</v>
      </c>
      <c r="CJ13" s="12"/>
    </row>
    <row r="14" spans="1:87" ht="24.75" customHeight="1">
      <c r="A14" s="62" t="s">
        <v>79</v>
      </c>
      <c r="B14" s="18"/>
      <c r="C14" s="18">
        <v>0</v>
      </c>
      <c r="D14" s="18"/>
      <c r="E14" s="18"/>
      <c r="F14" s="18">
        <v>313771</v>
      </c>
      <c r="G14" s="18"/>
      <c r="H14" s="18"/>
      <c r="I14" s="18">
        <v>357499</v>
      </c>
      <c r="J14" s="18"/>
      <c r="K14" s="18"/>
      <c r="L14" s="18">
        <v>359926</v>
      </c>
      <c r="M14" s="18"/>
      <c r="N14" s="18"/>
      <c r="O14" s="18">
        <v>493343</v>
      </c>
      <c r="P14" s="18"/>
      <c r="Q14" s="18"/>
      <c r="R14" s="167">
        <v>278720</v>
      </c>
      <c r="S14" s="167"/>
      <c r="T14" s="167"/>
      <c r="U14" s="167">
        <v>320405</v>
      </c>
      <c r="V14" s="167">
        <v>276284</v>
      </c>
      <c r="W14" s="167">
        <v>271316.72</v>
      </c>
      <c r="X14" s="167">
        <v>21710627</v>
      </c>
      <c r="Y14" s="167">
        <v>289344</v>
      </c>
      <c r="Z14" s="167">
        <v>264363</v>
      </c>
      <c r="AA14" s="167">
        <v>0</v>
      </c>
      <c r="AB14" s="168">
        <f>SUM(C14+F14+I14+L14+O14+R14+U14+V14+W14+X14+Y14+Z14+AA14)</f>
        <v>24935598.72</v>
      </c>
      <c r="AC14" s="168">
        <v>0</v>
      </c>
      <c r="AD14" s="168">
        <v>0</v>
      </c>
      <c r="AE14" s="168">
        <v>0</v>
      </c>
      <c r="AF14" s="168">
        <v>0</v>
      </c>
      <c r="AG14" s="168">
        <v>0</v>
      </c>
      <c r="AH14" s="168">
        <f>4-4</f>
        <v>0</v>
      </c>
      <c r="AI14" s="16">
        <v>0</v>
      </c>
      <c r="AJ14" s="16">
        <v>0</v>
      </c>
      <c r="AK14" s="16">
        <v>313771</v>
      </c>
      <c r="AL14" s="16">
        <v>0</v>
      </c>
      <c r="AM14" s="16">
        <v>0</v>
      </c>
      <c r="AN14" s="16">
        <v>0</v>
      </c>
      <c r="AO14" s="16">
        <f>+I14</f>
        <v>357499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359926</v>
      </c>
      <c r="AV14" s="136">
        <v>0</v>
      </c>
      <c r="AW14" s="136">
        <v>0</v>
      </c>
      <c r="AX14" s="136">
        <v>0</v>
      </c>
      <c r="AY14" s="136">
        <v>493343</v>
      </c>
      <c r="AZ14" s="136">
        <v>0</v>
      </c>
      <c r="BA14" s="136">
        <v>0</v>
      </c>
      <c r="BB14" s="136">
        <v>0</v>
      </c>
      <c r="BC14" s="167">
        <v>269324</v>
      </c>
      <c r="BD14" s="167">
        <v>0</v>
      </c>
      <c r="BE14" s="167">
        <v>0</v>
      </c>
      <c r="BF14" s="167">
        <v>0</v>
      </c>
      <c r="BG14" s="167">
        <v>329801</v>
      </c>
      <c r="BH14" s="167">
        <v>0</v>
      </c>
      <c r="BI14" s="167">
        <v>276284</v>
      </c>
      <c r="BJ14" s="167">
        <v>0</v>
      </c>
      <c r="BK14" s="167">
        <v>0</v>
      </c>
      <c r="BL14" s="167">
        <v>271316.72</v>
      </c>
      <c r="BM14" s="167">
        <v>0</v>
      </c>
      <c r="BN14" s="167">
        <v>21710627</v>
      </c>
      <c r="BO14" s="167">
        <v>0</v>
      </c>
      <c r="BP14" s="167">
        <v>289344</v>
      </c>
      <c r="BQ14" s="264">
        <v>0</v>
      </c>
      <c r="BR14" s="167">
        <v>264363</v>
      </c>
      <c r="BS14" s="167">
        <v>0</v>
      </c>
      <c r="BT14" s="167">
        <v>0</v>
      </c>
      <c r="BU14" s="18">
        <f>AK14+AO14+AU14+AY14+BC14+BG14+BI14+BL14+BN14+BP14+BQ14+BT14</f>
        <v>24671235.72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/>
      <c r="CD14" s="18">
        <v>0</v>
      </c>
      <c r="CE14" s="18">
        <v>0</v>
      </c>
      <c r="CF14" s="18">
        <v>0</v>
      </c>
      <c r="CG14" s="18">
        <v>0</v>
      </c>
      <c r="CH14" s="14">
        <f>SUM(BV14:CG14)</f>
        <v>0</v>
      </c>
      <c r="CI14" s="15">
        <v>0</v>
      </c>
    </row>
    <row r="15" spans="1:89" ht="25.5" customHeight="1">
      <c r="A15" s="62" t="s">
        <v>107</v>
      </c>
      <c r="B15" s="18">
        <v>690900000</v>
      </c>
      <c r="C15" s="18">
        <v>0</v>
      </c>
      <c r="D15" s="18"/>
      <c r="E15" s="18"/>
      <c r="F15" s="18">
        <v>0</v>
      </c>
      <c r="G15" s="18"/>
      <c r="H15" s="18"/>
      <c r="I15" s="18">
        <v>0</v>
      </c>
      <c r="J15" s="18"/>
      <c r="K15" s="18"/>
      <c r="L15" s="18"/>
      <c r="M15" s="18"/>
      <c r="N15" s="18"/>
      <c r="O15" s="84">
        <v>0</v>
      </c>
      <c r="P15" s="84"/>
      <c r="Q15" s="84"/>
      <c r="R15" s="167">
        <v>0</v>
      </c>
      <c r="S15" s="167">
        <v>0</v>
      </c>
      <c r="T15" s="167"/>
      <c r="U15" s="167">
        <v>89428750</v>
      </c>
      <c r="V15" s="167">
        <v>0</v>
      </c>
      <c r="W15" s="167"/>
      <c r="X15" s="167">
        <v>0</v>
      </c>
      <c r="Y15" s="167">
        <v>167284500</v>
      </c>
      <c r="Z15" s="167">
        <v>0</v>
      </c>
      <c r="AA15" s="167">
        <v>0</v>
      </c>
      <c r="AB15" s="16">
        <f>SUM(C15+F15+I15+L15+O15+R15+U15+V15+W15+X15+Y15+AA15+Z15)</f>
        <v>256713250</v>
      </c>
      <c r="AC15" s="168">
        <v>0</v>
      </c>
      <c r="AD15" s="168">
        <v>0</v>
      </c>
      <c r="AE15" s="168">
        <v>0</v>
      </c>
      <c r="AF15" s="168">
        <v>0</v>
      </c>
      <c r="AG15" s="168">
        <v>0</v>
      </c>
      <c r="AH15" s="168">
        <f>AE15+AG15+AF15</f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f>AS15+AT15</f>
        <v>0</v>
      </c>
      <c r="AV15" s="136">
        <v>0</v>
      </c>
      <c r="AW15" s="136">
        <v>0</v>
      </c>
      <c r="AX15" s="136">
        <v>0</v>
      </c>
      <c r="AY15" s="136">
        <v>0</v>
      </c>
      <c r="AZ15" s="136">
        <v>0</v>
      </c>
      <c r="BA15" s="136">
        <v>0</v>
      </c>
      <c r="BB15" s="136">
        <v>0</v>
      </c>
      <c r="BC15" s="167">
        <v>0</v>
      </c>
      <c r="BD15" s="167">
        <v>0</v>
      </c>
      <c r="BE15" s="167">
        <v>0</v>
      </c>
      <c r="BF15" s="167">
        <v>0</v>
      </c>
      <c r="BG15" s="167">
        <v>89428750</v>
      </c>
      <c r="BH15" s="167">
        <v>0</v>
      </c>
      <c r="BI15" s="167">
        <v>0</v>
      </c>
      <c r="BJ15" s="167">
        <v>0</v>
      </c>
      <c r="BK15" s="167">
        <v>0</v>
      </c>
      <c r="BL15" s="167">
        <v>0</v>
      </c>
      <c r="BM15" s="167">
        <v>0</v>
      </c>
      <c r="BN15" s="167">
        <v>0</v>
      </c>
      <c r="BO15" s="167">
        <v>0</v>
      </c>
      <c r="BP15" s="167">
        <v>167284500</v>
      </c>
      <c r="BQ15" s="167">
        <v>0</v>
      </c>
      <c r="BR15" s="167">
        <v>0</v>
      </c>
      <c r="BS15" s="167">
        <v>0</v>
      </c>
      <c r="BT15" s="167">
        <v>0</v>
      </c>
      <c r="BU15" s="18">
        <f>AO15+AK15+AH15+AU15+AR15+AY15+BC15+BG15+BI15+BL15:BL16+BN15+BP15+BR15+BT15</f>
        <v>256713250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/>
      <c r="CD15" s="18">
        <v>0</v>
      </c>
      <c r="CE15" s="18">
        <v>0</v>
      </c>
      <c r="CF15" s="18">
        <v>0</v>
      </c>
      <c r="CG15" s="18">
        <v>0</v>
      </c>
      <c r="CH15" s="14">
        <f>SUM(BV15:CG15)</f>
        <v>0</v>
      </c>
      <c r="CI15" s="15">
        <f>SUM(AB15-BU15-CH15)</f>
        <v>0</v>
      </c>
      <c r="CK15" s="12"/>
    </row>
    <row r="16" spans="1:87" ht="18" customHeight="1">
      <c r="A16" s="11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  <c r="AC16" s="168"/>
      <c r="AD16" s="168"/>
      <c r="AE16" s="168"/>
      <c r="AF16" s="168"/>
      <c r="AG16" s="168"/>
      <c r="AH16" s="168"/>
      <c r="AI16" s="16"/>
      <c r="AJ16" s="16"/>
      <c r="AK16" s="136"/>
      <c r="AL16" s="136"/>
      <c r="AM16" s="136"/>
      <c r="AN16" s="136"/>
      <c r="AO16" s="136"/>
      <c r="AP16" s="137"/>
      <c r="AQ16" s="137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4"/>
      <c r="CI16" s="15"/>
    </row>
    <row r="17" spans="1:87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4"/>
      <c r="CI17" s="15"/>
    </row>
    <row r="18" spans="1:90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4"/>
      <c r="CI18" s="15"/>
      <c r="CK18" s="12"/>
      <c r="CL18" s="12"/>
    </row>
    <row r="19" spans="1:87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4"/>
      <c r="CI19" s="15"/>
    </row>
    <row r="20" spans="1:87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4"/>
      <c r="CI20" s="15"/>
    </row>
    <row r="21" spans="1:87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4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4"/>
      <c r="CI21" s="15"/>
    </row>
    <row r="22" spans="1:87" ht="18" customHeight="1" thickBot="1">
      <c r="A22" s="79" t="s">
        <v>85</v>
      </c>
      <c r="B22" s="80">
        <f>SUM(B13:B21)</f>
        <v>11352400000</v>
      </c>
      <c r="C22" s="80">
        <f>SUM(C13:C21)</f>
        <v>482404665</v>
      </c>
      <c r="D22" s="80"/>
      <c r="E22" s="80"/>
      <c r="F22" s="80">
        <f>SUM(F13:F21)</f>
        <v>120148214.72</v>
      </c>
      <c r="G22" s="80"/>
      <c r="H22" s="80"/>
      <c r="I22" s="80">
        <f>SUM(I13:I21)</f>
        <v>469055203.35</v>
      </c>
      <c r="J22" s="80"/>
      <c r="K22" s="80"/>
      <c r="L22" s="80">
        <f>SUM(L13:L21)</f>
        <v>21651706.53</v>
      </c>
      <c r="M22" s="80"/>
      <c r="N22" s="80"/>
      <c r="O22" s="80">
        <f>SUM(O13:O21)</f>
        <v>610505628.03</v>
      </c>
      <c r="P22" s="80"/>
      <c r="Q22" s="80"/>
      <c r="R22" s="80">
        <f>SUM(R13:R21)</f>
        <v>178299972.72</v>
      </c>
      <c r="S22" s="80"/>
      <c r="T22" s="80"/>
      <c r="U22" s="80">
        <f aca="true" t="shared" si="0" ref="U22:AA22">SUM(U13:U21)</f>
        <v>367854771.5</v>
      </c>
      <c r="V22" s="80">
        <f t="shared" si="0"/>
        <v>12854525.7</v>
      </c>
      <c r="W22" s="80">
        <f t="shared" si="0"/>
        <v>3334845279.66</v>
      </c>
      <c r="X22" s="80">
        <f t="shared" si="0"/>
        <v>1611596132.43</v>
      </c>
      <c r="Y22" s="80">
        <f t="shared" si="0"/>
        <v>1132474894.19</v>
      </c>
      <c r="Z22" s="80">
        <f t="shared" si="0"/>
        <v>498386062.36</v>
      </c>
      <c r="AA22" s="80">
        <f t="shared" si="0"/>
        <v>0</v>
      </c>
      <c r="AB22" s="80">
        <f>SUM(AB13:AB21)</f>
        <v>8840077056.19</v>
      </c>
      <c r="AC22" s="80"/>
      <c r="AD22" s="80"/>
      <c r="AE22" s="80">
        <f>SUM(AE13:AE21)</f>
        <v>247768975</v>
      </c>
      <c r="AF22" s="80"/>
      <c r="AG22" s="80"/>
      <c r="AH22" s="80">
        <f>SUM(AH13:AH21)</f>
        <v>0</v>
      </c>
      <c r="AI22" s="80"/>
      <c r="AJ22" s="80"/>
      <c r="AK22" s="80">
        <f>SUM(AK13:AK21)</f>
        <v>3380679.72</v>
      </c>
      <c r="AL22" s="80"/>
      <c r="AM22" s="80"/>
      <c r="AN22" s="80"/>
      <c r="AO22" s="80">
        <f>SUM(AO13:AO21)</f>
        <v>574871516.35</v>
      </c>
      <c r="AP22" s="80"/>
      <c r="AQ22" s="80"/>
      <c r="AR22" s="80">
        <f>SUM(AR13:AR21)</f>
        <v>0</v>
      </c>
      <c r="AS22" s="80"/>
      <c r="AT22" s="80"/>
      <c r="AU22" s="80">
        <f>SUM(AU13:AU21)</f>
        <v>6251448.53</v>
      </c>
      <c r="AV22" s="80">
        <f>SUM(AV13:AV21)</f>
        <v>0</v>
      </c>
      <c r="AW22" s="80"/>
      <c r="AX22" s="80"/>
      <c r="AY22" s="80">
        <f>SUM(AY13:AY21)</f>
        <v>348605684.03</v>
      </c>
      <c r="AZ22" s="80">
        <f>SUM(AZ13:AZ21)</f>
        <v>1400000</v>
      </c>
      <c r="BA22" s="80"/>
      <c r="BB22" s="80"/>
      <c r="BC22" s="80">
        <f>SUM(BC13:BC21)</f>
        <v>269730434.72</v>
      </c>
      <c r="BD22" s="80">
        <f>SUM(BD13:BD21)</f>
        <v>0</v>
      </c>
      <c r="BE22" s="80"/>
      <c r="BF22" s="80"/>
      <c r="BG22" s="80">
        <f aca="true" t="shared" si="1" ref="BG22:BM22">SUM(BG13:BG21)</f>
        <v>115454728.5</v>
      </c>
      <c r="BH22" s="80">
        <f t="shared" si="1"/>
        <v>0</v>
      </c>
      <c r="BI22" s="80">
        <f t="shared" si="1"/>
        <v>435139239.7</v>
      </c>
      <c r="BJ22" s="80"/>
      <c r="BK22" s="80">
        <f t="shared" si="1"/>
        <v>0</v>
      </c>
      <c r="BL22" s="80">
        <f t="shared" si="1"/>
        <v>3317584387.66</v>
      </c>
      <c r="BM22" s="80">
        <f t="shared" si="1"/>
        <v>0</v>
      </c>
      <c r="BN22" s="80">
        <f aca="true" t="shared" si="2" ref="BN22:CI22">SUM(BN13:BN21)</f>
        <v>43705031.42</v>
      </c>
      <c r="BO22" s="80">
        <f t="shared" si="2"/>
        <v>0</v>
      </c>
      <c r="BP22" s="80">
        <f t="shared" si="2"/>
        <v>1763655852.19</v>
      </c>
      <c r="BQ22" s="80">
        <f t="shared" si="2"/>
        <v>0</v>
      </c>
      <c r="BR22" s="80">
        <f>SUM(BR13:BR21)</f>
        <v>1185923981.36</v>
      </c>
      <c r="BS22" s="80">
        <f t="shared" si="2"/>
        <v>0</v>
      </c>
      <c r="BT22" s="80">
        <f t="shared" si="2"/>
        <v>0</v>
      </c>
      <c r="BU22" s="80">
        <f>SUM(BU13:BU21)</f>
        <v>8314207596.18</v>
      </c>
      <c r="BV22" s="80">
        <f t="shared" si="2"/>
        <v>0</v>
      </c>
      <c r="BW22" s="80">
        <f t="shared" si="2"/>
        <v>0</v>
      </c>
      <c r="BX22" s="80">
        <f t="shared" si="2"/>
        <v>0</v>
      </c>
      <c r="BY22" s="80">
        <f t="shared" si="2"/>
        <v>0</v>
      </c>
      <c r="BZ22" s="80">
        <f t="shared" si="2"/>
        <v>0</v>
      </c>
      <c r="CA22" s="80">
        <f t="shared" si="2"/>
        <v>0</v>
      </c>
      <c r="CB22" s="80">
        <f t="shared" si="2"/>
        <v>0</v>
      </c>
      <c r="CC22" s="80">
        <f t="shared" si="2"/>
        <v>0</v>
      </c>
      <c r="CD22" s="80">
        <f t="shared" si="2"/>
        <v>0</v>
      </c>
      <c r="CE22" s="80">
        <f t="shared" si="2"/>
        <v>0</v>
      </c>
      <c r="CF22" s="80">
        <f t="shared" si="2"/>
        <v>0</v>
      </c>
      <c r="CG22" s="80">
        <f t="shared" si="2"/>
        <v>0</v>
      </c>
      <c r="CH22" s="80">
        <f t="shared" si="2"/>
        <v>0</v>
      </c>
      <c r="CI22" s="81">
        <f t="shared" si="2"/>
        <v>525605097</v>
      </c>
    </row>
    <row r="23" spans="1:87" ht="12.75">
      <c r="A23" s="7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1"/>
    </row>
    <row r="24" spans="1:87" ht="12.75">
      <c r="A24" s="85"/>
      <c r="B24" s="5"/>
      <c r="C24" s="5"/>
      <c r="D24" s="5"/>
      <c r="E24" s="5"/>
      <c r="F24" s="3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8"/>
      <c r="AC24" s="38"/>
      <c r="AD24" s="38"/>
      <c r="AE24" s="5"/>
      <c r="AF24" s="5"/>
      <c r="AG24" s="5"/>
      <c r="AH24" s="36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6"/>
    </row>
    <row r="25" spans="1:87" ht="27" customHeight="1" thickBot="1">
      <c r="A25" s="34"/>
      <c r="B25" s="41"/>
      <c r="C25" s="41"/>
      <c r="D25" s="41"/>
      <c r="E25" s="4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8"/>
      <c r="Z25" s="8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2"/>
      <c r="CI25" s="6"/>
    </row>
    <row r="26" spans="1:87" ht="12.75">
      <c r="A26" s="34"/>
      <c r="B26" s="267" t="s">
        <v>110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"/>
      <c r="CH26" s="2"/>
      <c r="CI26" s="6"/>
    </row>
    <row r="27" spans="1:87" ht="13.5" thickBo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</row>
    <row r="29" spans="2:28" ht="12.75">
      <c r="B29" s="2"/>
      <c r="AB29" s="12"/>
    </row>
    <row r="30" spans="3:27" ht="15"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</row>
    <row r="31" spans="3:70" ht="15"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201"/>
      <c r="BR31" s="12"/>
    </row>
    <row r="32" spans="3:97" ht="15"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BD32" s="268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70"/>
    </row>
    <row r="33" spans="2:97" ht="15">
      <c r="B33" s="155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H33" s="155"/>
      <c r="BD33" s="268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70"/>
    </row>
    <row r="34" spans="2:58" ht="15">
      <c r="B34" s="155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H34" s="155"/>
      <c r="BD34" s="105"/>
      <c r="BE34" s="40"/>
      <c r="BF34" s="125"/>
    </row>
    <row r="35" spans="2:58" ht="15">
      <c r="B35" s="155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62"/>
      <c r="AH35" s="155"/>
      <c r="BD35" s="105"/>
      <c r="BE35" s="40"/>
      <c r="BF35" s="125"/>
    </row>
    <row r="36" spans="2:58" ht="15">
      <c r="B36" s="155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62"/>
      <c r="AH36" s="165"/>
      <c r="BD36" s="105"/>
      <c r="BE36" s="40"/>
      <c r="BF36" s="125"/>
    </row>
    <row r="37" spans="2:58" ht="15">
      <c r="B37" s="155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62"/>
      <c r="AH37" s="155"/>
      <c r="BD37" s="105"/>
      <c r="BE37" s="105"/>
      <c r="BF37" s="125"/>
    </row>
    <row r="38" spans="2:73" ht="15">
      <c r="B38" s="155"/>
      <c r="C38" s="163"/>
      <c r="D38" s="162"/>
      <c r="E38" s="162"/>
      <c r="F38" s="162"/>
      <c r="G38" s="162"/>
      <c r="H38" s="162"/>
      <c r="I38" s="162"/>
      <c r="J38" s="162"/>
      <c r="K38" s="162"/>
      <c r="L38" s="162"/>
      <c r="M38" s="124"/>
      <c r="N38" s="124"/>
      <c r="O38" s="124"/>
      <c r="P38" s="124"/>
      <c r="Q38" s="16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62"/>
      <c r="AH38" s="155"/>
      <c r="BP38" s="124"/>
      <c r="BQ38" s="124"/>
      <c r="BR38" s="124"/>
      <c r="BS38" s="124"/>
      <c r="BT38" s="124"/>
      <c r="BU38" s="124"/>
    </row>
    <row r="39" spans="2:28" ht="15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S39" s="132"/>
      <c r="T39" s="132"/>
      <c r="U39" s="132"/>
      <c r="V39" s="132"/>
      <c r="W39" s="132"/>
      <c r="X39" s="132"/>
      <c r="Y39" s="132"/>
      <c r="Z39" s="132"/>
      <c r="AB39" s="162"/>
    </row>
    <row r="40" spans="2:28" ht="15">
      <c r="B40" s="155"/>
      <c r="C40" s="165"/>
      <c r="D40" s="155"/>
      <c r="E40" s="155"/>
      <c r="F40" s="155"/>
      <c r="G40" s="155"/>
      <c r="H40" s="155"/>
      <c r="I40" s="155"/>
      <c r="J40" s="155"/>
      <c r="K40" s="155"/>
      <c r="L40" s="155"/>
      <c r="S40" s="132"/>
      <c r="T40" s="132"/>
      <c r="U40" s="132"/>
      <c r="V40" s="132"/>
      <c r="W40" s="132"/>
      <c r="X40" s="132"/>
      <c r="Y40" s="132"/>
      <c r="Z40" s="132"/>
      <c r="AB40" s="162"/>
    </row>
    <row r="41" spans="2:28" ht="15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AB41" s="162"/>
    </row>
    <row r="42" spans="2:28" ht="15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AB42" s="162"/>
    </row>
    <row r="43" spans="2:28" ht="15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AB43" s="162"/>
    </row>
    <row r="44" ht="15">
      <c r="AB44" s="162"/>
    </row>
    <row r="45" ht="15">
      <c r="AB45" s="162"/>
    </row>
    <row r="46" ht="15">
      <c r="AB46" s="162"/>
    </row>
    <row r="47" ht="15">
      <c r="AB47" s="162"/>
    </row>
    <row r="48" ht="15">
      <c r="AB48" s="162"/>
    </row>
    <row r="49" ht="12.75">
      <c r="AB49" s="155"/>
    </row>
    <row r="50" ht="12.75">
      <c r="AB50" s="155"/>
    </row>
    <row r="52" spans="3:28" ht="12.75"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</row>
    <row r="53" spans="3:28" ht="12.75"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</row>
    <row r="54" spans="3:28" ht="12.75"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</row>
    <row r="55" spans="3:28" ht="12.75"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</row>
    <row r="56" spans="3:28" ht="12.75"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</row>
    <row r="57" spans="3:28" ht="12.75"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</row>
    <row r="58" spans="3:28" ht="12.75"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</row>
    <row r="59" spans="3:28" ht="12.75"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</row>
    <row r="60" spans="3:28" ht="12.75"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</row>
    <row r="61" spans="3:28" ht="12.75"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</row>
    <row r="62" spans="3:28" ht="12.75"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</row>
    <row r="63" spans="3:28" ht="12.75"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</row>
    <row r="64" spans="3:28" ht="12.75"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</row>
  </sheetData>
  <sheetProtection/>
  <mergeCells count="8">
    <mergeCell ref="A7:B7"/>
    <mergeCell ref="B26:Z26"/>
    <mergeCell ref="BD32:CS33"/>
    <mergeCell ref="A1:CI1"/>
    <mergeCell ref="A2:CI2"/>
    <mergeCell ref="A3:CI3"/>
    <mergeCell ref="A4:CI4"/>
    <mergeCell ref="A6:B6"/>
  </mergeCells>
  <printOptions horizontalCentered="1" verticalCentered="1"/>
  <pageMargins left="0.5511811023622047" right="0.15748031496062992" top="0.31496062992125984" bottom="0.5905511811023623" header="0" footer="0.1968503937007874"/>
  <pageSetup horizontalDpi="600" verticalDpi="6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="75" zoomScaleNormal="75" zoomScalePageLayoutView="0" workbookViewId="0" topLeftCell="N1">
      <selection activeCell="AR13" sqref="AR13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3.7109375" style="1" customWidth="1"/>
    <col min="4" max="4" width="19.421875" style="1" hidden="1" customWidth="1"/>
    <col min="5" max="5" width="21.140625" style="1" hidden="1" customWidth="1"/>
    <col min="6" max="6" width="25.140625" style="1" hidden="1" customWidth="1"/>
    <col min="7" max="7" width="18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17.57421875" style="1" hidden="1" customWidth="1"/>
    <col min="14" max="14" width="23.140625" style="1" customWidth="1"/>
    <col min="15" max="15" width="21.7109375" style="1" hidden="1" customWidth="1"/>
    <col min="16" max="16" width="21.57421875" style="1" customWidth="1"/>
    <col min="17" max="17" width="18.57421875" style="1" hidden="1" customWidth="1"/>
    <col min="18" max="18" width="19.421875" style="1" hidden="1" customWidth="1"/>
    <col min="19" max="19" width="22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19.28125" style="1" hidden="1" customWidth="1"/>
    <col min="27" max="27" width="20.28125" style="1" customWidth="1"/>
    <col min="28" max="28" width="15.421875" style="1" hidden="1" customWidth="1"/>
    <col min="29" max="29" width="21.57421875" style="1" customWidth="1"/>
    <col min="30" max="30" width="18.140625" style="1" hidden="1" customWidth="1"/>
    <col min="31" max="31" width="19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20.7109375" style="1" hidden="1" customWidth="1"/>
    <col min="39" max="39" width="19.8515625" style="1" hidden="1" customWidth="1"/>
    <col min="40" max="40" width="20.00390625" style="1" customWidth="1"/>
    <col min="41" max="41" width="22.8515625" style="1" hidden="1" customWidth="1"/>
    <col min="42" max="42" width="23.00390625" style="1" customWidth="1"/>
    <col min="43" max="43" width="21.28125" style="105" bestFit="1" customWidth="1"/>
    <col min="44" max="44" width="19.57421875" style="105" customWidth="1"/>
    <col min="45" max="45" width="20.00390625" style="125" customWidth="1"/>
    <col min="46" max="46" width="19.7109375" style="1" customWidth="1"/>
    <col min="47" max="47" width="14.140625" style="1" customWidth="1"/>
    <col min="48" max="48" width="24.7109375" style="1" customWidth="1"/>
    <col min="49" max="49" width="16.851562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7.2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3"/>
    </row>
    <row r="2" spans="1:42" ht="15">
      <c r="A2" s="274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6"/>
    </row>
    <row r="3" spans="1:42" ht="17.25">
      <c r="A3" s="277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5">
      <c r="A4" s="274" t="s">
        <v>52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6"/>
    </row>
    <row r="5" spans="1:43" ht="21">
      <c r="A5" s="280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2"/>
      <c r="AQ5" s="40"/>
    </row>
    <row r="6" spans="1:43" ht="15">
      <c r="A6" s="48"/>
      <c r="B6" s="49"/>
      <c r="C6" s="49"/>
      <c r="D6" s="49"/>
      <c r="E6" s="49"/>
      <c r="F6" s="157"/>
      <c r="G6" s="157">
        <f>+F6+3253800</f>
        <v>3253800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5"/>
      <c r="AI6" s="49"/>
      <c r="AJ6" s="49"/>
      <c r="AK6" s="49"/>
      <c r="AL6" s="49"/>
      <c r="AM6" s="49"/>
      <c r="AN6" s="49"/>
      <c r="AO6" s="49"/>
      <c r="AP6" s="50"/>
      <c r="AQ6" s="106"/>
    </row>
    <row r="7" spans="1:43" ht="15">
      <c r="A7" s="284" t="s">
        <v>4</v>
      </c>
      <c r="B7" s="285"/>
      <c r="C7" s="65" t="s">
        <v>48</v>
      </c>
      <c r="D7" s="49"/>
      <c r="E7" s="49"/>
      <c r="F7" s="49"/>
      <c r="G7" s="49"/>
      <c r="H7" s="49">
        <v>781621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66" t="s">
        <v>274</v>
      </c>
      <c r="AD7" s="68"/>
      <c r="AE7" s="68"/>
      <c r="AF7" s="68"/>
      <c r="AG7" s="68"/>
      <c r="AH7" s="55"/>
      <c r="AI7" s="68"/>
      <c r="AJ7" s="68"/>
      <c r="AK7" s="68"/>
      <c r="AL7" s="68"/>
      <c r="AM7" s="68"/>
      <c r="AN7" s="68"/>
      <c r="AO7" s="68"/>
      <c r="AP7" s="71"/>
      <c r="AQ7" s="107"/>
    </row>
    <row r="8" spans="1:44" ht="20.25">
      <c r="A8" s="284" t="s">
        <v>5</v>
      </c>
      <c r="B8" s="285"/>
      <c r="C8" s="64" t="s">
        <v>55</v>
      </c>
      <c r="D8" s="49"/>
      <c r="E8" s="49"/>
      <c r="F8" s="49"/>
      <c r="G8" s="157">
        <v>4035421</v>
      </c>
      <c r="H8" s="157">
        <f>+G8-3253800</f>
        <v>781621</v>
      </c>
      <c r="I8" s="157"/>
      <c r="J8" s="49"/>
      <c r="K8" s="49"/>
      <c r="L8" s="49"/>
      <c r="M8" s="49"/>
      <c r="N8" s="49"/>
      <c r="O8" s="49"/>
      <c r="P8" s="5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66" t="s">
        <v>198</v>
      </c>
      <c r="AD8" s="68"/>
      <c r="AE8" s="68"/>
      <c r="AF8" s="68"/>
      <c r="AG8" s="68"/>
      <c r="AH8" s="55"/>
      <c r="AI8" s="68"/>
      <c r="AJ8" s="68"/>
      <c r="AK8" s="68"/>
      <c r="AL8" s="68"/>
      <c r="AM8" s="68"/>
      <c r="AN8" s="68"/>
      <c r="AO8" s="68"/>
      <c r="AP8" s="67"/>
      <c r="AQ8" s="39"/>
      <c r="AR8" s="40"/>
    </row>
    <row r="9" spans="1:45" ht="15" thickBot="1">
      <c r="A9" s="52"/>
      <c r="B9" s="199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4"/>
      <c r="AQ9" s="40"/>
      <c r="AS9" s="124"/>
    </row>
    <row r="10" spans="1:42" ht="1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ht="14.25" customHeight="1">
      <c r="A11" s="99" t="s">
        <v>40</v>
      </c>
      <c r="B11" s="99" t="s">
        <v>42</v>
      </c>
      <c r="C11" s="99" t="s">
        <v>43</v>
      </c>
      <c r="D11" s="99" t="s">
        <v>44</v>
      </c>
      <c r="E11" s="99" t="s">
        <v>44</v>
      </c>
      <c r="F11" s="99" t="s">
        <v>44</v>
      </c>
      <c r="G11" s="99" t="s">
        <v>44</v>
      </c>
      <c r="H11" s="99" t="s">
        <v>44</v>
      </c>
      <c r="I11" s="99" t="s">
        <v>44</v>
      </c>
      <c r="J11" s="99" t="s">
        <v>44</v>
      </c>
      <c r="K11" s="99" t="s">
        <v>44</v>
      </c>
      <c r="L11" s="99" t="s">
        <v>44</v>
      </c>
      <c r="M11" s="99" t="s">
        <v>44</v>
      </c>
      <c r="N11" s="99" t="s">
        <v>44</v>
      </c>
      <c r="O11" s="99" t="s">
        <v>44</v>
      </c>
      <c r="P11" s="99" t="s">
        <v>44</v>
      </c>
      <c r="Q11" s="99" t="s">
        <v>45</v>
      </c>
      <c r="R11" s="99" t="s">
        <v>45</v>
      </c>
      <c r="S11" s="99" t="s">
        <v>45</v>
      </c>
      <c r="T11" s="99" t="s">
        <v>45</v>
      </c>
      <c r="U11" s="99" t="s">
        <v>45</v>
      </c>
      <c r="V11" s="99" t="s">
        <v>45</v>
      </c>
      <c r="W11" s="99" t="s">
        <v>45</v>
      </c>
      <c r="X11" s="99" t="s">
        <v>45</v>
      </c>
      <c r="Y11" s="99" t="s">
        <v>45</v>
      </c>
      <c r="Z11" s="99" t="s">
        <v>45</v>
      </c>
      <c r="AA11" s="99" t="s">
        <v>45</v>
      </c>
      <c r="AB11" s="99" t="s">
        <v>45</v>
      </c>
      <c r="AC11" s="99" t="s">
        <v>45</v>
      </c>
      <c r="AD11" s="99" t="s">
        <v>46</v>
      </c>
      <c r="AE11" s="99" t="s">
        <v>46</v>
      </c>
      <c r="AF11" s="99" t="s">
        <v>46</v>
      </c>
      <c r="AG11" s="99" t="s">
        <v>46</v>
      </c>
      <c r="AH11" s="99" t="s">
        <v>46</v>
      </c>
      <c r="AI11" s="99" t="s">
        <v>46</v>
      </c>
      <c r="AJ11" s="99" t="s">
        <v>46</v>
      </c>
      <c r="AK11" s="99" t="s">
        <v>46</v>
      </c>
      <c r="AL11" s="99" t="s">
        <v>46</v>
      </c>
      <c r="AM11" s="99" t="s">
        <v>46</v>
      </c>
      <c r="AN11" s="99" t="s">
        <v>46</v>
      </c>
      <c r="AO11" s="99" t="s">
        <v>46</v>
      </c>
      <c r="AP11" s="99" t="s">
        <v>46</v>
      </c>
    </row>
    <row r="12" spans="1:51" ht="13.5" thickBot="1">
      <c r="A12" s="100" t="s">
        <v>41</v>
      </c>
      <c r="B12" s="100"/>
      <c r="C12" s="100" t="s">
        <v>12</v>
      </c>
      <c r="D12" s="100" t="s">
        <v>13</v>
      </c>
      <c r="E12" s="100" t="s">
        <v>14</v>
      </c>
      <c r="F12" s="100" t="s">
        <v>15</v>
      </c>
      <c r="G12" s="100" t="s">
        <v>80</v>
      </c>
      <c r="H12" s="100" t="s">
        <v>17</v>
      </c>
      <c r="I12" s="100" t="s">
        <v>18</v>
      </c>
      <c r="J12" s="100" t="s">
        <v>19</v>
      </c>
      <c r="K12" s="100" t="s">
        <v>20</v>
      </c>
      <c r="L12" s="100" t="s">
        <v>21</v>
      </c>
      <c r="M12" s="100" t="s">
        <v>22</v>
      </c>
      <c r="N12" s="100" t="s">
        <v>23</v>
      </c>
      <c r="O12" s="100" t="s">
        <v>24</v>
      </c>
      <c r="P12" s="100" t="s">
        <v>25</v>
      </c>
      <c r="Q12" s="100" t="s">
        <v>13</v>
      </c>
      <c r="R12" s="100" t="s">
        <v>14</v>
      </c>
      <c r="S12" s="100" t="s">
        <v>15</v>
      </c>
      <c r="T12" s="100" t="s">
        <v>16</v>
      </c>
      <c r="U12" s="100" t="s">
        <v>28</v>
      </c>
      <c r="V12" s="100" t="s">
        <v>29</v>
      </c>
      <c r="W12" s="100" t="s">
        <v>30</v>
      </c>
      <c r="X12" s="100" t="s">
        <v>20</v>
      </c>
      <c r="Y12" s="100" t="s">
        <v>21</v>
      </c>
      <c r="Z12" s="100" t="s">
        <v>31</v>
      </c>
      <c r="AA12" s="100" t="s">
        <v>23</v>
      </c>
      <c r="AB12" s="100" t="s">
        <v>24</v>
      </c>
      <c r="AC12" s="100" t="s">
        <v>47</v>
      </c>
      <c r="AD12" s="100" t="s">
        <v>13</v>
      </c>
      <c r="AE12" s="100" t="s">
        <v>14</v>
      </c>
      <c r="AF12" s="100" t="s">
        <v>15</v>
      </c>
      <c r="AG12" s="100" t="s">
        <v>16</v>
      </c>
      <c r="AH12" s="100" t="s">
        <v>28</v>
      </c>
      <c r="AI12" s="100" t="s">
        <v>29</v>
      </c>
      <c r="AJ12" s="100" t="s">
        <v>30</v>
      </c>
      <c r="AK12" s="100" t="s">
        <v>20</v>
      </c>
      <c r="AL12" s="100" t="s">
        <v>21</v>
      </c>
      <c r="AM12" s="100" t="s">
        <v>31</v>
      </c>
      <c r="AN12" s="100" t="s">
        <v>23</v>
      </c>
      <c r="AO12" s="100" t="s">
        <v>24</v>
      </c>
      <c r="AP12" s="100" t="s">
        <v>25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0" ht="13.5" thickBot="1">
      <c r="A13" s="101">
        <v>1</v>
      </c>
      <c r="B13" s="102">
        <v>2</v>
      </c>
      <c r="C13" s="102"/>
      <c r="D13" s="102"/>
      <c r="E13" s="102"/>
      <c r="F13" s="102">
        <v>3</v>
      </c>
      <c r="G13" s="102">
        <v>3</v>
      </c>
      <c r="H13" s="102">
        <v>3</v>
      </c>
      <c r="I13" s="102">
        <v>3</v>
      </c>
      <c r="J13" s="102">
        <v>3</v>
      </c>
      <c r="K13" s="102">
        <v>3</v>
      </c>
      <c r="L13" s="102">
        <v>3</v>
      </c>
      <c r="M13" s="102">
        <v>3</v>
      </c>
      <c r="N13" s="102">
        <v>3</v>
      </c>
      <c r="O13" s="102">
        <v>3</v>
      </c>
      <c r="P13" s="102">
        <v>4</v>
      </c>
      <c r="Q13" s="102"/>
      <c r="R13" s="102"/>
      <c r="S13" s="102">
        <v>5</v>
      </c>
      <c r="T13" s="102">
        <v>5</v>
      </c>
      <c r="U13" s="102">
        <v>5</v>
      </c>
      <c r="V13" s="102">
        <v>5</v>
      </c>
      <c r="W13" s="102">
        <v>5</v>
      </c>
      <c r="X13" s="102">
        <v>5</v>
      </c>
      <c r="Y13" s="102">
        <v>5</v>
      </c>
      <c r="Z13" s="102">
        <v>5</v>
      </c>
      <c r="AA13" s="102">
        <v>5</v>
      </c>
      <c r="AB13" s="102">
        <v>5</v>
      </c>
      <c r="AC13" s="102">
        <v>6</v>
      </c>
      <c r="AD13" s="102"/>
      <c r="AE13" s="102"/>
      <c r="AF13" s="102">
        <v>7</v>
      </c>
      <c r="AG13" s="102">
        <v>7</v>
      </c>
      <c r="AH13" s="102">
        <v>7</v>
      </c>
      <c r="AI13" s="102">
        <v>7</v>
      </c>
      <c r="AJ13" s="102">
        <v>7</v>
      </c>
      <c r="AK13" s="102">
        <v>7</v>
      </c>
      <c r="AL13" s="102">
        <v>7</v>
      </c>
      <c r="AM13" s="102">
        <v>7</v>
      </c>
      <c r="AN13" s="102">
        <v>7</v>
      </c>
      <c r="AO13" s="102">
        <v>7</v>
      </c>
      <c r="AP13" s="103">
        <v>8</v>
      </c>
      <c r="AQ13" s="24"/>
      <c r="AR13" s="24"/>
      <c r="AS13" s="24"/>
      <c r="AT13" s="24"/>
      <c r="AU13" s="24"/>
      <c r="AV13" s="24"/>
      <c r="AW13" s="24"/>
      <c r="AX13" s="24"/>
    </row>
    <row r="14" spans="1:50" s="28" customFormat="1" ht="15.75" thickBot="1">
      <c r="A14" s="260"/>
      <c r="B14" s="69" t="s">
        <v>58</v>
      </c>
      <c r="C14" s="31">
        <f>SUM(C15,C17,C43,)</f>
        <v>1745945140</v>
      </c>
      <c r="D14" s="31">
        <f aca="true" t="shared" si="0" ref="D14:L14">SUM(D15,D17,D43,)</f>
        <v>92694773.37</v>
      </c>
      <c r="E14" s="31">
        <f t="shared" si="0"/>
        <v>106730979.19</v>
      </c>
      <c r="F14" s="31">
        <f t="shared" si="0"/>
        <v>423688560.78</v>
      </c>
      <c r="G14" s="31">
        <f t="shared" si="0"/>
        <v>210461208.55</v>
      </c>
      <c r="H14" s="31">
        <f t="shared" si="0"/>
        <v>325581535.81</v>
      </c>
      <c r="I14" s="31">
        <f t="shared" si="0"/>
        <v>47351820.06</v>
      </c>
      <c r="J14" s="31">
        <f t="shared" si="0"/>
        <v>43354714.26</v>
      </c>
      <c r="K14" s="31">
        <f t="shared" si="0"/>
        <v>66383006.47</v>
      </c>
      <c r="L14" s="31">
        <f t="shared" si="0"/>
        <v>26911714.09</v>
      </c>
      <c r="M14" s="31">
        <f>SUM(M15,M17,M43,)</f>
        <v>123830160.45999998</v>
      </c>
      <c r="N14" s="31">
        <f>SUM(N15,N17,N43)</f>
        <v>43626512.650000006</v>
      </c>
      <c r="O14" s="31">
        <f>SUM(O15,O17,O43)</f>
        <v>0</v>
      </c>
      <c r="P14" s="139">
        <f>SUM(P15,P17,P43)</f>
        <v>1510614985.69</v>
      </c>
      <c r="Q14" s="139">
        <f aca="true" t="shared" si="1" ref="Q14:Z14">SUM(Q15,Q17,Q43)</f>
        <v>7683713.37</v>
      </c>
      <c r="R14" s="139">
        <f t="shared" si="1"/>
        <v>54176579.91</v>
      </c>
      <c r="S14" s="139">
        <f t="shared" si="1"/>
        <v>63578258.519999996</v>
      </c>
      <c r="T14" s="139">
        <f t="shared" si="1"/>
        <v>172603988.54999998</v>
      </c>
      <c r="U14" s="139">
        <f t="shared" si="1"/>
        <v>104174155.36</v>
      </c>
      <c r="V14" s="139">
        <f t="shared" si="1"/>
        <v>63578840.059999995</v>
      </c>
      <c r="W14" s="139">
        <f t="shared" si="1"/>
        <v>150658985.42</v>
      </c>
      <c r="X14" s="139">
        <f t="shared" si="1"/>
        <v>65612115.31</v>
      </c>
      <c r="Y14" s="139">
        <f t="shared" si="1"/>
        <v>134760469.09</v>
      </c>
      <c r="Z14" s="139">
        <f t="shared" si="1"/>
        <v>167288222.51999998</v>
      </c>
      <c r="AA14" s="31">
        <f aca="true" t="shared" si="2" ref="AA14:AP14">SUM(AA15,AA17,AA43)</f>
        <v>208452970.65</v>
      </c>
      <c r="AB14" s="31">
        <f t="shared" si="2"/>
        <v>484448</v>
      </c>
      <c r="AC14" s="31">
        <f t="shared" si="2"/>
        <v>1212773861.7600002</v>
      </c>
      <c r="AD14" s="31">
        <f t="shared" si="2"/>
        <v>7683713.37</v>
      </c>
      <c r="AE14" s="31">
        <f t="shared" si="2"/>
        <v>52901579.91</v>
      </c>
      <c r="AF14" s="31">
        <f t="shared" si="2"/>
        <v>64759652.519999996</v>
      </c>
      <c r="AG14" s="31">
        <f t="shared" si="2"/>
        <v>172603988.54999998</v>
      </c>
      <c r="AH14" s="31">
        <f t="shared" si="2"/>
        <v>73641786.36</v>
      </c>
      <c r="AI14" s="31">
        <f t="shared" si="2"/>
        <v>94204815.06</v>
      </c>
      <c r="AJ14" s="31">
        <f t="shared" si="2"/>
        <v>150658985.42</v>
      </c>
      <c r="AK14" s="31">
        <f t="shared" si="2"/>
        <v>65612115.31</v>
      </c>
      <c r="AL14" s="31">
        <f t="shared" si="2"/>
        <v>134760469.09</v>
      </c>
      <c r="AM14" s="31">
        <f t="shared" si="2"/>
        <v>167268693.51999998</v>
      </c>
      <c r="AN14" s="31">
        <f t="shared" si="2"/>
        <v>207969320.65</v>
      </c>
      <c r="AO14" s="31">
        <f t="shared" si="2"/>
        <v>0</v>
      </c>
      <c r="AP14" s="179">
        <f t="shared" si="2"/>
        <v>1211786234.7600002</v>
      </c>
      <c r="AQ14" s="24"/>
      <c r="AR14" s="24"/>
      <c r="AS14" s="24"/>
      <c r="AT14" s="24"/>
      <c r="AU14" s="24"/>
      <c r="AV14" s="24"/>
      <c r="AW14" s="24"/>
      <c r="AX14" s="24"/>
    </row>
    <row r="15" spans="1:50" s="28" customFormat="1" ht="15.75" thickBot="1">
      <c r="A15" s="72"/>
      <c r="B15" s="255" t="s">
        <v>60</v>
      </c>
      <c r="C15" s="222">
        <f>SUM(C16)</f>
        <v>0</v>
      </c>
      <c r="D15" s="256">
        <f aca="true" t="shared" si="3" ref="D15:AP15">SUM(D16)</f>
        <v>0</v>
      </c>
      <c r="E15" s="253">
        <f t="shared" si="3"/>
        <v>0</v>
      </c>
      <c r="F15" s="253">
        <f t="shared" si="3"/>
        <v>0</v>
      </c>
      <c r="G15" s="253">
        <f t="shared" si="3"/>
        <v>0</v>
      </c>
      <c r="H15" s="253">
        <f t="shared" si="3"/>
        <v>0</v>
      </c>
      <c r="I15" s="253">
        <f t="shared" si="3"/>
        <v>0</v>
      </c>
      <c r="J15" s="253">
        <f t="shared" si="3"/>
        <v>0</v>
      </c>
      <c r="K15" s="253">
        <f t="shared" si="3"/>
        <v>0</v>
      </c>
      <c r="L15" s="254">
        <f>SUM(L16)</f>
        <v>0</v>
      </c>
      <c r="M15" s="257">
        <f t="shared" si="3"/>
        <v>0</v>
      </c>
      <c r="N15" s="222">
        <f t="shared" si="3"/>
        <v>0</v>
      </c>
      <c r="O15" s="258">
        <f t="shared" si="3"/>
        <v>0</v>
      </c>
      <c r="P15" s="259">
        <f t="shared" si="3"/>
        <v>0</v>
      </c>
      <c r="Q15" s="256">
        <f t="shared" si="3"/>
        <v>0</v>
      </c>
      <c r="R15" s="253">
        <f t="shared" si="3"/>
        <v>0</v>
      </c>
      <c r="S15" s="253">
        <f t="shared" si="3"/>
        <v>0</v>
      </c>
      <c r="T15" s="253">
        <f t="shared" si="3"/>
        <v>0</v>
      </c>
      <c r="U15" s="253">
        <f t="shared" si="3"/>
        <v>0</v>
      </c>
      <c r="V15" s="253">
        <f t="shared" si="3"/>
        <v>0</v>
      </c>
      <c r="W15" s="253">
        <f t="shared" si="3"/>
        <v>0</v>
      </c>
      <c r="X15" s="253">
        <f t="shared" si="3"/>
        <v>0</v>
      </c>
      <c r="Y15" s="254">
        <f t="shared" si="3"/>
        <v>0</v>
      </c>
      <c r="Z15" s="257">
        <f t="shared" si="3"/>
        <v>0</v>
      </c>
      <c r="AA15" s="222">
        <f t="shared" si="3"/>
        <v>0</v>
      </c>
      <c r="AB15" s="258">
        <f t="shared" si="3"/>
        <v>0</v>
      </c>
      <c r="AC15" s="222">
        <f>SUM(AC16)</f>
        <v>0</v>
      </c>
      <c r="AD15" s="256">
        <f t="shared" si="3"/>
        <v>0</v>
      </c>
      <c r="AE15" s="253">
        <f t="shared" si="3"/>
        <v>0</v>
      </c>
      <c r="AF15" s="253">
        <f t="shared" si="3"/>
        <v>0</v>
      </c>
      <c r="AG15" s="253">
        <f t="shared" si="3"/>
        <v>0</v>
      </c>
      <c r="AH15" s="253">
        <f t="shared" si="3"/>
        <v>0</v>
      </c>
      <c r="AI15" s="253">
        <f t="shared" si="3"/>
        <v>0</v>
      </c>
      <c r="AJ15" s="253">
        <f t="shared" si="3"/>
        <v>0</v>
      </c>
      <c r="AK15" s="253">
        <f t="shared" si="3"/>
        <v>0</v>
      </c>
      <c r="AL15" s="253">
        <f t="shared" si="3"/>
        <v>0</v>
      </c>
      <c r="AM15" s="257">
        <f t="shared" si="3"/>
        <v>0</v>
      </c>
      <c r="AN15" s="222">
        <f t="shared" si="3"/>
        <v>0</v>
      </c>
      <c r="AO15" s="258">
        <f t="shared" si="3"/>
        <v>0</v>
      </c>
      <c r="AP15" s="222">
        <f t="shared" si="3"/>
        <v>0</v>
      </c>
      <c r="AQ15" s="24"/>
      <c r="AR15" s="24"/>
      <c r="AS15" s="24"/>
      <c r="AT15" s="24"/>
      <c r="AU15" s="24"/>
      <c r="AV15" s="24"/>
      <c r="AW15" s="24"/>
      <c r="AX15" s="24"/>
    </row>
    <row r="16" spans="1:50" s="12" customFormat="1" ht="15" thickBot="1">
      <c r="A16" s="43" t="s">
        <v>122</v>
      </c>
      <c r="B16" s="37" t="s">
        <v>49</v>
      </c>
      <c r="C16" s="46">
        <v>0</v>
      </c>
      <c r="D16" s="46">
        <v>0</v>
      </c>
      <c r="E16" s="46">
        <v>0</v>
      </c>
      <c r="F16" s="46"/>
      <c r="G16" s="46"/>
      <c r="H16" s="46"/>
      <c r="I16" s="46"/>
      <c r="J16" s="46"/>
      <c r="K16" s="46"/>
      <c r="L16" s="146"/>
      <c r="M16" s="46">
        <v>0</v>
      </c>
      <c r="N16" s="46">
        <v>0</v>
      </c>
      <c r="O16" s="46"/>
      <c r="P16" s="141">
        <f>SUM(D16:O16)</f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/>
      <c r="X16" s="46"/>
      <c r="Y16" s="146"/>
      <c r="Z16" s="46">
        <v>0</v>
      </c>
      <c r="AA16" s="46">
        <v>0</v>
      </c>
      <c r="AB16" s="46"/>
      <c r="AC16" s="47">
        <f>SUM(Q16:AB16)</f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/>
      <c r="AJ16" s="46"/>
      <c r="AK16" s="46">
        <v>0</v>
      </c>
      <c r="AL16" s="46"/>
      <c r="AM16" s="46">
        <v>0</v>
      </c>
      <c r="AN16" s="46">
        <v>0</v>
      </c>
      <c r="AO16" s="46"/>
      <c r="AP16" s="73">
        <f>SUM(AD16:AO16)</f>
        <v>0</v>
      </c>
      <c r="AQ16" s="24"/>
      <c r="AR16" s="24"/>
      <c r="AS16" s="24"/>
      <c r="AT16" s="24"/>
      <c r="AU16" s="24"/>
      <c r="AV16" s="24"/>
      <c r="AW16" s="24"/>
      <c r="AX16" s="24"/>
    </row>
    <row r="17" spans="1:50" s="12" customFormat="1" ht="15.75" thickBot="1">
      <c r="A17" s="43"/>
      <c r="B17" s="70" t="s">
        <v>61</v>
      </c>
      <c r="C17" s="42">
        <f>SUM(C20,C41,C33)+C18</f>
        <v>1654945140</v>
      </c>
      <c r="D17" s="42">
        <f aca="true" t="shared" si="4" ref="D17:M17">SUM(D20,D41,D33)+D18</f>
        <v>92694773.37</v>
      </c>
      <c r="E17" s="42">
        <f t="shared" si="4"/>
        <v>106730979.19</v>
      </c>
      <c r="F17" s="42">
        <f t="shared" si="4"/>
        <v>423688560.78</v>
      </c>
      <c r="G17" s="42">
        <f t="shared" si="4"/>
        <v>210461208.55</v>
      </c>
      <c r="H17" s="42">
        <f t="shared" si="4"/>
        <v>317313051.81</v>
      </c>
      <c r="I17" s="42">
        <f t="shared" si="4"/>
        <v>47351820.06</v>
      </c>
      <c r="J17" s="42">
        <f t="shared" si="4"/>
        <v>43354714.26</v>
      </c>
      <c r="K17" s="42">
        <f t="shared" si="4"/>
        <v>66349932.53</v>
      </c>
      <c r="L17" s="42">
        <f t="shared" si="4"/>
        <v>26911714.09</v>
      </c>
      <c r="M17" s="42">
        <f t="shared" si="4"/>
        <v>123830160.45999998</v>
      </c>
      <c r="N17" s="42">
        <f>SUM(N20,N41)+N33+N18</f>
        <v>43626512.650000006</v>
      </c>
      <c r="O17" s="42">
        <f>SUM(O20+O33)</f>
        <v>0</v>
      </c>
      <c r="P17" s="142">
        <f>SUM(P20,P41)+P33+P18</f>
        <v>1502313427.75</v>
      </c>
      <c r="Q17" s="42">
        <f>SUM(Q20,Q41)</f>
        <v>7683713.37</v>
      </c>
      <c r="R17" s="42">
        <f aca="true" t="shared" si="5" ref="R17:W17">SUM(R20,R41)+R33</f>
        <v>54176579.91</v>
      </c>
      <c r="S17" s="42">
        <f t="shared" si="5"/>
        <v>63578258.519999996</v>
      </c>
      <c r="T17" s="42">
        <f t="shared" si="5"/>
        <v>172603988.54999998</v>
      </c>
      <c r="U17" s="42">
        <f t="shared" si="5"/>
        <v>95905671.36</v>
      </c>
      <c r="V17" s="42">
        <f t="shared" si="5"/>
        <v>63578840.059999995</v>
      </c>
      <c r="W17" s="42">
        <f t="shared" si="5"/>
        <v>150658985.42</v>
      </c>
      <c r="X17" s="217">
        <f>SUM(X20,X41,X33)+X18</f>
        <v>65579041.370000005</v>
      </c>
      <c r="Y17" s="246">
        <f>SUM(Y20,Y41)+Y33</f>
        <v>134760469.09</v>
      </c>
      <c r="Z17" s="246">
        <f>SUM(Z20,Z41)+Z33</f>
        <v>167288222.51999998</v>
      </c>
      <c r="AA17" s="245">
        <f>SUM(AA20,AA41,AA33)</f>
        <v>208452970.65</v>
      </c>
      <c r="AB17" s="42">
        <f>SUM(AB20+AB33)+AB41</f>
        <v>484448</v>
      </c>
      <c r="AC17" s="42">
        <f>SUM(AC20,AC41)+AC33+AC18</f>
        <v>1204472303.8200002</v>
      </c>
      <c r="AD17" s="42">
        <f>SUM(AD20,AD41)</f>
        <v>7683713.37</v>
      </c>
      <c r="AE17" s="42">
        <f>SUM(AE20,AE41)+AE33</f>
        <v>52901579.91</v>
      </c>
      <c r="AF17" s="42">
        <f>SUM(AF20,AF41)+AF33</f>
        <v>64759652.519999996</v>
      </c>
      <c r="AG17" s="42">
        <f>SUM(AG20,AG41)+AG33</f>
        <v>172603988.54999998</v>
      </c>
      <c r="AH17" s="42">
        <f>SUM(AH20,AH41)+AH33</f>
        <v>73641786.36</v>
      </c>
      <c r="AI17" s="42">
        <f aca="true" t="shared" si="6" ref="AI17:AO17">SUM(AI20,AI41)+AI33</f>
        <v>85936331.06</v>
      </c>
      <c r="AJ17" s="42">
        <f t="shared" si="6"/>
        <v>150658985.42</v>
      </c>
      <c r="AK17" s="42">
        <f>SUM(AK20,AK41)+AK33+AK18</f>
        <v>65579041.370000005</v>
      </c>
      <c r="AL17" s="240">
        <f>SUM(AL20,AL41)+AL33</f>
        <v>134760469.09</v>
      </c>
      <c r="AM17" s="42">
        <f t="shared" si="6"/>
        <v>167268693.51999998</v>
      </c>
      <c r="AN17" s="42">
        <f t="shared" si="6"/>
        <v>207969320.65</v>
      </c>
      <c r="AO17" s="42">
        <f t="shared" si="6"/>
        <v>0</v>
      </c>
      <c r="AP17" s="180">
        <f>SUM(AP20,AP41)+AP33+AP18</f>
        <v>1203484676.8200002</v>
      </c>
      <c r="AQ17" s="24"/>
      <c r="AR17" s="24"/>
      <c r="AS17" s="24"/>
      <c r="AT17" s="24"/>
      <c r="AU17" s="24"/>
      <c r="AV17" s="24"/>
      <c r="AW17" s="24"/>
      <c r="AX17" s="24"/>
    </row>
    <row r="18" spans="1:50" s="12" customFormat="1" ht="15">
      <c r="A18" s="43" t="s">
        <v>271</v>
      </c>
      <c r="B18" s="115" t="s">
        <v>56</v>
      </c>
      <c r="C18" s="118">
        <f>C19</f>
        <v>19800000</v>
      </c>
      <c r="D18" s="118">
        <f aca="true" t="shared" si="7" ref="D18:M18">D19</f>
        <v>0</v>
      </c>
      <c r="E18" s="118">
        <f t="shared" si="7"/>
        <v>0</v>
      </c>
      <c r="F18" s="118">
        <f t="shared" si="7"/>
        <v>0</v>
      </c>
      <c r="G18" s="118">
        <f t="shared" si="7"/>
        <v>0</v>
      </c>
      <c r="H18" s="118">
        <f t="shared" si="7"/>
        <v>19721115</v>
      </c>
      <c r="I18" s="118">
        <f t="shared" si="7"/>
        <v>0</v>
      </c>
      <c r="J18" s="118">
        <f t="shared" si="7"/>
        <v>0</v>
      </c>
      <c r="K18" s="118">
        <f t="shared" si="7"/>
        <v>78885</v>
      </c>
      <c r="L18" s="118">
        <f t="shared" si="7"/>
        <v>0</v>
      </c>
      <c r="M18" s="118">
        <f t="shared" si="7"/>
        <v>19800000</v>
      </c>
      <c r="N18" s="160">
        <f>N19</f>
        <v>0</v>
      </c>
      <c r="O18" s="160"/>
      <c r="P18" s="118">
        <f>P19</f>
        <v>39600000</v>
      </c>
      <c r="Q18" s="118">
        <f aca="true" t="shared" si="8" ref="Q18:Z18">Q19</f>
        <v>0</v>
      </c>
      <c r="R18" s="118">
        <f t="shared" si="8"/>
        <v>0</v>
      </c>
      <c r="S18" s="118">
        <f t="shared" si="8"/>
        <v>0</v>
      </c>
      <c r="T18" s="118">
        <f t="shared" si="8"/>
        <v>0</v>
      </c>
      <c r="U18" s="118">
        <f t="shared" si="8"/>
        <v>19721115</v>
      </c>
      <c r="V18" s="118">
        <f t="shared" si="8"/>
        <v>0</v>
      </c>
      <c r="W18" s="118">
        <f t="shared" si="8"/>
        <v>0</v>
      </c>
      <c r="X18" s="118">
        <f t="shared" si="8"/>
        <v>78885</v>
      </c>
      <c r="Y18" s="118">
        <f t="shared" si="8"/>
        <v>0</v>
      </c>
      <c r="Z18" s="118">
        <f t="shared" si="8"/>
        <v>0</v>
      </c>
      <c r="AA18" s="160">
        <v>0</v>
      </c>
      <c r="AB18" s="160"/>
      <c r="AC18" s="118">
        <f>AC19</f>
        <v>19800000</v>
      </c>
      <c r="AD18" s="160"/>
      <c r="AE18" s="160"/>
      <c r="AF18" s="160"/>
      <c r="AG18" s="160"/>
      <c r="AH18" s="160">
        <v>0</v>
      </c>
      <c r="AI18" s="160"/>
      <c r="AJ18" s="26"/>
      <c r="AK18" s="241">
        <f>AK19</f>
        <v>78885</v>
      </c>
      <c r="AL18" s="243"/>
      <c r="AM18" s="242">
        <v>0</v>
      </c>
      <c r="AN18" s="160">
        <v>0</v>
      </c>
      <c r="AO18" s="160"/>
      <c r="AP18" s="182">
        <f>AP19</f>
        <v>19800000</v>
      </c>
      <c r="AQ18" s="24"/>
      <c r="AR18" s="24"/>
      <c r="AS18" s="24"/>
      <c r="AT18" s="24"/>
      <c r="AU18" s="24"/>
      <c r="AV18" s="24"/>
      <c r="AW18" s="24"/>
      <c r="AX18" s="24"/>
    </row>
    <row r="19" spans="1:50" s="12" customFormat="1" ht="15">
      <c r="A19" s="43" t="s">
        <v>269</v>
      </c>
      <c r="B19" s="111" t="s">
        <v>103</v>
      </c>
      <c r="C19" s="26">
        <v>19800000</v>
      </c>
      <c r="D19" s="118"/>
      <c r="E19" s="118"/>
      <c r="F19" s="118"/>
      <c r="G19" s="118"/>
      <c r="H19" s="26">
        <v>19721115</v>
      </c>
      <c r="I19" s="118"/>
      <c r="J19" s="118"/>
      <c r="K19" s="78">
        <v>78885</v>
      </c>
      <c r="L19" s="143">
        <v>0</v>
      </c>
      <c r="M19" s="26">
        <v>19800000</v>
      </c>
      <c r="N19" s="26">
        <v>0</v>
      </c>
      <c r="O19" s="118"/>
      <c r="P19" s="141">
        <f>SUM(D19:O19)</f>
        <v>39600000</v>
      </c>
      <c r="Q19" s="118">
        <v>0</v>
      </c>
      <c r="R19" s="118"/>
      <c r="S19" s="118"/>
      <c r="T19" s="118"/>
      <c r="U19" s="26">
        <v>19721115</v>
      </c>
      <c r="V19" s="118"/>
      <c r="W19" s="118"/>
      <c r="X19" s="26">
        <v>78885</v>
      </c>
      <c r="Y19" s="244">
        <v>0</v>
      </c>
      <c r="Z19" s="26">
        <v>0</v>
      </c>
      <c r="AA19" s="26">
        <v>0</v>
      </c>
      <c r="AB19" s="118"/>
      <c r="AC19" s="121">
        <f>SUM(Q19:AB19)</f>
        <v>19800000</v>
      </c>
      <c r="AD19" s="118"/>
      <c r="AE19" s="118"/>
      <c r="AF19" s="118"/>
      <c r="AG19" s="118"/>
      <c r="AH19" s="26">
        <v>0</v>
      </c>
      <c r="AI19" s="26">
        <v>19721115</v>
      </c>
      <c r="AJ19" s="118"/>
      <c r="AK19" s="118">
        <v>78885</v>
      </c>
      <c r="AL19" s="118">
        <v>0</v>
      </c>
      <c r="AM19" s="26">
        <v>0</v>
      </c>
      <c r="AN19" s="26">
        <v>0</v>
      </c>
      <c r="AO19" s="118"/>
      <c r="AP19" s="261">
        <f>AI19+AJ19+AK19+AL19+AM19+AN19</f>
        <v>19800000</v>
      </c>
      <c r="AQ19" s="24"/>
      <c r="AR19" s="24"/>
      <c r="AS19" s="24"/>
      <c r="AT19" s="24"/>
      <c r="AU19" s="24"/>
      <c r="AV19" s="24"/>
      <c r="AW19" s="24"/>
      <c r="AX19" s="24"/>
    </row>
    <row r="20" spans="1:50" s="12" customFormat="1" ht="15">
      <c r="A20" s="43" t="s">
        <v>117</v>
      </c>
      <c r="B20" s="114" t="s">
        <v>93</v>
      </c>
      <c r="C20" s="118">
        <f>SUM(C21:C32)</f>
        <v>671100000</v>
      </c>
      <c r="D20" s="118">
        <f aca="true" t="shared" si="9" ref="D20:M20">SUM(D21:D32)</f>
        <v>11184013.370000001</v>
      </c>
      <c r="E20" s="118">
        <f t="shared" si="9"/>
        <v>27517529.72</v>
      </c>
      <c r="F20" s="118">
        <f t="shared" si="9"/>
        <v>114944295.01000002</v>
      </c>
      <c r="G20" s="118">
        <f t="shared" si="9"/>
        <v>24934085.12</v>
      </c>
      <c r="H20" s="118">
        <f t="shared" si="9"/>
        <v>81886731.14</v>
      </c>
      <c r="I20" s="118">
        <f t="shared" si="9"/>
        <v>40066311.36</v>
      </c>
      <c r="J20" s="118">
        <f t="shared" si="9"/>
        <v>43315250.66</v>
      </c>
      <c r="K20" s="118">
        <f t="shared" si="9"/>
        <v>26891243.17</v>
      </c>
      <c r="L20" s="118">
        <f t="shared" si="9"/>
        <v>22827115.65</v>
      </c>
      <c r="M20" s="118">
        <f t="shared" si="9"/>
        <v>84036421.41999999</v>
      </c>
      <c r="N20" s="118">
        <f aca="true" t="shared" si="10" ref="N20:T20">SUM(N21:N32)</f>
        <v>27589537.44</v>
      </c>
      <c r="O20" s="118">
        <f t="shared" si="10"/>
        <v>0</v>
      </c>
      <c r="P20" s="143">
        <f>SUM(P21:P32)</f>
        <v>505192534.05999994</v>
      </c>
      <c r="Q20" s="118">
        <f t="shared" si="10"/>
        <v>4221713.37</v>
      </c>
      <c r="R20" s="118">
        <f t="shared" si="10"/>
        <v>12264342.719999999</v>
      </c>
      <c r="S20" s="118">
        <f t="shared" si="10"/>
        <v>31476281.75</v>
      </c>
      <c r="T20" s="118">
        <f t="shared" si="10"/>
        <v>75244035.11999999</v>
      </c>
      <c r="U20" s="118">
        <f>SUM(U21:U31)</f>
        <v>27477727.689999998</v>
      </c>
      <c r="V20" s="118">
        <f aca="true" t="shared" si="11" ref="V20:AB20">SUM(V21:V32)</f>
        <v>26640249.36</v>
      </c>
      <c r="W20" s="118">
        <f t="shared" si="11"/>
        <v>38618422.82</v>
      </c>
      <c r="X20" s="118">
        <f t="shared" si="11"/>
        <v>25441136.49</v>
      </c>
      <c r="Y20" s="143">
        <f>SUM(Y21:Y32)</f>
        <v>63218934.65</v>
      </c>
      <c r="Z20" s="118">
        <f t="shared" si="11"/>
        <v>22184076.980000004</v>
      </c>
      <c r="AA20" s="118">
        <f t="shared" si="11"/>
        <v>39294456.44</v>
      </c>
      <c r="AB20" s="118">
        <f t="shared" si="11"/>
        <v>0</v>
      </c>
      <c r="AC20" s="207">
        <f>SUM(AC21:AC32)</f>
        <v>366081377.39</v>
      </c>
      <c r="AD20" s="118">
        <f>AD21+AD22+AD23+AD24+AD25+AD26+AD27+AD28+AD29</f>
        <v>4221713.37</v>
      </c>
      <c r="AE20" s="118">
        <f aca="true" t="shared" si="12" ref="AE20:AO20">SUM(AE21:AE32)</f>
        <v>12264342.719999999</v>
      </c>
      <c r="AF20" s="118">
        <f t="shared" si="12"/>
        <v>31382675.75</v>
      </c>
      <c r="AG20" s="118">
        <f t="shared" si="12"/>
        <v>75244035.11999999</v>
      </c>
      <c r="AH20" s="118">
        <f t="shared" si="12"/>
        <v>27477727.689999998</v>
      </c>
      <c r="AI20" s="118">
        <f t="shared" si="12"/>
        <v>26733855.36</v>
      </c>
      <c r="AJ20" s="118">
        <f t="shared" si="12"/>
        <v>38618422.82</v>
      </c>
      <c r="AK20" s="118">
        <f t="shared" si="12"/>
        <v>25441136.49</v>
      </c>
      <c r="AL20" s="118">
        <f>SUM(AL21:AL32)</f>
        <v>63218934.65</v>
      </c>
      <c r="AM20" s="118">
        <f t="shared" si="12"/>
        <v>22164547.980000004</v>
      </c>
      <c r="AN20" s="118">
        <f t="shared" si="12"/>
        <v>39293806.44</v>
      </c>
      <c r="AO20" s="118">
        <f t="shared" si="12"/>
        <v>0</v>
      </c>
      <c r="AP20" s="182">
        <f>SUM(AP21:AP32)</f>
        <v>366061198.39</v>
      </c>
      <c r="AQ20" s="24"/>
      <c r="AR20" s="24"/>
      <c r="AS20" s="24"/>
      <c r="AT20" s="24"/>
      <c r="AU20" s="24"/>
      <c r="AV20" s="24"/>
      <c r="AW20" s="24"/>
      <c r="AX20" s="24"/>
    </row>
    <row r="21" spans="1:50" s="12" customFormat="1" ht="15">
      <c r="A21" s="43" t="s">
        <v>146</v>
      </c>
      <c r="B21" s="25" t="s">
        <v>105</v>
      </c>
      <c r="C21" s="121">
        <v>1200000</v>
      </c>
      <c r="D21" s="26">
        <v>0</v>
      </c>
      <c r="E21" s="26">
        <v>0</v>
      </c>
      <c r="F21" s="26">
        <v>0</v>
      </c>
      <c r="G21" s="121">
        <v>0</v>
      </c>
      <c r="H21" s="26">
        <v>0</v>
      </c>
      <c r="I21" s="26">
        <v>0</v>
      </c>
      <c r="J21" s="26">
        <v>0</v>
      </c>
      <c r="K21" s="78">
        <v>0</v>
      </c>
      <c r="L21" s="147">
        <v>0</v>
      </c>
      <c r="M21" s="26">
        <v>0</v>
      </c>
      <c r="N21" s="26">
        <v>0</v>
      </c>
      <c r="O21" s="26">
        <v>0</v>
      </c>
      <c r="P21" s="141">
        <f aca="true" t="shared" si="13" ref="P21:P32">SUM(D21:O21)</f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47">
        <v>0</v>
      </c>
      <c r="Z21" s="26">
        <v>0</v>
      </c>
      <c r="AA21" s="26">
        <v>0</v>
      </c>
      <c r="AB21" s="121">
        <v>0</v>
      </c>
      <c r="AC21" s="121">
        <f aca="true" t="shared" si="14" ref="AC21:AC32">SUM(Q21:AB21)</f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1">
        <f>AI21+AJ21+AK21+AL21+AM21+AN21</f>
        <v>0</v>
      </c>
      <c r="AQ21" s="24"/>
      <c r="AR21" s="24"/>
      <c r="AS21" s="24"/>
      <c r="AT21" s="24"/>
      <c r="AU21" s="24"/>
      <c r="AV21" s="24"/>
      <c r="AW21" s="24"/>
      <c r="AX21" s="24"/>
    </row>
    <row r="22" spans="1:50" s="12" customFormat="1" ht="15">
      <c r="A22" s="43" t="s">
        <v>128</v>
      </c>
      <c r="B22" s="25" t="s">
        <v>116</v>
      </c>
      <c r="C22" s="121">
        <v>0</v>
      </c>
      <c r="D22" s="26">
        <v>0</v>
      </c>
      <c r="E22" s="26">
        <v>0</v>
      </c>
      <c r="F22" s="26">
        <v>0</v>
      </c>
      <c r="G22" s="121">
        <v>0</v>
      </c>
      <c r="H22" s="26">
        <v>0</v>
      </c>
      <c r="I22" s="26">
        <v>0</v>
      </c>
      <c r="J22" s="26">
        <v>0</v>
      </c>
      <c r="K22" s="78">
        <v>0</v>
      </c>
      <c r="L22" s="147">
        <v>0</v>
      </c>
      <c r="M22" s="26">
        <v>0</v>
      </c>
      <c r="N22" s="26">
        <v>0</v>
      </c>
      <c r="O22" s="26">
        <v>0</v>
      </c>
      <c r="P22" s="141">
        <f t="shared" si="13"/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47">
        <v>0</v>
      </c>
      <c r="Z22" s="26">
        <v>0</v>
      </c>
      <c r="AA22" s="26">
        <v>0</v>
      </c>
      <c r="AB22" s="26">
        <v>0</v>
      </c>
      <c r="AC22" s="26">
        <f t="shared" si="14"/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1">
        <f>AI22+AJ22+AK22+AL22+AM22+AN22</f>
        <v>0</v>
      </c>
      <c r="AQ22" s="24"/>
      <c r="AR22" s="24"/>
      <c r="AS22" s="24"/>
      <c r="AT22" s="24"/>
      <c r="AU22" s="24"/>
      <c r="AV22" s="24"/>
      <c r="AW22" s="24"/>
      <c r="AX22" s="24"/>
    </row>
    <row r="23" spans="1:50" s="12" customFormat="1" ht="15">
      <c r="A23" s="43" t="s">
        <v>129</v>
      </c>
      <c r="B23" s="25" t="s">
        <v>96</v>
      </c>
      <c r="C23" s="121">
        <v>211661604.48</v>
      </c>
      <c r="D23" s="26">
        <v>3413800</v>
      </c>
      <c r="E23" s="26">
        <v>14939607</v>
      </c>
      <c r="F23" s="26">
        <v>30937080.46</v>
      </c>
      <c r="G23" s="121">
        <v>15611225.23</v>
      </c>
      <c r="H23" s="26">
        <v>17039930.92</v>
      </c>
      <c r="I23" s="26">
        <v>21794498.68</v>
      </c>
      <c r="J23" s="26">
        <v>5366178.53</v>
      </c>
      <c r="K23" s="78">
        <v>18412819.43</v>
      </c>
      <c r="L23" s="147">
        <v>5524422.44</v>
      </c>
      <c r="M23" s="26">
        <v>6727446.69</v>
      </c>
      <c r="N23" s="26">
        <v>4938060.85</v>
      </c>
      <c r="O23" s="26">
        <v>0</v>
      </c>
      <c r="P23" s="141">
        <f>SUM(D23:O23)</f>
        <v>144705070.23</v>
      </c>
      <c r="Q23" s="26">
        <v>0</v>
      </c>
      <c r="R23" s="26">
        <v>4418000</v>
      </c>
      <c r="S23" s="26">
        <v>6540114.88</v>
      </c>
      <c r="T23" s="26">
        <v>18985629.23</v>
      </c>
      <c r="U23" s="26">
        <v>19447217.47</v>
      </c>
      <c r="V23" s="26">
        <v>20018199.68</v>
      </c>
      <c r="W23" s="26">
        <v>23001724.53</v>
      </c>
      <c r="X23" s="26">
        <v>14521204.43</v>
      </c>
      <c r="Y23" s="147">
        <v>16661828.44</v>
      </c>
      <c r="Z23" s="26">
        <v>5247408.75</v>
      </c>
      <c r="AA23" s="26">
        <v>9671430.85</v>
      </c>
      <c r="AB23" s="26">
        <v>0</v>
      </c>
      <c r="AC23" s="26">
        <f>SUM(Q23:AB23)</f>
        <v>138512758.26</v>
      </c>
      <c r="AD23" s="26">
        <v>0</v>
      </c>
      <c r="AE23" s="26">
        <v>4418000</v>
      </c>
      <c r="AF23" s="26">
        <v>6540114.88</v>
      </c>
      <c r="AG23" s="26">
        <v>18985629.23</v>
      </c>
      <c r="AH23" s="26">
        <v>19447217.47</v>
      </c>
      <c r="AI23" s="26">
        <v>20018199.68</v>
      </c>
      <c r="AJ23" s="26">
        <v>23001724.53</v>
      </c>
      <c r="AK23" s="26">
        <v>14521204.43</v>
      </c>
      <c r="AL23" s="26">
        <v>16661828.44</v>
      </c>
      <c r="AM23" s="26">
        <v>5227879.75</v>
      </c>
      <c r="AN23" s="26">
        <v>9671430.85</v>
      </c>
      <c r="AO23" s="26">
        <v>0</v>
      </c>
      <c r="AP23" s="261">
        <f aca="true" t="shared" si="15" ref="AP23:AP34">SUM(AD23:AO23)</f>
        <v>138493229.26</v>
      </c>
      <c r="AQ23" s="24"/>
      <c r="AR23" s="24"/>
      <c r="AS23" s="24"/>
      <c r="AT23" s="24"/>
      <c r="AU23" s="24"/>
      <c r="AV23" s="24"/>
      <c r="AW23" s="24"/>
      <c r="AX23" s="24"/>
    </row>
    <row r="24" spans="1:50" s="12" customFormat="1" ht="15">
      <c r="A24" s="43" t="s">
        <v>118</v>
      </c>
      <c r="B24" s="25" t="s">
        <v>97</v>
      </c>
      <c r="C24" s="121">
        <v>89811586.48</v>
      </c>
      <c r="D24" s="26">
        <v>0</v>
      </c>
      <c r="E24" s="26">
        <v>4185437.35</v>
      </c>
      <c r="F24" s="26">
        <v>6729084.8</v>
      </c>
      <c r="G24" s="26">
        <v>4703173.88</v>
      </c>
      <c r="H24" s="26">
        <v>954470.56</v>
      </c>
      <c r="I24" s="26">
        <v>13859353.4</v>
      </c>
      <c r="J24" s="26">
        <v>5599752.23</v>
      </c>
      <c r="K24" s="78">
        <v>4734005.67</v>
      </c>
      <c r="L24" s="147">
        <v>1035209.35</v>
      </c>
      <c r="M24" s="26">
        <v>3402661.52</v>
      </c>
      <c r="N24" s="26">
        <v>2858866.55</v>
      </c>
      <c r="O24" s="26">
        <v>0</v>
      </c>
      <c r="P24" s="141">
        <f>SUM(D24:O24)</f>
        <v>48062015.31</v>
      </c>
      <c r="Q24" s="26">
        <v>0</v>
      </c>
      <c r="R24" s="26">
        <v>2140357.35</v>
      </c>
      <c r="S24" s="26">
        <v>2097488.8</v>
      </c>
      <c r="T24" s="26">
        <v>2383050.88</v>
      </c>
      <c r="U24" s="26">
        <v>1246613.56</v>
      </c>
      <c r="V24" s="26">
        <v>1717473.4</v>
      </c>
      <c r="W24" s="26">
        <v>2878032.23</v>
      </c>
      <c r="X24" s="26">
        <v>4892610.15</v>
      </c>
      <c r="Y24" s="147">
        <v>7509559.35</v>
      </c>
      <c r="Z24" s="26">
        <v>4978232.52</v>
      </c>
      <c r="AA24" s="26">
        <v>3526992.55</v>
      </c>
      <c r="AB24" s="121">
        <v>0</v>
      </c>
      <c r="AC24" s="121">
        <f>SUM(Q24:AB24)</f>
        <v>33370410.79</v>
      </c>
      <c r="AD24" s="26">
        <v>0</v>
      </c>
      <c r="AE24" s="26">
        <v>2140357.35</v>
      </c>
      <c r="AF24" s="26">
        <v>2097488.8</v>
      </c>
      <c r="AG24" s="26">
        <v>2383050.88</v>
      </c>
      <c r="AH24" s="26">
        <v>1246613.56</v>
      </c>
      <c r="AI24" s="26">
        <v>1717473.4</v>
      </c>
      <c r="AJ24" s="26">
        <v>2878032.23</v>
      </c>
      <c r="AK24" s="26">
        <v>4892610.15</v>
      </c>
      <c r="AL24" s="26">
        <v>7509559.35</v>
      </c>
      <c r="AM24" s="26">
        <v>4978232.52</v>
      </c>
      <c r="AN24" s="26">
        <v>3526342.55</v>
      </c>
      <c r="AO24" s="26">
        <v>0</v>
      </c>
      <c r="AP24" s="261">
        <f t="shared" si="15"/>
        <v>33369760.79</v>
      </c>
      <c r="AQ24" s="24"/>
      <c r="AR24" s="24"/>
      <c r="AS24" s="24"/>
      <c r="AT24" s="24"/>
      <c r="AU24" s="24"/>
      <c r="AV24" s="24"/>
      <c r="AW24" s="24"/>
      <c r="AX24" s="24"/>
    </row>
    <row r="25" spans="1:50" s="12" customFormat="1" ht="15">
      <c r="A25" s="43" t="s">
        <v>147</v>
      </c>
      <c r="B25" s="25" t="s">
        <v>100</v>
      </c>
      <c r="C25" s="121">
        <v>62510971.48</v>
      </c>
      <c r="D25" s="26">
        <v>3162000</v>
      </c>
      <c r="E25" s="26">
        <v>3292512</v>
      </c>
      <c r="F25" s="26">
        <v>50267365.2</v>
      </c>
      <c r="G25" s="26">
        <v>772407.44</v>
      </c>
      <c r="H25" s="26">
        <v>329606.86</v>
      </c>
      <c r="I25" s="26">
        <v>1214687.42</v>
      </c>
      <c r="J25" s="26">
        <v>431121.61</v>
      </c>
      <c r="K25" s="78">
        <v>96343.7</v>
      </c>
      <c r="L25" s="147">
        <v>266557.42</v>
      </c>
      <c r="M25" s="26">
        <v>272366</v>
      </c>
      <c r="N25" s="26">
        <v>214188.42</v>
      </c>
      <c r="O25" s="26">
        <v>0</v>
      </c>
      <c r="P25" s="141">
        <f>SUM(D25:O25)</f>
        <v>60319156.07000001</v>
      </c>
      <c r="Q25" s="26">
        <v>0</v>
      </c>
      <c r="R25" s="26">
        <v>778512</v>
      </c>
      <c r="S25" s="26">
        <v>651865.2</v>
      </c>
      <c r="T25" s="26">
        <v>50507157.44</v>
      </c>
      <c r="U25" s="26">
        <v>781856.86</v>
      </c>
      <c r="V25" s="26">
        <v>1513937.42</v>
      </c>
      <c r="W25" s="26">
        <v>903371.61</v>
      </c>
      <c r="X25" s="26">
        <v>633593.7</v>
      </c>
      <c r="Y25" s="147">
        <v>1056807.42</v>
      </c>
      <c r="Z25" s="26">
        <v>715616</v>
      </c>
      <c r="AA25" s="26">
        <v>585438.42</v>
      </c>
      <c r="AB25" s="26">
        <v>0</v>
      </c>
      <c r="AC25" s="26">
        <f>SUM(Q25:AB25)</f>
        <v>58128156.07000001</v>
      </c>
      <c r="AD25" s="26">
        <v>0</v>
      </c>
      <c r="AE25" s="26">
        <v>778512</v>
      </c>
      <c r="AF25" s="26">
        <v>651865.2</v>
      </c>
      <c r="AG25" s="26">
        <v>50507157.44</v>
      </c>
      <c r="AH25" s="26">
        <v>781856.86</v>
      </c>
      <c r="AI25" s="26">
        <v>1513937.42</v>
      </c>
      <c r="AJ25" s="26">
        <v>903371.61</v>
      </c>
      <c r="AK25" s="26">
        <v>633593.7</v>
      </c>
      <c r="AL25" s="26">
        <v>1056807.42</v>
      </c>
      <c r="AM25" s="26">
        <v>715616</v>
      </c>
      <c r="AN25" s="26">
        <v>585438.42</v>
      </c>
      <c r="AO25" s="26">
        <v>0</v>
      </c>
      <c r="AP25" s="261">
        <f t="shared" si="15"/>
        <v>58128156.07000001</v>
      </c>
      <c r="AQ25" s="24"/>
      <c r="AR25" s="24"/>
      <c r="AS25" s="24"/>
      <c r="AT25" s="24"/>
      <c r="AU25" s="24"/>
      <c r="AV25" s="24"/>
      <c r="AW25" s="24"/>
      <c r="AX25" s="24"/>
    </row>
    <row r="26" spans="1:50" s="12" customFormat="1" ht="15">
      <c r="A26" s="43" t="s">
        <v>148</v>
      </c>
      <c r="B26" s="25" t="s">
        <v>101</v>
      </c>
      <c r="C26" s="121">
        <v>67405604</v>
      </c>
      <c r="D26" s="26">
        <v>386500</v>
      </c>
      <c r="E26" s="26">
        <v>2402880</v>
      </c>
      <c r="F26" s="26">
        <v>480653.2</v>
      </c>
      <c r="G26" s="26">
        <v>944506.97</v>
      </c>
      <c r="H26" s="26">
        <v>13642.64</v>
      </c>
      <c r="I26" s="26">
        <v>72455.66</v>
      </c>
      <c r="J26" s="26">
        <v>154867</v>
      </c>
      <c r="K26" s="78">
        <v>579340.8</v>
      </c>
      <c r="L26" s="147">
        <v>86765.68</v>
      </c>
      <c r="M26" s="26">
        <v>49832164.15</v>
      </c>
      <c r="N26" s="26">
        <v>9156.93</v>
      </c>
      <c r="O26" s="26">
        <v>0</v>
      </c>
      <c r="P26" s="141">
        <f>SUM(D26:O26)</f>
        <v>54962933.029999994</v>
      </c>
      <c r="Q26" s="26">
        <v>0</v>
      </c>
      <c r="R26" s="26">
        <v>2386500</v>
      </c>
      <c r="S26" s="26">
        <v>480653.2</v>
      </c>
      <c r="T26" s="26">
        <v>944506.97</v>
      </c>
      <c r="U26" s="26">
        <v>13642.64</v>
      </c>
      <c r="V26" s="26">
        <v>72455.66</v>
      </c>
      <c r="W26" s="121">
        <v>154867</v>
      </c>
      <c r="X26" s="26">
        <v>579340.8</v>
      </c>
      <c r="Y26" s="147">
        <v>86765.68</v>
      </c>
      <c r="Z26" s="26">
        <v>32164.15</v>
      </c>
      <c r="AA26" s="26">
        <v>9156.93</v>
      </c>
      <c r="AB26" s="26">
        <v>0</v>
      </c>
      <c r="AC26" s="26">
        <f t="shared" si="14"/>
        <v>4760053.03</v>
      </c>
      <c r="AD26" s="26">
        <v>0</v>
      </c>
      <c r="AE26" s="26">
        <v>2386500</v>
      </c>
      <c r="AF26" s="26">
        <v>480653.2</v>
      </c>
      <c r="AG26" s="26">
        <v>944506.97</v>
      </c>
      <c r="AH26" s="26">
        <v>13642.64</v>
      </c>
      <c r="AI26" s="26">
        <v>72455.66</v>
      </c>
      <c r="AJ26" s="26">
        <v>154867</v>
      </c>
      <c r="AK26" s="26">
        <v>579340.8</v>
      </c>
      <c r="AL26" s="26">
        <v>86765.68</v>
      </c>
      <c r="AM26" s="26">
        <v>32164.15</v>
      </c>
      <c r="AN26" s="26">
        <v>9156.93</v>
      </c>
      <c r="AO26" s="26">
        <v>0</v>
      </c>
      <c r="AP26" s="261">
        <f t="shared" si="15"/>
        <v>4760053.03</v>
      </c>
      <c r="AQ26" s="24"/>
      <c r="AR26" s="24"/>
      <c r="AS26" s="24"/>
      <c r="AT26" s="24"/>
      <c r="AU26" s="24"/>
      <c r="AV26" s="24"/>
      <c r="AW26" s="24"/>
      <c r="AX26" s="24"/>
    </row>
    <row r="27" spans="1:50" s="12" customFormat="1" ht="15">
      <c r="A27" s="43" t="s">
        <v>149</v>
      </c>
      <c r="B27" s="25" t="s">
        <v>98</v>
      </c>
      <c r="C27" s="121">
        <v>122593441.56</v>
      </c>
      <c r="D27" s="26">
        <v>4221713.37</v>
      </c>
      <c r="E27" s="26">
        <v>2618829.58</v>
      </c>
      <c r="F27" s="26">
        <v>21550039.67</v>
      </c>
      <c r="G27" s="26">
        <v>2902771.6</v>
      </c>
      <c r="H27" s="26">
        <v>5384399.27</v>
      </c>
      <c r="I27" s="26">
        <v>3012699.2</v>
      </c>
      <c r="J27" s="26">
        <v>13239059.29</v>
      </c>
      <c r="K27" s="78">
        <v>3067486.13</v>
      </c>
      <c r="L27" s="147">
        <v>15914160.76</v>
      </c>
      <c r="M27" s="26">
        <v>8531897.46</v>
      </c>
      <c r="N27" s="26">
        <v>19569264.69</v>
      </c>
      <c r="O27" s="26">
        <v>0</v>
      </c>
      <c r="P27" s="141">
        <f>SUM(D27:O27)</f>
        <v>100012321.02000001</v>
      </c>
      <c r="Q27" s="26">
        <v>4221713.37</v>
      </c>
      <c r="R27" s="26">
        <v>2462709.58</v>
      </c>
      <c r="S27" s="26">
        <v>21706159.67</v>
      </c>
      <c r="T27" s="26">
        <v>2423690.6</v>
      </c>
      <c r="U27" s="26">
        <v>5799275.27</v>
      </c>
      <c r="V27" s="26">
        <v>3020764.2</v>
      </c>
      <c r="W27" s="26">
        <v>11539840.45</v>
      </c>
      <c r="X27" s="26">
        <v>4776981.97</v>
      </c>
      <c r="Y27" s="147">
        <v>14503619.76</v>
      </c>
      <c r="Z27" s="26">
        <v>9830621.46</v>
      </c>
      <c r="AA27" s="26">
        <v>18091728.69</v>
      </c>
      <c r="AB27" s="26">
        <v>0</v>
      </c>
      <c r="AC27" s="26">
        <f>SUM(Q27:AB27)</f>
        <v>98377105.02000001</v>
      </c>
      <c r="AD27" s="26">
        <v>4221713.37</v>
      </c>
      <c r="AE27" s="26">
        <v>2462709.58</v>
      </c>
      <c r="AF27" s="26">
        <v>21612553.67</v>
      </c>
      <c r="AG27" s="26">
        <v>2423690.6</v>
      </c>
      <c r="AH27" s="26">
        <v>5799275.27</v>
      </c>
      <c r="AI27" s="26">
        <v>3114370.2</v>
      </c>
      <c r="AJ27" s="26">
        <v>11539840.45</v>
      </c>
      <c r="AK27" s="26">
        <v>4776981.97</v>
      </c>
      <c r="AL27" s="26">
        <v>14503619.76</v>
      </c>
      <c r="AM27" s="26">
        <v>9830621.46</v>
      </c>
      <c r="AN27" s="26">
        <v>18091728.69</v>
      </c>
      <c r="AO27" s="26">
        <v>0</v>
      </c>
      <c r="AP27" s="261">
        <f t="shared" si="15"/>
        <v>98377105.02000001</v>
      </c>
      <c r="AQ27" s="24"/>
      <c r="AR27" s="24"/>
      <c r="AS27" s="24"/>
      <c r="AT27" s="24"/>
      <c r="AU27" s="24"/>
      <c r="AV27" s="24"/>
      <c r="AW27" s="24"/>
      <c r="AX27" s="24"/>
    </row>
    <row r="28" spans="1:50" s="12" customFormat="1" ht="15">
      <c r="A28" s="43" t="s">
        <v>150</v>
      </c>
      <c r="B28" s="25" t="s">
        <v>99</v>
      </c>
      <c r="C28" s="12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78">
        <v>0</v>
      </c>
      <c r="L28" s="147"/>
      <c r="M28" s="26">
        <v>0</v>
      </c>
      <c r="N28" s="26">
        <v>0</v>
      </c>
      <c r="O28" s="26">
        <v>0</v>
      </c>
      <c r="P28" s="141">
        <f t="shared" si="13"/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47"/>
      <c r="Z28" s="26">
        <v>0</v>
      </c>
      <c r="AA28" s="26">
        <v>0</v>
      </c>
      <c r="AB28" s="26">
        <v>0</v>
      </c>
      <c r="AC28" s="26">
        <f t="shared" si="14"/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/>
      <c r="AM28" s="26">
        <v>0</v>
      </c>
      <c r="AN28" s="26">
        <v>0</v>
      </c>
      <c r="AO28" s="26">
        <v>0</v>
      </c>
      <c r="AP28" s="261">
        <f t="shared" si="15"/>
        <v>0</v>
      </c>
      <c r="AQ28" s="24"/>
      <c r="AR28" s="24"/>
      <c r="AS28" s="24"/>
      <c r="AT28" s="24"/>
      <c r="AU28" s="24"/>
      <c r="AV28" s="24"/>
      <c r="AW28" s="24"/>
      <c r="AX28" s="24"/>
    </row>
    <row r="29" spans="1:50" s="12" customFormat="1" ht="15">
      <c r="A29" s="43" t="s">
        <v>151</v>
      </c>
      <c r="B29" s="25" t="s">
        <v>95</v>
      </c>
      <c r="C29" s="121">
        <v>5000000</v>
      </c>
      <c r="D29" s="26">
        <v>0</v>
      </c>
      <c r="E29" s="26">
        <v>0</v>
      </c>
      <c r="F29" s="26">
        <v>4980071.68</v>
      </c>
      <c r="G29" s="26">
        <v>0</v>
      </c>
      <c r="H29" s="26">
        <v>0</v>
      </c>
      <c r="I29" s="26">
        <v>0</v>
      </c>
      <c r="J29" s="26">
        <v>0</v>
      </c>
      <c r="K29" s="78">
        <v>1247.44</v>
      </c>
      <c r="L29" s="147">
        <v>0</v>
      </c>
      <c r="M29" s="26">
        <v>0</v>
      </c>
      <c r="N29" s="26">
        <v>0</v>
      </c>
      <c r="O29" s="26">
        <v>0</v>
      </c>
      <c r="P29" s="141">
        <f t="shared" si="13"/>
        <v>4981319.12</v>
      </c>
      <c r="Q29" s="26">
        <v>0</v>
      </c>
      <c r="R29" s="26">
        <v>0</v>
      </c>
      <c r="S29" s="26">
        <v>0</v>
      </c>
      <c r="T29" s="26">
        <v>0</v>
      </c>
      <c r="U29" s="26">
        <v>14441</v>
      </c>
      <c r="V29" s="26">
        <v>297419</v>
      </c>
      <c r="W29" s="26">
        <v>140587</v>
      </c>
      <c r="X29" s="26">
        <v>37405.44</v>
      </c>
      <c r="Y29" s="147">
        <v>204354</v>
      </c>
      <c r="Z29" s="26">
        <v>229302</v>
      </c>
      <c r="AA29" s="26">
        <v>0</v>
      </c>
      <c r="AB29" s="26">
        <v>0</v>
      </c>
      <c r="AC29" s="26">
        <f>SUM(Q29:AB29)</f>
        <v>923508.44</v>
      </c>
      <c r="AD29" s="26">
        <v>0</v>
      </c>
      <c r="AE29" s="26">
        <v>0</v>
      </c>
      <c r="AF29" s="26"/>
      <c r="AG29" s="26">
        <v>0</v>
      </c>
      <c r="AH29" s="26">
        <v>14441</v>
      </c>
      <c r="AI29" s="26">
        <v>297419</v>
      </c>
      <c r="AJ29" s="26">
        <v>140587</v>
      </c>
      <c r="AK29" s="26">
        <v>37405.44</v>
      </c>
      <c r="AL29" s="26">
        <v>204354</v>
      </c>
      <c r="AM29" s="26">
        <v>229302</v>
      </c>
      <c r="AN29" s="26">
        <v>0</v>
      </c>
      <c r="AO29" s="26">
        <v>0</v>
      </c>
      <c r="AP29" s="261">
        <f t="shared" si="15"/>
        <v>923508.44</v>
      </c>
      <c r="AQ29" s="24"/>
      <c r="AR29" s="24"/>
      <c r="AS29" s="24"/>
      <c r="AT29" s="24"/>
      <c r="AU29" s="24"/>
      <c r="AV29" s="24"/>
      <c r="AW29" s="24"/>
      <c r="AX29" s="24"/>
    </row>
    <row r="30" spans="1:50" s="12" customFormat="1" ht="15">
      <c r="A30" s="43" t="s">
        <v>262</v>
      </c>
      <c r="B30" s="25" t="s">
        <v>194</v>
      </c>
      <c r="C30" s="121">
        <v>97072792</v>
      </c>
      <c r="D30" s="26">
        <v>0</v>
      </c>
      <c r="E30" s="26">
        <v>0</v>
      </c>
      <c r="F30" s="26"/>
      <c r="G30" s="26"/>
      <c r="H30" s="26">
        <v>57990000</v>
      </c>
      <c r="I30" s="26"/>
      <c r="J30" s="26">
        <v>18524272</v>
      </c>
      <c r="K30" s="78"/>
      <c r="L30" s="147">
        <v>0</v>
      </c>
      <c r="M30" s="26">
        <v>14119153.5</v>
      </c>
      <c r="N30" s="26">
        <v>0</v>
      </c>
      <c r="O30" s="26"/>
      <c r="P30" s="141">
        <f t="shared" si="13"/>
        <v>90633425.5</v>
      </c>
      <c r="Q30" s="26"/>
      <c r="R30" s="26"/>
      <c r="S30" s="26"/>
      <c r="T30" s="26"/>
      <c r="U30" s="26"/>
      <c r="V30" s="26"/>
      <c r="W30" s="26"/>
      <c r="X30" s="26"/>
      <c r="Y30" s="147">
        <v>23196000</v>
      </c>
      <c r="Z30" s="26">
        <v>0</v>
      </c>
      <c r="AA30" s="26">
        <v>7409709</v>
      </c>
      <c r="AB30" s="26">
        <v>0</v>
      </c>
      <c r="AC30" s="26">
        <f>SUM(Q30:AB30)</f>
        <v>30605709</v>
      </c>
      <c r="AD30" s="26"/>
      <c r="AE30" s="26"/>
      <c r="AF30" s="26"/>
      <c r="AG30" s="26"/>
      <c r="AH30" s="26"/>
      <c r="AI30" s="26"/>
      <c r="AJ30" s="26"/>
      <c r="AK30" s="26"/>
      <c r="AL30" s="26">
        <v>23196000</v>
      </c>
      <c r="AM30" s="26">
        <v>0</v>
      </c>
      <c r="AN30" s="26">
        <v>7409709</v>
      </c>
      <c r="AO30" s="26"/>
      <c r="AP30" s="261">
        <f t="shared" si="15"/>
        <v>30605709</v>
      </c>
      <c r="AQ30" s="24"/>
      <c r="AR30" s="24"/>
      <c r="AS30" s="24"/>
      <c r="AT30" s="24"/>
      <c r="AU30" s="24"/>
      <c r="AV30" s="24"/>
      <c r="AW30" s="24"/>
      <c r="AX30" s="24"/>
    </row>
    <row r="31" spans="1:50" s="12" customFormat="1" ht="15">
      <c r="A31" s="43" t="s">
        <v>192</v>
      </c>
      <c r="B31" s="25" t="s">
        <v>193</v>
      </c>
      <c r="C31" s="121">
        <v>5321200</v>
      </c>
      <c r="D31" s="26">
        <v>0</v>
      </c>
      <c r="E31" s="26">
        <v>78263.79</v>
      </c>
      <c r="F31" s="26"/>
      <c r="G31" s="26"/>
      <c r="H31" s="26">
        <v>174680.89</v>
      </c>
      <c r="I31" s="26">
        <v>112617</v>
      </c>
      <c r="J31" s="26">
        <v>0</v>
      </c>
      <c r="K31" s="78">
        <v>0</v>
      </c>
      <c r="L31" s="147">
        <v>0</v>
      </c>
      <c r="M31" s="26">
        <v>1150732.1</v>
      </c>
      <c r="N31" s="26">
        <v>0</v>
      </c>
      <c r="O31" s="26">
        <v>0</v>
      </c>
      <c r="P31" s="141">
        <f t="shared" si="13"/>
        <v>1516293.78</v>
      </c>
      <c r="Q31" s="26"/>
      <c r="R31" s="26">
        <v>78263.79</v>
      </c>
      <c r="S31" s="26"/>
      <c r="T31" s="26"/>
      <c r="U31" s="26">
        <v>174680.89</v>
      </c>
      <c r="V31" s="26"/>
      <c r="W31" s="26"/>
      <c r="X31" s="26">
        <v>0</v>
      </c>
      <c r="Y31" s="147">
        <v>0</v>
      </c>
      <c r="Z31" s="26">
        <v>1150732.1</v>
      </c>
      <c r="AA31" s="26">
        <v>0</v>
      </c>
      <c r="AB31" s="26">
        <v>0</v>
      </c>
      <c r="AC31" s="26">
        <f t="shared" si="14"/>
        <v>1403676.78</v>
      </c>
      <c r="AD31" s="26"/>
      <c r="AE31" s="26">
        <v>78263.79</v>
      </c>
      <c r="AF31" s="26"/>
      <c r="AG31" s="26"/>
      <c r="AH31" s="26">
        <v>174680.89</v>
      </c>
      <c r="AI31" s="26"/>
      <c r="AJ31" s="26"/>
      <c r="AK31" s="26">
        <v>0</v>
      </c>
      <c r="AL31" s="26">
        <v>0</v>
      </c>
      <c r="AM31" s="26">
        <v>1150732.1</v>
      </c>
      <c r="AN31" s="26">
        <v>0</v>
      </c>
      <c r="AO31" s="26"/>
      <c r="AP31" s="261">
        <f t="shared" si="15"/>
        <v>1403676.78</v>
      </c>
      <c r="AQ31" s="24"/>
      <c r="AR31" s="24"/>
      <c r="AS31" s="24"/>
      <c r="AT31" s="24"/>
      <c r="AU31" s="24"/>
      <c r="AV31" s="24"/>
      <c r="AW31" s="24"/>
      <c r="AX31" s="24"/>
    </row>
    <row r="32" spans="1:50" s="12" customFormat="1" ht="15">
      <c r="A32" s="43" t="s">
        <v>152</v>
      </c>
      <c r="B32" s="25" t="s">
        <v>120</v>
      </c>
      <c r="C32" s="121">
        <v>8522800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78">
        <v>0</v>
      </c>
      <c r="L32" s="147">
        <v>0</v>
      </c>
      <c r="M32" s="26">
        <v>0</v>
      </c>
      <c r="N32" s="26">
        <v>0</v>
      </c>
      <c r="O32" s="26">
        <v>0</v>
      </c>
      <c r="P32" s="141">
        <f t="shared" si="13"/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47">
        <v>0</v>
      </c>
      <c r="Z32" s="26">
        <v>0</v>
      </c>
      <c r="AA32" s="26">
        <v>0</v>
      </c>
      <c r="AB32" s="26">
        <v>0</v>
      </c>
      <c r="AC32" s="26">
        <f t="shared" si="14"/>
        <v>0</v>
      </c>
      <c r="AD32" s="26">
        <v>0</v>
      </c>
      <c r="AE32" s="26">
        <v>0</v>
      </c>
      <c r="AF32" s="26">
        <v>0</v>
      </c>
      <c r="AG32" s="26"/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1">
        <f t="shared" si="15"/>
        <v>0</v>
      </c>
      <c r="AQ32" s="24"/>
      <c r="AR32" s="24"/>
      <c r="AS32" s="24"/>
      <c r="AT32" s="24"/>
      <c r="AU32" s="24"/>
      <c r="AV32" s="24"/>
      <c r="AW32" s="24"/>
      <c r="AX32" s="24"/>
    </row>
    <row r="33" spans="1:50" s="12" customFormat="1" ht="15">
      <c r="A33" s="43" t="s">
        <v>94</v>
      </c>
      <c r="B33" s="114" t="s">
        <v>93</v>
      </c>
      <c r="C33" s="207">
        <f>C34+C36+C37+C38+C40+C35+C39</f>
        <v>812895140</v>
      </c>
      <c r="D33" s="207">
        <f aca="true" t="shared" si="16" ref="D33:N33">D34+D36+D37+D38+D40+D35+D39</f>
        <v>78048756</v>
      </c>
      <c r="E33" s="207">
        <f t="shared" si="16"/>
        <v>46074418</v>
      </c>
      <c r="F33" s="207">
        <f t="shared" si="16"/>
        <v>288723095.14</v>
      </c>
      <c r="G33" s="207">
        <f t="shared" si="16"/>
        <v>125098418.9</v>
      </c>
      <c r="H33" s="207">
        <f t="shared" si="16"/>
        <v>192518554.62</v>
      </c>
      <c r="I33" s="207">
        <f t="shared" si="16"/>
        <v>7261511.09</v>
      </c>
      <c r="J33" s="207">
        <f t="shared" si="16"/>
        <v>3443.6</v>
      </c>
      <c r="K33" s="207">
        <f t="shared" si="16"/>
        <v>39158118.36</v>
      </c>
      <c r="L33" s="207">
        <f t="shared" si="16"/>
        <v>3562190.44</v>
      </c>
      <c r="M33" s="207">
        <f t="shared" si="16"/>
        <v>19993719.04</v>
      </c>
      <c r="N33" s="207">
        <f t="shared" si="16"/>
        <v>15552527.21</v>
      </c>
      <c r="O33" s="26">
        <v>0</v>
      </c>
      <c r="P33" s="224">
        <f aca="true" t="shared" si="17" ref="P33:P40">SUM(D33:O33)</f>
        <v>815994752.4000001</v>
      </c>
      <c r="Q33" s="26">
        <v>0</v>
      </c>
      <c r="R33" s="118">
        <f>R37+R36+R38+R40</f>
        <v>8828422</v>
      </c>
      <c r="S33" s="118">
        <f>S36+S40</f>
        <v>12025586.14</v>
      </c>
      <c r="T33" s="118">
        <f>T37+T36</f>
        <v>36931248.9</v>
      </c>
      <c r="U33" s="118">
        <f>U35+U36+U37+U38+U40</f>
        <v>45242092.620000005</v>
      </c>
      <c r="V33" s="118">
        <f>V36+V38+V40+V39</f>
        <v>36913793.089999996</v>
      </c>
      <c r="W33" s="118">
        <f>W36+W37+W38+W40</f>
        <v>112004542.6</v>
      </c>
      <c r="X33" s="118">
        <f>X37+X36+X35+X34+X38+X39+X40</f>
        <v>39837333.88</v>
      </c>
      <c r="Y33" s="207">
        <f>Y34+Y36+Y37+Y38+Y40+Y35+Y39</f>
        <v>71019126.44</v>
      </c>
      <c r="Z33" s="207">
        <f>Z34+Z36+Z37+Z38+Z40+Z35+Z39</f>
        <v>145104125.54</v>
      </c>
      <c r="AA33" s="207">
        <f>AA34+AA36+AA37+AA38+AA40+AA35+AA39</f>
        <v>168674066.21</v>
      </c>
      <c r="AB33" s="26">
        <f>+AB37</f>
        <v>0</v>
      </c>
      <c r="AC33" s="118">
        <f aca="true" t="shared" si="18" ref="AC33:AC42">SUM(Q33:AB33)</f>
        <v>676580337.4200001</v>
      </c>
      <c r="AD33" s="26">
        <v>0</v>
      </c>
      <c r="AE33" s="26">
        <f>+AE37+AE36</f>
        <v>8828422</v>
      </c>
      <c r="AF33" s="26">
        <f>AF36+AF40</f>
        <v>12025586.14</v>
      </c>
      <c r="AG33" s="26">
        <f>AG37+AG36</f>
        <v>36931248.9</v>
      </c>
      <c r="AH33" s="26">
        <f>AH35+AH36+AH37+AH38+AH40</f>
        <v>45242092.620000005</v>
      </c>
      <c r="AI33" s="26">
        <f>AI35+AI36+AI37+AI38+AI40+AI39</f>
        <v>36913793.089999996</v>
      </c>
      <c r="AJ33" s="26">
        <f>AJ36+AJ37+AJ38+AJ40</f>
        <v>112004542.6</v>
      </c>
      <c r="AK33" s="118">
        <f>AK34+AK35+AK36+AK37+AK38+AK39+AK40</f>
        <v>39837333.88</v>
      </c>
      <c r="AL33" s="207">
        <f>AL34+AL36+AL37+AL38+AL40+AL35+AL39</f>
        <v>71019126.44</v>
      </c>
      <c r="AM33" s="118">
        <f>AM34+AM36+AM37+AM40</f>
        <v>145104125.54</v>
      </c>
      <c r="AN33" s="118">
        <f>AN34+AN36+AN37+AN40</f>
        <v>168674066.21</v>
      </c>
      <c r="AO33" s="26"/>
      <c r="AP33" s="182">
        <f t="shared" si="15"/>
        <v>676580337.4200001</v>
      </c>
      <c r="AQ33" s="24"/>
      <c r="AR33" s="24"/>
      <c r="AS33" s="24"/>
      <c r="AT33" s="24"/>
      <c r="AU33" s="24"/>
      <c r="AV33" s="24"/>
      <c r="AW33" s="24"/>
      <c r="AX33" s="24"/>
    </row>
    <row r="34" spans="1:50" s="12" customFormat="1" ht="15">
      <c r="A34" s="43" t="s">
        <v>272</v>
      </c>
      <c r="B34" s="25" t="s">
        <v>105</v>
      </c>
      <c r="C34" s="121">
        <v>12000000</v>
      </c>
      <c r="D34" s="207"/>
      <c r="E34" s="207"/>
      <c r="F34" s="207"/>
      <c r="G34" s="207"/>
      <c r="H34" s="207"/>
      <c r="I34" s="207"/>
      <c r="J34" s="207"/>
      <c r="K34" s="121">
        <v>0</v>
      </c>
      <c r="L34" s="207">
        <v>0</v>
      </c>
      <c r="M34" s="121">
        <v>10890000</v>
      </c>
      <c r="N34" s="121">
        <v>0</v>
      </c>
      <c r="O34" s="207"/>
      <c r="P34" s="141">
        <f t="shared" si="17"/>
        <v>10890000</v>
      </c>
      <c r="Q34" s="207"/>
      <c r="R34" s="207"/>
      <c r="S34" s="207"/>
      <c r="T34" s="207"/>
      <c r="U34" s="207"/>
      <c r="V34" s="207"/>
      <c r="W34" s="207"/>
      <c r="X34" s="207"/>
      <c r="Y34" s="207"/>
      <c r="Z34" s="121">
        <v>10890000</v>
      </c>
      <c r="AA34" s="121">
        <v>0</v>
      </c>
      <c r="AB34" s="207"/>
      <c r="AC34" s="26">
        <f t="shared" si="18"/>
        <v>10890000</v>
      </c>
      <c r="AD34" s="207"/>
      <c r="AE34" s="207"/>
      <c r="AF34" s="207"/>
      <c r="AG34" s="207"/>
      <c r="AH34" s="207"/>
      <c r="AI34" s="207"/>
      <c r="AJ34" s="207"/>
      <c r="AK34" s="207"/>
      <c r="AL34" s="207"/>
      <c r="AM34" s="121">
        <v>10890000</v>
      </c>
      <c r="AN34" s="121">
        <v>0</v>
      </c>
      <c r="AO34" s="207"/>
      <c r="AP34" s="261">
        <f t="shared" si="15"/>
        <v>10890000</v>
      </c>
      <c r="AQ34" s="24"/>
      <c r="AR34" s="24"/>
      <c r="AS34" s="24"/>
      <c r="AT34" s="24"/>
      <c r="AU34" s="24"/>
      <c r="AV34" s="24"/>
      <c r="AW34" s="24"/>
      <c r="AX34" s="24"/>
    </row>
    <row r="35" spans="1:50" s="12" customFormat="1" ht="15">
      <c r="A35" s="43" t="s">
        <v>158</v>
      </c>
      <c r="B35" s="25" t="s">
        <v>96</v>
      </c>
      <c r="C35" s="121">
        <f>500000-500000</f>
        <v>0</v>
      </c>
      <c r="D35" s="118"/>
      <c r="E35" s="26">
        <v>0</v>
      </c>
      <c r="F35" s="26"/>
      <c r="G35" s="26"/>
      <c r="H35" s="26"/>
      <c r="I35" s="26"/>
      <c r="J35" s="26"/>
      <c r="K35" s="78">
        <v>0</v>
      </c>
      <c r="L35" s="147">
        <v>0</v>
      </c>
      <c r="M35" s="26">
        <v>0</v>
      </c>
      <c r="N35" s="26">
        <v>0</v>
      </c>
      <c r="O35" s="26"/>
      <c r="P35" s="224">
        <f t="shared" si="17"/>
        <v>0</v>
      </c>
      <c r="Q35" s="26"/>
      <c r="R35" s="26">
        <f>+R38</f>
        <v>0</v>
      </c>
      <c r="S35" s="26"/>
      <c r="T35" s="26"/>
      <c r="U35" s="26"/>
      <c r="V35" s="26"/>
      <c r="W35" s="26"/>
      <c r="X35" s="26"/>
      <c r="Y35" s="147">
        <v>0</v>
      </c>
      <c r="Z35" s="26">
        <v>0</v>
      </c>
      <c r="AA35" s="26">
        <v>0</v>
      </c>
      <c r="AB35" s="26"/>
      <c r="AC35" s="26">
        <f t="shared" si="18"/>
        <v>0</v>
      </c>
      <c r="AD35" s="26"/>
      <c r="AE35" s="26">
        <f>+AE38</f>
        <v>0</v>
      </c>
      <c r="AF35" s="26"/>
      <c r="AG35" s="26"/>
      <c r="AH35" s="26"/>
      <c r="AI35" s="26"/>
      <c r="AJ35" s="26"/>
      <c r="AK35" s="26"/>
      <c r="AL35" s="26">
        <v>0</v>
      </c>
      <c r="AM35" s="26">
        <v>0</v>
      </c>
      <c r="AN35" s="26">
        <v>0</v>
      </c>
      <c r="AO35" s="26"/>
      <c r="AP35" s="261">
        <f>SUM(AD35:AO35)</f>
        <v>0</v>
      </c>
      <c r="AQ35" s="24"/>
      <c r="AR35" s="24"/>
      <c r="AS35" s="24" t="s">
        <v>76</v>
      </c>
      <c r="AT35" s="24"/>
      <c r="AU35" s="24"/>
      <c r="AV35" s="24"/>
      <c r="AW35" s="24"/>
      <c r="AX35" s="24"/>
    </row>
    <row r="36" spans="1:50" s="12" customFormat="1" ht="15">
      <c r="A36" s="43" t="s">
        <v>167</v>
      </c>
      <c r="B36" s="25" t="s">
        <v>97</v>
      </c>
      <c r="C36" s="121">
        <f>524000000+135000000+500000+500000-113975.52</f>
        <v>659886024.48</v>
      </c>
      <c r="D36" s="26">
        <v>78048756</v>
      </c>
      <c r="E36" s="26">
        <v>44074418</v>
      </c>
      <c r="F36" s="26">
        <v>288578095.14</v>
      </c>
      <c r="G36" s="26">
        <v>75098418.9</v>
      </c>
      <c r="H36" s="26">
        <v>97612442.62</v>
      </c>
      <c r="I36" s="26">
        <v>5700275.69</v>
      </c>
      <c r="J36" s="26">
        <v>3443.6</v>
      </c>
      <c r="K36" s="78">
        <v>33847372.11</v>
      </c>
      <c r="L36" s="147">
        <v>3484.44</v>
      </c>
      <c r="M36" s="26">
        <v>5645952.54</v>
      </c>
      <c r="N36" s="26">
        <v>9768527.21</v>
      </c>
      <c r="O36" s="26"/>
      <c r="P36" s="141">
        <f t="shared" si="17"/>
        <v>638381186.2500001</v>
      </c>
      <c r="Q36" s="26">
        <v>0</v>
      </c>
      <c r="R36" s="26">
        <v>7328422</v>
      </c>
      <c r="S36" s="26">
        <v>11880586.14</v>
      </c>
      <c r="T36" s="26">
        <v>36931248.9</v>
      </c>
      <c r="U36" s="26">
        <v>29967592.62</v>
      </c>
      <c r="V36" s="26">
        <v>34282312.69</v>
      </c>
      <c r="W36" s="26">
        <v>111434175.6</v>
      </c>
      <c r="X36" s="26">
        <v>39652828.63</v>
      </c>
      <c r="Y36" s="147">
        <v>43713267.44</v>
      </c>
      <c r="Z36" s="26">
        <v>36407141.54</v>
      </c>
      <c r="AA36" s="26">
        <v>168427143.21</v>
      </c>
      <c r="AB36" s="26"/>
      <c r="AC36" s="26">
        <f t="shared" si="18"/>
        <v>520024718.77</v>
      </c>
      <c r="AD36" s="26">
        <v>0</v>
      </c>
      <c r="AE36" s="26">
        <v>7328422</v>
      </c>
      <c r="AF36" s="26">
        <v>11880586.14</v>
      </c>
      <c r="AG36" s="26">
        <v>36931248.9</v>
      </c>
      <c r="AH36" s="26">
        <v>29967592.62</v>
      </c>
      <c r="AI36" s="26">
        <v>34282312.69</v>
      </c>
      <c r="AJ36" s="26">
        <v>111434175.6</v>
      </c>
      <c r="AK36" s="26">
        <v>39652828.63</v>
      </c>
      <c r="AL36" s="26">
        <v>43713267.44</v>
      </c>
      <c r="AM36" s="26">
        <v>36407141.54</v>
      </c>
      <c r="AN36" s="26">
        <v>168427143.21</v>
      </c>
      <c r="AO36" s="26"/>
      <c r="AP36" s="261">
        <f>SUM(AD36:AO36)</f>
        <v>520024718.77</v>
      </c>
      <c r="AQ36" s="24"/>
      <c r="AR36" s="24"/>
      <c r="AS36" s="24"/>
      <c r="AT36" s="24"/>
      <c r="AU36" s="24"/>
      <c r="AV36" s="24"/>
      <c r="AW36" s="24"/>
      <c r="AX36" s="24"/>
    </row>
    <row r="37" spans="1:50" s="12" customFormat="1" ht="15">
      <c r="A37" s="43" t="s">
        <v>195</v>
      </c>
      <c r="B37" s="25" t="s">
        <v>100</v>
      </c>
      <c r="C37" s="121">
        <v>10613975.52</v>
      </c>
      <c r="D37" s="26">
        <v>0</v>
      </c>
      <c r="E37" s="26">
        <v>1500000</v>
      </c>
      <c r="F37" s="26">
        <v>0</v>
      </c>
      <c r="G37" s="26">
        <v>0</v>
      </c>
      <c r="H37" s="26">
        <v>92000000</v>
      </c>
      <c r="I37" s="26">
        <v>0</v>
      </c>
      <c r="J37" s="26">
        <v>0</v>
      </c>
      <c r="K37" s="78">
        <v>113975.52</v>
      </c>
      <c r="L37" s="147">
        <v>0</v>
      </c>
      <c r="M37" s="26">
        <v>0</v>
      </c>
      <c r="N37" s="26">
        <v>0</v>
      </c>
      <c r="O37" s="26">
        <v>0</v>
      </c>
      <c r="P37" s="141">
        <f t="shared" si="17"/>
        <v>93613975.52</v>
      </c>
      <c r="Q37" s="26">
        <v>0</v>
      </c>
      <c r="R37" s="26">
        <v>1500000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113975.52</v>
      </c>
      <c r="Y37" s="147">
        <v>0</v>
      </c>
      <c r="Z37" s="26">
        <v>92000000</v>
      </c>
      <c r="AA37" s="26">
        <v>0</v>
      </c>
      <c r="AB37" s="26">
        <v>0</v>
      </c>
      <c r="AC37" s="26">
        <f t="shared" si="18"/>
        <v>93613975.52</v>
      </c>
      <c r="AD37" s="26"/>
      <c r="AE37" s="26">
        <v>1500000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113975.52</v>
      </c>
      <c r="AL37" s="26">
        <v>0</v>
      </c>
      <c r="AM37" s="26">
        <v>92000000</v>
      </c>
      <c r="AN37" s="26">
        <v>0</v>
      </c>
      <c r="AO37" s="26">
        <v>0</v>
      </c>
      <c r="AP37" s="261">
        <f>SUM(AD37:AO37)</f>
        <v>93613975.52</v>
      </c>
      <c r="AQ37" s="24"/>
      <c r="AR37" s="24"/>
      <c r="AS37" s="24"/>
      <c r="AT37" s="24"/>
      <c r="AU37" s="24"/>
      <c r="AV37" s="24"/>
      <c r="AW37" s="24"/>
      <c r="AX37" s="24"/>
    </row>
    <row r="38" spans="1:50" s="12" customFormat="1" ht="15">
      <c r="A38" s="43" t="s">
        <v>197</v>
      </c>
      <c r="B38" s="25" t="s">
        <v>108</v>
      </c>
      <c r="C38" s="121">
        <v>101100000</v>
      </c>
      <c r="D38" s="26">
        <v>0</v>
      </c>
      <c r="E38" s="26">
        <v>0</v>
      </c>
      <c r="F38" s="26"/>
      <c r="G38" s="26">
        <v>50000000</v>
      </c>
      <c r="H38" s="26">
        <v>2456912</v>
      </c>
      <c r="I38" s="26">
        <v>499186</v>
      </c>
      <c r="J38" s="26"/>
      <c r="K38" s="78">
        <v>265782.73</v>
      </c>
      <c r="L38" s="147">
        <v>2188855</v>
      </c>
      <c r="M38" s="26">
        <v>0</v>
      </c>
      <c r="N38" s="26">
        <v>0</v>
      </c>
      <c r="O38" s="26"/>
      <c r="P38" s="141">
        <f t="shared" si="17"/>
        <v>55410735.73</v>
      </c>
      <c r="Q38" s="26">
        <v>0</v>
      </c>
      <c r="R38" s="26"/>
      <c r="S38" s="26"/>
      <c r="T38" s="26"/>
      <c r="U38" s="26">
        <v>15000000</v>
      </c>
      <c r="V38" s="26">
        <v>2631431</v>
      </c>
      <c r="W38" s="26">
        <v>324667</v>
      </c>
      <c r="X38" s="26">
        <v>70525.73</v>
      </c>
      <c r="Y38" s="147">
        <v>27088855</v>
      </c>
      <c r="Z38" s="26">
        <v>0</v>
      </c>
      <c r="AA38" s="26">
        <v>0</v>
      </c>
      <c r="AB38" s="26"/>
      <c r="AC38" s="26">
        <f t="shared" si="18"/>
        <v>45115478.730000004</v>
      </c>
      <c r="AD38" s="26"/>
      <c r="AE38" s="26"/>
      <c r="AF38" s="26"/>
      <c r="AG38" s="26"/>
      <c r="AH38" s="26">
        <v>15000000</v>
      </c>
      <c r="AI38" s="26">
        <v>2631431</v>
      </c>
      <c r="AJ38" s="26">
        <v>324667</v>
      </c>
      <c r="AK38" s="26">
        <v>70525.73</v>
      </c>
      <c r="AL38" s="26">
        <v>27088855</v>
      </c>
      <c r="AM38" s="26">
        <v>0</v>
      </c>
      <c r="AN38" s="26">
        <v>0</v>
      </c>
      <c r="AO38" s="26"/>
      <c r="AP38" s="261">
        <f>SUM(AD38:AO38)</f>
        <v>45115478.730000004</v>
      </c>
      <c r="AQ38" s="24"/>
      <c r="AR38" s="24"/>
      <c r="AS38" s="24"/>
      <c r="AT38" s="24"/>
      <c r="AU38" s="24"/>
      <c r="AV38" s="24"/>
      <c r="AW38" s="24"/>
      <c r="AX38" s="24"/>
    </row>
    <row r="39" spans="1:50" s="12" customFormat="1" ht="15">
      <c r="A39" s="43" t="s">
        <v>270</v>
      </c>
      <c r="B39" s="25" t="s">
        <v>194</v>
      </c>
      <c r="C39" s="121">
        <v>9595140</v>
      </c>
      <c r="D39" s="26"/>
      <c r="E39" s="26"/>
      <c r="F39" s="26"/>
      <c r="G39" s="26"/>
      <c r="H39" s="26"/>
      <c r="I39" s="26"/>
      <c r="J39" s="26"/>
      <c r="K39" s="78">
        <v>0</v>
      </c>
      <c r="L39" s="147"/>
      <c r="M39" s="26">
        <v>3457766.5</v>
      </c>
      <c r="N39" s="26">
        <v>1125000</v>
      </c>
      <c r="O39" s="26">
        <v>3457766.5</v>
      </c>
      <c r="P39" s="141">
        <f t="shared" si="17"/>
        <v>8040533</v>
      </c>
      <c r="Q39" s="26"/>
      <c r="R39" s="26"/>
      <c r="S39" s="26"/>
      <c r="T39" s="26"/>
      <c r="U39" s="26"/>
      <c r="V39" s="26"/>
      <c r="W39" s="26"/>
      <c r="X39" s="26"/>
      <c r="Y39" s="147"/>
      <c r="Z39" s="26">
        <v>0</v>
      </c>
      <c r="AA39" s="26">
        <v>0</v>
      </c>
      <c r="AB39" s="26"/>
      <c r="AC39" s="26">
        <f t="shared" si="18"/>
        <v>0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>
        <v>0</v>
      </c>
      <c r="AN39" s="26">
        <v>0</v>
      </c>
      <c r="AO39" s="26"/>
      <c r="AP39" s="261">
        <v>0</v>
      </c>
      <c r="AQ39" s="24"/>
      <c r="AR39" s="24"/>
      <c r="AS39" s="24"/>
      <c r="AT39" s="24"/>
      <c r="AU39" s="24"/>
      <c r="AV39" s="24"/>
      <c r="AW39" s="24"/>
      <c r="AX39" s="24"/>
    </row>
    <row r="40" spans="1:50" s="12" customFormat="1" ht="15">
      <c r="A40" s="43" t="s">
        <v>196</v>
      </c>
      <c r="B40" s="25" t="s">
        <v>101</v>
      </c>
      <c r="C40" s="121">
        <v>19700000</v>
      </c>
      <c r="D40" s="26">
        <v>0</v>
      </c>
      <c r="E40" s="26">
        <v>500000</v>
      </c>
      <c r="F40" s="26">
        <v>145000</v>
      </c>
      <c r="G40" s="26"/>
      <c r="H40" s="26">
        <v>449200</v>
      </c>
      <c r="I40" s="26">
        <v>1062049.4</v>
      </c>
      <c r="J40" s="26"/>
      <c r="K40" s="78">
        <v>4930988</v>
      </c>
      <c r="L40" s="147">
        <v>1369851</v>
      </c>
      <c r="M40" s="26">
        <v>0</v>
      </c>
      <c r="N40" s="26">
        <v>4659000</v>
      </c>
      <c r="O40" s="26"/>
      <c r="P40" s="141">
        <f t="shared" si="17"/>
        <v>13116088.4</v>
      </c>
      <c r="Q40" s="26">
        <v>0</v>
      </c>
      <c r="R40" s="26"/>
      <c r="S40" s="26">
        <v>145000</v>
      </c>
      <c r="T40" s="26"/>
      <c r="U40" s="26">
        <v>274500</v>
      </c>
      <c r="V40" s="26">
        <v>49.4</v>
      </c>
      <c r="W40" s="26">
        <v>245700</v>
      </c>
      <c r="X40" s="26">
        <v>4</v>
      </c>
      <c r="Y40" s="147">
        <v>217004</v>
      </c>
      <c r="Z40" s="26">
        <v>5806984</v>
      </c>
      <c r="AA40" s="26">
        <v>246923</v>
      </c>
      <c r="AB40" s="26"/>
      <c r="AC40" s="26">
        <f t="shared" si="18"/>
        <v>6936164.4</v>
      </c>
      <c r="AD40" s="26"/>
      <c r="AE40" s="26"/>
      <c r="AF40" s="26">
        <v>145000</v>
      </c>
      <c r="AG40" s="26"/>
      <c r="AH40" s="26">
        <v>274500</v>
      </c>
      <c r="AI40" s="26">
        <v>49.4</v>
      </c>
      <c r="AJ40" s="26">
        <v>245700</v>
      </c>
      <c r="AK40" s="26">
        <v>4</v>
      </c>
      <c r="AL40" s="26">
        <v>217004</v>
      </c>
      <c r="AM40" s="26">
        <v>5806984</v>
      </c>
      <c r="AN40" s="26">
        <v>246923</v>
      </c>
      <c r="AO40" s="26"/>
      <c r="AP40" s="261">
        <f>SUM(AD40:AO40)</f>
        <v>6936164.4</v>
      </c>
      <c r="AQ40" s="24"/>
      <c r="AR40" s="24"/>
      <c r="AS40" s="24"/>
      <c r="AT40" s="24"/>
      <c r="AU40" s="24"/>
      <c r="AV40" s="24"/>
      <c r="AW40" s="24"/>
      <c r="AX40" s="24"/>
    </row>
    <row r="41" spans="1:50" s="12" customFormat="1" ht="15">
      <c r="A41" s="43" t="s">
        <v>123</v>
      </c>
      <c r="B41" s="115" t="s">
        <v>56</v>
      </c>
      <c r="C41" s="207">
        <f>C42</f>
        <v>151150000</v>
      </c>
      <c r="D41" s="116">
        <f aca="true" t="shared" si="19" ref="D41:AO41">D42</f>
        <v>3462004</v>
      </c>
      <c r="E41" s="116">
        <f t="shared" si="19"/>
        <v>33139031.47</v>
      </c>
      <c r="F41" s="116">
        <f t="shared" si="19"/>
        <v>20021170.63</v>
      </c>
      <c r="G41" s="116">
        <f t="shared" si="19"/>
        <v>60428704.53</v>
      </c>
      <c r="H41" s="116">
        <f t="shared" si="19"/>
        <v>23186651.05</v>
      </c>
      <c r="I41" s="116">
        <f>I42</f>
        <v>23997.61</v>
      </c>
      <c r="J41" s="116">
        <f t="shared" si="19"/>
        <v>36020</v>
      </c>
      <c r="K41" s="116">
        <f>+K42</f>
        <v>221686</v>
      </c>
      <c r="L41" s="143">
        <f>L42</f>
        <v>522408</v>
      </c>
      <c r="M41" s="116">
        <f t="shared" si="19"/>
        <v>20</v>
      </c>
      <c r="N41" s="116">
        <f t="shared" si="19"/>
        <v>484448</v>
      </c>
      <c r="O41" s="120">
        <f>O42</f>
        <v>0</v>
      </c>
      <c r="P41" s="224">
        <f>SUM(D42:O42)</f>
        <v>141526141.29000002</v>
      </c>
      <c r="Q41" s="116">
        <f t="shared" si="19"/>
        <v>3462000</v>
      </c>
      <c r="R41" s="116">
        <f t="shared" si="19"/>
        <v>33083815.19</v>
      </c>
      <c r="S41" s="116">
        <f t="shared" si="19"/>
        <v>20076390.63</v>
      </c>
      <c r="T41" s="116">
        <f t="shared" si="19"/>
        <v>60428704.53</v>
      </c>
      <c r="U41" s="116">
        <f t="shared" si="19"/>
        <v>23185851.05</v>
      </c>
      <c r="V41" s="116">
        <f t="shared" si="19"/>
        <v>24797.61</v>
      </c>
      <c r="W41" s="116">
        <f t="shared" si="19"/>
        <v>36020</v>
      </c>
      <c r="X41" s="116">
        <f>X42</f>
        <v>221686</v>
      </c>
      <c r="Y41" s="144">
        <f>Y42</f>
        <v>522408</v>
      </c>
      <c r="Z41" s="116">
        <f t="shared" si="19"/>
        <v>20</v>
      </c>
      <c r="AA41" s="116">
        <f>AA42</f>
        <v>484448</v>
      </c>
      <c r="AB41" s="116">
        <f t="shared" si="19"/>
        <v>484448</v>
      </c>
      <c r="AC41" s="118">
        <f t="shared" si="18"/>
        <v>142010589.01000002</v>
      </c>
      <c r="AD41" s="116">
        <f t="shared" si="19"/>
        <v>3462000</v>
      </c>
      <c r="AE41" s="116">
        <f t="shared" si="19"/>
        <v>31808815.19</v>
      </c>
      <c r="AF41" s="116">
        <f t="shared" si="19"/>
        <v>21351390.63</v>
      </c>
      <c r="AG41" s="116">
        <f t="shared" si="19"/>
        <v>60428704.53</v>
      </c>
      <c r="AH41" s="116">
        <f t="shared" si="19"/>
        <v>921966.05</v>
      </c>
      <c r="AI41" s="116">
        <f t="shared" si="19"/>
        <v>22288682.61</v>
      </c>
      <c r="AJ41" s="116">
        <f t="shared" si="19"/>
        <v>36020</v>
      </c>
      <c r="AK41" s="116">
        <f>AK42</f>
        <v>221686</v>
      </c>
      <c r="AL41" s="116">
        <f>AL42</f>
        <v>522408</v>
      </c>
      <c r="AM41" s="116">
        <f t="shared" si="19"/>
        <v>20</v>
      </c>
      <c r="AN41" s="116">
        <f t="shared" si="19"/>
        <v>1448</v>
      </c>
      <c r="AO41" s="116">
        <f t="shared" si="19"/>
        <v>0</v>
      </c>
      <c r="AP41" s="117">
        <f>AP42</f>
        <v>141043141.01</v>
      </c>
      <c r="AQ41" s="24"/>
      <c r="AR41" s="24"/>
      <c r="AS41" s="24"/>
      <c r="AT41" s="24"/>
      <c r="AU41" s="24"/>
      <c r="AV41" s="24"/>
      <c r="AW41" s="24"/>
      <c r="AX41" s="24"/>
    </row>
    <row r="42" spans="1:50" s="12" customFormat="1" ht="15" thickBot="1">
      <c r="A42" s="43" t="s">
        <v>124</v>
      </c>
      <c r="B42" s="111" t="s">
        <v>103</v>
      </c>
      <c r="C42" s="21">
        <f>140000000+11500000-350000</f>
        <v>151150000</v>
      </c>
      <c r="D42" s="21">
        <v>3462004</v>
      </c>
      <c r="E42" s="46">
        <v>33139031.47</v>
      </c>
      <c r="F42" s="46">
        <v>20021170.63</v>
      </c>
      <c r="G42" s="112">
        <v>60428704.53</v>
      </c>
      <c r="H42" s="46">
        <v>23186651.05</v>
      </c>
      <c r="I42" s="113">
        <v>23997.61</v>
      </c>
      <c r="J42" s="46">
        <v>36020</v>
      </c>
      <c r="K42" s="46">
        <v>221686</v>
      </c>
      <c r="L42" s="147">
        <v>522408</v>
      </c>
      <c r="M42" s="46">
        <v>20</v>
      </c>
      <c r="N42" s="46">
        <v>484448</v>
      </c>
      <c r="O42" s="46">
        <v>0</v>
      </c>
      <c r="P42" s="141">
        <f>SUM(D42:O42)</f>
        <v>141526141.29000002</v>
      </c>
      <c r="Q42" s="21">
        <v>3462000</v>
      </c>
      <c r="R42" s="46">
        <v>33083815.19</v>
      </c>
      <c r="S42" s="46">
        <v>20076390.63</v>
      </c>
      <c r="T42" s="83">
        <v>60428704.53</v>
      </c>
      <c r="U42" s="46">
        <v>23185851.05</v>
      </c>
      <c r="V42" s="113">
        <v>24797.61</v>
      </c>
      <c r="W42" s="46">
        <v>36020</v>
      </c>
      <c r="X42" s="46">
        <v>221686</v>
      </c>
      <c r="Y42" s="113">
        <v>522408</v>
      </c>
      <c r="Z42" s="46">
        <v>20</v>
      </c>
      <c r="AA42" s="46">
        <v>484448</v>
      </c>
      <c r="AB42" s="46">
        <v>484448</v>
      </c>
      <c r="AC42" s="26">
        <f t="shared" si="18"/>
        <v>142010589.01000002</v>
      </c>
      <c r="AD42" s="21">
        <v>3462000</v>
      </c>
      <c r="AE42" s="46">
        <v>31808815.19</v>
      </c>
      <c r="AF42" s="46">
        <v>21351390.63</v>
      </c>
      <c r="AG42" s="83">
        <v>60428704.53</v>
      </c>
      <c r="AH42" s="46">
        <v>921966.05</v>
      </c>
      <c r="AI42" s="113">
        <v>22288682.61</v>
      </c>
      <c r="AJ42" s="46">
        <v>36020</v>
      </c>
      <c r="AK42" s="46">
        <v>221686</v>
      </c>
      <c r="AL42" s="26">
        <v>522408</v>
      </c>
      <c r="AM42" s="46">
        <v>20</v>
      </c>
      <c r="AN42" s="46">
        <v>1448</v>
      </c>
      <c r="AO42" s="46">
        <v>0</v>
      </c>
      <c r="AP42" s="73">
        <f>SUM(AD42:AO42)</f>
        <v>141043141.01</v>
      </c>
      <c r="AQ42" s="24"/>
      <c r="AR42" s="24"/>
      <c r="AS42" s="24"/>
      <c r="AT42" s="24"/>
      <c r="AU42" s="24"/>
      <c r="AV42" s="24"/>
      <c r="AW42" s="24"/>
      <c r="AX42" s="24"/>
    </row>
    <row r="43" spans="1:50" s="44" customFormat="1" ht="15.75" thickBot="1">
      <c r="A43" s="35"/>
      <c r="B43" s="70" t="s">
        <v>82</v>
      </c>
      <c r="C43" s="32">
        <f>SUM(C44:C46)</f>
        <v>91000000</v>
      </c>
      <c r="D43" s="32">
        <f aca="true" t="shared" si="20" ref="D43:M43">SUM(D44:D46)</f>
        <v>0</v>
      </c>
      <c r="E43" s="32">
        <f t="shared" si="20"/>
        <v>0</v>
      </c>
      <c r="F43" s="32">
        <f t="shared" si="20"/>
        <v>0</v>
      </c>
      <c r="G43" s="32">
        <f t="shared" si="20"/>
        <v>0</v>
      </c>
      <c r="H43" s="32">
        <f t="shared" si="20"/>
        <v>8268484</v>
      </c>
      <c r="I43" s="32">
        <f t="shared" si="20"/>
        <v>0</v>
      </c>
      <c r="J43" s="32">
        <f t="shared" si="20"/>
        <v>0</v>
      </c>
      <c r="K43" s="32">
        <f>SUM(K44:K46)</f>
        <v>33073.94</v>
      </c>
      <c r="L43" s="247">
        <f t="shared" si="20"/>
        <v>0</v>
      </c>
      <c r="M43" s="222">
        <f t="shared" si="20"/>
        <v>0</v>
      </c>
      <c r="N43" s="248">
        <f aca="true" t="shared" si="21" ref="N43:AO43">SUM(N44:N46)</f>
        <v>0</v>
      </c>
      <c r="O43" s="32">
        <f>SUM(O44:O46)</f>
        <v>0</v>
      </c>
      <c r="P43" s="140">
        <f>SUM(P44:P46)</f>
        <v>8301557.94</v>
      </c>
      <c r="Q43" s="32">
        <f t="shared" si="21"/>
        <v>0</v>
      </c>
      <c r="R43" s="32">
        <f t="shared" si="21"/>
        <v>0</v>
      </c>
      <c r="S43" s="32">
        <f t="shared" si="21"/>
        <v>0</v>
      </c>
      <c r="T43" s="32">
        <f t="shared" si="21"/>
        <v>0</v>
      </c>
      <c r="U43" s="32">
        <f t="shared" si="21"/>
        <v>8268484</v>
      </c>
      <c r="V43" s="32">
        <f t="shared" si="21"/>
        <v>0</v>
      </c>
      <c r="W43" s="32">
        <f t="shared" si="21"/>
        <v>0</v>
      </c>
      <c r="X43" s="32">
        <f>SUM(X44:X46)</f>
        <v>33073.94</v>
      </c>
      <c r="Y43" s="140">
        <f t="shared" si="21"/>
        <v>0</v>
      </c>
      <c r="Z43" s="32">
        <f t="shared" si="21"/>
        <v>0</v>
      </c>
      <c r="AA43" s="32">
        <f t="shared" si="21"/>
        <v>0</v>
      </c>
      <c r="AB43" s="32">
        <f t="shared" si="21"/>
        <v>0</v>
      </c>
      <c r="AC43" s="32">
        <f>SUM(AC44:AC46)</f>
        <v>8301557.94</v>
      </c>
      <c r="AD43" s="32">
        <f t="shared" si="21"/>
        <v>0</v>
      </c>
      <c r="AE43" s="32">
        <f t="shared" si="21"/>
        <v>0</v>
      </c>
      <c r="AF43" s="32">
        <f t="shared" si="21"/>
        <v>0</v>
      </c>
      <c r="AG43" s="32">
        <f t="shared" si="21"/>
        <v>0</v>
      </c>
      <c r="AH43" s="32">
        <f t="shared" si="21"/>
        <v>0</v>
      </c>
      <c r="AI43" s="32">
        <f t="shared" si="21"/>
        <v>8268484</v>
      </c>
      <c r="AJ43" s="32">
        <f t="shared" si="21"/>
        <v>0</v>
      </c>
      <c r="AK43" s="32">
        <f>SUM(AK44:AK46)</f>
        <v>33073.94</v>
      </c>
      <c r="AL43" s="32">
        <f t="shared" si="21"/>
        <v>0</v>
      </c>
      <c r="AM43" s="32">
        <f t="shared" si="21"/>
        <v>0</v>
      </c>
      <c r="AN43" s="32">
        <f t="shared" si="21"/>
        <v>0</v>
      </c>
      <c r="AO43" s="32">
        <f t="shared" si="21"/>
        <v>0</v>
      </c>
      <c r="AP43" s="33">
        <f>SUM(AP44:AP46)</f>
        <v>8301557.94</v>
      </c>
      <c r="AQ43" s="24"/>
      <c r="AR43" s="24"/>
      <c r="AS43" s="24"/>
      <c r="AT43" s="24"/>
      <c r="AU43" s="24"/>
      <c r="AV43" s="24"/>
      <c r="AW43" s="24"/>
      <c r="AX43" s="24"/>
    </row>
    <row r="44" spans="1:50" s="12" customFormat="1" ht="15">
      <c r="A44" s="43" t="s">
        <v>125</v>
      </c>
      <c r="B44" s="20" t="s">
        <v>81</v>
      </c>
      <c r="C44" s="21">
        <v>22000000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48">
        <v>0</v>
      </c>
      <c r="M44" s="21">
        <v>0</v>
      </c>
      <c r="N44" s="21">
        <v>0</v>
      </c>
      <c r="O44" s="21">
        <v>0</v>
      </c>
      <c r="P44" s="145">
        <f>SUM(D44:O44)</f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46">
        <v>0</v>
      </c>
      <c r="Y44" s="148">
        <v>0</v>
      </c>
      <c r="Z44" s="22">
        <v>0</v>
      </c>
      <c r="AA44" s="21">
        <v>0</v>
      </c>
      <c r="AB44" s="21">
        <v>0</v>
      </c>
      <c r="AC44" s="22">
        <f>SUM(Q44:AB44)</f>
        <v>0</v>
      </c>
      <c r="AD44" s="21"/>
      <c r="AE44" s="21">
        <v>0</v>
      </c>
      <c r="AF44" s="21"/>
      <c r="AG44" s="21"/>
      <c r="AH44" s="26">
        <v>0</v>
      </c>
      <c r="AI44" s="21">
        <v>0</v>
      </c>
      <c r="AJ44" s="21">
        <v>0</v>
      </c>
      <c r="AK44" s="21">
        <v>0</v>
      </c>
      <c r="AL44" s="21">
        <v>0</v>
      </c>
      <c r="AM44" s="22">
        <v>0</v>
      </c>
      <c r="AN44" s="21">
        <v>0</v>
      </c>
      <c r="AO44" s="21">
        <v>0</v>
      </c>
      <c r="AP44" s="23">
        <f>SUM(AD44:AO44)</f>
        <v>0</v>
      </c>
      <c r="AQ44" s="24"/>
      <c r="AR44" s="24"/>
      <c r="AS44" s="24"/>
      <c r="AT44" s="24"/>
      <c r="AU44" s="24"/>
      <c r="AV44" s="24"/>
      <c r="AW44" s="24"/>
      <c r="AX44" s="24"/>
    </row>
    <row r="45" spans="1:50" s="12" customFormat="1" ht="15" customHeight="1" hidden="1">
      <c r="A45" s="43" t="s">
        <v>91</v>
      </c>
      <c r="B45" s="20" t="s">
        <v>92</v>
      </c>
      <c r="C45" s="46"/>
      <c r="D45" s="46"/>
      <c r="E45" s="46"/>
      <c r="F45" s="46"/>
      <c r="G45" s="46"/>
      <c r="H45" s="46"/>
      <c r="I45" s="46"/>
      <c r="J45" s="46"/>
      <c r="K45" s="46"/>
      <c r="L45" s="146"/>
      <c r="M45" s="46"/>
      <c r="N45" s="46"/>
      <c r="O45" s="46"/>
      <c r="P45" s="145">
        <f>SUM(D45:O45)</f>
        <v>0</v>
      </c>
      <c r="Q45" s="46"/>
      <c r="R45" s="46"/>
      <c r="S45" s="46"/>
      <c r="T45" s="46"/>
      <c r="U45" s="46"/>
      <c r="V45" s="46"/>
      <c r="W45" s="46"/>
      <c r="X45" s="46">
        <v>0</v>
      </c>
      <c r="Y45" s="146"/>
      <c r="Z45" s="249"/>
      <c r="AA45" s="46"/>
      <c r="AB45" s="46"/>
      <c r="AC45" s="22">
        <f>SUM(Q45:AB45)</f>
        <v>0</v>
      </c>
      <c r="AD45" s="46"/>
      <c r="AE45" s="46"/>
      <c r="AF45" s="46"/>
      <c r="AG45" s="46"/>
      <c r="AH45" s="26">
        <v>0</v>
      </c>
      <c r="AI45" s="46"/>
      <c r="AJ45" s="46"/>
      <c r="AK45" s="46"/>
      <c r="AL45" s="46"/>
      <c r="AM45" s="249"/>
      <c r="AN45" s="46"/>
      <c r="AO45" s="46"/>
      <c r="AP45" s="23">
        <f>SUM(AD45:AO45)</f>
        <v>0</v>
      </c>
      <c r="AQ45" s="24"/>
      <c r="AR45" s="24"/>
      <c r="AS45" s="24"/>
      <c r="AT45" s="24"/>
      <c r="AU45" s="24"/>
      <c r="AV45" s="24"/>
      <c r="AW45" s="24"/>
      <c r="AX45" s="24"/>
    </row>
    <row r="46" spans="1:50" s="12" customFormat="1" ht="15.75" thickBot="1">
      <c r="A46" s="43" t="s">
        <v>126</v>
      </c>
      <c r="B46" s="111" t="s">
        <v>106</v>
      </c>
      <c r="C46" s="46">
        <v>69000000</v>
      </c>
      <c r="D46" s="46">
        <v>0</v>
      </c>
      <c r="E46" s="46">
        <v>0</v>
      </c>
      <c r="F46" s="46">
        <v>0</v>
      </c>
      <c r="G46" s="46">
        <v>0</v>
      </c>
      <c r="H46" s="46">
        <v>8268484</v>
      </c>
      <c r="I46" s="46">
        <v>0</v>
      </c>
      <c r="J46" s="46">
        <v>0</v>
      </c>
      <c r="K46" s="46">
        <v>33073.94</v>
      </c>
      <c r="L46" s="146">
        <v>0</v>
      </c>
      <c r="M46" s="46">
        <v>0</v>
      </c>
      <c r="N46" s="46">
        <v>0</v>
      </c>
      <c r="O46" s="46"/>
      <c r="P46" s="141">
        <f>SUM(D46:O46)</f>
        <v>8301557.94</v>
      </c>
      <c r="Q46" s="46">
        <v>0</v>
      </c>
      <c r="R46" s="46">
        <v>0</v>
      </c>
      <c r="S46" s="46">
        <v>0</v>
      </c>
      <c r="T46" s="46">
        <v>0</v>
      </c>
      <c r="U46" s="46">
        <v>8268484</v>
      </c>
      <c r="V46" s="46">
        <v>0</v>
      </c>
      <c r="W46" s="46">
        <v>0</v>
      </c>
      <c r="X46" s="116">
        <v>33073.94</v>
      </c>
      <c r="Y46" s="146">
        <v>0</v>
      </c>
      <c r="Z46" s="262">
        <v>0</v>
      </c>
      <c r="AA46" s="46">
        <v>0</v>
      </c>
      <c r="AB46" s="46"/>
      <c r="AC46" s="22">
        <f>SUM(Q46:AB46)</f>
        <v>8301557.94</v>
      </c>
      <c r="AD46" s="46"/>
      <c r="AE46" s="46">
        <v>0</v>
      </c>
      <c r="AF46" s="46"/>
      <c r="AG46" s="46"/>
      <c r="AH46" s="26">
        <v>0</v>
      </c>
      <c r="AI46" s="46">
        <v>8268484</v>
      </c>
      <c r="AJ46" s="46">
        <v>0</v>
      </c>
      <c r="AK46" s="46">
        <v>33073.94</v>
      </c>
      <c r="AL46" s="46">
        <v>0</v>
      </c>
      <c r="AM46" s="262">
        <v>0</v>
      </c>
      <c r="AN46" s="46">
        <v>0</v>
      </c>
      <c r="AO46" s="46"/>
      <c r="AP46" s="23">
        <f>SUM(AD46:AO46)</f>
        <v>8301557.94</v>
      </c>
      <c r="AQ46" s="24"/>
      <c r="AR46" s="24"/>
      <c r="AS46" s="24"/>
      <c r="AT46" s="24"/>
      <c r="AU46" s="24"/>
      <c r="AV46" s="24"/>
      <c r="AW46" s="24"/>
      <c r="AX46" s="24"/>
    </row>
    <row r="47" spans="1:50" s="28" customFormat="1" ht="15.75" thickBot="1">
      <c r="A47" s="35"/>
      <c r="B47" s="70" t="s">
        <v>59</v>
      </c>
      <c r="C47" s="32">
        <f aca="true" t="shared" si="22" ref="C47:AO47">SUM(C48:C48)</f>
        <v>9500000000</v>
      </c>
      <c r="D47" s="32">
        <f t="shared" si="22"/>
        <v>165605494</v>
      </c>
      <c r="E47" s="32">
        <f t="shared" si="22"/>
        <v>91767477.89</v>
      </c>
      <c r="F47" s="32">
        <f t="shared" si="22"/>
        <v>22796077.45</v>
      </c>
      <c r="G47" s="32">
        <f t="shared" si="22"/>
        <v>166574232.9</v>
      </c>
      <c r="H47" s="32">
        <f t="shared" si="22"/>
        <v>288856635.04</v>
      </c>
      <c r="I47" s="32">
        <f t="shared" si="22"/>
        <v>42578173.7</v>
      </c>
      <c r="J47" s="32">
        <f t="shared" si="22"/>
        <v>437401058.07</v>
      </c>
      <c r="K47" s="32">
        <f>SUM(K48:K48)</f>
        <v>85983504.46</v>
      </c>
      <c r="L47" s="140">
        <f>SUM(L48:L48)</f>
        <v>432098297.79</v>
      </c>
      <c r="M47" s="32">
        <f t="shared" si="22"/>
        <v>385464847.35</v>
      </c>
      <c r="N47" s="32">
        <f t="shared" si="22"/>
        <v>3090989640.35</v>
      </c>
      <c r="O47" s="32">
        <f t="shared" si="22"/>
        <v>0</v>
      </c>
      <c r="P47" s="140">
        <f>SUM(P48:P48)</f>
        <v>5210115439</v>
      </c>
      <c r="Q47" s="32">
        <f t="shared" si="22"/>
        <v>0</v>
      </c>
      <c r="R47" s="32">
        <f t="shared" si="22"/>
        <v>1221012.89</v>
      </c>
      <c r="S47" s="32">
        <f t="shared" si="22"/>
        <v>67261398.45</v>
      </c>
      <c r="T47" s="32">
        <f t="shared" si="22"/>
        <v>108202992.66</v>
      </c>
      <c r="U47" s="32">
        <f t="shared" si="22"/>
        <v>94754331.68</v>
      </c>
      <c r="V47" s="32">
        <f t="shared" si="22"/>
        <v>139812364.3</v>
      </c>
      <c r="W47" s="32">
        <f t="shared" si="22"/>
        <v>126943737.87</v>
      </c>
      <c r="X47" s="32">
        <f>SUM(X48:X48)</f>
        <v>302857235.46</v>
      </c>
      <c r="Y47" s="247">
        <f>SUM(Y48:Y48)</f>
        <v>217372582.99</v>
      </c>
      <c r="Z47" s="222">
        <f t="shared" si="22"/>
        <v>283052177.35</v>
      </c>
      <c r="AA47" s="248">
        <f t="shared" si="22"/>
        <v>825088524.95</v>
      </c>
      <c r="AB47" s="32">
        <f t="shared" si="22"/>
        <v>0</v>
      </c>
      <c r="AC47" s="32">
        <f>SUM(AC48:AC48)</f>
        <v>2166566358.6000004</v>
      </c>
      <c r="AD47" s="32">
        <f t="shared" si="22"/>
        <v>0</v>
      </c>
      <c r="AE47" s="32">
        <f t="shared" si="22"/>
        <v>1221012.89</v>
      </c>
      <c r="AF47" s="32">
        <f t="shared" si="22"/>
        <v>67261398.45</v>
      </c>
      <c r="AG47" s="32">
        <f t="shared" si="22"/>
        <v>108202992.66</v>
      </c>
      <c r="AH47" s="32">
        <f t="shared" si="22"/>
        <v>94754331.68</v>
      </c>
      <c r="AI47" s="32">
        <f t="shared" si="22"/>
        <v>139812364.3</v>
      </c>
      <c r="AJ47" s="32">
        <f t="shared" si="22"/>
        <v>126943737.87</v>
      </c>
      <c r="AK47" s="32">
        <f>SUM(AK48:AK48)</f>
        <v>302857235.46</v>
      </c>
      <c r="AL47" s="220">
        <f>SUM(AL48:AL48)</f>
        <v>212256288.99</v>
      </c>
      <c r="AM47" s="222">
        <f t="shared" si="22"/>
        <v>288168471.35</v>
      </c>
      <c r="AN47" s="248">
        <f t="shared" si="22"/>
        <v>823395983.99</v>
      </c>
      <c r="AO47" s="32">
        <f t="shared" si="22"/>
        <v>0</v>
      </c>
      <c r="AP47" s="33">
        <f>SUM(AP48:AP48)</f>
        <v>2164873817.6400003</v>
      </c>
      <c r="AQ47" s="24"/>
      <c r="AR47" s="24"/>
      <c r="AS47" s="24"/>
      <c r="AT47" s="24"/>
      <c r="AU47" s="24"/>
      <c r="AV47" s="24"/>
      <c r="AW47" s="24"/>
      <c r="AX47" s="24"/>
    </row>
    <row r="48" spans="1:50" s="12" customFormat="1" ht="18" customHeight="1" thickBot="1">
      <c r="A48" s="43" t="s">
        <v>77</v>
      </c>
      <c r="B48" s="25" t="s">
        <v>57</v>
      </c>
      <c r="C48" s="26">
        <v>9500000000</v>
      </c>
      <c r="D48" s="27">
        <v>165605494</v>
      </c>
      <c r="E48" s="26">
        <v>91767477.89</v>
      </c>
      <c r="F48" s="26">
        <v>22796077.45</v>
      </c>
      <c r="G48" s="26">
        <v>166574232.9</v>
      </c>
      <c r="H48" s="27">
        <v>288856635.04</v>
      </c>
      <c r="I48" s="26">
        <v>42578173.7</v>
      </c>
      <c r="J48" s="26">
        <v>437401058.07</v>
      </c>
      <c r="K48" s="119">
        <v>85983504.46</v>
      </c>
      <c r="L48" s="147">
        <v>432098297.79</v>
      </c>
      <c r="M48" s="26">
        <v>385464847.35</v>
      </c>
      <c r="N48" s="26">
        <v>3090989640.35</v>
      </c>
      <c r="O48" s="27">
        <v>0</v>
      </c>
      <c r="P48" s="145">
        <f>SUM(D48:O48)</f>
        <v>5210115439</v>
      </c>
      <c r="Q48" s="27">
        <v>0</v>
      </c>
      <c r="R48" s="26">
        <v>1221012.89</v>
      </c>
      <c r="S48" s="26">
        <v>67261398.45</v>
      </c>
      <c r="T48" s="26">
        <v>108202992.66</v>
      </c>
      <c r="U48" s="26">
        <v>94754331.68</v>
      </c>
      <c r="V48" s="26">
        <v>139812364.3</v>
      </c>
      <c r="W48" s="26">
        <v>126943737.87</v>
      </c>
      <c r="X48" s="26">
        <v>302857235.46</v>
      </c>
      <c r="Y48" s="147">
        <v>217372582.99</v>
      </c>
      <c r="Z48" s="26">
        <v>283052177.35</v>
      </c>
      <c r="AA48" s="26">
        <v>825088524.95</v>
      </c>
      <c r="AB48" s="26">
        <v>0</v>
      </c>
      <c r="AC48" s="26">
        <f>SUM(Q48:AB48)</f>
        <v>2166566358.6000004</v>
      </c>
      <c r="AD48" s="27">
        <v>0</v>
      </c>
      <c r="AE48" s="26">
        <v>1221012.89</v>
      </c>
      <c r="AF48" s="26">
        <v>67261398.45</v>
      </c>
      <c r="AG48" s="26">
        <v>108202992.66</v>
      </c>
      <c r="AH48" s="26">
        <v>94754331.68</v>
      </c>
      <c r="AI48" s="26">
        <v>139812364.3</v>
      </c>
      <c r="AJ48" s="26">
        <v>126943737.87</v>
      </c>
      <c r="AK48" s="26">
        <v>302857235.46</v>
      </c>
      <c r="AL48" s="121">
        <v>212256288.99</v>
      </c>
      <c r="AM48" s="26">
        <v>288168471.35</v>
      </c>
      <c r="AN48" s="26">
        <v>823395983.99</v>
      </c>
      <c r="AO48" s="26">
        <v>0</v>
      </c>
      <c r="AP48" s="23">
        <f>SUM(AD48:AO48)</f>
        <v>2164873817.6400003</v>
      </c>
      <c r="AQ48" s="24"/>
      <c r="AR48" s="24"/>
      <c r="AS48" s="24"/>
      <c r="AT48" s="24"/>
      <c r="AU48" s="24"/>
      <c r="AV48" s="24"/>
      <c r="AW48" s="24"/>
      <c r="AX48" s="24"/>
    </row>
    <row r="49" spans="1:42" s="24" customFormat="1" ht="18" thickBot="1">
      <c r="A49" s="286" t="s">
        <v>50</v>
      </c>
      <c r="B49" s="287"/>
      <c r="C49" s="29">
        <f>SUM(C14+C47)</f>
        <v>11245945140</v>
      </c>
      <c r="D49" s="29">
        <f aca="true" t="shared" si="23" ref="D49:AO49">SUM(D14+D47)</f>
        <v>258300267.37</v>
      </c>
      <c r="E49" s="29">
        <f t="shared" si="23"/>
        <v>198498457.07999998</v>
      </c>
      <c r="F49" s="29">
        <f t="shared" si="23"/>
        <v>446484638.22999996</v>
      </c>
      <c r="G49" s="29">
        <f t="shared" si="23"/>
        <v>377035441.45000005</v>
      </c>
      <c r="H49" s="29">
        <f t="shared" si="23"/>
        <v>614438170.85</v>
      </c>
      <c r="I49" s="29">
        <f t="shared" si="23"/>
        <v>89929993.76</v>
      </c>
      <c r="J49" s="29">
        <f t="shared" si="23"/>
        <v>480755772.33</v>
      </c>
      <c r="K49" s="29">
        <f>SUM(K14+K47)</f>
        <v>152366510.93</v>
      </c>
      <c r="L49" s="29">
        <f>SUM(L14+L47)</f>
        <v>459010011.88</v>
      </c>
      <c r="M49" s="29">
        <f t="shared" si="23"/>
        <v>509295007.81</v>
      </c>
      <c r="N49" s="29">
        <f t="shared" si="23"/>
        <v>3134616153</v>
      </c>
      <c r="O49" s="108">
        <f t="shared" si="23"/>
        <v>0</v>
      </c>
      <c r="P49" s="29">
        <f>SUM(P14+P47)</f>
        <v>6720730424.690001</v>
      </c>
      <c r="Q49" s="108">
        <f t="shared" si="23"/>
        <v>7683713.37</v>
      </c>
      <c r="R49" s="108">
        <f t="shared" si="23"/>
        <v>55397592.8</v>
      </c>
      <c r="S49" s="108">
        <f t="shared" si="23"/>
        <v>130839656.97</v>
      </c>
      <c r="T49" s="108">
        <f t="shared" si="23"/>
        <v>280806981.21</v>
      </c>
      <c r="U49" s="108">
        <f t="shared" si="23"/>
        <v>198928487.04000002</v>
      </c>
      <c r="V49" s="108">
        <f t="shared" si="23"/>
        <v>203391204.36</v>
      </c>
      <c r="W49" s="108">
        <f t="shared" si="23"/>
        <v>277602723.28999996</v>
      </c>
      <c r="X49" s="108">
        <f>SUM(X14+X47)</f>
        <v>368469350.77</v>
      </c>
      <c r="Y49" s="108">
        <f>SUM(Y14+Y47)</f>
        <v>352133052.08000004</v>
      </c>
      <c r="Z49" s="108">
        <f t="shared" si="23"/>
        <v>450340399.87</v>
      </c>
      <c r="AA49" s="108">
        <f t="shared" si="23"/>
        <v>1033541495.6</v>
      </c>
      <c r="AB49" s="108">
        <f t="shared" si="23"/>
        <v>484448</v>
      </c>
      <c r="AC49" s="108">
        <f>SUM(AC14+AC47)</f>
        <v>3379340220.3600006</v>
      </c>
      <c r="AD49" s="108">
        <f t="shared" si="23"/>
        <v>7683713.37</v>
      </c>
      <c r="AE49" s="108">
        <f t="shared" si="23"/>
        <v>54122592.8</v>
      </c>
      <c r="AF49" s="108">
        <f t="shared" si="23"/>
        <v>132021050.97</v>
      </c>
      <c r="AG49" s="108">
        <f t="shared" si="23"/>
        <v>280806981.21</v>
      </c>
      <c r="AH49" s="108">
        <f t="shared" si="23"/>
        <v>168396118.04000002</v>
      </c>
      <c r="AI49" s="108">
        <f t="shared" si="23"/>
        <v>234017179.36</v>
      </c>
      <c r="AJ49" s="108">
        <f t="shared" si="23"/>
        <v>277602723.28999996</v>
      </c>
      <c r="AK49" s="108">
        <f>SUM(AK14+AK47)</f>
        <v>368469350.77</v>
      </c>
      <c r="AL49" s="108">
        <f>SUM(AL14+AL47)</f>
        <v>347016758.08000004</v>
      </c>
      <c r="AM49" s="108">
        <f t="shared" si="23"/>
        <v>455437164.87</v>
      </c>
      <c r="AN49" s="108">
        <f t="shared" si="23"/>
        <v>1031365304.64</v>
      </c>
      <c r="AO49" s="108">
        <f t="shared" si="23"/>
        <v>0</v>
      </c>
      <c r="AP49" s="263">
        <f>SUM(AP14+AP47)</f>
        <v>3376660052.4000006</v>
      </c>
    </row>
    <row r="50" spans="1:50" ht="12.75">
      <c r="A50" s="10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38"/>
      <c r="T50" s="10"/>
      <c r="U50" s="10"/>
      <c r="V50" s="10"/>
      <c r="W50" s="10"/>
      <c r="X50" s="138"/>
      <c r="Y50" s="10"/>
      <c r="Z50" s="10"/>
      <c r="AA50" s="10"/>
      <c r="AB50" s="138"/>
      <c r="AC50" s="10"/>
      <c r="AD50" s="10"/>
      <c r="AE50" s="10"/>
      <c r="AF50" s="138"/>
      <c r="AG50" s="10"/>
      <c r="AH50" s="10"/>
      <c r="AI50" s="10"/>
      <c r="AJ50" s="10"/>
      <c r="AK50" s="10"/>
      <c r="AL50" s="10"/>
      <c r="AM50" s="10"/>
      <c r="AN50" s="10"/>
      <c r="AO50" s="10"/>
      <c r="AP50" s="11"/>
      <c r="AQ50" s="24"/>
      <c r="AR50" s="24"/>
      <c r="AS50" s="24"/>
      <c r="AT50" s="24"/>
      <c r="AU50" s="24"/>
      <c r="AV50" s="24"/>
      <c r="AW50" s="202"/>
      <c r="AX50" s="24"/>
    </row>
    <row r="51" spans="1:50" ht="15" customHeight="1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90"/>
      <c r="AQ51" s="24"/>
      <c r="AR51" s="24"/>
      <c r="AS51" s="24"/>
      <c r="AT51" s="24"/>
      <c r="AU51" s="24"/>
      <c r="AV51" s="24"/>
      <c r="AW51" s="38"/>
      <c r="AX51" s="24"/>
    </row>
    <row r="52" spans="1:84" ht="15" customHeight="1" hidden="1">
      <c r="A52" s="291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90"/>
      <c r="AQ52" s="24"/>
      <c r="AR52" s="24"/>
      <c r="AS52" s="24"/>
      <c r="AT52" s="24"/>
      <c r="AU52" s="24"/>
      <c r="AV52" s="24"/>
      <c r="AW52" s="24"/>
      <c r="AX52" s="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</row>
    <row r="53" spans="1:84" ht="15" customHeight="1" hidden="1">
      <c r="A53" s="291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90"/>
      <c r="AQ53" s="24"/>
      <c r="AR53" s="24"/>
      <c r="AS53" s="24"/>
      <c r="AT53" s="24"/>
      <c r="AU53" s="24"/>
      <c r="AV53" s="24"/>
      <c r="AW53" s="24"/>
      <c r="AX53" s="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</row>
    <row r="54" spans="1:256" ht="15">
      <c r="A54" s="154"/>
      <c r="B54" s="151"/>
      <c r="C54" s="156"/>
      <c r="D54" s="151"/>
      <c r="E54" s="156"/>
      <c r="F54" s="151"/>
      <c r="G54" s="151"/>
      <c r="H54" s="151"/>
      <c r="I54" s="151"/>
      <c r="J54" s="151"/>
      <c r="K54" s="151"/>
      <c r="L54" s="151"/>
      <c r="M54" s="156"/>
      <c r="N54" s="151"/>
      <c r="O54" s="151"/>
      <c r="P54" s="151"/>
      <c r="Q54" s="151"/>
      <c r="R54" s="151"/>
      <c r="S54" s="151"/>
      <c r="T54" s="151"/>
      <c r="U54" s="156"/>
      <c r="V54" s="151"/>
      <c r="W54" s="151"/>
      <c r="X54" s="151"/>
      <c r="Y54" s="151"/>
      <c r="Z54" s="151"/>
      <c r="AA54" s="151"/>
      <c r="AB54" s="156"/>
      <c r="AC54" s="151"/>
      <c r="AD54" s="151"/>
      <c r="AE54" s="151"/>
      <c r="AF54" s="151"/>
      <c r="AG54" s="151"/>
      <c r="AH54" s="151"/>
      <c r="AI54" s="151"/>
      <c r="AJ54" s="151"/>
      <c r="AK54" s="151"/>
      <c r="AL54" s="171"/>
      <c r="AM54" s="151"/>
      <c r="AN54" s="151"/>
      <c r="AO54" s="151"/>
      <c r="AP54" s="152"/>
      <c r="AQ54" s="24"/>
      <c r="AR54" s="24"/>
      <c r="AS54" s="24"/>
      <c r="AT54" s="24"/>
      <c r="AU54" s="24"/>
      <c r="AV54" s="24"/>
      <c r="AW54" s="38"/>
      <c r="AX54" s="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53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3"/>
      <c r="DW54" s="153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3"/>
      <c r="FM54" s="153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3"/>
      <c r="HC54" s="153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  <c r="HY54" s="150"/>
      <c r="HZ54" s="150"/>
      <c r="IA54" s="150"/>
      <c r="IB54" s="150"/>
      <c r="IC54" s="150"/>
      <c r="ID54" s="150"/>
      <c r="IE54" s="150"/>
      <c r="IF54" s="150"/>
      <c r="IG54" s="150"/>
      <c r="IH54" s="150"/>
      <c r="II54" s="150"/>
      <c r="IJ54" s="150"/>
      <c r="IK54" s="150"/>
      <c r="IL54" s="150"/>
      <c r="IM54" s="150"/>
      <c r="IN54" s="150"/>
      <c r="IO54" s="150"/>
      <c r="IP54" s="150"/>
      <c r="IQ54" s="150"/>
      <c r="IR54" s="153"/>
      <c r="IS54" s="153"/>
      <c r="IT54" s="150"/>
      <c r="IU54" s="150"/>
      <c r="IV54" s="150"/>
    </row>
    <row r="55" spans="1:256" ht="15">
      <c r="A55" s="154"/>
      <c r="B55" s="151"/>
      <c r="C55" s="156"/>
      <c r="D55" s="151"/>
      <c r="E55" s="151"/>
      <c r="F55" s="156"/>
      <c r="G55" s="151"/>
      <c r="H55" s="151"/>
      <c r="I55" s="151"/>
      <c r="J55" s="156"/>
      <c r="K55" s="151"/>
      <c r="L55" s="151"/>
      <c r="M55" s="151"/>
      <c r="N55" s="156"/>
      <c r="O55" s="151"/>
      <c r="P55" s="156"/>
      <c r="Q55" s="151"/>
      <c r="R55" s="151"/>
      <c r="S55" s="156"/>
      <c r="T55" s="156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6"/>
      <c r="AG55" s="151"/>
      <c r="AH55" s="151"/>
      <c r="AI55" s="151"/>
      <c r="AJ55" s="151"/>
      <c r="AK55" s="151"/>
      <c r="AL55" s="151"/>
      <c r="AM55" s="151"/>
      <c r="AN55" s="151"/>
      <c r="AO55" s="151"/>
      <c r="AP55" s="200"/>
      <c r="AQ55" s="24"/>
      <c r="AR55" s="24"/>
      <c r="AS55" s="24"/>
      <c r="AT55" s="24"/>
      <c r="AU55" s="24"/>
      <c r="AV55" s="24"/>
      <c r="AX55" s="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53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3"/>
      <c r="DW55" s="153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3"/>
      <c r="FM55" s="153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50"/>
      <c r="GZ55" s="150"/>
      <c r="HA55" s="150"/>
      <c r="HB55" s="153"/>
      <c r="HC55" s="153"/>
      <c r="HD55" s="150"/>
      <c r="HE55" s="150"/>
      <c r="HF55" s="150"/>
      <c r="HG55" s="150"/>
      <c r="HH55" s="150"/>
      <c r="HI55" s="150"/>
      <c r="HJ55" s="150"/>
      <c r="HK55" s="150"/>
      <c r="HL55" s="150"/>
      <c r="HM55" s="150"/>
      <c r="HN55" s="150"/>
      <c r="HO55" s="150"/>
      <c r="HP55" s="150"/>
      <c r="HQ55" s="150"/>
      <c r="HR55" s="150"/>
      <c r="HS55" s="150"/>
      <c r="HT55" s="150"/>
      <c r="HU55" s="150"/>
      <c r="HV55" s="150"/>
      <c r="HW55" s="150"/>
      <c r="HX55" s="150"/>
      <c r="HY55" s="150"/>
      <c r="HZ55" s="150"/>
      <c r="IA55" s="150"/>
      <c r="IB55" s="150"/>
      <c r="IC55" s="150"/>
      <c r="ID55" s="150"/>
      <c r="IE55" s="150"/>
      <c r="IF55" s="150"/>
      <c r="IG55" s="150"/>
      <c r="IH55" s="150"/>
      <c r="II55" s="150"/>
      <c r="IJ55" s="150"/>
      <c r="IK55" s="150"/>
      <c r="IL55" s="150"/>
      <c r="IM55" s="150"/>
      <c r="IN55" s="150"/>
      <c r="IO55" s="150"/>
      <c r="IP55" s="150"/>
      <c r="IQ55" s="150"/>
      <c r="IR55" s="153"/>
      <c r="IS55" s="153"/>
      <c r="IT55" s="150"/>
      <c r="IU55" s="150"/>
      <c r="IV55" s="150"/>
    </row>
    <row r="56" spans="1:84" ht="15" thickBot="1">
      <c r="A56" s="4"/>
      <c r="B56" s="74" t="s">
        <v>83</v>
      </c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49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6"/>
      <c r="AQ56" s="24"/>
      <c r="AR56" s="24"/>
      <c r="AS56" s="24"/>
      <c r="AT56" s="24"/>
      <c r="AU56" s="24"/>
      <c r="AV56" s="24"/>
      <c r="AW56" s="12"/>
      <c r="AX56" s="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</row>
    <row r="57" spans="1:84" ht="15">
      <c r="A57" s="4"/>
      <c r="B57" s="63"/>
      <c r="C57" s="283" t="s">
        <v>109</v>
      </c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5"/>
      <c r="R57" s="5"/>
      <c r="S57" s="5"/>
      <c r="T57" s="5"/>
      <c r="U57" s="36"/>
      <c r="V57" s="5"/>
      <c r="W57" s="5"/>
      <c r="X57" s="5"/>
      <c r="Y57" s="5"/>
      <c r="Z57" s="5"/>
      <c r="AA57" s="5"/>
      <c r="AB57" s="5"/>
      <c r="AC57" s="1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6"/>
      <c r="AQ57" s="124"/>
      <c r="AR57" s="124"/>
      <c r="AS57" s="124"/>
      <c r="AT57" s="124"/>
      <c r="AU57" s="124"/>
      <c r="AV57" s="124"/>
      <c r="AW57" s="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</row>
    <row r="58" spans="1:84" ht="15" thickBo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9"/>
      <c r="AQ58" s="124"/>
      <c r="AR58" s="124"/>
      <c r="AS58" s="124"/>
      <c r="AT58" s="124"/>
      <c r="AU58" s="124"/>
      <c r="AV58" s="124"/>
      <c r="AW58" s="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</row>
    <row r="59" spans="3:84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</row>
    <row r="60" spans="3:84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J60" s="132"/>
      <c r="AK60" s="201"/>
      <c r="AL60" s="132"/>
      <c r="AM60" s="132"/>
      <c r="AN60" s="201"/>
      <c r="AO60" s="132"/>
      <c r="AP60" s="12"/>
      <c r="AQ60" s="124"/>
      <c r="AR60" s="124"/>
      <c r="AS60" s="124"/>
      <c r="AT60" s="124"/>
      <c r="AU60" s="124"/>
      <c r="AV60" s="203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</row>
    <row r="61" spans="1:84" ht="15">
      <c r="A61" s="12"/>
      <c r="B61" s="12"/>
      <c r="C61" s="17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J61" s="132"/>
      <c r="AK61" s="201"/>
      <c r="AL61" s="201"/>
      <c r="AM61" s="201"/>
      <c r="AN61" s="132"/>
      <c r="AO61" s="132"/>
      <c r="AP61" s="12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</row>
    <row r="62" spans="1:4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J62" s="132"/>
      <c r="AK62" s="201"/>
      <c r="AL62" s="132"/>
      <c r="AM62" s="201"/>
      <c r="AN62" s="132"/>
      <c r="AO62" s="132"/>
      <c r="AP62" s="12"/>
      <c r="AS62" s="124"/>
    </row>
    <row r="63" spans="1:45" ht="15">
      <c r="A63" s="12"/>
      <c r="B63" s="12"/>
      <c r="C63" s="17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J63" s="132"/>
      <c r="AK63" s="132"/>
      <c r="AL63" s="201"/>
      <c r="AM63" s="132"/>
      <c r="AN63" s="132"/>
      <c r="AO63" s="132"/>
      <c r="AP63" s="12"/>
      <c r="AQ63" s="40"/>
      <c r="AR63" s="40"/>
      <c r="AS63" s="124"/>
    </row>
    <row r="64" spans="1:42" ht="15">
      <c r="A64" s="12"/>
      <c r="B64" s="12"/>
      <c r="C64" s="17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90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J64" s="201"/>
      <c r="AK64" s="132"/>
      <c r="AL64" s="132"/>
      <c r="AM64" s="132"/>
      <c r="AN64" s="132"/>
      <c r="AO64" s="132"/>
      <c r="AP64" s="12"/>
    </row>
    <row r="65" spans="1:43" ht="15">
      <c r="A65" s="12"/>
      <c r="B65" s="189"/>
      <c r="C65" s="190"/>
      <c r="D65" s="36"/>
      <c r="E65" s="36"/>
      <c r="F65" s="36"/>
      <c r="G65" s="36"/>
      <c r="H65" s="36"/>
      <c r="I65" s="36"/>
      <c r="J65" s="36"/>
      <c r="K65" s="36"/>
      <c r="L65" s="36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J65" s="132"/>
      <c r="AK65" s="201"/>
      <c r="AL65" s="132"/>
      <c r="AM65" s="201"/>
      <c r="AN65" s="132"/>
      <c r="AO65" s="132"/>
      <c r="AP65" s="12"/>
      <c r="AQ65" s="40"/>
    </row>
    <row r="66" spans="1:43" ht="15">
      <c r="A66" s="12"/>
      <c r="B66" s="189"/>
      <c r="C66" s="192"/>
      <c r="D66" s="36"/>
      <c r="E66" s="36"/>
      <c r="F66" s="36"/>
      <c r="G66" s="36"/>
      <c r="H66" s="36"/>
      <c r="I66" s="36"/>
      <c r="J66" s="36"/>
      <c r="K66" s="36"/>
      <c r="L66" s="36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J66" s="132"/>
      <c r="AK66" s="132"/>
      <c r="AL66" s="132"/>
      <c r="AM66" s="132"/>
      <c r="AN66" s="132"/>
      <c r="AO66" s="132"/>
      <c r="AQ66" s="40"/>
    </row>
    <row r="67" spans="1:42" ht="15">
      <c r="A67" s="12"/>
      <c r="B67" s="189"/>
      <c r="C67" s="192"/>
      <c r="D67" s="36"/>
      <c r="E67" s="36"/>
      <c r="F67" s="36"/>
      <c r="G67" s="36"/>
      <c r="H67" s="36"/>
      <c r="I67" s="36"/>
      <c r="J67" s="36"/>
      <c r="K67" s="36"/>
      <c r="L67" s="36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J67" s="132"/>
      <c r="AK67" s="132"/>
      <c r="AL67" s="132"/>
      <c r="AM67" s="132"/>
      <c r="AN67" s="132"/>
      <c r="AO67" s="132"/>
      <c r="AP67" s="12"/>
    </row>
    <row r="68" spans="1:43" ht="15">
      <c r="A68" s="12"/>
      <c r="B68" s="189"/>
      <c r="C68" s="192"/>
      <c r="D68" s="36"/>
      <c r="E68" s="36"/>
      <c r="F68" s="36"/>
      <c r="G68" s="36"/>
      <c r="H68" s="36"/>
      <c r="I68" s="36"/>
      <c r="J68" s="36"/>
      <c r="K68" s="36"/>
      <c r="L68" s="36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J68" s="132"/>
      <c r="AK68" s="132"/>
      <c r="AL68" s="132"/>
      <c r="AM68" s="132"/>
      <c r="AN68" s="132"/>
      <c r="AO68" s="132"/>
      <c r="AQ68" s="40"/>
    </row>
    <row r="69" spans="1:42" ht="15">
      <c r="A69" s="12"/>
      <c r="B69" s="189"/>
      <c r="C69" s="192"/>
      <c r="D69" s="36"/>
      <c r="E69" s="36"/>
      <c r="F69" s="36"/>
      <c r="G69" s="36"/>
      <c r="H69" s="36"/>
      <c r="I69" s="36"/>
      <c r="J69" s="36"/>
      <c r="K69" s="36"/>
      <c r="L69" s="36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204"/>
      <c r="AD69" s="12"/>
      <c r="AE69" s="12"/>
      <c r="AF69" s="12"/>
      <c r="AG69" s="12"/>
      <c r="AH69" s="12"/>
      <c r="AI69" s="12"/>
      <c r="AJ69" s="201"/>
      <c r="AK69" s="201"/>
      <c r="AL69" s="201"/>
      <c r="AM69" s="201"/>
      <c r="AN69" s="132"/>
      <c r="AO69" s="132"/>
      <c r="AP69" s="12"/>
    </row>
    <row r="70" spans="1:41" ht="15">
      <c r="A70" s="12"/>
      <c r="B70" s="189"/>
      <c r="C70" s="192"/>
      <c r="D70" s="36"/>
      <c r="E70" s="36"/>
      <c r="F70" s="36"/>
      <c r="G70" s="36"/>
      <c r="H70" s="36"/>
      <c r="I70" s="36"/>
      <c r="J70" s="36"/>
      <c r="K70" s="36"/>
      <c r="L70" s="36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204"/>
      <c r="AD70" s="12"/>
      <c r="AE70" s="12"/>
      <c r="AF70" s="12"/>
      <c r="AG70" s="12"/>
      <c r="AH70" s="12"/>
      <c r="AI70" s="12"/>
      <c r="AJ70" s="201"/>
      <c r="AK70" s="201"/>
      <c r="AL70" s="201"/>
      <c r="AM70" s="201"/>
      <c r="AN70" s="132"/>
      <c r="AO70" s="132"/>
    </row>
    <row r="71" spans="1:44" ht="15">
      <c r="A71" s="12"/>
      <c r="B71" s="189"/>
      <c r="C71" s="192"/>
      <c r="D71" s="36"/>
      <c r="E71" s="36"/>
      <c r="F71" s="36"/>
      <c r="G71" s="36"/>
      <c r="H71" s="36"/>
      <c r="I71" s="36"/>
      <c r="J71" s="36"/>
      <c r="K71" s="36"/>
      <c r="L71" s="36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204"/>
      <c r="AD71" s="12"/>
      <c r="AE71" s="12"/>
      <c r="AF71" s="12"/>
      <c r="AG71" s="12"/>
      <c r="AH71" s="12"/>
      <c r="AI71" s="12"/>
      <c r="AJ71" s="201"/>
      <c r="AK71" s="201"/>
      <c r="AL71" s="201"/>
      <c r="AM71" s="201"/>
      <c r="AN71" s="132"/>
      <c r="AO71" s="132"/>
      <c r="AR71" s="205"/>
    </row>
    <row r="72" spans="1:44" ht="15">
      <c r="A72" s="12"/>
      <c r="B72" s="189"/>
      <c r="C72" s="192"/>
      <c r="D72" s="36"/>
      <c r="E72" s="36"/>
      <c r="F72" s="36"/>
      <c r="G72" s="36"/>
      <c r="H72" s="36"/>
      <c r="I72" s="36"/>
      <c r="J72" s="36"/>
      <c r="K72" s="36"/>
      <c r="L72" s="3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201"/>
      <c r="AK72" s="201"/>
      <c r="AL72" s="201"/>
      <c r="AM72" s="201"/>
      <c r="AN72" s="132"/>
      <c r="AO72" s="132"/>
      <c r="AP72" s="12"/>
      <c r="AR72" s="205"/>
    </row>
    <row r="73" spans="1:44" ht="15">
      <c r="A73" s="12"/>
      <c r="B73" s="189"/>
      <c r="C73" s="192"/>
      <c r="D73" s="36"/>
      <c r="E73" s="36"/>
      <c r="F73" s="36"/>
      <c r="G73" s="36"/>
      <c r="H73" s="36"/>
      <c r="I73" s="36"/>
      <c r="J73" s="36"/>
      <c r="K73" s="36"/>
      <c r="L73" s="36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201"/>
      <c r="AK73" s="201"/>
      <c r="AL73" s="201"/>
      <c r="AM73" s="201"/>
      <c r="AN73" s="132"/>
      <c r="AO73" s="132"/>
      <c r="AR73" s="205"/>
    </row>
    <row r="74" spans="1:44" ht="15">
      <c r="A74" s="12"/>
      <c r="B74" s="189"/>
      <c r="C74" s="192"/>
      <c r="D74" s="36"/>
      <c r="E74" s="36"/>
      <c r="F74" s="36"/>
      <c r="G74" s="36"/>
      <c r="H74" s="36"/>
      <c r="I74" s="36"/>
      <c r="J74" s="36"/>
      <c r="K74" s="36"/>
      <c r="L74" s="36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201"/>
      <c r="AK74" s="201"/>
      <c r="AL74" s="201"/>
      <c r="AM74" s="201"/>
      <c r="AN74" s="132"/>
      <c r="AO74" s="132"/>
      <c r="AR74" s="205"/>
    </row>
    <row r="75" spans="1:44" ht="15">
      <c r="A75" s="12"/>
      <c r="B75" s="189"/>
      <c r="C75" s="192"/>
      <c r="D75" s="36"/>
      <c r="E75" s="36"/>
      <c r="F75" s="36"/>
      <c r="G75" s="36"/>
      <c r="H75" s="36"/>
      <c r="I75" s="36"/>
      <c r="J75" s="36"/>
      <c r="K75" s="36"/>
      <c r="L75" s="36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201"/>
      <c r="AK75" s="201"/>
      <c r="AL75" s="201"/>
      <c r="AM75" s="201"/>
      <c r="AN75" s="132"/>
      <c r="AO75" s="132"/>
      <c r="AR75" s="205"/>
    </row>
    <row r="76" spans="1:44" ht="15">
      <c r="A76" s="12"/>
      <c r="B76" s="189"/>
      <c r="C76" s="192"/>
      <c r="D76" s="36"/>
      <c r="E76" s="36"/>
      <c r="F76" s="36"/>
      <c r="G76" s="36"/>
      <c r="H76" s="36"/>
      <c r="I76" s="36"/>
      <c r="J76" s="36"/>
      <c r="K76" s="36"/>
      <c r="L76" s="36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201"/>
      <c r="AK76" s="201"/>
      <c r="AL76" s="201"/>
      <c r="AM76" s="201"/>
      <c r="AN76" s="132"/>
      <c r="AO76" s="132"/>
      <c r="AP76" s="12"/>
      <c r="AR76" s="205"/>
    </row>
    <row r="77" spans="1:44" ht="15">
      <c r="A77" s="12"/>
      <c r="B77" s="189"/>
      <c r="C77" s="192"/>
      <c r="D77" s="36"/>
      <c r="E77" s="36"/>
      <c r="F77" s="36"/>
      <c r="G77" s="36"/>
      <c r="H77" s="36"/>
      <c r="I77" s="36"/>
      <c r="J77" s="36"/>
      <c r="K77" s="36"/>
      <c r="L77" s="36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201"/>
      <c r="AK77" s="201"/>
      <c r="AL77" s="201"/>
      <c r="AM77" s="201"/>
      <c r="AN77" s="132"/>
      <c r="AO77" s="132"/>
      <c r="AP77" s="12"/>
      <c r="AR77" s="205"/>
    </row>
    <row r="78" spans="1:44" ht="15">
      <c r="A78" s="12"/>
      <c r="B78" s="189"/>
      <c r="C78" s="192"/>
      <c r="D78" s="36"/>
      <c r="E78" s="36"/>
      <c r="F78" s="36"/>
      <c r="G78" s="36"/>
      <c r="H78" s="36"/>
      <c r="I78" s="36"/>
      <c r="J78" s="36"/>
      <c r="K78" s="36"/>
      <c r="L78" s="36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201"/>
      <c r="AK78" s="201"/>
      <c r="AL78" s="201"/>
      <c r="AM78" s="201"/>
      <c r="AN78" s="132"/>
      <c r="AO78" s="132"/>
      <c r="AR78" s="205"/>
    </row>
    <row r="79" spans="1:44" ht="15">
      <c r="A79" s="12"/>
      <c r="B79" s="191"/>
      <c r="C79" s="192"/>
      <c r="D79" s="36"/>
      <c r="E79" s="36"/>
      <c r="F79" s="36"/>
      <c r="G79" s="36"/>
      <c r="H79" s="36"/>
      <c r="I79" s="36"/>
      <c r="J79" s="36"/>
      <c r="K79" s="36"/>
      <c r="L79" s="36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201"/>
      <c r="AK79" s="201"/>
      <c r="AL79" s="201"/>
      <c r="AM79" s="201"/>
      <c r="AN79" s="132"/>
      <c r="AO79" s="132"/>
      <c r="AR79" s="205"/>
    </row>
    <row r="80" spans="1:44" ht="15">
      <c r="A80" s="158"/>
      <c r="B80" s="189"/>
      <c r="C80" s="192"/>
      <c r="D80" s="193"/>
      <c r="E80" s="193"/>
      <c r="F80" s="193"/>
      <c r="G80" s="194"/>
      <c r="H80" s="194"/>
      <c r="I80" s="194"/>
      <c r="J80" s="194"/>
      <c r="K80" s="194"/>
      <c r="L80" s="194"/>
      <c r="M80" s="155"/>
      <c r="N80" s="155"/>
      <c r="O80" s="155"/>
      <c r="P80" s="15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201"/>
      <c r="AK80" s="201"/>
      <c r="AL80" s="201"/>
      <c r="AM80" s="201"/>
      <c r="AN80" s="132"/>
      <c r="AO80" s="132"/>
      <c r="AR80" s="205"/>
    </row>
    <row r="81" spans="1:44" ht="15">
      <c r="A81" s="158"/>
      <c r="B81" s="191"/>
      <c r="C81" s="192"/>
      <c r="D81" s="193"/>
      <c r="E81" s="193"/>
      <c r="F81" s="193"/>
      <c r="G81" s="194"/>
      <c r="H81" s="194"/>
      <c r="I81" s="194"/>
      <c r="J81" s="194"/>
      <c r="K81" s="194"/>
      <c r="L81" s="194"/>
      <c r="M81" s="155"/>
      <c r="N81" s="155"/>
      <c r="O81" s="155"/>
      <c r="P81" s="15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201"/>
      <c r="AK81" s="201"/>
      <c r="AL81" s="201"/>
      <c r="AM81" s="201"/>
      <c r="AN81" s="132"/>
      <c r="AO81" s="132"/>
      <c r="AR81" s="205"/>
    </row>
    <row r="82" spans="1:44" ht="15">
      <c r="A82" s="158"/>
      <c r="B82" s="189"/>
      <c r="C82" s="171"/>
      <c r="D82" s="193"/>
      <c r="E82" s="193"/>
      <c r="F82" s="193"/>
      <c r="G82" s="194"/>
      <c r="H82" s="194"/>
      <c r="I82" s="194"/>
      <c r="J82" s="194"/>
      <c r="K82" s="194"/>
      <c r="L82" s="194"/>
      <c r="M82" s="155"/>
      <c r="N82" s="155"/>
      <c r="O82" s="155"/>
      <c r="P82" s="15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201"/>
      <c r="AK82" s="201"/>
      <c r="AL82" s="201"/>
      <c r="AM82" s="201"/>
      <c r="AN82" s="132"/>
      <c r="AO82" s="132"/>
      <c r="AR82" s="205"/>
    </row>
    <row r="83" spans="1:44" ht="15">
      <c r="A83" s="158"/>
      <c r="B83" s="195"/>
      <c r="C83" s="196"/>
      <c r="D83" s="193"/>
      <c r="E83" s="193"/>
      <c r="F83" s="193"/>
      <c r="G83" s="194"/>
      <c r="H83" s="194"/>
      <c r="I83" s="194"/>
      <c r="J83" s="194"/>
      <c r="K83" s="194"/>
      <c r="L83" s="194"/>
      <c r="M83" s="155"/>
      <c r="N83" s="155"/>
      <c r="O83" s="155"/>
      <c r="P83" s="155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201"/>
      <c r="AK83" s="201"/>
      <c r="AL83" s="201"/>
      <c r="AM83" s="201"/>
      <c r="AN83" s="132"/>
      <c r="AO83" s="132"/>
      <c r="AR83" s="205"/>
    </row>
    <row r="84" spans="1:41" ht="15">
      <c r="A84" s="158"/>
      <c r="B84" s="189"/>
      <c r="C84" s="171"/>
      <c r="D84" s="193"/>
      <c r="E84" s="193"/>
      <c r="F84" s="193"/>
      <c r="G84" s="194"/>
      <c r="H84" s="194"/>
      <c r="I84" s="194"/>
      <c r="J84" s="194"/>
      <c r="K84" s="194"/>
      <c r="L84" s="194"/>
      <c r="M84" s="155"/>
      <c r="N84" s="155"/>
      <c r="O84" s="155"/>
      <c r="P84" s="155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201"/>
      <c r="AK84" s="201"/>
      <c r="AL84" s="201"/>
      <c r="AM84" s="201"/>
      <c r="AN84" s="132"/>
      <c r="AO84" s="132"/>
    </row>
    <row r="85" spans="1:41" ht="15">
      <c r="A85" s="158"/>
      <c r="B85" s="189"/>
      <c r="C85" s="171"/>
      <c r="D85" s="193"/>
      <c r="E85" s="193"/>
      <c r="F85" s="193"/>
      <c r="G85" s="194"/>
      <c r="H85" s="194"/>
      <c r="I85" s="194"/>
      <c r="J85" s="194"/>
      <c r="K85" s="194"/>
      <c r="L85" s="194"/>
      <c r="M85" s="155"/>
      <c r="N85" s="155"/>
      <c r="O85" s="155"/>
      <c r="P85" s="155"/>
      <c r="AB85" s="197"/>
      <c r="AC85" s="198"/>
      <c r="AJ85" s="132"/>
      <c r="AK85" s="132"/>
      <c r="AL85" s="132"/>
      <c r="AM85" s="132"/>
      <c r="AN85" s="201"/>
      <c r="AO85" s="132"/>
    </row>
    <row r="86" spans="1:41" ht="15">
      <c r="A86" s="158"/>
      <c r="B86" s="189"/>
      <c r="C86" s="171"/>
      <c r="D86" s="193"/>
      <c r="E86" s="193"/>
      <c r="F86" s="193"/>
      <c r="G86" s="194"/>
      <c r="H86" s="194"/>
      <c r="I86" s="194"/>
      <c r="J86" s="194"/>
      <c r="K86" s="194"/>
      <c r="L86" s="194"/>
      <c r="M86" s="155"/>
      <c r="N86" s="155"/>
      <c r="O86" s="155"/>
      <c r="P86" s="155"/>
      <c r="AJ86" s="132"/>
      <c r="AK86" s="132"/>
      <c r="AL86" s="132"/>
      <c r="AM86" s="132"/>
      <c r="AN86" s="132"/>
      <c r="AO86" s="132"/>
    </row>
    <row r="87" spans="1:41" ht="15">
      <c r="A87" s="158"/>
      <c r="B87" s="195"/>
      <c r="C87" s="196"/>
      <c r="D87" s="193"/>
      <c r="E87" s="193"/>
      <c r="F87" s="193"/>
      <c r="G87" s="194"/>
      <c r="H87" s="194"/>
      <c r="I87" s="194"/>
      <c r="J87" s="194"/>
      <c r="K87" s="194"/>
      <c r="L87" s="194"/>
      <c r="M87" s="155"/>
      <c r="N87" s="155"/>
      <c r="O87" s="155"/>
      <c r="P87" s="155"/>
      <c r="AJ87" s="132"/>
      <c r="AK87" s="132"/>
      <c r="AL87" s="132"/>
      <c r="AM87" s="132"/>
      <c r="AN87" s="132"/>
      <c r="AO87" s="132"/>
    </row>
    <row r="88" spans="1:41" ht="15">
      <c r="A88" s="158"/>
      <c r="B88" s="189"/>
      <c r="C88" s="171"/>
      <c r="D88" s="193"/>
      <c r="E88" s="193"/>
      <c r="F88" s="193"/>
      <c r="G88" s="194"/>
      <c r="H88" s="194"/>
      <c r="I88" s="194"/>
      <c r="J88" s="194"/>
      <c r="K88" s="194"/>
      <c r="L88" s="194"/>
      <c r="M88" s="155"/>
      <c r="N88" s="155"/>
      <c r="O88" s="155"/>
      <c r="P88" s="155"/>
      <c r="AJ88" s="132"/>
      <c r="AK88" s="132"/>
      <c r="AL88" s="132"/>
      <c r="AM88" s="132"/>
      <c r="AN88" s="132"/>
      <c r="AO88" s="132"/>
    </row>
    <row r="89" spans="1:41" ht="15">
      <c r="A89" s="158"/>
      <c r="B89" s="193"/>
      <c r="C89" s="193"/>
      <c r="D89" s="193"/>
      <c r="E89" s="193"/>
      <c r="F89" s="193"/>
      <c r="G89" s="194"/>
      <c r="H89" s="194"/>
      <c r="I89" s="194"/>
      <c r="J89" s="194"/>
      <c r="K89" s="194"/>
      <c r="L89" s="194"/>
      <c r="M89" s="155"/>
      <c r="N89" s="155"/>
      <c r="O89" s="155"/>
      <c r="P89" s="155"/>
      <c r="AC89" s="206"/>
      <c r="AJ89" s="132"/>
      <c r="AK89" s="132"/>
      <c r="AL89" s="132"/>
      <c r="AM89" s="132"/>
      <c r="AN89" s="132"/>
      <c r="AO89" s="132"/>
    </row>
    <row r="90" spans="1:41" ht="15">
      <c r="A90" s="158"/>
      <c r="B90" s="193"/>
      <c r="C90" s="193"/>
      <c r="D90" s="193"/>
      <c r="E90" s="193"/>
      <c r="F90" s="193"/>
      <c r="G90" s="194"/>
      <c r="H90" s="194"/>
      <c r="I90" s="194"/>
      <c r="J90" s="194"/>
      <c r="K90" s="194"/>
      <c r="L90" s="194"/>
      <c r="M90" s="155"/>
      <c r="N90" s="155"/>
      <c r="O90" s="155"/>
      <c r="P90" s="155"/>
      <c r="AC90" s="206"/>
      <c r="AJ90" s="132"/>
      <c r="AK90" s="132"/>
      <c r="AL90" s="132"/>
      <c r="AM90" s="132"/>
      <c r="AN90" s="132"/>
      <c r="AO90" s="132"/>
    </row>
    <row r="91" spans="1:41" ht="15">
      <c r="A91" s="158"/>
      <c r="B91" s="158"/>
      <c r="C91" s="158"/>
      <c r="D91" s="158"/>
      <c r="E91" s="158"/>
      <c r="F91" s="158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AC91" s="206"/>
      <c r="AJ91" s="132"/>
      <c r="AK91" s="132"/>
      <c r="AL91" s="132"/>
      <c r="AM91" s="132"/>
      <c r="AN91" s="132"/>
      <c r="AO91" s="132"/>
    </row>
    <row r="92" spans="1:41" ht="15">
      <c r="A92" s="158"/>
      <c r="B92" s="158"/>
      <c r="C92" s="158"/>
      <c r="D92" s="158"/>
      <c r="E92" s="158"/>
      <c r="F92" s="158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AC92" s="206"/>
      <c r="AJ92" s="132"/>
      <c r="AK92" s="132"/>
      <c r="AL92" s="132"/>
      <c r="AM92" s="132"/>
      <c r="AN92" s="132"/>
      <c r="AO92" s="132"/>
    </row>
    <row r="93" spans="1:41" ht="15">
      <c r="A93" s="158"/>
      <c r="B93" s="158"/>
      <c r="C93" s="158"/>
      <c r="D93" s="158"/>
      <c r="E93" s="158"/>
      <c r="F93" s="158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AC93" s="206"/>
      <c r="AJ93" s="132"/>
      <c r="AK93" s="132"/>
      <c r="AL93" s="132"/>
      <c r="AM93" s="132"/>
      <c r="AN93" s="132"/>
      <c r="AO93" s="132"/>
    </row>
    <row r="94" spans="1:41" ht="15">
      <c r="A94" s="158"/>
      <c r="B94" s="158"/>
      <c r="C94" s="158"/>
      <c r="D94" s="158"/>
      <c r="E94" s="158"/>
      <c r="F94" s="158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AC94" s="206"/>
      <c r="AJ94" s="132"/>
      <c r="AK94" s="132"/>
      <c r="AL94" s="132"/>
      <c r="AM94" s="132"/>
      <c r="AN94" s="132"/>
      <c r="AO94" s="132"/>
    </row>
    <row r="95" spans="1:41" ht="15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AC95" s="206"/>
      <c r="AJ95" s="132"/>
      <c r="AK95" s="132"/>
      <c r="AL95" s="132"/>
      <c r="AM95" s="132"/>
      <c r="AN95" s="132"/>
      <c r="AO95" s="132"/>
    </row>
    <row r="96" spans="1:41" ht="1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AC96" s="206"/>
      <c r="AJ96" s="132"/>
      <c r="AK96" s="132"/>
      <c r="AL96" s="132"/>
      <c r="AM96" s="132"/>
      <c r="AN96" s="132"/>
      <c r="AO96" s="132"/>
    </row>
    <row r="97" spans="1:29" ht="15">
      <c r="A97" s="155"/>
      <c r="B97" s="15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5">
      <c r="A98" s="155"/>
      <c r="B98" s="15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5">
      <c r="A99" s="155"/>
      <c r="B99" s="15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5">
      <c r="A100" s="155"/>
      <c r="B100" s="155"/>
      <c r="C100" s="17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5">
      <c r="A101" s="155"/>
      <c r="B101" s="155"/>
      <c r="C101" s="17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6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5">
      <c r="A102" s="155"/>
      <c r="B102" s="155"/>
      <c r="C102" s="190"/>
      <c r="D102" s="36"/>
      <c r="E102" s="36"/>
      <c r="F102" s="36"/>
      <c r="G102" s="36"/>
      <c r="H102" s="36"/>
      <c r="I102" s="36"/>
      <c r="J102" s="36"/>
      <c r="K102" s="36"/>
      <c r="L102" s="3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5">
      <c r="A103" s="155"/>
      <c r="B103" s="155"/>
      <c r="C103" s="192"/>
      <c r="D103" s="36"/>
      <c r="E103" s="36"/>
      <c r="F103" s="36"/>
      <c r="G103" s="36"/>
      <c r="H103" s="36"/>
      <c r="I103" s="36"/>
      <c r="J103" s="36"/>
      <c r="K103" s="36"/>
      <c r="L103" s="36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5">
      <c r="A104" s="155"/>
      <c r="B104" s="155"/>
      <c r="C104" s="192"/>
      <c r="D104" s="36"/>
      <c r="E104" s="36"/>
      <c r="F104" s="36"/>
      <c r="G104" s="36"/>
      <c r="H104" s="36"/>
      <c r="I104" s="36"/>
      <c r="J104" s="36"/>
      <c r="K104" s="36"/>
      <c r="L104" s="36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5">
      <c r="A105" s="155"/>
      <c r="B105" s="155"/>
      <c r="C105" s="192"/>
      <c r="D105" s="36"/>
      <c r="E105" s="36"/>
      <c r="F105" s="36"/>
      <c r="G105" s="36"/>
      <c r="H105" s="36"/>
      <c r="I105" s="36"/>
      <c r="J105" s="36"/>
      <c r="K105" s="36"/>
      <c r="L105" s="3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31" ht="15">
      <c r="A106" s="155"/>
      <c r="B106" s="155"/>
      <c r="C106" s="192"/>
      <c r="D106" s="36"/>
      <c r="E106" s="36"/>
      <c r="F106" s="36"/>
      <c r="G106" s="36"/>
      <c r="H106" s="36"/>
      <c r="I106" s="36"/>
      <c r="J106" s="36"/>
      <c r="K106" s="36"/>
      <c r="L106" s="36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204"/>
      <c r="AD106" s="12"/>
      <c r="AE106" s="12"/>
    </row>
    <row r="107" spans="1:31" ht="15">
      <c r="A107" s="155"/>
      <c r="B107" s="155"/>
      <c r="C107" s="192"/>
      <c r="D107" s="36"/>
      <c r="E107" s="36"/>
      <c r="F107" s="36"/>
      <c r="G107" s="36"/>
      <c r="H107" s="36"/>
      <c r="I107" s="36"/>
      <c r="J107" s="36"/>
      <c r="K107" s="36"/>
      <c r="L107" s="36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204"/>
      <c r="AD107" s="12"/>
      <c r="AE107" s="12"/>
    </row>
    <row r="108" spans="3:31" ht="15">
      <c r="C108" s="192"/>
      <c r="D108" s="36"/>
      <c r="E108" s="36"/>
      <c r="F108" s="36"/>
      <c r="G108" s="36"/>
      <c r="H108" s="36"/>
      <c r="I108" s="36"/>
      <c r="J108" s="36"/>
      <c r="K108" s="36"/>
      <c r="L108" s="36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204"/>
      <c r="AD108" s="12"/>
      <c r="AE108" s="12"/>
    </row>
    <row r="109" spans="3:31" ht="15">
      <c r="C109" s="192"/>
      <c r="D109" s="36"/>
      <c r="E109" s="36"/>
      <c r="F109" s="36"/>
      <c r="G109" s="36"/>
      <c r="H109" s="36"/>
      <c r="I109" s="36"/>
      <c r="J109" s="36"/>
      <c r="K109" s="36"/>
      <c r="L109" s="36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3:31" ht="15">
      <c r="C110" s="192"/>
      <c r="D110" s="36"/>
      <c r="E110" s="36"/>
      <c r="F110" s="36"/>
      <c r="G110" s="36"/>
      <c r="H110" s="36"/>
      <c r="I110" s="36"/>
      <c r="J110" s="36"/>
      <c r="K110" s="36"/>
      <c r="L110" s="36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3:31" ht="15">
      <c r="C111" s="192"/>
      <c r="D111" s="36"/>
      <c r="E111" s="36"/>
      <c r="F111" s="36"/>
      <c r="G111" s="36"/>
      <c r="H111" s="36"/>
      <c r="I111" s="36"/>
      <c r="J111" s="36"/>
      <c r="K111" s="36"/>
      <c r="L111" s="36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3:31" ht="15">
      <c r="C112" s="192"/>
      <c r="D112" s="36"/>
      <c r="E112" s="36"/>
      <c r="F112" s="36"/>
      <c r="G112" s="36"/>
      <c r="H112" s="36"/>
      <c r="I112" s="36"/>
      <c r="J112" s="36"/>
      <c r="K112" s="36"/>
      <c r="L112" s="36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3:31" ht="15">
      <c r="C113" s="192"/>
      <c r="D113" s="36"/>
      <c r="E113" s="36"/>
      <c r="F113" s="36"/>
      <c r="G113" s="36"/>
      <c r="H113" s="36"/>
      <c r="I113" s="36"/>
      <c r="J113" s="36"/>
      <c r="K113" s="36"/>
      <c r="L113" s="36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3:41" ht="15">
      <c r="C114" s="192"/>
      <c r="D114" s="36"/>
      <c r="E114" s="36"/>
      <c r="F114" s="36"/>
      <c r="G114" s="36"/>
      <c r="H114" s="36"/>
      <c r="I114" s="36"/>
      <c r="J114" s="36"/>
      <c r="K114" s="36"/>
      <c r="L114" s="36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O114" s="206"/>
    </row>
    <row r="115" spans="3:31" ht="15">
      <c r="C115" s="192"/>
      <c r="D115" s="36"/>
      <c r="E115" s="36"/>
      <c r="F115" s="36"/>
      <c r="G115" s="36"/>
      <c r="H115" s="36"/>
      <c r="I115" s="36"/>
      <c r="J115" s="36"/>
      <c r="K115" s="36"/>
      <c r="L115" s="36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3:31" ht="15">
      <c r="C116" s="192"/>
      <c r="D116" s="36"/>
      <c r="E116" s="36"/>
      <c r="F116" s="36"/>
      <c r="G116" s="36"/>
      <c r="H116" s="36"/>
      <c r="I116" s="36"/>
      <c r="J116" s="36"/>
      <c r="K116" s="36"/>
      <c r="L116" s="36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3:31" ht="15">
      <c r="C117" s="192"/>
      <c r="D117" s="193"/>
      <c r="E117" s="193"/>
      <c r="F117" s="193"/>
      <c r="G117" s="194"/>
      <c r="H117" s="194"/>
      <c r="I117" s="194"/>
      <c r="J117" s="194"/>
      <c r="K117" s="194"/>
      <c r="L117" s="194"/>
      <c r="M117" s="155"/>
      <c r="N117" s="155"/>
      <c r="O117" s="155"/>
      <c r="P117" s="155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3:31" ht="15">
      <c r="C118" s="192"/>
      <c r="D118" s="193"/>
      <c r="E118" s="193"/>
      <c r="F118" s="193"/>
      <c r="G118" s="194"/>
      <c r="H118" s="194"/>
      <c r="I118" s="194"/>
      <c r="J118" s="194"/>
      <c r="K118" s="194"/>
      <c r="L118" s="194"/>
      <c r="M118" s="155"/>
      <c r="N118" s="155"/>
      <c r="O118" s="155"/>
      <c r="P118" s="155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3:31" ht="15">
      <c r="C119" s="171"/>
      <c r="D119" s="193"/>
      <c r="E119" s="193"/>
      <c r="F119" s="193"/>
      <c r="G119" s="194"/>
      <c r="H119" s="194"/>
      <c r="I119" s="194"/>
      <c r="J119" s="194"/>
      <c r="K119" s="194"/>
      <c r="L119" s="194"/>
      <c r="M119" s="155"/>
      <c r="N119" s="155"/>
      <c r="O119" s="155"/>
      <c r="P119" s="155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3:31" ht="15">
      <c r="C120" s="196"/>
      <c r="D120" s="193"/>
      <c r="E120" s="193"/>
      <c r="F120" s="193"/>
      <c r="G120" s="194"/>
      <c r="H120" s="194"/>
      <c r="I120" s="194"/>
      <c r="J120" s="194"/>
      <c r="K120" s="194"/>
      <c r="L120" s="194"/>
      <c r="M120" s="155"/>
      <c r="N120" s="155"/>
      <c r="O120" s="155"/>
      <c r="P120" s="155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3:31" ht="15">
      <c r="C121" s="171"/>
      <c r="D121" s="193"/>
      <c r="E121" s="193"/>
      <c r="F121" s="193"/>
      <c r="G121" s="194"/>
      <c r="H121" s="194"/>
      <c r="I121" s="194"/>
      <c r="J121" s="194"/>
      <c r="K121" s="194"/>
      <c r="L121" s="194"/>
      <c r="M121" s="155"/>
      <c r="N121" s="155"/>
      <c r="O121" s="155"/>
      <c r="P121" s="155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3:29" ht="15">
      <c r="C122" s="171"/>
      <c r="D122" s="193"/>
      <c r="E122" s="193"/>
      <c r="F122" s="193"/>
      <c r="G122" s="194"/>
      <c r="H122" s="194"/>
      <c r="I122" s="194"/>
      <c r="J122" s="194"/>
      <c r="K122" s="194"/>
      <c r="L122" s="194"/>
      <c r="M122" s="155"/>
      <c r="N122" s="155"/>
      <c r="O122" s="155"/>
      <c r="P122" s="155"/>
      <c r="AB122" s="197"/>
      <c r="AC122" s="198"/>
    </row>
    <row r="123" spans="3:16" ht="15">
      <c r="C123" s="171"/>
      <c r="D123" s="193"/>
      <c r="E123" s="193"/>
      <c r="F123" s="193"/>
      <c r="G123" s="194"/>
      <c r="H123" s="194"/>
      <c r="I123" s="194"/>
      <c r="J123" s="194"/>
      <c r="K123" s="194"/>
      <c r="L123" s="194"/>
      <c r="M123" s="155"/>
      <c r="N123" s="155"/>
      <c r="O123" s="155"/>
      <c r="P123" s="155"/>
    </row>
    <row r="124" spans="3:16" ht="15">
      <c r="C124" s="196"/>
      <c r="D124" s="193"/>
      <c r="E124" s="193"/>
      <c r="F124" s="193"/>
      <c r="G124" s="194"/>
      <c r="H124" s="194"/>
      <c r="I124" s="194"/>
      <c r="J124" s="194"/>
      <c r="K124" s="194"/>
      <c r="L124" s="194"/>
      <c r="M124" s="155"/>
      <c r="N124" s="155"/>
      <c r="O124" s="155"/>
      <c r="P124" s="155"/>
    </row>
    <row r="125" spans="3:16" ht="15">
      <c r="C125" s="171"/>
      <c r="D125" s="193"/>
      <c r="E125" s="193"/>
      <c r="F125" s="193"/>
      <c r="G125" s="194"/>
      <c r="H125" s="194"/>
      <c r="I125" s="194"/>
      <c r="J125" s="194"/>
      <c r="K125" s="194"/>
      <c r="L125" s="194"/>
      <c r="M125" s="155"/>
      <c r="N125" s="155"/>
      <c r="O125" s="155"/>
      <c r="P125" s="155"/>
    </row>
    <row r="126" spans="3:29" ht="15">
      <c r="C126" s="193"/>
      <c r="D126" s="193"/>
      <c r="E126" s="193"/>
      <c r="F126" s="193"/>
      <c r="G126" s="194"/>
      <c r="H126" s="194"/>
      <c r="I126" s="194"/>
      <c r="J126" s="194"/>
      <c r="K126" s="194"/>
      <c r="L126" s="194"/>
      <c r="M126" s="155"/>
      <c r="N126" s="155"/>
      <c r="O126" s="155"/>
      <c r="P126" s="155"/>
      <c r="AC126" s="206"/>
    </row>
    <row r="127" spans="3:29" ht="15">
      <c r="C127" s="193"/>
      <c r="D127" s="193"/>
      <c r="E127" s="193"/>
      <c r="F127" s="193"/>
      <c r="G127" s="194"/>
      <c r="H127" s="194"/>
      <c r="I127" s="194"/>
      <c r="J127" s="194"/>
      <c r="K127" s="194"/>
      <c r="L127" s="194"/>
      <c r="M127" s="155"/>
      <c r="N127" s="155"/>
      <c r="O127" s="155"/>
      <c r="P127" s="155"/>
      <c r="AC127" s="206"/>
    </row>
    <row r="128" spans="3:29" ht="15">
      <c r="C128" s="158"/>
      <c r="D128" s="158"/>
      <c r="E128" s="158"/>
      <c r="F128" s="158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AC128" s="206"/>
    </row>
    <row r="129" spans="3:29" ht="15">
      <c r="C129" s="158"/>
      <c r="D129" s="158"/>
      <c r="E129" s="158"/>
      <c r="F129" s="158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AC129" s="206"/>
    </row>
    <row r="130" spans="3:29" ht="15">
      <c r="C130" s="158"/>
      <c r="D130" s="158"/>
      <c r="E130" s="158"/>
      <c r="F130" s="158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AC130" s="206"/>
    </row>
    <row r="131" spans="3:29" ht="15">
      <c r="C131" s="158"/>
      <c r="D131" s="158"/>
      <c r="E131" s="158"/>
      <c r="F131" s="158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AC131" s="206"/>
    </row>
    <row r="132" spans="3:29" ht="15"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AC132" s="206"/>
    </row>
    <row r="133" spans="3:29" ht="15"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AC133" s="206"/>
    </row>
    <row r="134" spans="3:29" ht="1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3:29" ht="1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3:29" ht="1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3:29" ht="15">
      <c r="C137" s="17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3:29" ht="15">
      <c r="C138" s="17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6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3:29" ht="15">
      <c r="C139" s="190"/>
      <c r="D139" s="36"/>
      <c r="E139" s="36"/>
      <c r="F139" s="36"/>
      <c r="G139" s="36"/>
      <c r="H139" s="36"/>
      <c r="I139" s="36"/>
      <c r="J139" s="36"/>
      <c r="K139" s="36"/>
      <c r="L139" s="36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3:29" ht="15">
      <c r="C140" s="192"/>
      <c r="D140" s="36"/>
      <c r="E140" s="36"/>
      <c r="F140" s="36"/>
      <c r="G140" s="36"/>
      <c r="H140" s="36"/>
      <c r="I140" s="36"/>
      <c r="J140" s="36"/>
      <c r="K140" s="36"/>
      <c r="L140" s="36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3:29" ht="15">
      <c r="C141" s="192"/>
      <c r="D141" s="36"/>
      <c r="E141" s="36"/>
      <c r="F141" s="36"/>
      <c r="G141" s="36"/>
      <c r="H141" s="36"/>
      <c r="I141" s="36"/>
      <c r="J141" s="36"/>
      <c r="K141" s="36"/>
      <c r="L141" s="36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3:29" ht="15">
      <c r="C142" s="192"/>
      <c r="D142" s="36"/>
      <c r="E142" s="36"/>
      <c r="F142" s="36"/>
      <c r="G142" s="36"/>
      <c r="H142" s="36"/>
      <c r="I142" s="36"/>
      <c r="J142" s="36"/>
      <c r="K142" s="36"/>
      <c r="L142" s="36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3:31" ht="15">
      <c r="C143" s="192"/>
      <c r="D143" s="36"/>
      <c r="E143" s="36"/>
      <c r="F143" s="36"/>
      <c r="G143" s="36"/>
      <c r="H143" s="36"/>
      <c r="I143" s="36"/>
      <c r="J143" s="36"/>
      <c r="K143" s="36"/>
      <c r="L143" s="36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204"/>
      <c r="AD143" s="12"/>
      <c r="AE143" s="12"/>
    </row>
    <row r="144" spans="3:31" ht="15">
      <c r="C144" s="192"/>
      <c r="D144" s="36"/>
      <c r="E144" s="36"/>
      <c r="F144" s="36"/>
      <c r="G144" s="36"/>
      <c r="H144" s="36"/>
      <c r="I144" s="36"/>
      <c r="J144" s="36"/>
      <c r="K144" s="36"/>
      <c r="L144" s="36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204"/>
      <c r="AD144" s="12"/>
      <c r="AE144" s="12"/>
    </row>
    <row r="145" spans="3:31" ht="15">
      <c r="C145" s="192"/>
      <c r="D145" s="36"/>
      <c r="E145" s="36"/>
      <c r="F145" s="36"/>
      <c r="G145" s="36"/>
      <c r="H145" s="36"/>
      <c r="I145" s="36"/>
      <c r="J145" s="36"/>
      <c r="K145" s="36"/>
      <c r="L145" s="36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204"/>
      <c r="AD145" s="12"/>
      <c r="AE145" s="12"/>
    </row>
    <row r="146" spans="3:31" ht="15">
      <c r="C146" s="192"/>
      <c r="D146" s="36"/>
      <c r="E146" s="36"/>
      <c r="F146" s="36"/>
      <c r="G146" s="36"/>
      <c r="H146" s="36"/>
      <c r="I146" s="36"/>
      <c r="J146" s="36"/>
      <c r="K146" s="36"/>
      <c r="L146" s="36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3:31" ht="15">
      <c r="C147" s="192"/>
      <c r="D147" s="36"/>
      <c r="E147" s="36"/>
      <c r="F147" s="36"/>
      <c r="G147" s="36"/>
      <c r="H147" s="36"/>
      <c r="I147" s="36"/>
      <c r="J147" s="36"/>
      <c r="K147" s="36"/>
      <c r="L147" s="36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3:31" ht="15">
      <c r="C148" s="192"/>
      <c r="D148" s="36"/>
      <c r="E148" s="36"/>
      <c r="F148" s="36"/>
      <c r="G148" s="36"/>
      <c r="H148" s="36"/>
      <c r="I148" s="36"/>
      <c r="J148" s="36"/>
      <c r="K148" s="36"/>
      <c r="L148" s="36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3:31" ht="15">
      <c r="C149" s="192"/>
      <c r="D149" s="36"/>
      <c r="E149" s="36"/>
      <c r="F149" s="36"/>
      <c r="G149" s="36"/>
      <c r="H149" s="36"/>
      <c r="I149" s="36"/>
      <c r="J149" s="36"/>
      <c r="K149" s="36"/>
      <c r="L149" s="36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3:31" ht="15">
      <c r="C150" s="192"/>
      <c r="D150" s="36"/>
      <c r="E150" s="36"/>
      <c r="F150" s="36"/>
      <c r="G150" s="36"/>
      <c r="H150" s="36"/>
      <c r="I150" s="36"/>
      <c r="J150" s="36"/>
      <c r="K150" s="36"/>
      <c r="L150" s="36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3:31" ht="15">
      <c r="C151" s="192"/>
      <c r="D151" s="36"/>
      <c r="E151" s="36"/>
      <c r="F151" s="36"/>
      <c r="G151" s="36"/>
      <c r="H151" s="36"/>
      <c r="I151" s="36"/>
      <c r="J151" s="36"/>
      <c r="K151" s="36"/>
      <c r="L151" s="36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3:31" ht="15">
      <c r="C152" s="192"/>
      <c r="D152" s="36"/>
      <c r="E152" s="36"/>
      <c r="F152" s="36"/>
      <c r="G152" s="36"/>
      <c r="H152" s="36"/>
      <c r="I152" s="36"/>
      <c r="J152" s="36"/>
      <c r="K152" s="36"/>
      <c r="L152" s="36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3:31" ht="15">
      <c r="C153" s="192"/>
      <c r="D153" s="36"/>
      <c r="E153" s="36"/>
      <c r="F153" s="36"/>
      <c r="G153" s="36"/>
      <c r="H153" s="36"/>
      <c r="I153" s="36"/>
      <c r="J153" s="36"/>
      <c r="K153" s="36"/>
      <c r="L153" s="36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3:41" ht="15">
      <c r="C154" s="192"/>
      <c r="D154" s="193"/>
      <c r="E154" s="193"/>
      <c r="F154" s="193"/>
      <c r="G154" s="194"/>
      <c r="H154" s="194"/>
      <c r="I154" s="194"/>
      <c r="J154" s="194"/>
      <c r="K154" s="194"/>
      <c r="L154" s="194"/>
      <c r="M154" s="155"/>
      <c r="N154" s="155"/>
      <c r="O154" s="155"/>
      <c r="P154" s="155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O154" s="206">
        <f>AC154-AC152</f>
        <v>0</v>
      </c>
    </row>
    <row r="155" spans="3:31" ht="15">
      <c r="C155" s="192"/>
      <c r="D155" s="193"/>
      <c r="E155" s="193"/>
      <c r="F155" s="193"/>
      <c r="G155" s="194"/>
      <c r="H155" s="194"/>
      <c r="I155" s="194"/>
      <c r="J155" s="194"/>
      <c r="K155" s="194"/>
      <c r="L155" s="194"/>
      <c r="M155" s="155"/>
      <c r="N155" s="155"/>
      <c r="O155" s="155"/>
      <c r="P155" s="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3:31" ht="15">
      <c r="C156" s="171"/>
      <c r="D156" s="193"/>
      <c r="E156" s="193"/>
      <c r="F156" s="193"/>
      <c r="G156" s="194"/>
      <c r="H156" s="194"/>
      <c r="I156" s="194"/>
      <c r="J156" s="194"/>
      <c r="K156" s="194"/>
      <c r="L156" s="194"/>
      <c r="M156" s="155"/>
      <c r="N156" s="155"/>
      <c r="O156" s="155"/>
      <c r="P156" s="155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</sheetData>
  <sheetProtection/>
  <mergeCells count="10">
    <mergeCell ref="A1:AP1"/>
    <mergeCell ref="A2:AP2"/>
    <mergeCell ref="A3:AP3"/>
    <mergeCell ref="A4:AP4"/>
    <mergeCell ref="C57:P57"/>
    <mergeCell ref="A5:AP5"/>
    <mergeCell ref="A7:B7"/>
    <mergeCell ref="A8:B8"/>
    <mergeCell ref="A49:B49"/>
    <mergeCell ref="A51:AP53"/>
  </mergeCells>
  <printOptions horizontalCentered="1" verticalCentered="1"/>
  <pageMargins left="1.1811023622047245" right="0.15748031496062992" top="0.1968503937007874" bottom="0.1968503937007874" header="0" footer="0.1968503937007874"/>
  <pageSetup horizontalDpi="600" verticalDpi="600" orientation="landscape" paperSize="5" scale="65" r:id="rId1"/>
  <headerFooter alignWithMargins="0">
    <oddHeader>&amp;CPágina &amp;P&amp;RHACIENDA2011.xls</oddHeader>
    <oddFooter>&amp;C
</oddFooter>
  </headerFooter>
  <ignoredErrors>
    <ignoredError sqref="C20 M20 Z20 AM20" unlockedFormula="1"/>
    <ignoredError sqref="AC20 AP20 P20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5"/>
  <sheetViews>
    <sheetView zoomScale="75" zoomScaleNormal="75" zoomScalePageLayoutView="0" workbookViewId="0" topLeftCell="C1">
      <selection activeCell="S10" sqref="S10"/>
    </sheetView>
  </sheetViews>
  <sheetFormatPr defaultColWidth="11.421875" defaultRowHeight="12.75"/>
  <cols>
    <col min="1" max="1" width="16.7109375" style="1" customWidth="1"/>
    <col min="2" max="2" width="78.8515625" style="1" customWidth="1"/>
    <col min="3" max="3" width="26.8515625" style="1" customWidth="1"/>
    <col min="4" max="4" width="27.00390625" style="1" hidden="1" customWidth="1"/>
    <col min="5" max="5" width="21.421875" style="1" hidden="1" customWidth="1"/>
    <col min="6" max="6" width="20.28125" style="1" hidden="1" customWidth="1"/>
    <col min="7" max="13" width="22.7109375" style="1" hidden="1" customWidth="1"/>
    <col min="14" max="14" width="24.421875" style="1" customWidth="1"/>
    <col min="15" max="15" width="31.8515625" style="1" hidden="1" customWidth="1"/>
    <col min="16" max="16" width="33.7109375" style="1" customWidth="1"/>
    <col min="17" max="17" width="14.28125" style="1" customWidth="1"/>
    <col min="18" max="18" width="18.57421875" style="1" customWidth="1"/>
    <col min="19" max="19" width="17.140625" style="1" customWidth="1"/>
    <col min="20" max="20" width="11.8515625" style="1" bestFit="1" customWidth="1"/>
    <col min="21" max="21" width="13.421875" style="1" bestFit="1" customWidth="1"/>
    <col min="22" max="16384" width="11.421875" style="1" customWidth="1"/>
  </cols>
  <sheetData>
    <row r="1" spans="1:16" ht="17.2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16" ht="15">
      <c r="A2" s="274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</row>
    <row r="3" spans="1:16" ht="17.25">
      <c r="A3" s="277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</row>
    <row r="4" spans="1:16" ht="15">
      <c r="A4" s="274" t="s">
        <v>267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</row>
    <row r="5" spans="1:16" ht="21">
      <c r="A5" s="280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 ht="15">
      <c r="A6" s="284" t="s">
        <v>4</v>
      </c>
      <c r="B6" s="285"/>
      <c r="C6" s="65" t="s">
        <v>48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71" t="s">
        <v>273</v>
      </c>
    </row>
    <row r="7" spans="1:16" ht="15">
      <c r="A7" s="284" t="s">
        <v>5</v>
      </c>
      <c r="B7" s="285"/>
      <c r="C7" s="64" t="s">
        <v>55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7">
        <v>2013</v>
      </c>
    </row>
    <row r="8" spans="1:16" ht="13.5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ht="12.75">
      <c r="A9" s="97"/>
      <c r="B9" s="98"/>
      <c r="C9" s="98" t="s">
        <v>87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2.75">
      <c r="A10" s="99" t="s">
        <v>40</v>
      </c>
      <c r="B10" s="99" t="s">
        <v>42</v>
      </c>
      <c r="C10" s="99" t="s">
        <v>54</v>
      </c>
      <c r="D10" s="99" t="s">
        <v>46</v>
      </c>
      <c r="E10" s="99" t="s">
        <v>46</v>
      </c>
      <c r="F10" s="99" t="s">
        <v>46</v>
      </c>
      <c r="G10" s="99" t="s">
        <v>46</v>
      </c>
      <c r="H10" s="99" t="s">
        <v>46</v>
      </c>
      <c r="I10" s="99" t="s">
        <v>46</v>
      </c>
      <c r="J10" s="99" t="s">
        <v>46</v>
      </c>
      <c r="K10" s="99" t="s">
        <v>46</v>
      </c>
      <c r="L10" s="99" t="s">
        <v>46</v>
      </c>
      <c r="M10" s="99" t="s">
        <v>46</v>
      </c>
      <c r="N10" s="99" t="s">
        <v>46</v>
      </c>
      <c r="O10" s="99" t="s">
        <v>46</v>
      </c>
      <c r="P10" s="99" t="s">
        <v>46</v>
      </c>
    </row>
    <row r="11" spans="1:18" ht="13.5" thickBot="1">
      <c r="A11" s="100" t="s">
        <v>41</v>
      </c>
      <c r="B11" s="100"/>
      <c r="C11" s="100" t="s">
        <v>86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28</v>
      </c>
      <c r="I11" s="100" t="s">
        <v>29</v>
      </c>
      <c r="J11" s="100" t="s">
        <v>30</v>
      </c>
      <c r="K11" s="100" t="s">
        <v>20</v>
      </c>
      <c r="L11" s="100" t="s">
        <v>21</v>
      </c>
      <c r="M11" s="100" t="s">
        <v>31</v>
      </c>
      <c r="N11" s="100" t="s">
        <v>23</v>
      </c>
      <c r="O11" s="100" t="s">
        <v>24</v>
      </c>
      <c r="P11" s="100" t="s">
        <v>25</v>
      </c>
      <c r="R11" s="12"/>
    </row>
    <row r="12" spans="1:16" ht="13.5" thickBot="1">
      <c r="A12" s="101">
        <v>1</v>
      </c>
      <c r="B12" s="102">
        <v>2</v>
      </c>
      <c r="C12" s="102"/>
      <c r="D12" s="102"/>
      <c r="E12" s="102"/>
      <c r="F12" s="102"/>
      <c r="G12" s="130">
        <v>7</v>
      </c>
      <c r="H12" s="130"/>
      <c r="I12" s="130"/>
      <c r="J12" s="130"/>
      <c r="K12" s="130"/>
      <c r="L12" s="130"/>
      <c r="M12" s="130"/>
      <c r="N12" s="130"/>
      <c r="O12" s="130"/>
      <c r="P12" s="103">
        <v>10</v>
      </c>
    </row>
    <row r="13" spans="1:16" ht="15.75" thickBot="1">
      <c r="A13" s="72"/>
      <c r="B13" s="7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8" ht="15.75" thickBot="1">
      <c r="A14" s="72"/>
      <c r="B14" s="7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R14" s="12"/>
    </row>
    <row r="15" spans="1:18" ht="15.75" thickBot="1">
      <c r="A15" s="30"/>
      <c r="B15" s="69" t="s">
        <v>58</v>
      </c>
      <c r="C15" s="31">
        <f>C20</f>
        <v>505360246.41999996</v>
      </c>
      <c r="D15" s="31"/>
      <c r="E15" s="31"/>
      <c r="F15" s="31"/>
      <c r="G15" s="31"/>
      <c r="H15" s="31"/>
      <c r="I15" s="31"/>
      <c r="J15" s="31"/>
      <c r="K15" s="31">
        <f>+K16+K20</f>
        <v>0</v>
      </c>
      <c r="L15" s="31">
        <f>+L16+L20</f>
        <v>0</v>
      </c>
      <c r="M15" s="31">
        <f>+M16+M20</f>
        <v>0</v>
      </c>
      <c r="N15" s="31">
        <f>+N16+N20</f>
        <v>0</v>
      </c>
      <c r="O15" s="31">
        <f>+O16+O20</f>
        <v>0</v>
      </c>
      <c r="P15" s="31">
        <f>P20</f>
        <v>505360246.41999996</v>
      </c>
      <c r="Q15" s="226"/>
      <c r="R15" s="12"/>
    </row>
    <row r="16" spans="1:18" ht="15.75" thickBot="1">
      <c r="A16" s="72"/>
      <c r="B16" s="70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2"/>
      <c r="R16" s="12"/>
    </row>
    <row r="17" spans="1:42" ht="15.75" hidden="1" thickBot="1">
      <c r="A17" s="43" t="s">
        <v>271</v>
      </c>
      <c r="B17" s="25" t="s">
        <v>169</v>
      </c>
      <c r="C17" s="42"/>
      <c r="D17" s="31"/>
      <c r="E17" s="31"/>
      <c r="F17" s="31"/>
      <c r="G17" s="31"/>
      <c r="H17" s="31"/>
      <c r="I17" s="31"/>
      <c r="J17" s="42"/>
      <c r="K17" s="31"/>
      <c r="L17" s="31"/>
      <c r="M17" s="31"/>
      <c r="N17" s="31"/>
      <c r="O17" s="31"/>
      <c r="P17" s="42"/>
      <c r="Q17" s="12"/>
      <c r="R17" s="12"/>
      <c r="W17" s="42"/>
      <c r="AC17" s="42"/>
      <c r="AJ17" s="42"/>
      <c r="AP17" s="42"/>
    </row>
    <row r="18" spans="1:42" ht="15.75" hidden="1" thickBot="1">
      <c r="A18" s="43" t="s">
        <v>269</v>
      </c>
      <c r="B18" s="25" t="s">
        <v>171</v>
      </c>
      <c r="C18" s="42"/>
      <c r="D18" s="31"/>
      <c r="E18" s="31"/>
      <c r="F18" s="31"/>
      <c r="G18" s="31"/>
      <c r="H18" s="31"/>
      <c r="I18" s="31"/>
      <c r="J18" s="42"/>
      <c r="K18" s="31"/>
      <c r="L18" s="31"/>
      <c r="M18" s="31"/>
      <c r="N18" s="31"/>
      <c r="O18" s="31"/>
      <c r="P18" s="42"/>
      <c r="Q18" s="12"/>
      <c r="R18" s="12"/>
      <c r="W18" s="42"/>
      <c r="AC18" s="42"/>
      <c r="AJ18" s="42"/>
      <c r="AP18" s="42"/>
    </row>
    <row r="19" spans="1:18" ht="15.75" hidden="1" thickBot="1">
      <c r="A19" s="43" t="s">
        <v>122</v>
      </c>
      <c r="B19" s="37" t="s">
        <v>49</v>
      </c>
      <c r="C19" s="159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16"/>
      <c r="Q19" s="12"/>
      <c r="R19" s="12"/>
    </row>
    <row r="20" spans="1:19" ht="15.75" thickBot="1">
      <c r="A20" s="72"/>
      <c r="B20" s="70" t="s">
        <v>61</v>
      </c>
      <c r="C20" s="42">
        <f>+C21+C23</f>
        <v>505360246.41999996</v>
      </c>
      <c r="D20" s="42">
        <f>+D21+D23</f>
        <v>433637801.38</v>
      </c>
      <c r="E20" s="42">
        <f>+E21+E23</f>
        <v>71673213</v>
      </c>
      <c r="F20" s="42">
        <f aca="true" t="shared" si="0" ref="F20:O20">+F21+F23</f>
        <v>49232.04</v>
      </c>
      <c r="G20" s="42">
        <f t="shared" si="0"/>
        <v>0</v>
      </c>
      <c r="H20" s="42">
        <f t="shared" si="0"/>
        <v>0</v>
      </c>
      <c r="I20" s="42">
        <f t="shared" si="0"/>
        <v>0</v>
      </c>
      <c r="J20" s="42">
        <f t="shared" si="0"/>
        <v>0</v>
      </c>
      <c r="K20" s="42">
        <f t="shared" si="0"/>
        <v>0</v>
      </c>
      <c r="L20" s="42">
        <f t="shared" si="0"/>
        <v>0</v>
      </c>
      <c r="M20" s="42">
        <f t="shared" si="0"/>
        <v>0</v>
      </c>
      <c r="N20" s="42">
        <f t="shared" si="0"/>
        <v>0</v>
      </c>
      <c r="O20" s="217">
        <f t="shared" si="0"/>
        <v>0</v>
      </c>
      <c r="P20" s="218">
        <f>+P21+P23</f>
        <v>505360246.41999996</v>
      </c>
      <c r="Q20" s="12"/>
      <c r="R20" s="12"/>
      <c r="S20" s="12"/>
    </row>
    <row r="21" spans="1:18" ht="15">
      <c r="A21" s="43" t="s">
        <v>123</v>
      </c>
      <c r="B21" s="114" t="s">
        <v>153</v>
      </c>
      <c r="C21" s="160">
        <f>+C22</f>
        <v>18649.14</v>
      </c>
      <c r="D21" s="160">
        <f>+D22</f>
        <v>17649.14</v>
      </c>
      <c r="E21" s="160">
        <f>E22</f>
        <v>1000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>
        <f>+P22</f>
        <v>18649.14</v>
      </c>
      <c r="Q21" s="12"/>
      <c r="R21" s="12"/>
    </row>
    <row r="22" spans="1:18" ht="15">
      <c r="A22" s="43" t="s">
        <v>155</v>
      </c>
      <c r="B22" s="225" t="s">
        <v>154</v>
      </c>
      <c r="C22" s="26">
        <v>18649.14</v>
      </c>
      <c r="D22" s="26">
        <v>17649.14</v>
      </c>
      <c r="E22" s="26">
        <v>1000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2">
        <f>SUM(D22:L22)</f>
        <v>18649.14</v>
      </c>
      <c r="Q22" s="12"/>
      <c r="R22" s="12"/>
    </row>
    <row r="23" spans="1:19" ht="15">
      <c r="A23" s="43" t="s">
        <v>117</v>
      </c>
      <c r="B23" s="114" t="s">
        <v>93</v>
      </c>
      <c r="C23" s="118">
        <f>+C24+C28+C31+C38+C46+C50+C53+C58+C61+C63+C65+C67</f>
        <v>505341597.28</v>
      </c>
      <c r="D23" s="118">
        <f>+D24+D28+D31+D38+D46+D53+D61+D63+D65+D67+D58+D50</f>
        <v>433620152.24</v>
      </c>
      <c r="E23" s="118">
        <f aca="true" t="shared" si="1" ref="E23:O23">+E24+E28+E31+E38+E46+E53+E61+E63+E65+E67+E58+E50</f>
        <v>71672213</v>
      </c>
      <c r="F23" s="118">
        <f t="shared" si="1"/>
        <v>49232.04</v>
      </c>
      <c r="G23" s="118">
        <f t="shared" si="1"/>
        <v>0</v>
      </c>
      <c r="H23" s="118">
        <f t="shared" si="1"/>
        <v>0</v>
      </c>
      <c r="I23" s="118">
        <f t="shared" si="1"/>
        <v>0</v>
      </c>
      <c r="J23" s="118">
        <f t="shared" si="1"/>
        <v>0</v>
      </c>
      <c r="K23" s="118">
        <f t="shared" si="1"/>
        <v>0</v>
      </c>
      <c r="L23" s="118">
        <f t="shared" si="1"/>
        <v>0</v>
      </c>
      <c r="M23" s="118">
        <f t="shared" si="1"/>
        <v>0</v>
      </c>
      <c r="N23" s="118">
        <f t="shared" si="1"/>
        <v>0</v>
      </c>
      <c r="O23" s="118">
        <f t="shared" si="1"/>
        <v>0</v>
      </c>
      <c r="P23" s="118">
        <f>+P24+P28+P31+P38+P46+P53+P61+P63+P65+P67+P58+P50</f>
        <v>505341597.28</v>
      </c>
      <c r="Q23" s="12"/>
      <c r="R23" s="12"/>
      <c r="S23" s="12"/>
    </row>
    <row r="24" spans="1:18" ht="15">
      <c r="A24" s="43" t="s">
        <v>146</v>
      </c>
      <c r="B24" s="114" t="s">
        <v>105</v>
      </c>
      <c r="C24" s="118">
        <f>SUM(C25:C27)</f>
        <v>13558809.68</v>
      </c>
      <c r="D24" s="118">
        <f>SUM(D25:D27)</f>
        <v>13558809.68</v>
      </c>
      <c r="E24" s="118">
        <f aca="true" t="shared" si="2" ref="E24:P24">SUM(E25:E27)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  <c r="M24" s="118">
        <f t="shared" si="2"/>
        <v>0</v>
      </c>
      <c r="N24" s="118">
        <f t="shared" si="2"/>
        <v>0</v>
      </c>
      <c r="O24" s="118">
        <f t="shared" si="2"/>
        <v>0</v>
      </c>
      <c r="P24" s="118">
        <f t="shared" si="2"/>
        <v>13558809.68</v>
      </c>
      <c r="Q24" s="12"/>
      <c r="R24" s="12"/>
    </row>
    <row r="25" spans="1:19" ht="15">
      <c r="A25" s="43" t="s">
        <v>222</v>
      </c>
      <c r="B25" s="25" t="s">
        <v>223</v>
      </c>
      <c r="C25" s="26">
        <v>13556385.81</v>
      </c>
      <c r="D25" s="26">
        <v>13556385.81</v>
      </c>
      <c r="E25" s="26"/>
      <c r="F25" s="118"/>
      <c r="G25" s="26">
        <v>0</v>
      </c>
      <c r="H25" s="26"/>
      <c r="I25" s="118">
        <v>0</v>
      </c>
      <c r="J25" s="118"/>
      <c r="K25" s="118"/>
      <c r="L25" s="118"/>
      <c r="M25" s="118"/>
      <c r="N25" s="118"/>
      <c r="O25" s="118"/>
      <c r="P25" s="22">
        <f aca="true" t="shared" si="3" ref="P25:P35">SUM(D25:L25)</f>
        <v>13556385.81</v>
      </c>
      <c r="Q25" s="12"/>
      <c r="R25" s="12"/>
      <c r="S25" s="12"/>
    </row>
    <row r="26" spans="1:18" ht="15">
      <c r="A26" s="43" t="s">
        <v>224</v>
      </c>
      <c r="B26" s="25" t="s">
        <v>225</v>
      </c>
      <c r="C26" s="26">
        <v>262.09</v>
      </c>
      <c r="D26" s="26">
        <v>262.09</v>
      </c>
      <c r="E26" s="26"/>
      <c r="F26" s="118"/>
      <c r="G26" s="26"/>
      <c r="H26" s="26"/>
      <c r="I26" s="118"/>
      <c r="J26" s="118"/>
      <c r="K26" s="118"/>
      <c r="L26" s="118"/>
      <c r="M26" s="118"/>
      <c r="N26" s="118"/>
      <c r="O26" s="118"/>
      <c r="P26" s="22">
        <f t="shared" si="3"/>
        <v>262.09</v>
      </c>
      <c r="Q26" s="12"/>
      <c r="R26" s="12"/>
    </row>
    <row r="27" spans="1:18" ht="15">
      <c r="A27" s="43" t="s">
        <v>226</v>
      </c>
      <c r="B27" s="25" t="s">
        <v>156</v>
      </c>
      <c r="C27" s="26">
        <v>2161.78</v>
      </c>
      <c r="D27" s="26">
        <v>2161.78</v>
      </c>
      <c r="E27" s="26"/>
      <c r="F27" s="118"/>
      <c r="G27" s="26">
        <v>0</v>
      </c>
      <c r="H27" s="26"/>
      <c r="I27" s="118">
        <v>0</v>
      </c>
      <c r="J27" s="118"/>
      <c r="K27" s="118"/>
      <c r="L27" s="118"/>
      <c r="M27" s="118"/>
      <c r="N27" s="118"/>
      <c r="O27" s="118"/>
      <c r="P27" s="22">
        <f t="shared" si="3"/>
        <v>2161.78</v>
      </c>
      <c r="Q27" s="12"/>
      <c r="R27" s="12"/>
    </row>
    <row r="28" spans="1:18" ht="15">
      <c r="A28" s="43"/>
      <c r="B28" s="114" t="s">
        <v>116</v>
      </c>
      <c r="C28" s="118">
        <f>C29+C30</f>
        <v>20490340.55</v>
      </c>
      <c r="D28" s="118">
        <f>D29+D30</f>
        <v>20490340.55</v>
      </c>
      <c r="E28" s="118">
        <f aca="true" t="shared" si="4" ref="E28:P28">E29+E30</f>
        <v>0</v>
      </c>
      <c r="F28" s="118">
        <f t="shared" si="4"/>
        <v>0</v>
      </c>
      <c r="G28" s="118">
        <f t="shared" si="4"/>
        <v>0</v>
      </c>
      <c r="H28" s="118">
        <f t="shared" si="4"/>
        <v>0</v>
      </c>
      <c r="I28" s="118">
        <f t="shared" si="4"/>
        <v>0</v>
      </c>
      <c r="J28" s="118">
        <f t="shared" si="4"/>
        <v>0</v>
      </c>
      <c r="K28" s="118">
        <f t="shared" si="4"/>
        <v>0</v>
      </c>
      <c r="L28" s="118">
        <f t="shared" si="4"/>
        <v>0</v>
      </c>
      <c r="M28" s="118">
        <f t="shared" si="4"/>
        <v>0</v>
      </c>
      <c r="N28" s="118">
        <f t="shared" si="4"/>
        <v>0</v>
      </c>
      <c r="O28" s="118">
        <f t="shared" si="4"/>
        <v>0</v>
      </c>
      <c r="P28" s="118">
        <f t="shared" si="4"/>
        <v>20490340.55</v>
      </c>
      <c r="Q28" s="12"/>
      <c r="R28" s="12"/>
    </row>
    <row r="29" spans="1:18" ht="15">
      <c r="A29" s="43" t="s">
        <v>227</v>
      </c>
      <c r="B29" s="25" t="s">
        <v>157</v>
      </c>
      <c r="C29" s="26">
        <v>3945100.55</v>
      </c>
      <c r="D29" s="26">
        <v>3945100.55</v>
      </c>
      <c r="E29" s="26">
        <v>0</v>
      </c>
      <c r="F29" s="118">
        <v>0</v>
      </c>
      <c r="G29" s="26">
        <v>0</v>
      </c>
      <c r="H29" s="26"/>
      <c r="I29" s="118">
        <v>0</v>
      </c>
      <c r="J29" s="118"/>
      <c r="K29" s="118"/>
      <c r="L29" s="118"/>
      <c r="M29" s="118"/>
      <c r="N29" s="118"/>
      <c r="O29" s="118"/>
      <c r="P29" s="22">
        <f t="shared" si="3"/>
        <v>3945100.55</v>
      </c>
      <c r="Q29" s="12"/>
      <c r="R29" s="12"/>
    </row>
    <row r="30" spans="1:18" ht="15">
      <c r="A30" s="43" t="s">
        <v>228</v>
      </c>
      <c r="B30" s="25" t="s">
        <v>203</v>
      </c>
      <c r="C30" s="26">
        <v>16545240</v>
      </c>
      <c r="D30" s="26">
        <v>16545240</v>
      </c>
      <c r="E30" s="26"/>
      <c r="F30" s="118"/>
      <c r="G30" s="26"/>
      <c r="H30" s="26"/>
      <c r="I30" s="118"/>
      <c r="J30" s="118"/>
      <c r="K30" s="118"/>
      <c r="L30" s="118"/>
      <c r="M30" s="118"/>
      <c r="N30" s="118"/>
      <c r="O30" s="118"/>
      <c r="P30" s="22">
        <f t="shared" si="3"/>
        <v>16545240</v>
      </c>
      <c r="Q30" s="12"/>
      <c r="R30" s="12"/>
    </row>
    <row r="31" spans="1:19" ht="15">
      <c r="A31" s="43" t="s">
        <v>129</v>
      </c>
      <c r="B31" s="114" t="s">
        <v>96</v>
      </c>
      <c r="C31" s="118">
        <f>SUM(C32:C37)</f>
        <v>26119541.899999995</v>
      </c>
      <c r="D31" s="118">
        <f>SUM(D32:D37)</f>
        <v>25497327.899999995</v>
      </c>
      <c r="E31" s="118">
        <f aca="true" t="shared" si="5" ref="E31:P31">SUM(E32:E37)</f>
        <v>622214</v>
      </c>
      <c r="F31" s="118">
        <f t="shared" si="5"/>
        <v>0</v>
      </c>
      <c r="G31" s="118">
        <f t="shared" si="5"/>
        <v>0</v>
      </c>
      <c r="H31" s="118">
        <f t="shared" si="5"/>
        <v>0</v>
      </c>
      <c r="I31" s="118">
        <f t="shared" si="5"/>
        <v>0</v>
      </c>
      <c r="J31" s="118">
        <f t="shared" si="5"/>
        <v>0</v>
      </c>
      <c r="K31" s="118">
        <f t="shared" si="5"/>
        <v>0</v>
      </c>
      <c r="L31" s="118">
        <f t="shared" si="5"/>
        <v>0</v>
      </c>
      <c r="M31" s="118">
        <f t="shared" si="5"/>
        <v>0</v>
      </c>
      <c r="N31" s="118">
        <f t="shared" si="5"/>
        <v>0</v>
      </c>
      <c r="O31" s="118">
        <f t="shared" si="5"/>
        <v>0</v>
      </c>
      <c r="P31" s="118">
        <f t="shared" si="5"/>
        <v>26119541.899999995</v>
      </c>
      <c r="Q31" s="12"/>
      <c r="R31" s="12"/>
      <c r="S31" s="12"/>
    </row>
    <row r="32" spans="1:18" ht="15">
      <c r="A32" s="43" t="s">
        <v>229</v>
      </c>
      <c r="B32" s="25" t="s">
        <v>159</v>
      </c>
      <c r="C32" s="147">
        <v>14611583.92</v>
      </c>
      <c r="D32" s="26">
        <v>14611583.92</v>
      </c>
      <c r="E32" s="26"/>
      <c r="F32" s="118"/>
      <c r="G32" s="26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/>
      <c r="N32" s="118"/>
      <c r="O32" s="118">
        <v>0</v>
      </c>
      <c r="P32" s="22">
        <f t="shared" si="3"/>
        <v>14611583.92</v>
      </c>
      <c r="Q32" s="12"/>
      <c r="R32" s="12"/>
    </row>
    <row r="33" spans="1:21" ht="15">
      <c r="A33" s="43" t="s">
        <v>230</v>
      </c>
      <c r="B33" s="25" t="s">
        <v>231</v>
      </c>
      <c r="C33" s="147">
        <v>9646133.77</v>
      </c>
      <c r="D33" s="26">
        <v>9023919.77</v>
      </c>
      <c r="E33" s="26">
        <v>622214</v>
      </c>
      <c r="F33" s="118"/>
      <c r="G33" s="26">
        <v>0</v>
      </c>
      <c r="H33" s="118"/>
      <c r="I33" s="118">
        <v>0</v>
      </c>
      <c r="J33" s="118"/>
      <c r="K33" s="118"/>
      <c r="L33" s="118"/>
      <c r="M33" s="118"/>
      <c r="N33" s="118"/>
      <c r="O33" s="118"/>
      <c r="P33" s="22">
        <f t="shared" si="3"/>
        <v>9646133.77</v>
      </c>
      <c r="Q33" s="12"/>
      <c r="R33" s="12"/>
      <c r="S33" s="206"/>
      <c r="U33" s="206"/>
    </row>
    <row r="34" spans="1:20" ht="15">
      <c r="A34" s="43" t="s">
        <v>232</v>
      </c>
      <c r="B34" s="25" t="s">
        <v>161</v>
      </c>
      <c r="C34" s="147">
        <v>576802.65</v>
      </c>
      <c r="D34" s="26">
        <v>576802.65</v>
      </c>
      <c r="E34" s="26">
        <v>0</v>
      </c>
      <c r="F34" s="118"/>
      <c r="G34" s="26">
        <v>0</v>
      </c>
      <c r="H34" s="118"/>
      <c r="I34" s="118">
        <v>0</v>
      </c>
      <c r="J34" s="118"/>
      <c r="K34" s="118"/>
      <c r="L34" s="118"/>
      <c r="M34" s="118"/>
      <c r="N34" s="118"/>
      <c r="O34" s="118"/>
      <c r="P34" s="22">
        <f t="shared" si="3"/>
        <v>576802.65</v>
      </c>
      <c r="Q34" s="12"/>
      <c r="R34" s="12"/>
      <c r="S34" s="206"/>
      <c r="T34" s="227"/>
    </row>
    <row r="35" spans="1:18" ht="15">
      <c r="A35" s="43" t="s">
        <v>233</v>
      </c>
      <c r="B35" s="25" t="s">
        <v>163</v>
      </c>
      <c r="C35" s="147">
        <v>196415.61</v>
      </c>
      <c r="D35" s="26">
        <v>196415.61</v>
      </c>
      <c r="E35" s="26">
        <v>0</v>
      </c>
      <c r="F35" s="118"/>
      <c r="G35" s="26">
        <v>0</v>
      </c>
      <c r="H35" s="118"/>
      <c r="I35" s="118">
        <v>0</v>
      </c>
      <c r="J35" s="118"/>
      <c r="K35" s="118"/>
      <c r="L35" s="118"/>
      <c r="M35" s="118"/>
      <c r="N35" s="118"/>
      <c r="O35" s="118"/>
      <c r="P35" s="22">
        <f t="shared" si="3"/>
        <v>196415.61</v>
      </c>
      <c r="Q35" s="12"/>
      <c r="R35" s="12"/>
    </row>
    <row r="36" spans="1:19" ht="15">
      <c r="A36" s="43" t="s">
        <v>235</v>
      </c>
      <c r="B36" s="25" t="s">
        <v>130</v>
      </c>
      <c r="C36" s="26">
        <v>6207.95</v>
      </c>
      <c r="D36" s="26">
        <v>6207.95</v>
      </c>
      <c r="E36" s="26"/>
      <c r="F36" s="118"/>
      <c r="G36" s="26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/>
      <c r="N36" s="118"/>
      <c r="O36" s="118">
        <v>0</v>
      </c>
      <c r="P36" s="22">
        <f>SUM(D36:I36)</f>
        <v>6207.95</v>
      </c>
      <c r="Q36" s="12"/>
      <c r="R36" s="12"/>
      <c r="S36" s="12"/>
    </row>
    <row r="37" spans="1:18" ht="15">
      <c r="A37" s="43" t="s">
        <v>234</v>
      </c>
      <c r="B37" s="25" t="s">
        <v>166</v>
      </c>
      <c r="C37" s="26">
        <v>1082398</v>
      </c>
      <c r="D37" s="26">
        <v>1082398</v>
      </c>
      <c r="E37" s="26"/>
      <c r="F37" s="118"/>
      <c r="G37" s="26">
        <v>0</v>
      </c>
      <c r="H37" s="118"/>
      <c r="I37" s="118">
        <v>0</v>
      </c>
      <c r="J37" s="118"/>
      <c r="K37" s="118"/>
      <c r="L37" s="118"/>
      <c r="M37" s="118"/>
      <c r="N37" s="118"/>
      <c r="O37" s="118"/>
      <c r="P37" s="22">
        <f>SUM(D37:I37)</f>
        <v>1082398</v>
      </c>
      <c r="Q37" s="12"/>
      <c r="R37" s="12"/>
    </row>
    <row r="38" spans="1:19" ht="15">
      <c r="A38" s="43" t="s">
        <v>118</v>
      </c>
      <c r="B38" s="114" t="s">
        <v>97</v>
      </c>
      <c r="C38" s="118">
        <f>SUM(C39:C45)</f>
        <v>189657384.36999997</v>
      </c>
      <c r="D38" s="118">
        <f>SUM(D39:D45)</f>
        <v>118558153.33000001</v>
      </c>
      <c r="E38" s="118">
        <f aca="true" t="shared" si="6" ref="E38:O38">SUM(E39:E45)</f>
        <v>71049999</v>
      </c>
      <c r="F38" s="118">
        <f>SUM(F39:F45)</f>
        <v>49232.04</v>
      </c>
      <c r="G38" s="118">
        <f t="shared" si="6"/>
        <v>0</v>
      </c>
      <c r="H38" s="118">
        <f t="shared" si="6"/>
        <v>0</v>
      </c>
      <c r="I38" s="118">
        <f t="shared" si="6"/>
        <v>0</v>
      </c>
      <c r="J38" s="118">
        <f t="shared" si="6"/>
        <v>0</v>
      </c>
      <c r="K38" s="118">
        <f t="shared" si="6"/>
        <v>0</v>
      </c>
      <c r="L38" s="118">
        <f t="shared" si="6"/>
        <v>0</v>
      </c>
      <c r="M38" s="118">
        <f t="shared" si="6"/>
        <v>0</v>
      </c>
      <c r="N38" s="118">
        <f t="shared" si="6"/>
        <v>0</v>
      </c>
      <c r="O38" s="118">
        <f t="shared" si="6"/>
        <v>0</v>
      </c>
      <c r="P38" s="118">
        <f>SUM(P39:P45)</f>
        <v>189657384.36999997</v>
      </c>
      <c r="Q38" s="12"/>
      <c r="R38" s="12"/>
      <c r="S38" s="12"/>
    </row>
    <row r="39" spans="1:20" ht="15">
      <c r="A39" s="43" t="s">
        <v>236</v>
      </c>
      <c r="B39" s="25" t="s">
        <v>131</v>
      </c>
      <c r="C39" s="26">
        <v>137429019.38</v>
      </c>
      <c r="D39" s="26">
        <v>66329788.34</v>
      </c>
      <c r="E39" s="26">
        <v>71049999</v>
      </c>
      <c r="F39" s="118">
        <v>49232.04</v>
      </c>
      <c r="G39" s="26">
        <v>0</v>
      </c>
      <c r="H39" s="26"/>
      <c r="I39" s="118">
        <v>0</v>
      </c>
      <c r="J39" s="118">
        <v>0</v>
      </c>
      <c r="K39" s="118">
        <v>0</v>
      </c>
      <c r="L39" s="118">
        <v>0</v>
      </c>
      <c r="M39" s="118"/>
      <c r="N39" s="118"/>
      <c r="O39" s="118">
        <v>0</v>
      </c>
      <c r="P39" s="22">
        <f>SUM(D39:I39)</f>
        <v>137429019.38</v>
      </c>
      <c r="Q39" s="12"/>
      <c r="R39" s="12"/>
      <c r="S39" s="12"/>
      <c r="T39" s="12"/>
    </row>
    <row r="40" spans="1:18" ht="15">
      <c r="A40" s="43" t="s">
        <v>241</v>
      </c>
      <c r="B40" s="25" t="s">
        <v>169</v>
      </c>
      <c r="C40" s="26">
        <v>15904648.82</v>
      </c>
      <c r="D40" s="26">
        <v>15904648.82</v>
      </c>
      <c r="E40" s="26">
        <v>0</v>
      </c>
      <c r="F40" s="118">
        <v>0</v>
      </c>
      <c r="G40" s="26">
        <v>0</v>
      </c>
      <c r="H40" s="26"/>
      <c r="I40" s="118">
        <v>0</v>
      </c>
      <c r="J40" s="118"/>
      <c r="K40" s="118"/>
      <c r="L40" s="118"/>
      <c r="M40" s="118"/>
      <c r="N40" s="118"/>
      <c r="O40" s="118"/>
      <c r="P40" s="22">
        <f>D40</f>
        <v>15904648.82</v>
      </c>
      <c r="Q40" s="12"/>
      <c r="R40" s="12"/>
    </row>
    <row r="41" spans="1:18" ht="15">
      <c r="A41" s="43" t="s">
        <v>238</v>
      </c>
      <c r="B41" s="25" t="s">
        <v>171</v>
      </c>
      <c r="C41" s="26">
        <v>1975248</v>
      </c>
      <c r="D41" s="26">
        <v>1975248</v>
      </c>
      <c r="E41" s="26"/>
      <c r="F41" s="118"/>
      <c r="G41" s="26">
        <v>0</v>
      </c>
      <c r="H41" s="26"/>
      <c r="I41" s="118">
        <v>0</v>
      </c>
      <c r="J41" s="118"/>
      <c r="K41" s="118"/>
      <c r="L41" s="118"/>
      <c r="M41" s="118"/>
      <c r="N41" s="118"/>
      <c r="O41" s="118"/>
      <c r="P41" s="22">
        <f>SUM(D41:I41)</f>
        <v>1975248</v>
      </c>
      <c r="Q41" s="12"/>
      <c r="R41" s="12"/>
    </row>
    <row r="42" spans="1:19" ht="15">
      <c r="A42" s="43" t="s">
        <v>239</v>
      </c>
      <c r="B42" s="25" t="s">
        <v>172</v>
      </c>
      <c r="C42" s="26">
        <v>2783262.93</v>
      </c>
      <c r="D42" s="26">
        <v>2783262.93</v>
      </c>
      <c r="E42" s="26">
        <v>0</v>
      </c>
      <c r="F42" s="118">
        <v>0</v>
      </c>
      <c r="G42" s="26">
        <v>0</v>
      </c>
      <c r="H42" s="26"/>
      <c r="I42" s="118">
        <v>0</v>
      </c>
      <c r="J42" s="118"/>
      <c r="K42" s="118"/>
      <c r="L42" s="118"/>
      <c r="M42" s="118"/>
      <c r="N42" s="118"/>
      <c r="O42" s="118"/>
      <c r="P42" s="22">
        <f aca="true" t="shared" si="7" ref="P42:P68">SUM(D42:I42)</f>
        <v>2783262.93</v>
      </c>
      <c r="Q42" s="12"/>
      <c r="R42" s="12"/>
      <c r="S42" s="12"/>
    </row>
    <row r="43" spans="1:18" ht="15">
      <c r="A43" s="43" t="s">
        <v>207</v>
      </c>
      <c r="B43" s="25" t="s">
        <v>242</v>
      </c>
      <c r="C43" s="26">
        <v>29769498.45</v>
      </c>
      <c r="D43" s="26">
        <v>29769498.45</v>
      </c>
      <c r="E43" s="26"/>
      <c r="F43" s="118"/>
      <c r="G43" s="26"/>
      <c r="H43" s="26"/>
      <c r="I43" s="118"/>
      <c r="J43" s="118"/>
      <c r="K43" s="118"/>
      <c r="L43" s="118"/>
      <c r="M43" s="118"/>
      <c r="N43" s="118"/>
      <c r="O43" s="118"/>
      <c r="P43" s="22">
        <f t="shared" si="7"/>
        <v>29769498.45</v>
      </c>
      <c r="Q43" s="12"/>
      <c r="R43" s="12"/>
    </row>
    <row r="44" spans="1:18" ht="15">
      <c r="A44" s="43" t="s">
        <v>240</v>
      </c>
      <c r="B44" s="25" t="s">
        <v>243</v>
      </c>
      <c r="C44" s="26">
        <v>9181.09</v>
      </c>
      <c r="D44" s="26">
        <v>9181.09</v>
      </c>
      <c r="E44" s="26"/>
      <c r="F44" s="118"/>
      <c r="G44" s="26"/>
      <c r="H44" s="26"/>
      <c r="I44" s="118"/>
      <c r="J44" s="118"/>
      <c r="K44" s="118"/>
      <c r="L44" s="118"/>
      <c r="M44" s="118"/>
      <c r="N44" s="118"/>
      <c r="O44" s="118"/>
      <c r="P44" s="22">
        <f t="shared" si="7"/>
        <v>9181.09</v>
      </c>
      <c r="Q44" s="12"/>
      <c r="R44" s="12"/>
    </row>
    <row r="45" spans="1:18" ht="15">
      <c r="A45" s="43" t="s">
        <v>237</v>
      </c>
      <c r="B45" s="25" t="s">
        <v>173</v>
      </c>
      <c r="C45" s="26">
        <v>1786525.7</v>
      </c>
      <c r="D45" s="26">
        <v>1786525.7</v>
      </c>
      <c r="E45" s="26"/>
      <c r="F45" s="118"/>
      <c r="G45" s="26">
        <v>0</v>
      </c>
      <c r="H45" s="26"/>
      <c r="I45" s="118">
        <v>0</v>
      </c>
      <c r="J45" s="118"/>
      <c r="K45" s="118"/>
      <c r="L45" s="118"/>
      <c r="M45" s="118"/>
      <c r="N45" s="118"/>
      <c r="O45" s="118"/>
      <c r="P45" s="22">
        <f t="shared" si="7"/>
        <v>1786525.7</v>
      </c>
      <c r="Q45" s="12"/>
      <c r="R45" s="12"/>
    </row>
    <row r="46" spans="1:18" ht="15">
      <c r="A46" s="43" t="s">
        <v>244</v>
      </c>
      <c r="B46" s="114" t="s">
        <v>175</v>
      </c>
      <c r="C46" s="118">
        <f>C47+C48+C49</f>
        <v>77512817.55</v>
      </c>
      <c r="D46" s="118">
        <f>D49+D47+D48</f>
        <v>77512817.55</v>
      </c>
      <c r="E46" s="118">
        <f>+E49</f>
        <v>0</v>
      </c>
      <c r="F46" s="118"/>
      <c r="G46" s="118">
        <f>+G49</f>
        <v>0</v>
      </c>
      <c r="H46" s="118"/>
      <c r="I46" s="118">
        <f>+I49</f>
        <v>0</v>
      </c>
      <c r="J46" s="118"/>
      <c r="K46" s="118"/>
      <c r="L46" s="118"/>
      <c r="M46" s="118"/>
      <c r="N46" s="118"/>
      <c r="O46" s="118"/>
      <c r="P46" s="219">
        <f t="shared" si="7"/>
        <v>77512817.55</v>
      </c>
      <c r="Q46" s="12"/>
      <c r="R46" s="12"/>
    </row>
    <row r="47" spans="1:18" ht="15">
      <c r="A47" s="43" t="s">
        <v>210</v>
      </c>
      <c r="B47" s="25" t="s">
        <v>209</v>
      </c>
      <c r="C47" s="26">
        <v>75456550.86</v>
      </c>
      <c r="D47" s="26">
        <v>75456550.86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22">
        <f t="shared" si="7"/>
        <v>75456550.86</v>
      </c>
      <c r="Q47" s="12"/>
      <c r="R47" s="12"/>
    </row>
    <row r="48" spans="1:18" ht="15">
      <c r="A48" s="43" t="s">
        <v>211</v>
      </c>
      <c r="B48" s="25" t="s">
        <v>245</v>
      </c>
      <c r="C48" s="26">
        <v>1885086.28</v>
      </c>
      <c r="D48" s="26">
        <v>1885086.28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22">
        <f t="shared" si="7"/>
        <v>1885086.28</v>
      </c>
      <c r="Q48" s="12"/>
      <c r="R48" s="12"/>
    </row>
    <row r="49" spans="1:18" ht="15">
      <c r="A49" s="43" t="s">
        <v>177</v>
      </c>
      <c r="B49" s="25" t="s">
        <v>176</v>
      </c>
      <c r="C49" s="26">
        <v>171180.41</v>
      </c>
      <c r="D49" s="26">
        <v>171180.41</v>
      </c>
      <c r="E49" s="26">
        <v>0</v>
      </c>
      <c r="F49" s="118"/>
      <c r="G49" s="26">
        <v>0</v>
      </c>
      <c r="H49" s="26"/>
      <c r="I49" s="118">
        <v>0</v>
      </c>
      <c r="J49" s="118"/>
      <c r="K49" s="118"/>
      <c r="L49" s="118"/>
      <c r="M49" s="118"/>
      <c r="N49" s="118"/>
      <c r="O49" s="118"/>
      <c r="P49" s="22">
        <f t="shared" si="7"/>
        <v>171180.41</v>
      </c>
      <c r="Q49" s="12"/>
      <c r="R49" s="12"/>
    </row>
    <row r="50" spans="1:18" ht="15">
      <c r="A50" s="43" t="s">
        <v>148</v>
      </c>
      <c r="B50" s="114" t="s">
        <v>184</v>
      </c>
      <c r="C50" s="118">
        <f aca="true" t="shared" si="8" ref="C50:P50">C51+C52</f>
        <v>827215.49</v>
      </c>
      <c r="D50" s="118">
        <f t="shared" si="8"/>
        <v>827215.49</v>
      </c>
      <c r="E50" s="118">
        <f t="shared" si="8"/>
        <v>0</v>
      </c>
      <c r="F50" s="118">
        <f t="shared" si="8"/>
        <v>0</v>
      </c>
      <c r="G50" s="118">
        <f t="shared" si="8"/>
        <v>0</v>
      </c>
      <c r="H50" s="118">
        <f t="shared" si="8"/>
        <v>0</v>
      </c>
      <c r="I50" s="118">
        <f t="shared" si="8"/>
        <v>0</v>
      </c>
      <c r="J50" s="118">
        <f t="shared" si="8"/>
        <v>0</v>
      </c>
      <c r="K50" s="118">
        <f t="shared" si="8"/>
        <v>0</v>
      </c>
      <c r="L50" s="118">
        <f t="shared" si="8"/>
        <v>0</v>
      </c>
      <c r="M50" s="118">
        <f t="shared" si="8"/>
        <v>0</v>
      </c>
      <c r="N50" s="118">
        <f t="shared" si="8"/>
        <v>0</v>
      </c>
      <c r="O50" s="118">
        <f t="shared" si="8"/>
        <v>0</v>
      </c>
      <c r="P50" s="118">
        <f t="shared" si="8"/>
        <v>827215.49</v>
      </c>
      <c r="Q50" s="12"/>
      <c r="R50" s="12"/>
    </row>
    <row r="51" spans="1:18" ht="15">
      <c r="A51" s="43" t="s">
        <v>215</v>
      </c>
      <c r="B51" s="25" t="s">
        <v>247</v>
      </c>
      <c r="C51" s="26">
        <v>15207.26</v>
      </c>
      <c r="D51" s="26">
        <v>15207.26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15207.26</v>
      </c>
      <c r="Q51" s="12"/>
      <c r="R51" s="12"/>
    </row>
    <row r="52" spans="1:18" ht="15">
      <c r="A52" s="43" t="s">
        <v>246</v>
      </c>
      <c r="B52" s="25" t="s">
        <v>248</v>
      </c>
      <c r="C52" s="26">
        <v>812008.23</v>
      </c>
      <c r="D52" s="26">
        <v>812008.23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812008.23</v>
      </c>
      <c r="Q52" s="12"/>
      <c r="R52" s="12"/>
    </row>
    <row r="53" spans="1:18" ht="15">
      <c r="A53" s="43" t="s">
        <v>102</v>
      </c>
      <c r="B53" s="114" t="s">
        <v>178</v>
      </c>
      <c r="C53" s="118">
        <f aca="true" t="shared" si="9" ref="C53:P53">SUM(C54:C57)</f>
        <v>123403842.12</v>
      </c>
      <c r="D53" s="118">
        <f>SUM(D54:D57)</f>
        <v>123403842.12</v>
      </c>
      <c r="E53" s="26">
        <f t="shared" si="9"/>
        <v>0</v>
      </c>
      <c r="F53" s="26">
        <f t="shared" si="9"/>
        <v>0</v>
      </c>
      <c r="G53" s="26">
        <f t="shared" si="9"/>
        <v>0</v>
      </c>
      <c r="H53" s="26">
        <f t="shared" si="9"/>
        <v>0</v>
      </c>
      <c r="I53" s="26">
        <f t="shared" si="9"/>
        <v>0</v>
      </c>
      <c r="J53" s="26">
        <f t="shared" si="9"/>
        <v>0</v>
      </c>
      <c r="K53" s="26">
        <f t="shared" si="9"/>
        <v>0</v>
      </c>
      <c r="L53" s="26">
        <f t="shared" si="9"/>
        <v>0</v>
      </c>
      <c r="M53" s="26">
        <f t="shared" si="9"/>
        <v>0</v>
      </c>
      <c r="N53" s="26">
        <f t="shared" si="9"/>
        <v>0</v>
      </c>
      <c r="O53" s="26">
        <f t="shared" si="9"/>
        <v>0</v>
      </c>
      <c r="P53" s="118">
        <f t="shared" si="9"/>
        <v>123403842.12</v>
      </c>
      <c r="Q53" s="12"/>
      <c r="R53" s="12"/>
    </row>
    <row r="54" spans="1:18" ht="15">
      <c r="A54" s="43" t="s">
        <v>181</v>
      </c>
      <c r="B54" s="25" t="s">
        <v>179</v>
      </c>
      <c r="C54" s="26">
        <v>156829.72</v>
      </c>
      <c r="D54" s="26">
        <v>156829.72</v>
      </c>
      <c r="E54" s="26">
        <v>0</v>
      </c>
      <c r="F54" s="118"/>
      <c r="G54" s="26">
        <v>0</v>
      </c>
      <c r="H54" s="26"/>
      <c r="I54" s="118">
        <v>0</v>
      </c>
      <c r="J54" s="118"/>
      <c r="K54" s="118"/>
      <c r="L54" s="118"/>
      <c r="M54" s="118"/>
      <c r="N54" s="118"/>
      <c r="O54" s="118"/>
      <c r="P54" s="22">
        <f t="shared" si="7"/>
        <v>156829.72</v>
      </c>
      <c r="Q54" s="12"/>
      <c r="R54" s="12"/>
    </row>
    <row r="55" spans="1:18" ht="15">
      <c r="A55" s="43" t="s">
        <v>249</v>
      </c>
      <c r="B55" s="25" t="s">
        <v>179</v>
      </c>
      <c r="C55" s="26">
        <v>123072997.77</v>
      </c>
      <c r="D55" s="26">
        <v>123072997.77</v>
      </c>
      <c r="E55" s="26"/>
      <c r="F55" s="118"/>
      <c r="G55" s="26"/>
      <c r="H55" s="26"/>
      <c r="I55" s="118"/>
      <c r="J55" s="118"/>
      <c r="K55" s="118"/>
      <c r="L55" s="118"/>
      <c r="M55" s="118"/>
      <c r="N55" s="118"/>
      <c r="O55" s="118"/>
      <c r="P55" s="22">
        <f t="shared" si="7"/>
        <v>123072997.77</v>
      </c>
      <c r="Q55" s="12"/>
      <c r="R55" s="12"/>
    </row>
    <row r="56" spans="1:18" ht="15">
      <c r="A56" s="43" t="s">
        <v>250</v>
      </c>
      <c r="B56" s="25" t="s">
        <v>251</v>
      </c>
      <c r="C56" s="26">
        <v>562.12</v>
      </c>
      <c r="D56" s="26">
        <v>562.12</v>
      </c>
      <c r="E56" s="26">
        <v>0</v>
      </c>
      <c r="F56" s="118"/>
      <c r="G56" s="26">
        <v>0</v>
      </c>
      <c r="H56" s="26"/>
      <c r="I56" s="118">
        <v>0</v>
      </c>
      <c r="J56" s="118"/>
      <c r="K56" s="118"/>
      <c r="L56" s="118"/>
      <c r="M56" s="118"/>
      <c r="N56" s="118"/>
      <c r="O56" s="118"/>
      <c r="P56" s="22">
        <f t="shared" si="7"/>
        <v>562.12</v>
      </c>
      <c r="Q56" s="12"/>
      <c r="R56" s="12"/>
    </row>
    <row r="57" spans="1:18" ht="15">
      <c r="A57" s="43" t="s">
        <v>182</v>
      </c>
      <c r="B57" s="25" t="s">
        <v>180</v>
      </c>
      <c r="C57" s="26">
        <v>173452.51</v>
      </c>
      <c r="D57" s="26">
        <v>173452.51</v>
      </c>
      <c r="E57" s="26">
        <v>0</v>
      </c>
      <c r="F57" s="118"/>
      <c r="G57" s="26">
        <v>0</v>
      </c>
      <c r="H57" s="26"/>
      <c r="I57" s="118">
        <v>0</v>
      </c>
      <c r="J57" s="118"/>
      <c r="K57" s="118"/>
      <c r="L57" s="118"/>
      <c r="M57" s="118"/>
      <c r="N57" s="118"/>
      <c r="O57" s="118"/>
      <c r="P57" s="22">
        <f t="shared" si="7"/>
        <v>173452.51</v>
      </c>
      <c r="Q57" s="12"/>
      <c r="R57" s="12"/>
    </row>
    <row r="58" spans="1:18" ht="15">
      <c r="A58" s="43" t="s">
        <v>151</v>
      </c>
      <c r="B58" s="114" t="s">
        <v>95</v>
      </c>
      <c r="C58" s="118">
        <f>C59+C60</f>
        <v>300384.25</v>
      </c>
      <c r="D58" s="118">
        <f>D59+D60</f>
        <v>300384.25</v>
      </c>
      <c r="E58" s="26"/>
      <c r="F58" s="118"/>
      <c r="G58" s="26"/>
      <c r="H58" s="26"/>
      <c r="I58" s="118"/>
      <c r="J58" s="118"/>
      <c r="K58" s="118"/>
      <c r="L58" s="118"/>
      <c r="M58" s="118"/>
      <c r="N58" s="118"/>
      <c r="O58" s="118"/>
      <c r="P58" s="219">
        <f t="shared" si="7"/>
        <v>300384.25</v>
      </c>
      <c r="Q58" s="12"/>
      <c r="R58" s="12"/>
    </row>
    <row r="59" spans="1:18" ht="15">
      <c r="A59" s="43" t="s">
        <v>253</v>
      </c>
      <c r="B59" s="25" t="s">
        <v>218</v>
      </c>
      <c r="C59" s="26">
        <v>298812.42</v>
      </c>
      <c r="D59" s="26">
        <v>298812.42</v>
      </c>
      <c r="E59" s="26"/>
      <c r="F59" s="118"/>
      <c r="G59" s="26"/>
      <c r="H59" s="26"/>
      <c r="I59" s="118"/>
      <c r="J59" s="118"/>
      <c r="K59" s="118"/>
      <c r="L59" s="118"/>
      <c r="M59" s="118"/>
      <c r="N59" s="118"/>
      <c r="O59" s="118"/>
      <c r="P59" s="22">
        <f t="shared" si="7"/>
        <v>298812.42</v>
      </c>
      <c r="Q59" s="12"/>
      <c r="R59" s="12"/>
    </row>
    <row r="60" spans="1:18" ht="15">
      <c r="A60" s="43" t="s">
        <v>252</v>
      </c>
      <c r="B60" s="25" t="s">
        <v>254</v>
      </c>
      <c r="C60" s="26">
        <v>1571.83</v>
      </c>
      <c r="D60" s="26">
        <v>1571.83</v>
      </c>
      <c r="E60" s="26"/>
      <c r="F60" s="118"/>
      <c r="G60" s="26"/>
      <c r="H60" s="26"/>
      <c r="I60" s="118"/>
      <c r="J60" s="118"/>
      <c r="K60" s="118"/>
      <c r="L60" s="118"/>
      <c r="M60" s="118"/>
      <c r="N60" s="118"/>
      <c r="O60" s="118"/>
      <c r="P60" s="22">
        <f t="shared" si="7"/>
        <v>1571.83</v>
      </c>
      <c r="Q60" s="12"/>
      <c r="R60" s="12"/>
    </row>
    <row r="61" spans="1:18" ht="15">
      <c r="A61" s="43" t="s">
        <v>255</v>
      </c>
      <c r="B61" s="114" t="s">
        <v>108</v>
      </c>
      <c r="C61" s="118">
        <f>C62</f>
        <v>2376793.57</v>
      </c>
      <c r="D61" s="118">
        <f>D62</f>
        <v>2376793.57</v>
      </c>
      <c r="E61" s="26"/>
      <c r="F61" s="118"/>
      <c r="G61" s="26"/>
      <c r="H61" s="26"/>
      <c r="I61" s="118"/>
      <c r="J61" s="118"/>
      <c r="K61" s="118"/>
      <c r="L61" s="118"/>
      <c r="M61" s="118"/>
      <c r="N61" s="118"/>
      <c r="O61" s="118"/>
      <c r="P61" s="219">
        <f t="shared" si="7"/>
        <v>2376793.57</v>
      </c>
      <c r="Q61" s="12"/>
      <c r="R61" s="12"/>
    </row>
    <row r="62" spans="1:18" ht="15">
      <c r="A62" s="43" t="s">
        <v>256</v>
      </c>
      <c r="B62" s="25" t="s">
        <v>143</v>
      </c>
      <c r="C62" s="26">
        <v>2376793.57</v>
      </c>
      <c r="D62" s="26">
        <v>2376793.57</v>
      </c>
      <c r="E62" s="26"/>
      <c r="F62" s="118"/>
      <c r="G62" s="26"/>
      <c r="H62" s="26"/>
      <c r="I62" s="118"/>
      <c r="J62" s="118"/>
      <c r="K62" s="118"/>
      <c r="L62" s="118"/>
      <c r="M62" s="118"/>
      <c r="N62" s="118"/>
      <c r="O62" s="118"/>
      <c r="P62" s="22">
        <f t="shared" si="7"/>
        <v>2376793.57</v>
      </c>
      <c r="Q62" s="12"/>
      <c r="R62" s="12"/>
    </row>
    <row r="63" spans="1:18" ht="15">
      <c r="A63" s="43" t="s">
        <v>262</v>
      </c>
      <c r="B63" s="114" t="s">
        <v>257</v>
      </c>
      <c r="C63" s="118">
        <f>C64</f>
        <v>44989980</v>
      </c>
      <c r="D63" s="118">
        <f>D64</f>
        <v>44989980</v>
      </c>
      <c r="E63" s="26"/>
      <c r="F63" s="118"/>
      <c r="G63" s="26"/>
      <c r="H63" s="26"/>
      <c r="I63" s="118"/>
      <c r="J63" s="118"/>
      <c r="K63" s="118"/>
      <c r="L63" s="118"/>
      <c r="M63" s="118"/>
      <c r="N63" s="118"/>
      <c r="O63" s="118"/>
      <c r="P63" s="219">
        <f t="shared" si="7"/>
        <v>44989980</v>
      </c>
      <c r="Q63" s="12"/>
      <c r="R63" s="12"/>
    </row>
    <row r="64" spans="1:18" ht="15">
      <c r="A64" s="43" t="s">
        <v>259</v>
      </c>
      <c r="B64" s="25" t="s">
        <v>258</v>
      </c>
      <c r="C64" s="26">
        <v>44989980</v>
      </c>
      <c r="D64" s="26">
        <v>44989980</v>
      </c>
      <c r="E64" s="26"/>
      <c r="F64" s="118"/>
      <c r="G64" s="26"/>
      <c r="H64" s="26"/>
      <c r="I64" s="118"/>
      <c r="J64" s="118"/>
      <c r="K64" s="118"/>
      <c r="L64" s="118"/>
      <c r="M64" s="118"/>
      <c r="N64" s="118"/>
      <c r="O64" s="118"/>
      <c r="P64" s="22">
        <f t="shared" si="7"/>
        <v>44989980</v>
      </c>
      <c r="Q64" s="12"/>
      <c r="R64" s="12"/>
    </row>
    <row r="65" spans="1:17" ht="15">
      <c r="A65" s="43" t="s">
        <v>192</v>
      </c>
      <c r="B65" s="114" t="s">
        <v>260</v>
      </c>
      <c r="C65" s="118">
        <f>C66</f>
        <v>1792767.8</v>
      </c>
      <c r="D65" s="118">
        <f>D66</f>
        <v>1792767.8</v>
      </c>
      <c r="E65" s="26"/>
      <c r="F65" s="118"/>
      <c r="G65" s="26"/>
      <c r="H65" s="26"/>
      <c r="I65" s="118"/>
      <c r="J65" s="118"/>
      <c r="K65" s="118"/>
      <c r="L65" s="118"/>
      <c r="M65" s="118"/>
      <c r="N65" s="118"/>
      <c r="O65" s="118"/>
      <c r="P65" s="219">
        <f>P66</f>
        <v>1792767.8</v>
      </c>
      <c r="Q65" s="12"/>
    </row>
    <row r="66" spans="1:18" ht="15">
      <c r="A66" s="43" t="s">
        <v>263</v>
      </c>
      <c r="B66" s="25" t="s">
        <v>261</v>
      </c>
      <c r="C66" s="26">
        <v>1792767.8</v>
      </c>
      <c r="D66" s="26">
        <v>1792767.8</v>
      </c>
      <c r="E66" s="26"/>
      <c r="F66" s="118"/>
      <c r="G66" s="26"/>
      <c r="H66" s="26"/>
      <c r="I66" s="118"/>
      <c r="J66" s="118"/>
      <c r="K66" s="118"/>
      <c r="L66" s="118"/>
      <c r="M66" s="118"/>
      <c r="N66" s="118"/>
      <c r="O66" s="118"/>
      <c r="P66" s="22">
        <f t="shared" si="7"/>
        <v>1792767.8</v>
      </c>
      <c r="Q66" s="12"/>
      <c r="R66" s="12"/>
    </row>
    <row r="67" spans="1:18" ht="15">
      <c r="A67" s="43" t="s">
        <v>266</v>
      </c>
      <c r="B67" s="114" t="s">
        <v>264</v>
      </c>
      <c r="C67" s="118">
        <f>C68</f>
        <v>4311720</v>
      </c>
      <c r="D67" s="118">
        <f>D68</f>
        <v>4311720</v>
      </c>
      <c r="E67" s="26"/>
      <c r="F67" s="118"/>
      <c r="G67" s="26"/>
      <c r="H67" s="26"/>
      <c r="I67" s="118"/>
      <c r="J67" s="118"/>
      <c r="K67" s="118"/>
      <c r="L67" s="118"/>
      <c r="M67" s="118"/>
      <c r="N67" s="118"/>
      <c r="O67" s="118"/>
      <c r="P67" s="219">
        <f>P68</f>
        <v>4311720</v>
      </c>
      <c r="Q67" s="12"/>
      <c r="R67" s="12"/>
    </row>
    <row r="68" spans="1:18" ht="15.75" thickBot="1">
      <c r="A68" s="43" t="s">
        <v>265</v>
      </c>
      <c r="B68" s="25" t="s">
        <v>264</v>
      </c>
      <c r="C68" s="26">
        <v>4311720</v>
      </c>
      <c r="D68" s="26">
        <v>4311720</v>
      </c>
      <c r="E68" s="26"/>
      <c r="F68" s="118"/>
      <c r="G68" s="26"/>
      <c r="H68" s="26"/>
      <c r="I68" s="118"/>
      <c r="J68" s="118"/>
      <c r="K68" s="118"/>
      <c r="L68" s="118"/>
      <c r="M68" s="118"/>
      <c r="N68" s="118"/>
      <c r="O68" s="118"/>
      <c r="P68" s="221">
        <f t="shared" si="7"/>
        <v>4311720</v>
      </c>
      <c r="Q68" s="12"/>
      <c r="R68" s="12"/>
    </row>
    <row r="69" spans="1:18" ht="15.75" thickBot="1">
      <c r="A69" s="77"/>
      <c r="B69" s="70" t="s">
        <v>59</v>
      </c>
      <c r="C69" s="32">
        <f aca="true" t="shared" si="10" ref="C69:P69">SUM(C70:C70)</f>
        <v>917095867.59</v>
      </c>
      <c r="D69" s="32">
        <f t="shared" si="10"/>
        <v>883425654.64</v>
      </c>
      <c r="E69" s="32">
        <f t="shared" si="10"/>
        <v>34164650.95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>I70</f>
        <v>0</v>
      </c>
      <c r="J69" s="32">
        <f>SUM(J23:J57)</f>
        <v>0</v>
      </c>
      <c r="K69" s="32"/>
      <c r="L69" s="32">
        <f t="shared" si="10"/>
        <v>0</v>
      </c>
      <c r="M69" s="32"/>
      <c r="N69" s="32"/>
      <c r="O69" s="220">
        <f t="shared" si="10"/>
        <v>0</v>
      </c>
      <c r="P69" s="222">
        <f t="shared" si="10"/>
        <v>917095867.59</v>
      </c>
      <c r="Q69" s="12"/>
      <c r="R69" s="12"/>
    </row>
    <row r="70" spans="1:20" ht="15" thickBot="1">
      <c r="A70" s="45" t="s">
        <v>77</v>
      </c>
      <c r="B70" s="25" t="s">
        <v>57</v>
      </c>
      <c r="C70" s="147">
        <f>917590305.59-494438</f>
        <v>917095867.59</v>
      </c>
      <c r="D70" s="27">
        <v>883425654.64</v>
      </c>
      <c r="E70" s="26">
        <v>34164650.95</v>
      </c>
      <c r="F70" s="26">
        <v>0</v>
      </c>
      <c r="G70" s="129"/>
      <c r="H70" s="129">
        <v>0</v>
      </c>
      <c r="I70" s="129">
        <v>0</v>
      </c>
      <c r="J70" s="129">
        <v>-494438</v>
      </c>
      <c r="K70" s="129"/>
      <c r="L70" s="129">
        <v>0</v>
      </c>
      <c r="M70" s="129"/>
      <c r="N70" s="129"/>
      <c r="O70" s="129">
        <v>0</v>
      </c>
      <c r="P70" s="23">
        <f>SUM(D70:J70)</f>
        <v>917095867.59</v>
      </c>
      <c r="Q70" s="12"/>
      <c r="R70" s="12"/>
      <c r="S70" s="12"/>
      <c r="T70" s="12"/>
    </row>
    <row r="71" spans="1:20" ht="18" thickBot="1">
      <c r="A71" s="286" t="s">
        <v>50</v>
      </c>
      <c r="B71" s="287"/>
      <c r="C71" s="29">
        <f>SUM(C15+C69)</f>
        <v>1422456114.01</v>
      </c>
      <c r="D71" s="29">
        <f aca="true" t="shared" si="11" ref="D71:O71">SUM(D15+D69)</f>
        <v>883425654.64</v>
      </c>
      <c r="E71" s="29">
        <f t="shared" si="11"/>
        <v>34164650.95</v>
      </c>
      <c r="F71" s="29">
        <f t="shared" si="11"/>
        <v>0</v>
      </c>
      <c r="G71" s="29">
        <f t="shared" si="11"/>
        <v>0</v>
      </c>
      <c r="H71" s="29">
        <f t="shared" si="11"/>
        <v>0</v>
      </c>
      <c r="I71" s="29">
        <f t="shared" si="11"/>
        <v>0</v>
      </c>
      <c r="J71" s="29">
        <f t="shared" si="11"/>
        <v>0</v>
      </c>
      <c r="K71" s="29">
        <f t="shared" si="11"/>
        <v>0</v>
      </c>
      <c r="L71" s="29">
        <f t="shared" si="11"/>
        <v>0</v>
      </c>
      <c r="M71" s="29">
        <f t="shared" si="11"/>
        <v>0</v>
      </c>
      <c r="N71" s="29">
        <f t="shared" si="11"/>
        <v>0</v>
      </c>
      <c r="O71" s="29">
        <f t="shared" si="11"/>
        <v>0</v>
      </c>
      <c r="P71" s="29">
        <f>SUM(P15+P69)</f>
        <v>1422456114.01</v>
      </c>
      <c r="Q71" s="12"/>
      <c r="R71" s="12"/>
      <c r="S71" s="12"/>
      <c r="T71" s="12"/>
    </row>
    <row r="72" spans="1:20" ht="12.75">
      <c r="A72" s="10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12"/>
      <c r="R72" s="12"/>
      <c r="S72" s="12"/>
      <c r="T72" s="12"/>
    </row>
    <row r="73" spans="1:16" ht="12.75">
      <c r="A73" s="109"/>
      <c r="B73" s="5"/>
      <c r="C73" s="5"/>
      <c r="D73" s="5"/>
      <c r="E73" s="36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</row>
    <row r="74" spans="1:16" ht="12.75">
      <c r="A74" s="60">
        <f ca="1">TODAY()</f>
        <v>41632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</row>
    <row r="75" spans="1:19" ht="13.5" thickBot="1">
      <c r="A75" s="4"/>
      <c r="B75" s="74" t="s">
        <v>83</v>
      </c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R75" s="12"/>
      <c r="S75" s="12"/>
    </row>
    <row r="76" spans="1:19" ht="12.75">
      <c r="A76" s="4"/>
      <c r="B76" s="75" t="s">
        <v>112</v>
      </c>
      <c r="C76" s="3"/>
      <c r="D76" s="6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R76" s="12"/>
      <c r="S76" s="12"/>
    </row>
    <row r="77" spans="1:19" ht="13.5" thickBo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  <c r="R77" s="12"/>
      <c r="S77" s="12"/>
    </row>
    <row r="78" spans="18:19" ht="12.75">
      <c r="R78" s="12"/>
      <c r="S78" s="12"/>
    </row>
    <row r="79" ht="12.75">
      <c r="R79" s="12"/>
    </row>
    <row r="85" ht="12.75">
      <c r="R85" s="12">
        <f>R78-R75</f>
        <v>0</v>
      </c>
    </row>
  </sheetData>
  <sheetProtection/>
  <mergeCells count="8">
    <mergeCell ref="A5:P5"/>
    <mergeCell ref="A71:B71"/>
    <mergeCell ref="A1:P1"/>
    <mergeCell ref="A2:P2"/>
    <mergeCell ref="A3:P3"/>
    <mergeCell ref="A4:P4"/>
    <mergeCell ref="A6:B6"/>
    <mergeCell ref="A7:B7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600" verticalDpi="600" orientation="landscape" paperSize="5" scale="50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30"/>
  <sheetViews>
    <sheetView zoomScale="93" zoomScaleNormal="93" zoomScalePageLayoutView="0" workbookViewId="0" topLeftCell="N28">
      <selection activeCell="AD21" sqref="AD21"/>
    </sheetView>
  </sheetViews>
  <sheetFormatPr defaultColWidth="11.421875" defaultRowHeight="12.75"/>
  <cols>
    <col min="1" max="1" width="17.28125" style="1" customWidth="1"/>
    <col min="2" max="2" width="50.57421875" style="1" customWidth="1"/>
    <col min="3" max="3" width="22.8515625" style="1" customWidth="1"/>
    <col min="4" max="4" width="16.00390625" style="1" hidden="1" customWidth="1"/>
    <col min="5" max="5" width="17.28125" style="1" hidden="1" customWidth="1"/>
    <col min="6" max="6" width="20.421875" style="1" hidden="1" customWidth="1"/>
    <col min="7" max="7" width="20.140625" style="1" hidden="1" customWidth="1"/>
    <col min="8" max="8" width="21.57421875" style="1" hidden="1" customWidth="1"/>
    <col min="9" max="9" width="19.7109375" style="1" hidden="1" customWidth="1"/>
    <col min="10" max="11" width="19.00390625" style="1" hidden="1" customWidth="1"/>
    <col min="12" max="12" width="18.57421875" style="1" hidden="1" customWidth="1"/>
    <col min="13" max="13" width="17.00390625" style="1" hidden="1" customWidth="1"/>
    <col min="14" max="14" width="18.8515625" style="1" customWidth="1"/>
    <col min="15" max="15" width="18.14062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18.57421875" style="1" hidden="1" customWidth="1"/>
    <col min="22" max="22" width="17.8515625" style="1" hidden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7.28125" style="1" customWidth="1"/>
    <col min="28" max="28" width="15.421875" style="1" hidden="1" customWidth="1"/>
    <col min="29" max="29" width="19.00390625" style="1" customWidth="1"/>
    <col min="30" max="30" width="21.140625" style="1" customWidth="1"/>
    <col min="31" max="31" width="21.00390625" style="1" customWidth="1"/>
    <col min="32" max="32" width="17.28125" style="1" hidden="1" customWidth="1"/>
    <col min="33" max="33" width="14.00390625" style="1" hidden="1" customWidth="1"/>
    <col min="34" max="34" width="15.28125" style="1" bestFit="1" customWidth="1"/>
    <col min="35" max="36" width="0" style="1" hidden="1" customWidth="1"/>
    <col min="37" max="37" width="11.7109375" style="1" hidden="1" customWidth="1"/>
    <col min="38" max="38" width="15.28125" style="132" bestFit="1" customWidth="1"/>
    <col min="39" max="39" width="14.57421875" style="1" customWidth="1"/>
    <col min="40" max="40" width="15.28125" style="1" bestFit="1" customWidth="1"/>
    <col min="41" max="16384" width="11.421875" style="1" customWidth="1"/>
  </cols>
  <sheetData>
    <row r="1" spans="1:29" ht="17.2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29" ht="15">
      <c r="A2" s="274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 ht="17.25">
      <c r="A3" s="277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</row>
    <row r="4" spans="1:29" ht="15">
      <c r="A4" s="274" t="s">
        <v>268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</row>
    <row r="5" spans="1:29" ht="21" thickBot="1">
      <c r="A5" s="280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</row>
    <row r="6" spans="1:40" ht="15">
      <c r="A6" s="294" t="s">
        <v>4</v>
      </c>
      <c r="B6" s="295"/>
      <c r="C6" s="172" t="s">
        <v>48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 t="s">
        <v>275</v>
      </c>
      <c r="Q6" s="175"/>
      <c r="R6" s="175"/>
      <c r="S6" s="175"/>
      <c r="T6" s="175"/>
      <c r="U6" s="176"/>
      <c r="V6" s="175"/>
      <c r="W6" s="175"/>
      <c r="X6" s="175"/>
      <c r="Y6" s="175"/>
      <c r="Z6" s="175"/>
      <c r="AA6" s="175"/>
      <c r="AB6" s="175"/>
      <c r="AC6" s="177"/>
      <c r="AD6" s="5"/>
      <c r="AN6" s="206"/>
    </row>
    <row r="7" spans="1:40" ht="15.75" thickBot="1">
      <c r="A7" s="284" t="s">
        <v>5</v>
      </c>
      <c r="B7" s="285"/>
      <c r="C7" s="64" t="s">
        <v>55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66" t="s">
        <v>199</v>
      </c>
      <c r="Q7" s="68"/>
      <c r="R7" s="64">
        <v>2012</v>
      </c>
      <c r="S7" s="68"/>
      <c r="T7" s="68"/>
      <c r="U7" s="55"/>
      <c r="V7" s="68"/>
      <c r="W7" s="68"/>
      <c r="X7" s="68"/>
      <c r="Y7" s="68"/>
      <c r="Z7" s="68"/>
      <c r="AA7" s="68"/>
      <c r="AB7" s="68"/>
      <c r="AC7" s="178"/>
      <c r="AD7" s="39"/>
      <c r="AE7" s="39"/>
      <c r="AN7" s="206"/>
    </row>
    <row r="8" spans="1:40" ht="12.75">
      <c r="A8" s="97"/>
      <c r="B8" s="98"/>
      <c r="C8" s="98" t="s">
        <v>53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12"/>
      <c r="AN8" s="206"/>
    </row>
    <row r="9" spans="1:40" ht="12.75">
      <c r="A9" s="99" t="s">
        <v>40</v>
      </c>
      <c r="B9" s="99" t="s">
        <v>42</v>
      </c>
      <c r="C9" s="99" t="s">
        <v>54</v>
      </c>
      <c r="D9" s="99" t="s">
        <v>45</v>
      </c>
      <c r="E9" s="99" t="s">
        <v>45</v>
      </c>
      <c r="F9" s="99" t="s">
        <v>45</v>
      </c>
      <c r="G9" s="99" t="s">
        <v>45</v>
      </c>
      <c r="H9" s="99" t="s">
        <v>45</v>
      </c>
      <c r="I9" s="99" t="s">
        <v>45</v>
      </c>
      <c r="J9" s="99" t="s">
        <v>45</v>
      </c>
      <c r="K9" s="99" t="s">
        <v>45</v>
      </c>
      <c r="L9" s="99" t="s">
        <v>45</v>
      </c>
      <c r="M9" s="99" t="s">
        <v>45</v>
      </c>
      <c r="N9" s="99" t="s">
        <v>45</v>
      </c>
      <c r="O9" s="99" t="s">
        <v>45</v>
      </c>
      <c r="P9" s="99" t="s">
        <v>45</v>
      </c>
      <c r="Q9" s="99" t="s">
        <v>46</v>
      </c>
      <c r="R9" s="99" t="s">
        <v>46</v>
      </c>
      <c r="S9" s="99" t="s">
        <v>46</v>
      </c>
      <c r="T9" s="99" t="s">
        <v>46</v>
      </c>
      <c r="U9" s="99" t="s">
        <v>46</v>
      </c>
      <c r="V9" s="99" t="s">
        <v>46</v>
      </c>
      <c r="W9" s="99" t="s">
        <v>46</v>
      </c>
      <c r="X9" s="99" t="s">
        <v>46</v>
      </c>
      <c r="Y9" s="99" t="s">
        <v>46</v>
      </c>
      <c r="Z9" s="99" t="s">
        <v>46</v>
      </c>
      <c r="AA9" s="99" t="s">
        <v>46</v>
      </c>
      <c r="AB9" s="99" t="s">
        <v>46</v>
      </c>
      <c r="AC9" s="99" t="s">
        <v>46</v>
      </c>
      <c r="AD9" s="12"/>
      <c r="AE9" s="12"/>
      <c r="AN9" s="206"/>
    </row>
    <row r="10" spans="1:40" ht="13.5" thickBot="1">
      <c r="A10" s="100" t="s">
        <v>41</v>
      </c>
      <c r="B10" s="100"/>
      <c r="C10" s="100" t="s">
        <v>86</v>
      </c>
      <c r="D10" s="100" t="s">
        <v>13</v>
      </c>
      <c r="E10" s="100" t="s">
        <v>14</v>
      </c>
      <c r="F10" s="100" t="s">
        <v>15</v>
      </c>
      <c r="G10" s="100" t="s">
        <v>16</v>
      </c>
      <c r="H10" s="100" t="s">
        <v>28</v>
      </c>
      <c r="I10" s="100" t="s">
        <v>29</v>
      </c>
      <c r="J10" s="100" t="s">
        <v>30</v>
      </c>
      <c r="K10" s="100" t="s">
        <v>20</v>
      </c>
      <c r="L10" s="100" t="s">
        <v>88</v>
      </c>
      <c r="M10" s="100" t="s">
        <v>31</v>
      </c>
      <c r="N10" s="100" t="s">
        <v>23</v>
      </c>
      <c r="O10" s="100" t="s">
        <v>24</v>
      </c>
      <c r="P10" s="100" t="s">
        <v>47</v>
      </c>
      <c r="Q10" s="100" t="s">
        <v>13</v>
      </c>
      <c r="R10" s="100" t="s">
        <v>14</v>
      </c>
      <c r="S10" s="100" t="s">
        <v>15</v>
      </c>
      <c r="T10" s="100" t="s">
        <v>16</v>
      </c>
      <c r="U10" s="100" t="s">
        <v>28</v>
      </c>
      <c r="V10" s="100" t="s">
        <v>29</v>
      </c>
      <c r="W10" s="100" t="s">
        <v>30</v>
      </c>
      <c r="X10" s="100" t="s">
        <v>20</v>
      </c>
      <c r="Y10" s="100" t="s">
        <v>88</v>
      </c>
      <c r="Z10" s="100" t="s">
        <v>31</v>
      </c>
      <c r="AA10" s="100" t="s">
        <v>23</v>
      </c>
      <c r="AB10" s="100" t="s">
        <v>24</v>
      </c>
      <c r="AC10" s="100" t="s">
        <v>25</v>
      </c>
      <c r="AN10" s="206"/>
    </row>
    <row r="11" spans="1:40" ht="13.5" thickBot="1">
      <c r="A11" s="101">
        <v>1</v>
      </c>
      <c r="B11" s="102">
        <v>2</v>
      </c>
      <c r="C11" s="102"/>
      <c r="D11" s="102"/>
      <c r="E11" s="102"/>
      <c r="F11" s="102">
        <v>5</v>
      </c>
      <c r="G11" s="102">
        <v>5</v>
      </c>
      <c r="H11" s="102">
        <v>5</v>
      </c>
      <c r="I11" s="102">
        <v>5</v>
      </c>
      <c r="J11" s="102">
        <v>5</v>
      </c>
      <c r="K11" s="102">
        <v>5</v>
      </c>
      <c r="L11" s="102">
        <v>5</v>
      </c>
      <c r="M11" s="102">
        <v>5</v>
      </c>
      <c r="N11" s="102">
        <v>5</v>
      </c>
      <c r="O11" s="102">
        <v>5</v>
      </c>
      <c r="P11" s="102">
        <v>6</v>
      </c>
      <c r="Q11" s="102"/>
      <c r="R11" s="102"/>
      <c r="S11" s="102">
        <v>7</v>
      </c>
      <c r="T11" s="102">
        <v>7</v>
      </c>
      <c r="U11" s="102">
        <v>7</v>
      </c>
      <c r="V11" s="102">
        <v>7</v>
      </c>
      <c r="W11" s="102">
        <v>7</v>
      </c>
      <c r="X11" s="102">
        <v>7</v>
      </c>
      <c r="Y11" s="102">
        <v>7</v>
      </c>
      <c r="Z11" s="102">
        <v>7</v>
      </c>
      <c r="AA11" s="102">
        <v>7</v>
      </c>
      <c r="AB11" s="102">
        <v>7</v>
      </c>
      <c r="AC11" s="103">
        <v>8</v>
      </c>
      <c r="AH11" s="223"/>
      <c r="AN11" s="206"/>
    </row>
    <row r="12" spans="1:38" s="28" customFormat="1" ht="15.75" thickBot="1">
      <c r="A12" s="30"/>
      <c r="B12" s="69" t="s">
        <v>58</v>
      </c>
      <c r="C12" s="31">
        <f>C15+C13</f>
        <v>1254519334.21</v>
      </c>
      <c r="D12" s="31">
        <f aca="true" t="shared" si="0" ref="D12:AB12">D15</f>
        <v>293.62</v>
      </c>
      <c r="E12" s="31">
        <f t="shared" si="0"/>
        <v>28068018.019999996</v>
      </c>
      <c r="F12" s="31">
        <f t="shared" si="0"/>
        <v>392240824.72999996</v>
      </c>
      <c r="G12" s="31">
        <f t="shared" si="0"/>
        <v>314800919.86</v>
      </c>
      <c r="H12" s="31">
        <f>H15+H13</f>
        <v>1720823.08</v>
      </c>
      <c r="I12" s="31">
        <f t="shared" si="0"/>
        <v>317317578.4</v>
      </c>
      <c r="J12" s="31">
        <f t="shared" si="0"/>
        <v>198371298.41</v>
      </c>
      <c r="K12" s="31">
        <f t="shared" si="0"/>
        <v>0</v>
      </c>
      <c r="L12" s="31">
        <f>L15</f>
        <v>1645751.6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>P15+P13</f>
        <v>1254165507.7199998</v>
      </c>
      <c r="Q12" s="31">
        <f t="shared" si="0"/>
        <v>0</v>
      </c>
      <c r="R12" s="31">
        <f t="shared" si="0"/>
        <v>30751158.279999997</v>
      </c>
      <c r="S12" s="31">
        <f>S15</f>
        <v>344150824.73999995</v>
      </c>
      <c r="T12" s="31">
        <f t="shared" si="0"/>
        <v>686392553.36</v>
      </c>
      <c r="U12" s="31">
        <f>U15+U13</f>
        <v>3441646.16</v>
      </c>
      <c r="V12" s="31">
        <f t="shared" si="0"/>
        <v>317317578.40000004</v>
      </c>
      <c r="W12" s="31">
        <f t="shared" si="0"/>
        <v>198371298.41</v>
      </c>
      <c r="X12" s="31">
        <f>X15</f>
        <v>0</v>
      </c>
      <c r="Y12" s="31">
        <f>Y15</f>
        <v>1645751.6</v>
      </c>
      <c r="Z12" s="31">
        <f t="shared" si="0"/>
        <v>0</v>
      </c>
      <c r="AA12" s="31">
        <f t="shared" si="0"/>
        <v>0</v>
      </c>
      <c r="AB12" s="31">
        <f t="shared" si="0"/>
        <v>0</v>
      </c>
      <c r="AC12" s="179">
        <f>AC15+AC13</f>
        <v>1254165507.7199998</v>
      </c>
      <c r="AD12" s="40"/>
      <c r="AL12" s="228"/>
    </row>
    <row r="13" spans="1:40" s="28" customFormat="1" ht="15.75" thickBot="1">
      <c r="A13" s="72"/>
      <c r="B13" s="70" t="s">
        <v>60</v>
      </c>
      <c r="C13" s="31">
        <f>+C14</f>
        <v>0</v>
      </c>
      <c r="D13" s="31">
        <f>+D14</f>
        <v>0</v>
      </c>
      <c r="E13" s="31"/>
      <c r="F13" s="31"/>
      <c r="G13" s="31"/>
      <c r="H13" s="31">
        <f>+H14</f>
        <v>0</v>
      </c>
      <c r="I13" s="31"/>
      <c r="J13" s="31"/>
      <c r="K13" s="31"/>
      <c r="L13" s="31"/>
      <c r="M13" s="31"/>
      <c r="N13" s="31"/>
      <c r="O13" s="31"/>
      <c r="P13" s="31">
        <f>+P14</f>
        <v>0</v>
      </c>
      <c r="Q13" s="31">
        <f>+Q14</f>
        <v>0</v>
      </c>
      <c r="R13" s="31"/>
      <c r="S13" s="31"/>
      <c r="T13" s="31"/>
      <c r="U13" s="31">
        <f>+U14</f>
        <v>0</v>
      </c>
      <c r="V13" s="31"/>
      <c r="W13" s="31"/>
      <c r="X13" s="31"/>
      <c r="Y13" s="31"/>
      <c r="Z13" s="31"/>
      <c r="AA13" s="31"/>
      <c r="AB13" s="31"/>
      <c r="AC13" s="179">
        <f>+AC14</f>
        <v>0</v>
      </c>
      <c r="AD13" s="40"/>
      <c r="AF13" s="12"/>
      <c r="AL13" s="228"/>
      <c r="AN13" s="206"/>
    </row>
    <row r="14" spans="1:40" s="28" customFormat="1" ht="15.75" thickBot="1">
      <c r="A14" s="43" t="s">
        <v>122</v>
      </c>
      <c r="B14" s="37" t="s">
        <v>49</v>
      </c>
      <c r="C14" s="159">
        <v>0</v>
      </c>
      <c r="D14" s="159">
        <v>0</v>
      </c>
      <c r="E14" s="159"/>
      <c r="F14" s="159"/>
      <c r="G14" s="159"/>
      <c r="H14" s="159">
        <v>0</v>
      </c>
      <c r="I14" s="159"/>
      <c r="J14" s="159"/>
      <c r="K14" s="159"/>
      <c r="L14" s="159"/>
      <c r="M14" s="159"/>
      <c r="N14" s="159"/>
      <c r="O14" s="159"/>
      <c r="P14" s="127">
        <f>SUM(D14:O14)</f>
        <v>0</v>
      </c>
      <c r="Q14" s="159">
        <v>0</v>
      </c>
      <c r="R14" s="159"/>
      <c r="S14" s="159"/>
      <c r="T14" s="159"/>
      <c r="U14" s="159">
        <v>0</v>
      </c>
      <c r="V14" s="159">
        <v>0</v>
      </c>
      <c r="W14" s="159"/>
      <c r="X14" s="159"/>
      <c r="Y14" s="159"/>
      <c r="Z14" s="159"/>
      <c r="AA14" s="159"/>
      <c r="AB14" s="159"/>
      <c r="AC14" s="127">
        <f>SUM(Q14:AB14)</f>
        <v>0</v>
      </c>
      <c r="AD14" s="40"/>
      <c r="AF14" s="12"/>
      <c r="AL14" s="228"/>
      <c r="AN14" s="206"/>
    </row>
    <row r="15" spans="1:38" s="12" customFormat="1" ht="15.75" thickBot="1">
      <c r="A15" s="72"/>
      <c r="B15" s="70" t="s">
        <v>61</v>
      </c>
      <c r="C15" s="42">
        <f>C18+C16</f>
        <v>1254519334.21</v>
      </c>
      <c r="D15" s="42">
        <f>+D16+D18</f>
        <v>293.62</v>
      </c>
      <c r="E15" s="42">
        <f>E18+E16</f>
        <v>28068018.019999996</v>
      </c>
      <c r="F15" s="42">
        <f>F18+F16</f>
        <v>392240824.72999996</v>
      </c>
      <c r="G15" s="42">
        <f>G18+G16</f>
        <v>314800919.86</v>
      </c>
      <c r="H15" s="42">
        <f>H18+H16</f>
        <v>1720823.08</v>
      </c>
      <c r="I15" s="42">
        <f aca="true" t="shared" si="1" ref="I15:O15">I18</f>
        <v>317317578.4</v>
      </c>
      <c r="J15" s="42">
        <f t="shared" si="1"/>
        <v>198371298.41</v>
      </c>
      <c r="K15" s="42">
        <f t="shared" si="1"/>
        <v>0</v>
      </c>
      <c r="L15" s="42">
        <f>L18</f>
        <v>1645751.6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>+P16+P18</f>
        <v>1254165507.7199998</v>
      </c>
      <c r="Q15" s="42">
        <f>+Q16+Q18</f>
        <v>0</v>
      </c>
      <c r="R15" s="42">
        <f>R18+R16</f>
        <v>30751158.279999997</v>
      </c>
      <c r="S15" s="42">
        <f>S18+S16</f>
        <v>344150824.73999995</v>
      </c>
      <c r="T15" s="42">
        <f>T18+T16</f>
        <v>686392553.36</v>
      </c>
      <c r="U15" s="42">
        <f>U18+U16</f>
        <v>3441646.16</v>
      </c>
      <c r="V15" s="42">
        <f aca="true" t="shared" si="2" ref="V15:AB15">V18</f>
        <v>317317578.40000004</v>
      </c>
      <c r="W15" s="42">
        <f t="shared" si="2"/>
        <v>198371298.41</v>
      </c>
      <c r="X15" s="42">
        <f t="shared" si="2"/>
        <v>0</v>
      </c>
      <c r="Y15" s="42">
        <f>Y18</f>
        <v>1645751.6</v>
      </c>
      <c r="Z15" s="42">
        <f t="shared" si="2"/>
        <v>0</v>
      </c>
      <c r="AA15" s="42">
        <f t="shared" si="2"/>
        <v>0</v>
      </c>
      <c r="AB15" s="42">
        <f t="shared" si="2"/>
        <v>0</v>
      </c>
      <c r="AC15" s="180">
        <f>+AC16+AC18</f>
        <v>1254165507.7199998</v>
      </c>
      <c r="AD15" s="239"/>
      <c r="AL15" s="201"/>
    </row>
    <row r="16" spans="1:38" s="12" customFormat="1" ht="15">
      <c r="A16" s="43" t="s">
        <v>123</v>
      </c>
      <c r="B16" s="213" t="s">
        <v>153</v>
      </c>
      <c r="C16" s="118">
        <f>C17</f>
        <v>1721.6000000000001</v>
      </c>
      <c r="D16" s="118">
        <f>+D17</f>
        <v>293.62</v>
      </c>
      <c r="E16" s="160">
        <f>E17</f>
        <v>651.8</v>
      </c>
      <c r="F16" s="160">
        <f aca="true" t="shared" si="3" ref="F16:AB16">+F17</f>
        <v>173.07</v>
      </c>
      <c r="G16" s="160">
        <f t="shared" si="3"/>
        <v>603.11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  <c r="N16" s="160">
        <f t="shared" si="3"/>
        <v>0</v>
      </c>
      <c r="O16" s="160">
        <f t="shared" si="3"/>
        <v>0</v>
      </c>
      <c r="P16" s="160">
        <f t="shared" si="3"/>
        <v>1721.6</v>
      </c>
      <c r="Q16" s="26">
        <f t="shared" si="3"/>
        <v>0</v>
      </c>
      <c r="R16" s="160">
        <f t="shared" si="3"/>
        <v>945.42</v>
      </c>
      <c r="S16" s="160">
        <f t="shared" si="3"/>
        <v>173.07</v>
      </c>
      <c r="T16" s="160">
        <f t="shared" si="3"/>
        <v>603.11</v>
      </c>
      <c r="U16" s="160">
        <f t="shared" si="3"/>
        <v>0</v>
      </c>
      <c r="V16" s="160">
        <f t="shared" si="3"/>
        <v>0</v>
      </c>
      <c r="W16" s="160">
        <f t="shared" si="3"/>
        <v>0</v>
      </c>
      <c r="X16" s="160">
        <f t="shared" si="3"/>
        <v>0</v>
      </c>
      <c r="Y16" s="160">
        <f t="shared" si="3"/>
        <v>0</v>
      </c>
      <c r="Z16" s="160">
        <f t="shared" si="3"/>
        <v>0</v>
      </c>
      <c r="AA16" s="160">
        <f t="shared" si="3"/>
        <v>0</v>
      </c>
      <c r="AB16" s="160">
        <f t="shared" si="3"/>
        <v>0</v>
      </c>
      <c r="AC16" s="181">
        <f>AC17</f>
        <v>1721.6</v>
      </c>
      <c r="AD16" s="40"/>
      <c r="AL16" s="201"/>
    </row>
    <row r="17" spans="1:45" s="12" customFormat="1" ht="15">
      <c r="A17" s="43" t="s">
        <v>155</v>
      </c>
      <c r="B17" s="25" t="s">
        <v>154</v>
      </c>
      <c r="C17" s="26">
        <f>8319-6467.2-130.2</f>
        <v>1721.6000000000001</v>
      </c>
      <c r="D17" s="26">
        <v>293.62</v>
      </c>
      <c r="E17" s="113">
        <v>651.8</v>
      </c>
      <c r="F17" s="46">
        <v>173.07</v>
      </c>
      <c r="G17" s="46">
        <v>603.11</v>
      </c>
      <c r="H17" s="46">
        <v>0</v>
      </c>
      <c r="I17" s="46">
        <v>0</v>
      </c>
      <c r="J17" s="46"/>
      <c r="K17" s="46"/>
      <c r="L17" s="46"/>
      <c r="M17" s="46"/>
      <c r="N17" s="46"/>
      <c r="O17" s="46"/>
      <c r="P17" s="113">
        <f>SUM(D17:O17)</f>
        <v>1721.6</v>
      </c>
      <c r="Q17" s="26">
        <v>0</v>
      </c>
      <c r="R17" s="46">
        <v>945.42</v>
      </c>
      <c r="S17" s="46">
        <v>173.07</v>
      </c>
      <c r="T17" s="46">
        <v>603.11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113">
        <f>SUM(Q17:AB17)</f>
        <v>1721.6</v>
      </c>
      <c r="AD17" s="40"/>
      <c r="AF17" s="206"/>
      <c r="AG17" s="206"/>
      <c r="AH17" s="206"/>
      <c r="AI17" s="206"/>
      <c r="AJ17" s="206"/>
      <c r="AK17" s="206"/>
      <c r="AL17" s="227"/>
      <c r="AM17" s="206"/>
      <c r="AN17" s="206"/>
      <c r="AO17" s="206"/>
      <c r="AP17" s="206"/>
      <c r="AQ17" s="206"/>
      <c r="AR17" s="206"/>
      <c r="AS17" s="206"/>
    </row>
    <row r="18" spans="1:45" s="12" customFormat="1" ht="15">
      <c r="A18" s="43" t="s">
        <v>117</v>
      </c>
      <c r="B18" s="114" t="s">
        <v>93</v>
      </c>
      <c r="C18" s="118">
        <f>+C23+C27+C37+C39+C45+C19+C21+C33+C43</f>
        <v>1254517612.6100001</v>
      </c>
      <c r="D18" s="118">
        <f>+D23+D28+D37+D39+D45</f>
        <v>0</v>
      </c>
      <c r="E18" s="118">
        <f>+E23+E27+E37+E39+E45+E21+E33</f>
        <v>28067366.219999995</v>
      </c>
      <c r="F18" s="118">
        <f>+F23+F27+F37+F39+F45+F21+F33+F19</f>
        <v>392240651.65999997</v>
      </c>
      <c r="G18" s="118">
        <f>+G23+G28+G37+G39+G45+G20+G31</f>
        <v>314800316.75</v>
      </c>
      <c r="H18" s="118">
        <f aca="true" t="shared" si="4" ref="H18:O18">+H23+H28+H37+H39+H45</f>
        <v>1720823.08</v>
      </c>
      <c r="I18" s="118">
        <f>+I23+I28+I37+I39+I45+I33+I19</f>
        <v>317317578.4</v>
      </c>
      <c r="J18" s="118">
        <f t="shared" si="4"/>
        <v>198371298.41</v>
      </c>
      <c r="K18" s="118">
        <f t="shared" si="4"/>
        <v>0</v>
      </c>
      <c r="L18" s="118">
        <f>+L23+L27+L37+L33+L45</f>
        <v>1645751.6</v>
      </c>
      <c r="M18" s="118">
        <f t="shared" si="4"/>
        <v>0</v>
      </c>
      <c r="N18" s="118">
        <f t="shared" si="4"/>
        <v>0</v>
      </c>
      <c r="O18" s="118">
        <f t="shared" si="4"/>
        <v>0</v>
      </c>
      <c r="P18" s="118">
        <f>+P23+P27+P37+P39+P45+P21+P33+P19</f>
        <v>1254163786.12</v>
      </c>
      <c r="Q18" s="118">
        <f aca="true" t="shared" si="5" ref="Q18:AB18">+Q23+Q27+Q37+Q39+Q45+Q21</f>
        <v>0</v>
      </c>
      <c r="R18" s="118">
        <f>+R23+R27+R37+R39+R45+R21+R33</f>
        <v>30750212.859999996</v>
      </c>
      <c r="S18" s="118">
        <f>+S23+S27+S33+S37+S39+S45+S21+S19</f>
        <v>344150651.66999996</v>
      </c>
      <c r="T18" s="118">
        <f>+T23+T27+T37+T39+T45+T21+T28+T20+T31</f>
        <v>686391950.25</v>
      </c>
      <c r="U18" s="118">
        <f t="shared" si="5"/>
        <v>3441646.16</v>
      </c>
      <c r="V18" s="118">
        <f>+V23+V27+V37+V39+V45+V21+V19+V33</f>
        <v>317317578.40000004</v>
      </c>
      <c r="W18" s="118">
        <f t="shared" si="5"/>
        <v>198371298.41</v>
      </c>
      <c r="X18" s="118">
        <f t="shared" si="5"/>
        <v>0</v>
      </c>
      <c r="Y18" s="118">
        <f>+Y23+Y27+Y37+Y39+Y45+Y21+Y33</f>
        <v>1645751.6</v>
      </c>
      <c r="Z18" s="118">
        <f t="shared" si="5"/>
        <v>0</v>
      </c>
      <c r="AA18" s="118">
        <f t="shared" si="5"/>
        <v>0</v>
      </c>
      <c r="AB18" s="118">
        <f t="shared" si="5"/>
        <v>0</v>
      </c>
      <c r="AC18" s="118">
        <f>+AC23+AC27+AC37+AC39+AC45+AC21+AC33+AC19</f>
        <v>1254163786.12</v>
      </c>
      <c r="AD18" s="40"/>
      <c r="AF18" s="206"/>
      <c r="AG18" s="206"/>
      <c r="AH18" s="206"/>
      <c r="AI18" s="206"/>
      <c r="AJ18" s="206"/>
      <c r="AK18" s="206"/>
      <c r="AL18" s="227"/>
      <c r="AM18" s="206"/>
      <c r="AN18" s="206"/>
      <c r="AO18" s="206"/>
      <c r="AP18" s="206"/>
      <c r="AQ18" s="206"/>
      <c r="AR18" s="206"/>
      <c r="AS18" s="206"/>
    </row>
    <row r="19" spans="1:45" s="12" customFormat="1" ht="15">
      <c r="A19" s="43" t="s">
        <v>146</v>
      </c>
      <c r="B19" s="213" t="s">
        <v>200</v>
      </c>
      <c r="C19" s="118">
        <f>C20</f>
        <v>620911830</v>
      </c>
      <c r="D19" s="118"/>
      <c r="E19" s="118">
        <f>E20</f>
        <v>0</v>
      </c>
      <c r="F19" s="118">
        <f>F20</f>
        <v>203236000</v>
      </c>
      <c r="G19" s="118"/>
      <c r="H19" s="118"/>
      <c r="I19" s="118">
        <f>I20</f>
        <v>315642830</v>
      </c>
      <c r="J19" s="118"/>
      <c r="K19" s="118"/>
      <c r="L19" s="118"/>
      <c r="M19" s="118"/>
      <c r="N19" s="118"/>
      <c r="O19" s="118"/>
      <c r="P19" s="118">
        <f>P20</f>
        <v>620911830</v>
      </c>
      <c r="Q19" s="118">
        <f>G19</f>
        <v>0</v>
      </c>
      <c r="R19" s="118">
        <f>H19</f>
        <v>0</v>
      </c>
      <c r="S19" s="118">
        <f>S20</f>
        <v>155146000</v>
      </c>
      <c r="T19" s="118"/>
      <c r="U19" s="118"/>
      <c r="V19" s="118">
        <f>V20</f>
        <v>315642830</v>
      </c>
      <c r="W19" s="118"/>
      <c r="X19" s="118"/>
      <c r="Y19" s="118"/>
      <c r="Z19" s="118"/>
      <c r="AA19" s="118">
        <v>0</v>
      </c>
      <c r="AB19" s="118"/>
      <c r="AC19" s="182">
        <f>AC20</f>
        <v>620911830</v>
      </c>
      <c r="AD19" s="206"/>
      <c r="AF19" s="206"/>
      <c r="AG19" s="206"/>
      <c r="AH19" s="206"/>
      <c r="AI19" s="206"/>
      <c r="AJ19" s="206"/>
      <c r="AK19" s="206"/>
      <c r="AL19" s="227"/>
      <c r="AM19" s="206"/>
      <c r="AN19" s="206"/>
      <c r="AO19" s="206"/>
      <c r="AP19" s="206"/>
      <c r="AQ19" s="206"/>
      <c r="AR19" s="206"/>
      <c r="AS19" s="206"/>
    </row>
    <row r="20" spans="1:45" s="12" customFormat="1" ht="15">
      <c r="A20" s="43" t="s">
        <v>220</v>
      </c>
      <c r="B20" s="25" t="s">
        <v>201</v>
      </c>
      <c r="C20" s="26">
        <v>620911830</v>
      </c>
      <c r="D20" s="118"/>
      <c r="E20" s="26">
        <v>0</v>
      </c>
      <c r="F20" s="26">
        <v>203236000</v>
      </c>
      <c r="G20" s="26">
        <v>102033000</v>
      </c>
      <c r="H20" s="118"/>
      <c r="I20" s="26">
        <v>315642830</v>
      </c>
      <c r="J20" s="118"/>
      <c r="K20" s="118"/>
      <c r="L20" s="118"/>
      <c r="M20" s="118"/>
      <c r="N20" s="118"/>
      <c r="O20" s="118"/>
      <c r="P20" s="46">
        <f>SUM(D20:O20)</f>
        <v>620911830</v>
      </c>
      <c r="Q20" s="118"/>
      <c r="R20" s="118"/>
      <c r="S20" s="26">
        <v>155146000</v>
      </c>
      <c r="T20" s="26">
        <v>48090000</v>
      </c>
      <c r="U20" s="46">
        <v>102033000</v>
      </c>
      <c r="V20" s="26">
        <v>315642830</v>
      </c>
      <c r="W20" s="118"/>
      <c r="X20" s="118"/>
      <c r="Y20" s="118"/>
      <c r="Z20" s="118"/>
      <c r="AA20" s="26">
        <v>0</v>
      </c>
      <c r="AB20" s="118"/>
      <c r="AC20" s="26">
        <f>SUM(Q20:AB20)</f>
        <v>620911830</v>
      </c>
      <c r="AD20" s="40"/>
      <c r="AF20" s="206"/>
      <c r="AG20" s="206"/>
      <c r="AH20" s="206"/>
      <c r="AI20" s="206"/>
      <c r="AJ20" s="206"/>
      <c r="AK20" s="206"/>
      <c r="AL20" s="227"/>
      <c r="AM20" s="206"/>
      <c r="AN20" s="206"/>
      <c r="AO20" s="206"/>
      <c r="AP20" s="206"/>
      <c r="AQ20" s="206"/>
      <c r="AR20" s="206"/>
      <c r="AS20" s="206"/>
    </row>
    <row r="21" spans="1:45" s="12" customFormat="1" ht="15">
      <c r="A21" s="43" t="s">
        <v>128</v>
      </c>
      <c r="B21" s="25" t="s">
        <v>202</v>
      </c>
      <c r="C21" s="118">
        <f>C22</f>
        <v>6018.720000000001</v>
      </c>
      <c r="D21" s="118"/>
      <c r="E21" s="118">
        <f>E22</f>
        <v>6018.72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>
        <f>P22</f>
        <v>6018.72</v>
      </c>
      <c r="Q21" s="118"/>
      <c r="R21" s="118">
        <f>R22</f>
        <v>6018.72</v>
      </c>
      <c r="S21" s="118"/>
      <c r="T21" s="118"/>
      <c r="U21" s="118"/>
      <c r="V21" s="118"/>
      <c r="W21" s="118"/>
      <c r="X21" s="118"/>
      <c r="Y21" s="118"/>
      <c r="Z21" s="118"/>
      <c r="AA21" s="118">
        <v>0</v>
      </c>
      <c r="AB21" s="118"/>
      <c r="AC21" s="118">
        <f>SUM(Q21:AB21)</f>
        <v>6018.72</v>
      </c>
      <c r="AD21" s="40"/>
      <c r="AF21" s="206"/>
      <c r="AG21" s="206"/>
      <c r="AH21" s="206"/>
      <c r="AI21" s="206"/>
      <c r="AJ21" s="206"/>
      <c r="AK21" s="206"/>
      <c r="AL21" s="227"/>
      <c r="AM21" s="206"/>
      <c r="AN21" s="206"/>
      <c r="AO21" s="206"/>
      <c r="AP21" s="206"/>
      <c r="AQ21" s="206"/>
      <c r="AR21" s="206"/>
      <c r="AS21" s="206"/>
    </row>
    <row r="22" spans="1:45" s="12" customFormat="1" ht="15">
      <c r="A22" s="43" t="s">
        <v>221</v>
      </c>
      <c r="B22" s="25" t="s">
        <v>203</v>
      </c>
      <c r="C22" s="26">
        <f>58180.96-52162.24</f>
        <v>6018.720000000001</v>
      </c>
      <c r="D22" s="118"/>
      <c r="E22" s="113">
        <v>6018.72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>
        <f>SUM(D22:O22)</f>
        <v>6018.72</v>
      </c>
      <c r="Q22" s="118"/>
      <c r="R22" s="26">
        <v>6018.72</v>
      </c>
      <c r="S22" s="118"/>
      <c r="T22" s="118"/>
      <c r="U22" s="118"/>
      <c r="V22" s="118"/>
      <c r="W22" s="118"/>
      <c r="X22" s="118"/>
      <c r="Y22" s="118"/>
      <c r="Z22" s="118"/>
      <c r="AA22" s="26">
        <v>0</v>
      </c>
      <c r="AB22" s="118"/>
      <c r="AC22" s="26">
        <f>SUM(Q22:AB22)</f>
        <v>6018.72</v>
      </c>
      <c r="AD22" s="40"/>
      <c r="AF22" s="206"/>
      <c r="AG22" s="206"/>
      <c r="AH22" s="206"/>
      <c r="AI22" s="206"/>
      <c r="AJ22" s="206"/>
      <c r="AK22" s="206"/>
      <c r="AL22" s="227"/>
      <c r="AM22" s="206"/>
      <c r="AN22" s="206"/>
      <c r="AO22" s="206"/>
      <c r="AP22" s="206"/>
      <c r="AQ22" s="206"/>
      <c r="AR22" s="206"/>
      <c r="AS22" s="206"/>
    </row>
    <row r="23" spans="1:45" s="12" customFormat="1" ht="15">
      <c r="A23" s="43" t="s">
        <v>158</v>
      </c>
      <c r="B23" s="213" t="s">
        <v>96</v>
      </c>
      <c r="C23" s="118">
        <f>SUM(C24:C26)</f>
        <v>9848029.649999999</v>
      </c>
      <c r="D23" s="118">
        <f aca="true" t="shared" si="6" ref="D23:AB23">SUM(D24:D27)</f>
        <v>0</v>
      </c>
      <c r="E23" s="118">
        <f>SUM(E24:E26)</f>
        <v>7165183</v>
      </c>
      <c r="F23" s="118">
        <f>SUM(F24:F26)</f>
        <v>2611680</v>
      </c>
      <c r="G23" s="118">
        <f t="shared" si="6"/>
        <v>0</v>
      </c>
      <c r="H23" s="118">
        <f t="shared" si="6"/>
        <v>0</v>
      </c>
      <c r="I23" s="118">
        <f>I25</f>
        <v>25956.64</v>
      </c>
      <c r="J23" s="118">
        <f>SUM(J24:J26)</f>
        <v>0</v>
      </c>
      <c r="K23" s="118">
        <f t="shared" si="6"/>
        <v>0</v>
      </c>
      <c r="L23" s="118">
        <f>SUM(L24:L26)</f>
        <v>45210.01</v>
      </c>
      <c r="M23" s="118">
        <f t="shared" si="6"/>
        <v>0</v>
      </c>
      <c r="N23" s="118">
        <f t="shared" si="6"/>
        <v>0</v>
      </c>
      <c r="O23" s="118">
        <f t="shared" si="6"/>
        <v>0</v>
      </c>
      <c r="P23" s="118">
        <f>SUM(P24:P26)</f>
        <v>9848029.649999999</v>
      </c>
      <c r="Q23" s="118">
        <f t="shared" si="6"/>
        <v>0</v>
      </c>
      <c r="R23" s="118">
        <f>SUM(R24:AB26)</f>
        <v>9848029.649999999</v>
      </c>
      <c r="S23" s="118">
        <f>SUM(S24:S26)</f>
        <v>2611680</v>
      </c>
      <c r="T23" s="118">
        <f t="shared" si="6"/>
        <v>212767316.75</v>
      </c>
      <c r="U23" s="118">
        <f t="shared" si="6"/>
        <v>1720823.08</v>
      </c>
      <c r="V23" s="118">
        <f>V25</f>
        <v>25956.64</v>
      </c>
      <c r="W23" s="118">
        <f>SUM(W24:W26)</f>
        <v>0</v>
      </c>
      <c r="X23" s="118">
        <f t="shared" si="6"/>
        <v>0</v>
      </c>
      <c r="Y23" s="118">
        <f>SUM(Y24:Y26)</f>
        <v>45210.01</v>
      </c>
      <c r="Z23" s="118">
        <f t="shared" si="6"/>
        <v>0</v>
      </c>
      <c r="AA23" s="118">
        <f t="shared" si="6"/>
        <v>0</v>
      </c>
      <c r="AB23" s="118">
        <f t="shared" si="6"/>
        <v>0</v>
      </c>
      <c r="AC23" s="182">
        <f>SUM(AC24:AC26)</f>
        <v>9848029.649999999</v>
      </c>
      <c r="AD23" s="40"/>
      <c r="AF23" s="206"/>
      <c r="AG23" s="206"/>
      <c r="AH23" s="206"/>
      <c r="AI23" s="206"/>
      <c r="AJ23" s="206"/>
      <c r="AK23" s="206"/>
      <c r="AL23" s="227"/>
      <c r="AM23" s="206"/>
      <c r="AN23" s="206"/>
      <c r="AO23" s="206"/>
      <c r="AP23" s="206"/>
      <c r="AQ23" s="206"/>
      <c r="AR23" s="206"/>
      <c r="AS23" s="206"/>
    </row>
    <row r="24" spans="1:45" s="12" customFormat="1" ht="15">
      <c r="A24" s="43" t="s">
        <v>160</v>
      </c>
      <c r="B24" s="25" t="s">
        <v>159</v>
      </c>
      <c r="C24" s="26">
        <v>45210.01</v>
      </c>
      <c r="D24" s="26">
        <v>0</v>
      </c>
      <c r="E24" s="26">
        <v>0</v>
      </c>
      <c r="F24" s="26"/>
      <c r="G24" s="26"/>
      <c r="H24" s="26">
        <v>0</v>
      </c>
      <c r="I24" s="26">
        <v>0</v>
      </c>
      <c r="J24" s="26"/>
      <c r="K24" s="26"/>
      <c r="L24" s="26">
        <v>45210.01</v>
      </c>
      <c r="M24" s="26"/>
      <c r="N24" s="26"/>
      <c r="O24" s="26"/>
      <c r="P24" s="23">
        <f>SUM(D24:O24)</f>
        <v>45210.01</v>
      </c>
      <c r="Q24" s="26">
        <v>0</v>
      </c>
      <c r="R24" s="26"/>
      <c r="S24" s="26"/>
      <c r="T24" s="26"/>
      <c r="U24" s="26">
        <v>0</v>
      </c>
      <c r="V24" s="26">
        <v>0</v>
      </c>
      <c r="W24" s="26"/>
      <c r="X24" s="26"/>
      <c r="Y24" s="26">
        <v>45210.01</v>
      </c>
      <c r="Z24" s="26"/>
      <c r="AA24" s="26"/>
      <c r="AB24" s="26"/>
      <c r="AC24" s="23">
        <f aca="true" t="shared" si="7" ref="AC24:AC36">SUM(Q24:AB24)</f>
        <v>45210.01</v>
      </c>
      <c r="AD24" s="40"/>
      <c r="AE24" s="40"/>
      <c r="AF24" s="40"/>
      <c r="AG24" s="40"/>
      <c r="AH24" s="40"/>
      <c r="AI24" s="206"/>
      <c r="AJ24" s="206"/>
      <c r="AK24" s="206"/>
      <c r="AL24" s="227"/>
      <c r="AM24" s="206"/>
      <c r="AN24" s="206"/>
      <c r="AO24" s="206"/>
      <c r="AP24" s="206"/>
      <c r="AQ24" s="206"/>
      <c r="AR24" s="206"/>
      <c r="AS24" s="206"/>
    </row>
    <row r="25" spans="1:45" s="12" customFormat="1" ht="15">
      <c r="A25" s="43" t="s">
        <v>162</v>
      </c>
      <c r="B25" s="25" t="s">
        <v>130</v>
      </c>
      <c r="C25" s="26">
        <v>7191139.64</v>
      </c>
      <c r="D25" s="26">
        <v>0</v>
      </c>
      <c r="E25" s="26">
        <v>7165183</v>
      </c>
      <c r="F25" s="26"/>
      <c r="G25" s="26"/>
      <c r="H25" s="26">
        <v>0</v>
      </c>
      <c r="I25" s="26">
        <v>25956.64</v>
      </c>
      <c r="J25" s="26"/>
      <c r="K25" s="26"/>
      <c r="L25" s="26"/>
      <c r="M25" s="26"/>
      <c r="N25" s="26"/>
      <c r="O25" s="26"/>
      <c r="P25" s="26">
        <f>SUM(D25:O25)</f>
        <v>7191139.64</v>
      </c>
      <c r="Q25" s="26">
        <v>0</v>
      </c>
      <c r="R25" s="26">
        <v>7165183</v>
      </c>
      <c r="S25" s="26"/>
      <c r="T25" s="26"/>
      <c r="U25" s="26">
        <v>0</v>
      </c>
      <c r="V25" s="26">
        <v>25956.64</v>
      </c>
      <c r="W25" s="26"/>
      <c r="X25" s="26"/>
      <c r="Y25" s="26"/>
      <c r="Z25" s="26"/>
      <c r="AA25" s="26"/>
      <c r="AB25" s="26"/>
      <c r="AC25" s="23">
        <f t="shared" si="7"/>
        <v>7191139.64</v>
      </c>
      <c r="AD25" s="206"/>
      <c r="AF25" s="206"/>
      <c r="AG25" s="206"/>
      <c r="AH25" s="206"/>
      <c r="AI25" s="206"/>
      <c r="AJ25" s="206"/>
      <c r="AK25" s="206"/>
      <c r="AL25" s="227"/>
      <c r="AM25" s="206"/>
      <c r="AN25" s="206"/>
      <c r="AO25" s="206"/>
      <c r="AP25" s="206"/>
      <c r="AQ25" s="206"/>
      <c r="AR25" s="206"/>
      <c r="AS25" s="206"/>
    </row>
    <row r="26" spans="1:45" s="12" customFormat="1" ht="15">
      <c r="A26" s="43" t="s">
        <v>164</v>
      </c>
      <c r="B26" s="25" t="s">
        <v>204</v>
      </c>
      <c r="C26" s="26">
        <v>2611680</v>
      </c>
      <c r="D26" s="26">
        <v>0</v>
      </c>
      <c r="E26" s="26">
        <v>0</v>
      </c>
      <c r="F26" s="26">
        <v>2611680</v>
      </c>
      <c r="G26" s="26"/>
      <c r="H26" s="26">
        <v>0</v>
      </c>
      <c r="I26" s="26">
        <v>0</v>
      </c>
      <c r="J26" s="26"/>
      <c r="K26" s="26"/>
      <c r="L26" s="26"/>
      <c r="M26" s="26"/>
      <c r="N26" s="26"/>
      <c r="O26" s="26"/>
      <c r="P26" s="23">
        <f aca="true" t="shared" si="8" ref="P26:P46">SUM(D26:O26)</f>
        <v>2611680</v>
      </c>
      <c r="Q26" s="26">
        <v>0</v>
      </c>
      <c r="R26" s="26"/>
      <c r="S26" s="26">
        <v>2611680</v>
      </c>
      <c r="T26" s="26"/>
      <c r="U26" s="26">
        <v>0</v>
      </c>
      <c r="V26" s="26">
        <v>0</v>
      </c>
      <c r="W26" s="26"/>
      <c r="X26" s="26"/>
      <c r="Y26" s="26"/>
      <c r="Z26" s="26"/>
      <c r="AA26" s="26"/>
      <c r="AB26" s="26"/>
      <c r="AC26" s="26">
        <f t="shared" si="7"/>
        <v>2611680</v>
      </c>
      <c r="AD26" s="40"/>
      <c r="AF26" s="206"/>
      <c r="AG26" s="206"/>
      <c r="AH26" s="206"/>
      <c r="AI26" s="206"/>
      <c r="AJ26" s="206"/>
      <c r="AK26" s="206"/>
      <c r="AL26" s="227"/>
      <c r="AM26" s="206"/>
      <c r="AN26" s="206"/>
      <c r="AO26" s="206"/>
      <c r="AP26" s="206"/>
      <c r="AQ26" s="206"/>
      <c r="AR26" s="206"/>
      <c r="AS26" s="206"/>
    </row>
    <row r="27" spans="1:45" s="12" customFormat="1" ht="15">
      <c r="A27" s="43" t="s">
        <v>165</v>
      </c>
      <c r="B27" s="213" t="s">
        <v>97</v>
      </c>
      <c r="C27" s="118">
        <f>C28+C29+C30+C31+C32</f>
        <v>599910770.4000002</v>
      </c>
      <c r="D27" s="26">
        <v>0</v>
      </c>
      <c r="E27" s="118">
        <f>E28+E29+E30+E31+E32</f>
        <v>20896132.099999998</v>
      </c>
      <c r="F27" s="118">
        <f>F28+F29+F30+F31+F32</f>
        <v>163670171.66</v>
      </c>
      <c r="G27" s="26"/>
      <c r="H27" s="26">
        <v>0</v>
      </c>
      <c r="I27" s="118">
        <f>I28</f>
        <v>1371462.59</v>
      </c>
      <c r="J27" s="118">
        <f>J28+J29+J30+J31+J32</f>
        <v>198371298.41</v>
      </c>
      <c r="K27" s="26"/>
      <c r="L27" s="118">
        <f>L28+L29+L30+L31+L32</f>
        <v>1113565.81</v>
      </c>
      <c r="M27" s="26"/>
      <c r="N27" s="26"/>
      <c r="O27" s="26"/>
      <c r="P27" s="127">
        <f>P28+P29+P30+P31+P32</f>
        <v>599910770.4</v>
      </c>
      <c r="Q27" s="26">
        <v>0</v>
      </c>
      <c r="R27" s="118">
        <f>R28+R29+R30+R31+R32</f>
        <v>20896132.09</v>
      </c>
      <c r="S27" s="118">
        <f>S28+S29+S30+S31</f>
        <v>163670171.67</v>
      </c>
      <c r="T27" s="118">
        <f>+T28+T31</f>
        <v>212767316.75</v>
      </c>
      <c r="U27" s="118">
        <f>+U28+U31</f>
        <v>1720823.08</v>
      </c>
      <c r="V27" s="118">
        <f>V28</f>
        <v>1371462.59</v>
      </c>
      <c r="W27" s="118">
        <f>W28+W29+W30+W31+W32</f>
        <v>198371298.41</v>
      </c>
      <c r="X27" s="26"/>
      <c r="Y27" s="26">
        <f>Y28+Y29+Y30+Y31+Y32</f>
        <v>1113565.81</v>
      </c>
      <c r="Z27" s="26"/>
      <c r="AA27" s="26"/>
      <c r="AB27" s="26"/>
      <c r="AC27" s="127">
        <f t="shared" si="7"/>
        <v>599910770.3999999</v>
      </c>
      <c r="AD27" s="40"/>
      <c r="AF27" s="206"/>
      <c r="AG27" s="206"/>
      <c r="AH27" s="206"/>
      <c r="AI27" s="206"/>
      <c r="AJ27" s="206"/>
      <c r="AK27" s="206"/>
      <c r="AL27" s="227"/>
      <c r="AM27" s="206"/>
      <c r="AN27" s="206"/>
      <c r="AO27" s="206"/>
      <c r="AP27" s="206"/>
      <c r="AQ27" s="206"/>
      <c r="AR27" s="206"/>
      <c r="AS27" s="206"/>
    </row>
    <row r="28" spans="1:72" s="126" customFormat="1" ht="15">
      <c r="A28" s="43" t="s">
        <v>167</v>
      </c>
      <c r="B28" s="25" t="s">
        <v>131</v>
      </c>
      <c r="C28" s="26">
        <f>581722826.57-33209.81-512.25-27762.42</f>
        <v>581661342.0900002</v>
      </c>
      <c r="D28" s="118">
        <f>SUM(D29:D32)</f>
        <v>0</v>
      </c>
      <c r="E28" s="26">
        <v>10450890.72</v>
      </c>
      <c r="F28" s="26">
        <v>160000278.06</v>
      </c>
      <c r="G28" s="26">
        <v>208664729.75</v>
      </c>
      <c r="H28" s="26">
        <v>1720823.08</v>
      </c>
      <c r="I28" s="26">
        <v>1371462.59</v>
      </c>
      <c r="J28" s="26">
        <v>198371298.41</v>
      </c>
      <c r="K28" s="26">
        <f>SUM(K29:K32)</f>
        <v>0</v>
      </c>
      <c r="L28" s="26">
        <v>1081859.48</v>
      </c>
      <c r="M28" s="26">
        <f>SUM(M29:M32)</f>
        <v>0</v>
      </c>
      <c r="N28" s="26">
        <f>SUM(N29:N32)</f>
        <v>0</v>
      </c>
      <c r="O28" s="26">
        <f>SUM(O29:O32)</f>
        <v>0</v>
      </c>
      <c r="P28" s="26">
        <f>SUM(D28:O28)</f>
        <v>581661342.0899999</v>
      </c>
      <c r="Q28" s="118">
        <f>SUM(Q29:Q32)</f>
        <v>0</v>
      </c>
      <c r="R28" s="26">
        <v>10450890.71</v>
      </c>
      <c r="S28" s="26">
        <v>160000278.07</v>
      </c>
      <c r="T28" s="26">
        <v>208664729.75</v>
      </c>
      <c r="U28" s="26">
        <v>1720823.08</v>
      </c>
      <c r="V28" s="26">
        <v>1371462.59</v>
      </c>
      <c r="W28" s="26">
        <v>198371298.41</v>
      </c>
      <c r="X28" s="26">
        <f>SUM(X29:X32)</f>
        <v>0</v>
      </c>
      <c r="Y28" s="26">
        <v>1081859.48</v>
      </c>
      <c r="Z28" s="26">
        <f>SUM(Z29:Z32)</f>
        <v>0</v>
      </c>
      <c r="AA28" s="26">
        <f>SUM(AA29:AA32)</f>
        <v>0</v>
      </c>
      <c r="AB28" s="26">
        <f>SUM(AB29:AB32)</f>
        <v>0</v>
      </c>
      <c r="AC28" s="26">
        <f t="shared" si="7"/>
        <v>581661342.0899999</v>
      </c>
      <c r="AD28" s="40"/>
      <c r="AE28" s="12"/>
      <c r="AF28" s="206"/>
      <c r="AG28" s="206"/>
      <c r="AH28" s="206"/>
      <c r="AI28" s="206"/>
      <c r="AJ28" s="206"/>
      <c r="AK28" s="206"/>
      <c r="AL28" s="227"/>
      <c r="AM28" s="206"/>
      <c r="AN28" s="206"/>
      <c r="AO28" s="206"/>
      <c r="AP28" s="206"/>
      <c r="AQ28" s="206"/>
      <c r="AR28" s="206"/>
      <c r="AS28" s="20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126" customFormat="1" ht="15">
      <c r="A29" s="43" t="s">
        <v>168</v>
      </c>
      <c r="B29" s="25" t="s">
        <v>169</v>
      </c>
      <c r="C29" s="26">
        <f>10747770.79-10679046-50440.79</f>
        <v>18283.999999999105</v>
      </c>
      <c r="D29" s="116">
        <v>0</v>
      </c>
      <c r="E29" s="21">
        <v>0</v>
      </c>
      <c r="F29" s="21">
        <v>0</v>
      </c>
      <c r="G29" s="21">
        <v>0</v>
      </c>
      <c r="H29" s="21">
        <v>0</v>
      </c>
      <c r="I29" s="116">
        <v>0</v>
      </c>
      <c r="J29" s="116">
        <v>0</v>
      </c>
      <c r="K29" s="21"/>
      <c r="L29" s="21">
        <v>18284</v>
      </c>
      <c r="M29" s="21"/>
      <c r="N29" s="116"/>
      <c r="O29" s="116">
        <v>0</v>
      </c>
      <c r="P29" s="26">
        <f>SUM(D29:O29)</f>
        <v>18284</v>
      </c>
      <c r="Q29" s="116">
        <v>0</v>
      </c>
      <c r="R29" s="116">
        <v>0</v>
      </c>
      <c r="S29" s="21">
        <v>0</v>
      </c>
      <c r="T29" s="21">
        <v>0</v>
      </c>
      <c r="U29" s="21">
        <v>0</v>
      </c>
      <c r="V29" s="116">
        <v>0</v>
      </c>
      <c r="W29" s="116">
        <v>0</v>
      </c>
      <c r="X29" s="21"/>
      <c r="Y29" s="21">
        <v>18284</v>
      </c>
      <c r="Z29" s="21"/>
      <c r="AA29" s="116"/>
      <c r="AB29" s="116">
        <v>0</v>
      </c>
      <c r="AC29" s="26">
        <f t="shared" si="7"/>
        <v>18284</v>
      </c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206"/>
      <c r="AP29" s="206"/>
      <c r="AQ29" s="206"/>
      <c r="AR29" s="206"/>
      <c r="AS29" s="206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126" customFormat="1" ht="15">
      <c r="A30" s="43" t="s">
        <v>170</v>
      </c>
      <c r="B30" s="20" t="s">
        <v>172</v>
      </c>
      <c r="C30" s="209">
        <f>15932.34-2510.01</f>
        <v>13422.33</v>
      </c>
      <c r="D30" s="116">
        <v>0</v>
      </c>
      <c r="E30" s="21">
        <v>0</v>
      </c>
      <c r="F30" s="21"/>
      <c r="G30" s="21"/>
      <c r="H30" s="21">
        <v>0</v>
      </c>
      <c r="I30" s="21">
        <v>0</v>
      </c>
      <c r="J30" s="116"/>
      <c r="K30" s="116"/>
      <c r="L30" s="21">
        <v>13422.33</v>
      </c>
      <c r="M30" s="116"/>
      <c r="N30" s="116"/>
      <c r="O30" s="116">
        <v>0</v>
      </c>
      <c r="P30" s="26">
        <f>SUM(D30:O30)</f>
        <v>13422.33</v>
      </c>
      <c r="Q30" s="116">
        <v>0</v>
      </c>
      <c r="R30" s="21"/>
      <c r="S30" s="21"/>
      <c r="T30" s="21"/>
      <c r="U30" s="21">
        <v>0</v>
      </c>
      <c r="V30" s="21">
        <v>0</v>
      </c>
      <c r="W30" s="116"/>
      <c r="X30" s="116"/>
      <c r="Y30" s="21">
        <v>13422.33</v>
      </c>
      <c r="Z30" s="116"/>
      <c r="AA30" s="116"/>
      <c r="AB30" s="116">
        <v>0</v>
      </c>
      <c r="AC30" s="23">
        <f t="shared" si="7"/>
        <v>13422.33</v>
      </c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206"/>
      <c r="AP30" s="206"/>
      <c r="AQ30" s="206"/>
      <c r="AR30" s="206"/>
      <c r="AS30" s="206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26" customFormat="1" ht="15">
      <c r="A31" s="43" t="s">
        <v>207</v>
      </c>
      <c r="B31" s="25" t="s">
        <v>205</v>
      </c>
      <c r="C31" s="208">
        <f>18267419.16-49699.88</f>
        <v>18217719.28</v>
      </c>
      <c r="D31" s="116"/>
      <c r="E31" s="21">
        <v>10445238.68</v>
      </c>
      <c r="F31" s="21">
        <v>3669893.6</v>
      </c>
      <c r="G31" s="21">
        <v>4102587</v>
      </c>
      <c r="H31" s="21"/>
      <c r="I31" s="21"/>
      <c r="J31" s="116"/>
      <c r="K31" s="116"/>
      <c r="L31" s="21"/>
      <c r="M31" s="116"/>
      <c r="N31" s="116"/>
      <c r="O31" s="116"/>
      <c r="P31" s="26">
        <f t="shared" si="8"/>
        <v>18217719.28</v>
      </c>
      <c r="Q31" s="116"/>
      <c r="R31" s="21">
        <v>10445238.68</v>
      </c>
      <c r="S31" s="21">
        <v>3669893.6</v>
      </c>
      <c r="T31" s="21">
        <v>4102587</v>
      </c>
      <c r="U31" s="21"/>
      <c r="V31" s="21"/>
      <c r="W31" s="116"/>
      <c r="X31" s="116"/>
      <c r="Y31" s="21"/>
      <c r="Z31" s="116"/>
      <c r="AA31" s="116"/>
      <c r="AB31" s="116"/>
      <c r="AC31" s="23">
        <f t="shared" si="7"/>
        <v>18217719.28</v>
      </c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206"/>
      <c r="AP31" s="206"/>
      <c r="AQ31" s="206"/>
      <c r="AR31" s="206"/>
      <c r="AS31" s="206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26" customFormat="1" ht="15">
      <c r="A32" s="43" t="s">
        <v>174</v>
      </c>
      <c r="B32" s="211" t="s">
        <v>206</v>
      </c>
      <c r="C32" s="208">
        <f>548.64-545.94</f>
        <v>2.699999999999932</v>
      </c>
      <c r="D32" s="116">
        <v>0</v>
      </c>
      <c r="E32" s="21">
        <v>2.7</v>
      </c>
      <c r="F32" s="21"/>
      <c r="G32" s="21"/>
      <c r="H32" s="21">
        <v>0</v>
      </c>
      <c r="I32" s="21">
        <v>0</v>
      </c>
      <c r="J32" s="116"/>
      <c r="K32" s="116"/>
      <c r="L32" s="21"/>
      <c r="M32" s="116"/>
      <c r="N32" s="116"/>
      <c r="O32" s="116"/>
      <c r="P32" s="26">
        <f t="shared" si="8"/>
        <v>2.7</v>
      </c>
      <c r="Q32" s="116">
        <v>0</v>
      </c>
      <c r="R32" s="21">
        <v>2.7</v>
      </c>
      <c r="S32" s="21"/>
      <c r="T32" s="21"/>
      <c r="U32" s="21">
        <v>0</v>
      </c>
      <c r="V32" s="21">
        <v>0</v>
      </c>
      <c r="W32" s="116"/>
      <c r="X32" s="116"/>
      <c r="Y32" s="21"/>
      <c r="Z32" s="116"/>
      <c r="AA32" s="116"/>
      <c r="AB32" s="116"/>
      <c r="AC32" s="23">
        <f t="shared" si="7"/>
        <v>2.7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206"/>
      <c r="AP32" s="206"/>
      <c r="AQ32" s="206"/>
      <c r="AR32" s="206"/>
      <c r="AS32" s="206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26" customFormat="1" ht="15">
      <c r="A33" s="43" t="s">
        <v>147</v>
      </c>
      <c r="B33" s="213" t="s">
        <v>208</v>
      </c>
      <c r="C33" s="214">
        <f>C34+C35+C36</f>
        <v>23482297.189999998</v>
      </c>
      <c r="D33" s="118"/>
      <c r="E33" s="118">
        <f>E34+E35+E36</f>
        <v>32.4</v>
      </c>
      <c r="F33" s="118">
        <f>F34+F35+F36</f>
        <v>22722800</v>
      </c>
      <c r="G33" s="26"/>
      <c r="H33" s="26"/>
      <c r="I33" s="118">
        <f>I34+I35+I36</f>
        <v>277329.17</v>
      </c>
      <c r="J33" s="118"/>
      <c r="K33" s="118"/>
      <c r="L33" s="118">
        <f>L34+L35+L36</f>
        <v>482135.62</v>
      </c>
      <c r="M33" s="118"/>
      <c r="N33" s="118"/>
      <c r="O33" s="118"/>
      <c r="P33" s="127">
        <f>SUM(D33:O33)</f>
        <v>23482297.19</v>
      </c>
      <c r="Q33" s="118"/>
      <c r="R33" s="118">
        <f>R34+R35+R36</f>
        <v>32.4</v>
      </c>
      <c r="S33" s="118">
        <f>+S34</f>
        <v>22722800</v>
      </c>
      <c r="T33" s="26"/>
      <c r="U33" s="26"/>
      <c r="V33" s="118">
        <f>V34+V35+V36</f>
        <v>277329.17</v>
      </c>
      <c r="W33" s="118"/>
      <c r="X33" s="118"/>
      <c r="Y33" s="26">
        <f>Y34+Y35+Y36</f>
        <v>482135.62</v>
      </c>
      <c r="Z33" s="118"/>
      <c r="AA33" s="118"/>
      <c r="AB33" s="118"/>
      <c r="AC33" s="127">
        <f t="shared" si="7"/>
        <v>23482297.19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206"/>
      <c r="AP33" s="206"/>
      <c r="AQ33" s="206"/>
      <c r="AR33" s="206"/>
      <c r="AS33" s="206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26" customFormat="1" ht="15">
      <c r="A34" s="43" t="s">
        <v>210</v>
      </c>
      <c r="B34" s="212" t="s">
        <v>209</v>
      </c>
      <c r="C34" s="208">
        <f>24145149.9-667708-2670.83</f>
        <v>23474771.07</v>
      </c>
      <c r="D34" s="118"/>
      <c r="E34" s="26"/>
      <c r="F34" s="26">
        <v>22722800</v>
      </c>
      <c r="G34" s="26"/>
      <c r="H34" s="26"/>
      <c r="I34" s="26">
        <v>277329.17</v>
      </c>
      <c r="J34" s="118"/>
      <c r="K34" s="118"/>
      <c r="L34" s="26">
        <v>474641.9</v>
      </c>
      <c r="M34" s="118"/>
      <c r="N34" s="118"/>
      <c r="O34" s="118"/>
      <c r="P34" s="26">
        <f>SUM(D34:O34)</f>
        <v>23474771.07</v>
      </c>
      <c r="Q34" s="118"/>
      <c r="R34" s="26"/>
      <c r="S34" s="26">
        <v>22722800</v>
      </c>
      <c r="T34" s="26"/>
      <c r="U34" s="26"/>
      <c r="V34" s="26">
        <v>277329.17</v>
      </c>
      <c r="W34" s="118"/>
      <c r="X34" s="118"/>
      <c r="Y34" s="26">
        <v>474641.9</v>
      </c>
      <c r="Z34" s="118"/>
      <c r="AA34" s="118"/>
      <c r="AB34" s="118"/>
      <c r="AC34" s="23">
        <f t="shared" si="7"/>
        <v>23474771.07</v>
      </c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206"/>
      <c r="AP34" s="206"/>
      <c r="AQ34" s="206"/>
      <c r="AR34" s="206"/>
      <c r="AS34" s="206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26" customFormat="1" ht="15">
      <c r="A35" s="43" t="s">
        <v>211</v>
      </c>
      <c r="B35" s="212" t="s">
        <v>213</v>
      </c>
      <c r="C35" s="208">
        <v>7493.72</v>
      </c>
      <c r="D35" s="118"/>
      <c r="E35" s="26"/>
      <c r="F35" s="26"/>
      <c r="G35" s="26"/>
      <c r="H35" s="26"/>
      <c r="I35" s="26"/>
      <c r="J35" s="118"/>
      <c r="K35" s="118"/>
      <c r="L35" s="26">
        <v>7493.72</v>
      </c>
      <c r="M35" s="118"/>
      <c r="N35" s="118"/>
      <c r="O35" s="118"/>
      <c r="P35" s="26">
        <f>SUM(D35:O35)</f>
        <v>7493.72</v>
      </c>
      <c r="Q35" s="118"/>
      <c r="R35" s="26"/>
      <c r="S35" s="26"/>
      <c r="T35" s="26"/>
      <c r="U35" s="26"/>
      <c r="V35" s="26"/>
      <c r="W35" s="118"/>
      <c r="X35" s="118"/>
      <c r="Y35" s="26">
        <v>7493.72</v>
      </c>
      <c r="Z35" s="118"/>
      <c r="AA35" s="118"/>
      <c r="AB35" s="118"/>
      <c r="AC35" s="23">
        <f t="shared" si="7"/>
        <v>7493.72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206"/>
      <c r="AP35" s="206"/>
      <c r="AQ35" s="206"/>
      <c r="AR35" s="206"/>
      <c r="AS35" s="206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26" customFormat="1" ht="15">
      <c r="A36" s="43" t="s">
        <v>212</v>
      </c>
      <c r="B36" s="212" t="s">
        <v>214</v>
      </c>
      <c r="C36" s="208">
        <f>498.4-466</f>
        <v>32.39999999999998</v>
      </c>
      <c r="D36" s="118"/>
      <c r="E36" s="26">
        <v>32.4</v>
      </c>
      <c r="F36" s="26"/>
      <c r="G36" s="26"/>
      <c r="H36" s="26"/>
      <c r="I36" s="26"/>
      <c r="J36" s="118"/>
      <c r="K36" s="118"/>
      <c r="L36" s="26"/>
      <c r="M36" s="118"/>
      <c r="N36" s="118"/>
      <c r="O36" s="118"/>
      <c r="P36" s="26">
        <f t="shared" si="8"/>
        <v>32.4</v>
      </c>
      <c r="Q36" s="118"/>
      <c r="R36" s="26">
        <v>32.4</v>
      </c>
      <c r="S36" s="26"/>
      <c r="T36" s="26"/>
      <c r="U36" s="26"/>
      <c r="V36" s="26"/>
      <c r="W36" s="118"/>
      <c r="X36" s="118"/>
      <c r="Y36" s="26"/>
      <c r="Z36" s="118"/>
      <c r="AA36" s="118"/>
      <c r="AB36" s="118"/>
      <c r="AC36" s="23">
        <f t="shared" si="7"/>
        <v>32.4</v>
      </c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206"/>
      <c r="AP36" s="206"/>
      <c r="AQ36" s="206"/>
      <c r="AR36" s="206"/>
      <c r="AS36" s="206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26" customFormat="1" ht="15">
      <c r="A37" s="43" t="s">
        <v>185</v>
      </c>
      <c r="B37" s="213" t="s">
        <v>184</v>
      </c>
      <c r="C37" s="210">
        <f aca="true" t="shared" si="9" ref="C37:AB37">SUM(C38:C38)</f>
        <v>4840.16</v>
      </c>
      <c r="D37" s="118">
        <f t="shared" si="9"/>
        <v>0</v>
      </c>
      <c r="E37" s="118">
        <f t="shared" si="9"/>
        <v>0</v>
      </c>
      <c r="F37" s="118">
        <f t="shared" si="9"/>
        <v>0</v>
      </c>
      <c r="G37" s="118">
        <f t="shared" si="9"/>
        <v>0</v>
      </c>
      <c r="H37" s="118">
        <f t="shared" si="9"/>
        <v>0</v>
      </c>
      <c r="I37" s="118">
        <f t="shared" si="9"/>
        <v>0</v>
      </c>
      <c r="J37" s="118">
        <f t="shared" si="9"/>
        <v>0</v>
      </c>
      <c r="K37" s="118">
        <f t="shared" si="9"/>
        <v>0</v>
      </c>
      <c r="L37" s="118">
        <f>SUM(L38:L38)</f>
        <v>4840.16</v>
      </c>
      <c r="M37" s="118">
        <f t="shared" si="9"/>
        <v>0</v>
      </c>
      <c r="N37" s="118">
        <f t="shared" si="9"/>
        <v>0</v>
      </c>
      <c r="O37" s="118">
        <f t="shared" si="9"/>
        <v>0</v>
      </c>
      <c r="P37" s="127">
        <f>SUM(D37:O37)</f>
        <v>4840.16</v>
      </c>
      <c r="Q37" s="118">
        <f t="shared" si="9"/>
        <v>0</v>
      </c>
      <c r="R37" s="118">
        <f t="shared" si="9"/>
        <v>0</v>
      </c>
      <c r="S37" s="118">
        <f t="shared" si="9"/>
        <v>0</v>
      </c>
      <c r="T37" s="118">
        <f t="shared" si="9"/>
        <v>0</v>
      </c>
      <c r="U37" s="118">
        <f t="shared" si="9"/>
        <v>0</v>
      </c>
      <c r="V37" s="118">
        <f t="shared" si="9"/>
        <v>0</v>
      </c>
      <c r="W37" s="118">
        <f t="shared" si="9"/>
        <v>0</v>
      </c>
      <c r="X37" s="118">
        <f t="shared" si="9"/>
        <v>0</v>
      </c>
      <c r="Y37" s="118">
        <f>SUM(Y38:Y38)</f>
        <v>4840.16</v>
      </c>
      <c r="Z37" s="118">
        <f t="shared" si="9"/>
        <v>0</v>
      </c>
      <c r="AA37" s="118">
        <f t="shared" si="9"/>
        <v>0</v>
      </c>
      <c r="AB37" s="118">
        <f t="shared" si="9"/>
        <v>0</v>
      </c>
      <c r="AC37" s="182">
        <f>SUM(AC38:AC38)</f>
        <v>4840.16</v>
      </c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206"/>
      <c r="AP37" s="206"/>
      <c r="AQ37" s="206"/>
      <c r="AR37" s="206"/>
      <c r="AS37" s="206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26" customFormat="1" ht="15">
      <c r="A38" s="43" t="s">
        <v>215</v>
      </c>
      <c r="B38" s="25" t="s">
        <v>183</v>
      </c>
      <c r="C38" s="26">
        <v>4840.16</v>
      </c>
      <c r="D38" s="116">
        <v>0</v>
      </c>
      <c r="E38" s="21"/>
      <c r="F38" s="21"/>
      <c r="G38" s="21"/>
      <c r="H38" s="21">
        <v>0</v>
      </c>
      <c r="I38" s="21">
        <v>0</v>
      </c>
      <c r="J38" s="116"/>
      <c r="K38" s="116"/>
      <c r="L38" s="21">
        <v>4840.16</v>
      </c>
      <c r="M38" s="116"/>
      <c r="N38" s="116"/>
      <c r="O38" s="116"/>
      <c r="P38" s="26">
        <f>SUM(D38:O38)</f>
        <v>4840.16</v>
      </c>
      <c r="Q38" s="116">
        <v>0</v>
      </c>
      <c r="R38" s="21"/>
      <c r="S38" s="21"/>
      <c r="T38" s="21"/>
      <c r="U38" s="21">
        <v>0</v>
      </c>
      <c r="V38" s="21">
        <v>0</v>
      </c>
      <c r="W38" s="116"/>
      <c r="X38" s="116"/>
      <c r="Y38" s="21">
        <v>4840.16</v>
      </c>
      <c r="Z38" s="116"/>
      <c r="AA38" s="116"/>
      <c r="AB38" s="116"/>
      <c r="AC38" s="23">
        <f>SUM(Q38:AB38)</f>
        <v>4840.16</v>
      </c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206"/>
      <c r="AP38" s="206"/>
      <c r="AQ38" s="206"/>
      <c r="AR38" s="206"/>
      <c r="AS38" s="206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126" customFormat="1" ht="15">
      <c r="A39" s="43" t="s">
        <v>102</v>
      </c>
      <c r="B39" s="213" t="s">
        <v>178</v>
      </c>
      <c r="C39" s="118">
        <f>SUM(C40:C42)</f>
        <v>139403.48</v>
      </c>
      <c r="D39" s="118">
        <f aca="true" t="shared" si="10" ref="D39:AB39">SUM(D40:D42)</f>
        <v>0</v>
      </c>
      <c r="E39" s="118">
        <f t="shared" si="10"/>
        <v>0</v>
      </c>
      <c r="F39" s="118">
        <f t="shared" si="10"/>
        <v>0</v>
      </c>
      <c r="G39" s="118">
        <f t="shared" si="10"/>
        <v>0</v>
      </c>
      <c r="H39" s="118">
        <f t="shared" si="10"/>
        <v>0</v>
      </c>
      <c r="I39" s="118">
        <f t="shared" si="10"/>
        <v>0</v>
      </c>
      <c r="J39" s="118">
        <f t="shared" si="10"/>
        <v>0</v>
      </c>
      <c r="K39" s="118">
        <f t="shared" si="10"/>
        <v>0</v>
      </c>
      <c r="L39" s="118">
        <f t="shared" si="10"/>
        <v>0</v>
      </c>
      <c r="M39" s="118">
        <f t="shared" si="10"/>
        <v>0</v>
      </c>
      <c r="N39" s="118">
        <f t="shared" si="10"/>
        <v>0</v>
      </c>
      <c r="O39" s="118">
        <f t="shared" si="10"/>
        <v>0</v>
      </c>
      <c r="P39" s="127"/>
      <c r="Q39" s="118">
        <f t="shared" si="10"/>
        <v>0</v>
      </c>
      <c r="R39" s="118">
        <f t="shared" si="10"/>
        <v>0</v>
      </c>
      <c r="S39" s="118">
        <f t="shared" si="10"/>
        <v>0</v>
      </c>
      <c r="T39" s="118">
        <f t="shared" si="10"/>
        <v>0</v>
      </c>
      <c r="U39" s="118">
        <f t="shared" si="10"/>
        <v>0</v>
      </c>
      <c r="V39" s="118">
        <f t="shared" si="10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18">
        <f t="shared" si="10"/>
        <v>0</v>
      </c>
      <c r="AB39" s="118">
        <f t="shared" si="10"/>
        <v>0</v>
      </c>
      <c r="AC39" s="182">
        <f>SUM(AC40:AC42)</f>
        <v>0</v>
      </c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206"/>
      <c r="AP39" s="206"/>
      <c r="AQ39" s="206"/>
      <c r="AR39" s="206"/>
      <c r="AS39" s="206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126" customFormat="1" ht="15">
      <c r="A40" s="43" t="s">
        <v>186</v>
      </c>
      <c r="B40" s="25" t="s">
        <v>187</v>
      </c>
      <c r="C40" s="26">
        <f>135433.84-135433.84</f>
        <v>0</v>
      </c>
      <c r="D40" s="127">
        <v>0</v>
      </c>
      <c r="E40" s="21"/>
      <c r="F40" s="21"/>
      <c r="G40" s="21"/>
      <c r="H40" s="21">
        <v>0</v>
      </c>
      <c r="I40" s="21">
        <v>0</v>
      </c>
      <c r="J40" s="116"/>
      <c r="K40" s="116"/>
      <c r="L40" s="21"/>
      <c r="M40" s="116"/>
      <c r="N40" s="116"/>
      <c r="O40" s="116"/>
      <c r="P40" s="26">
        <f t="shared" si="8"/>
        <v>0</v>
      </c>
      <c r="Q40" s="116">
        <v>0</v>
      </c>
      <c r="R40" s="21">
        <v>0</v>
      </c>
      <c r="S40" s="21"/>
      <c r="T40" s="21"/>
      <c r="U40" s="21">
        <v>0</v>
      </c>
      <c r="V40" s="21">
        <v>0</v>
      </c>
      <c r="W40" s="116"/>
      <c r="X40" s="116"/>
      <c r="Y40" s="21"/>
      <c r="Z40" s="116"/>
      <c r="AA40" s="116"/>
      <c r="AB40" s="116"/>
      <c r="AC40" s="127">
        <f>SUM(Q40:AB40)</f>
        <v>0</v>
      </c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206"/>
      <c r="AP40" s="206"/>
      <c r="AQ40" s="206"/>
      <c r="AR40" s="206"/>
      <c r="AS40" s="206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126" customFormat="1" ht="15">
      <c r="A41" s="43" t="s">
        <v>189</v>
      </c>
      <c r="B41" s="25" t="s">
        <v>188</v>
      </c>
      <c r="C41" s="26">
        <v>139403.48</v>
      </c>
      <c r="D41" s="127">
        <v>0</v>
      </c>
      <c r="E41" s="21"/>
      <c r="F41" s="21"/>
      <c r="G41" s="21"/>
      <c r="H41" s="21">
        <v>0</v>
      </c>
      <c r="I41" s="21">
        <v>0</v>
      </c>
      <c r="J41" s="116"/>
      <c r="K41" s="116"/>
      <c r="L41" s="21"/>
      <c r="M41" s="116"/>
      <c r="N41" s="116"/>
      <c r="O41" s="116"/>
      <c r="P41" s="26">
        <f t="shared" si="8"/>
        <v>0</v>
      </c>
      <c r="Q41" s="116">
        <v>0</v>
      </c>
      <c r="R41" s="21">
        <v>0</v>
      </c>
      <c r="S41" s="21"/>
      <c r="T41" s="21"/>
      <c r="U41" s="21">
        <v>0</v>
      </c>
      <c r="V41" s="21">
        <v>0</v>
      </c>
      <c r="W41" s="116"/>
      <c r="X41" s="116"/>
      <c r="Y41" s="21"/>
      <c r="Z41" s="116"/>
      <c r="AA41" s="116"/>
      <c r="AB41" s="116"/>
      <c r="AC41" s="127">
        <f>SUM(Q41:AB41)</f>
        <v>0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206"/>
      <c r="AP41" s="206"/>
      <c r="AQ41" s="206"/>
      <c r="AR41" s="206"/>
      <c r="AS41" s="206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126" customFormat="1" ht="15">
      <c r="A42" s="43" t="s">
        <v>190</v>
      </c>
      <c r="B42" s="25" t="s">
        <v>180</v>
      </c>
      <c r="C42" s="26">
        <f>78.14-78.14</f>
        <v>0</v>
      </c>
      <c r="D42" s="127">
        <v>0</v>
      </c>
      <c r="E42" s="21"/>
      <c r="F42" s="21"/>
      <c r="G42" s="21"/>
      <c r="H42" s="21">
        <v>0</v>
      </c>
      <c r="I42" s="21">
        <v>0</v>
      </c>
      <c r="J42" s="116"/>
      <c r="K42" s="116"/>
      <c r="L42" s="21"/>
      <c r="M42" s="116"/>
      <c r="N42" s="116"/>
      <c r="O42" s="116"/>
      <c r="P42" s="26">
        <f t="shared" si="8"/>
        <v>0</v>
      </c>
      <c r="Q42" s="116">
        <v>0</v>
      </c>
      <c r="R42" s="21">
        <v>0</v>
      </c>
      <c r="S42" s="21"/>
      <c r="T42" s="21"/>
      <c r="U42" s="21">
        <v>0</v>
      </c>
      <c r="V42" s="21">
        <v>0</v>
      </c>
      <c r="W42" s="116"/>
      <c r="X42" s="116"/>
      <c r="Y42" s="21"/>
      <c r="Z42" s="116"/>
      <c r="AA42" s="116"/>
      <c r="AB42" s="116"/>
      <c r="AC42" s="127">
        <f>SUM(Q42:AB42)</f>
        <v>0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206"/>
      <c r="AP42" s="206"/>
      <c r="AQ42" s="206"/>
      <c r="AR42" s="206"/>
      <c r="AS42" s="206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126" customFormat="1" ht="15">
      <c r="A43" s="43" t="s">
        <v>217</v>
      </c>
      <c r="B43" s="213" t="s">
        <v>95</v>
      </c>
      <c r="C43" s="118">
        <f>C44</f>
        <v>59037.82</v>
      </c>
      <c r="D43" s="215"/>
      <c r="E43" s="118">
        <f>SUM(E44)</f>
        <v>0</v>
      </c>
      <c r="F43" s="21"/>
      <c r="G43" s="21"/>
      <c r="H43" s="21"/>
      <c r="I43" s="21"/>
      <c r="J43" s="116"/>
      <c r="K43" s="116"/>
      <c r="L43" s="21"/>
      <c r="M43" s="116"/>
      <c r="N43" s="116"/>
      <c r="O43" s="116"/>
      <c r="P43" s="127">
        <f t="shared" si="8"/>
        <v>0</v>
      </c>
      <c r="Q43" s="116"/>
      <c r="R43" s="21"/>
      <c r="S43" s="21"/>
      <c r="T43" s="21"/>
      <c r="U43" s="21"/>
      <c r="V43" s="21"/>
      <c r="W43" s="116"/>
      <c r="X43" s="116"/>
      <c r="Y43" s="21"/>
      <c r="Z43" s="116"/>
      <c r="AA43" s="116"/>
      <c r="AB43" s="116"/>
      <c r="AC43" s="127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206"/>
      <c r="AP43" s="206"/>
      <c r="AQ43" s="206"/>
      <c r="AR43" s="206"/>
      <c r="AS43" s="206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126" customFormat="1" ht="15">
      <c r="A44" s="43" t="s">
        <v>216</v>
      </c>
      <c r="B44" s="25" t="s">
        <v>218</v>
      </c>
      <c r="C44" s="26">
        <v>59037.82</v>
      </c>
      <c r="D44" s="215"/>
      <c r="E44" s="21"/>
      <c r="F44" s="21"/>
      <c r="G44" s="21"/>
      <c r="H44" s="21"/>
      <c r="I44" s="21"/>
      <c r="J44" s="116"/>
      <c r="K44" s="116"/>
      <c r="L44" s="21"/>
      <c r="M44" s="116"/>
      <c r="N44" s="116"/>
      <c r="O44" s="116"/>
      <c r="P44" s="26">
        <f t="shared" si="8"/>
        <v>0</v>
      </c>
      <c r="Q44" s="116"/>
      <c r="R44" s="21"/>
      <c r="S44" s="21"/>
      <c r="T44" s="21"/>
      <c r="U44" s="21"/>
      <c r="V44" s="21"/>
      <c r="W44" s="116"/>
      <c r="X44" s="116"/>
      <c r="Y44" s="21"/>
      <c r="Z44" s="116"/>
      <c r="AA44" s="116"/>
      <c r="AB44" s="116"/>
      <c r="AC44" s="127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206"/>
      <c r="AP44" s="206"/>
      <c r="AQ44" s="206"/>
      <c r="AR44" s="206"/>
      <c r="AS44" s="206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126" customFormat="1" ht="15">
      <c r="A45" s="43" t="s">
        <v>197</v>
      </c>
      <c r="B45" s="213" t="s">
        <v>127</v>
      </c>
      <c r="C45" s="118">
        <f>C46</f>
        <v>155385.19</v>
      </c>
      <c r="D45" s="116">
        <f aca="true" t="shared" si="11" ref="D45:AC45">D46</f>
        <v>0</v>
      </c>
      <c r="E45" s="116">
        <f t="shared" si="11"/>
        <v>0</v>
      </c>
      <c r="F45" s="116">
        <f t="shared" si="11"/>
        <v>0</v>
      </c>
      <c r="G45" s="116">
        <f t="shared" si="11"/>
        <v>0</v>
      </c>
      <c r="H45" s="116">
        <f t="shared" si="11"/>
        <v>0</v>
      </c>
      <c r="I45" s="116">
        <f t="shared" si="11"/>
        <v>0</v>
      </c>
      <c r="J45" s="116">
        <f t="shared" si="11"/>
        <v>0</v>
      </c>
      <c r="K45" s="116">
        <f t="shared" si="11"/>
        <v>0</v>
      </c>
      <c r="L45" s="116">
        <f t="shared" si="11"/>
        <v>0</v>
      </c>
      <c r="M45" s="116">
        <f t="shared" si="11"/>
        <v>0</v>
      </c>
      <c r="N45" s="116">
        <f t="shared" si="11"/>
        <v>0</v>
      </c>
      <c r="O45" s="116">
        <f t="shared" si="11"/>
        <v>0</v>
      </c>
      <c r="P45" s="127">
        <f t="shared" si="8"/>
        <v>0</v>
      </c>
      <c r="Q45" s="116">
        <f t="shared" si="11"/>
        <v>0</v>
      </c>
      <c r="R45" s="116">
        <f t="shared" si="11"/>
        <v>0</v>
      </c>
      <c r="S45" s="116">
        <f t="shared" si="11"/>
        <v>0</v>
      </c>
      <c r="T45" s="116">
        <f t="shared" si="11"/>
        <v>0</v>
      </c>
      <c r="U45" s="116">
        <f t="shared" si="11"/>
        <v>0</v>
      </c>
      <c r="V45" s="116">
        <f t="shared" si="11"/>
        <v>0</v>
      </c>
      <c r="W45" s="116">
        <f t="shared" si="11"/>
        <v>0</v>
      </c>
      <c r="X45" s="116">
        <f t="shared" si="11"/>
        <v>0</v>
      </c>
      <c r="Y45" s="116">
        <f t="shared" si="11"/>
        <v>0</v>
      </c>
      <c r="Z45" s="116">
        <f t="shared" si="11"/>
        <v>0</v>
      </c>
      <c r="AA45" s="116">
        <f t="shared" si="11"/>
        <v>0</v>
      </c>
      <c r="AB45" s="116">
        <f t="shared" si="11"/>
        <v>0</v>
      </c>
      <c r="AC45" s="127">
        <f t="shared" si="11"/>
        <v>0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206"/>
      <c r="AP45" s="206"/>
      <c r="AQ45" s="206"/>
      <c r="AR45" s="206"/>
      <c r="AS45" s="206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126" customFormat="1" ht="15.75" thickBot="1">
      <c r="A46" s="43" t="s">
        <v>219</v>
      </c>
      <c r="B46" s="25" t="s">
        <v>143</v>
      </c>
      <c r="C46" s="26">
        <v>155385.19</v>
      </c>
      <c r="D46" s="116">
        <v>0</v>
      </c>
      <c r="E46" s="21"/>
      <c r="F46" s="21"/>
      <c r="G46" s="21">
        <v>0</v>
      </c>
      <c r="H46" s="21">
        <v>0</v>
      </c>
      <c r="I46" s="116">
        <v>0</v>
      </c>
      <c r="J46" s="116">
        <v>0</v>
      </c>
      <c r="K46" s="21"/>
      <c r="L46" s="21">
        <v>0</v>
      </c>
      <c r="M46" s="116"/>
      <c r="N46" s="116"/>
      <c r="O46" s="116">
        <v>0</v>
      </c>
      <c r="P46" s="26">
        <f t="shared" si="8"/>
        <v>0</v>
      </c>
      <c r="Q46" s="116">
        <v>0</v>
      </c>
      <c r="R46" s="116">
        <v>0</v>
      </c>
      <c r="S46" s="21"/>
      <c r="T46" s="21">
        <v>0</v>
      </c>
      <c r="U46" s="21">
        <v>0</v>
      </c>
      <c r="V46" s="116">
        <v>0</v>
      </c>
      <c r="W46" s="116">
        <v>0</v>
      </c>
      <c r="X46" s="21"/>
      <c r="Y46" s="21">
        <v>0</v>
      </c>
      <c r="Z46" s="116"/>
      <c r="AA46" s="116"/>
      <c r="AB46" s="116"/>
      <c r="AC46" s="127">
        <f>SUM(Q46:AB46)</f>
        <v>0</v>
      </c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206"/>
      <c r="AP46" s="206"/>
      <c r="AQ46" s="206"/>
      <c r="AR46" s="206"/>
      <c r="AS46" s="206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45" s="28" customFormat="1" ht="15.75" thickBot="1">
      <c r="A47" s="77"/>
      <c r="B47" s="70" t="s">
        <v>59</v>
      </c>
      <c r="C47" s="32">
        <f>SUM(C48:C48)</f>
        <v>194882137.35</v>
      </c>
      <c r="D47" s="32">
        <f aca="true" t="shared" si="12" ref="D47:AB47">SUM(D48:D48)</f>
        <v>17967626.48</v>
      </c>
      <c r="E47" s="32">
        <f t="shared" si="12"/>
        <v>15025981.76</v>
      </c>
      <c r="F47" s="32">
        <f t="shared" si="12"/>
        <v>37713283.22</v>
      </c>
      <c r="G47" s="32">
        <f t="shared" si="12"/>
        <v>801210.54</v>
      </c>
      <c r="H47" s="32">
        <f t="shared" si="12"/>
        <v>3522132.32</v>
      </c>
      <c r="I47" s="32">
        <f t="shared" si="12"/>
        <v>101936670</v>
      </c>
      <c r="J47" s="32">
        <f t="shared" si="12"/>
        <v>0</v>
      </c>
      <c r="K47" s="32">
        <f t="shared" si="12"/>
        <v>330740.4</v>
      </c>
      <c r="L47" s="32">
        <f>SUM(L48:L48)</f>
        <v>6161496.05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>SUM(P48:P48)</f>
        <v>183459140.77</v>
      </c>
      <c r="Q47" s="32">
        <f t="shared" si="12"/>
        <v>17950000</v>
      </c>
      <c r="R47" s="32">
        <f t="shared" si="12"/>
        <v>9299608.24</v>
      </c>
      <c r="S47" s="32">
        <f t="shared" si="12"/>
        <v>43457283.22</v>
      </c>
      <c r="T47" s="32">
        <f t="shared" si="12"/>
        <v>801210.54</v>
      </c>
      <c r="U47" s="32">
        <f t="shared" si="12"/>
        <v>3522132.32</v>
      </c>
      <c r="V47" s="32">
        <f t="shared" si="12"/>
        <v>101936670</v>
      </c>
      <c r="W47" s="32">
        <f>SUM(W48:W48)</f>
        <v>0</v>
      </c>
      <c r="X47" s="32">
        <f>SUM(X48:X48)</f>
        <v>330740.4</v>
      </c>
      <c r="Y47" s="32">
        <f>SUM(Y48:Y48)</f>
        <v>6161496.05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3">
        <f>SUM(AC48:AC48)</f>
        <v>183459140.77</v>
      </c>
      <c r="AD47" s="40"/>
      <c r="AE47" s="12"/>
      <c r="AF47" s="206"/>
      <c r="AG47" s="206"/>
      <c r="AH47" s="206"/>
      <c r="AI47" s="206"/>
      <c r="AJ47" s="206"/>
      <c r="AK47" s="206"/>
      <c r="AL47" s="227"/>
      <c r="AM47" s="206"/>
      <c r="AN47" s="206"/>
      <c r="AO47" s="206"/>
      <c r="AP47" s="206"/>
      <c r="AQ47" s="206"/>
      <c r="AR47" s="206"/>
      <c r="AS47" s="206"/>
    </row>
    <row r="48" spans="1:45" s="28" customFormat="1" ht="18.75" customHeight="1" thickBot="1">
      <c r="A48" s="45" t="s">
        <v>77</v>
      </c>
      <c r="B48" s="25" t="s">
        <v>57</v>
      </c>
      <c r="C48" s="123">
        <f>223679921.9-1422163.11-4422.9-11091741.78-1505562-14773894.76</f>
        <v>194882137.35</v>
      </c>
      <c r="D48" s="123">
        <v>17967626.48</v>
      </c>
      <c r="E48" s="123">
        <v>15025981.76</v>
      </c>
      <c r="F48" s="123">
        <v>37713283.22</v>
      </c>
      <c r="G48" s="46">
        <v>801210.54</v>
      </c>
      <c r="H48" s="46">
        <f>3522000+132.32</f>
        <v>3522132.32</v>
      </c>
      <c r="I48" s="46">
        <v>101936670</v>
      </c>
      <c r="J48" s="46">
        <v>0</v>
      </c>
      <c r="K48" s="46">
        <v>330740.4</v>
      </c>
      <c r="L48" s="46">
        <v>6161496.05</v>
      </c>
      <c r="M48" s="46"/>
      <c r="N48" s="46"/>
      <c r="O48" s="46"/>
      <c r="P48" s="127">
        <f>SUM(D48:O48)</f>
        <v>183459140.77</v>
      </c>
      <c r="Q48" s="123">
        <v>17950000</v>
      </c>
      <c r="R48" s="123">
        <v>9299608.24</v>
      </c>
      <c r="S48" s="123">
        <v>43457283.22</v>
      </c>
      <c r="T48" s="46">
        <v>801210.54</v>
      </c>
      <c r="U48" s="46">
        <v>3522132.32</v>
      </c>
      <c r="V48" s="46">
        <v>101936670</v>
      </c>
      <c r="W48" s="46">
        <v>0</v>
      </c>
      <c r="X48" s="123">
        <v>330740.4</v>
      </c>
      <c r="Y48" s="123">
        <v>6161496.05</v>
      </c>
      <c r="Z48" s="46"/>
      <c r="AA48" s="46"/>
      <c r="AB48" s="122"/>
      <c r="AC48" s="33">
        <f>SUM(Q48:AB48)</f>
        <v>183459140.77</v>
      </c>
      <c r="AD48" s="40"/>
      <c r="AE48" s="12"/>
      <c r="AF48" s="206"/>
      <c r="AG48" s="206"/>
      <c r="AH48" s="206"/>
      <c r="AI48" s="206"/>
      <c r="AJ48" s="206"/>
      <c r="AK48" s="206"/>
      <c r="AL48" s="227"/>
      <c r="AM48" s="206"/>
      <c r="AN48" s="206"/>
      <c r="AO48" s="206"/>
      <c r="AP48" s="206"/>
      <c r="AQ48" s="206"/>
      <c r="AR48" s="206"/>
      <c r="AS48" s="206"/>
    </row>
    <row r="49" spans="1:38" s="24" customFormat="1" ht="18" thickBot="1">
      <c r="A49" s="286" t="s">
        <v>50</v>
      </c>
      <c r="B49" s="287"/>
      <c r="C49" s="29">
        <f>SUM(C12+C47)</f>
        <v>1449401471.56</v>
      </c>
      <c r="D49" s="29">
        <f aca="true" t="shared" si="13" ref="D49:I49">SUM(D12+D47)</f>
        <v>17967920.1</v>
      </c>
      <c r="E49" s="29">
        <f t="shared" si="13"/>
        <v>43093999.779999994</v>
      </c>
      <c r="F49" s="29">
        <f t="shared" si="13"/>
        <v>429954107.9499999</v>
      </c>
      <c r="G49" s="29">
        <f t="shared" si="13"/>
        <v>315602130.40000004</v>
      </c>
      <c r="H49" s="29">
        <f t="shared" si="13"/>
        <v>5242955.4</v>
      </c>
      <c r="I49" s="29">
        <f t="shared" si="13"/>
        <v>419254248.4</v>
      </c>
      <c r="J49" s="29">
        <v>0</v>
      </c>
      <c r="K49" s="29">
        <f aca="true" t="shared" si="14" ref="K49:AB49">SUM(K12+K47)</f>
        <v>330740.4</v>
      </c>
      <c r="L49" s="29">
        <f>SUM(L12+L47)</f>
        <v>7807247.65</v>
      </c>
      <c r="M49" s="29">
        <f t="shared" si="14"/>
        <v>0</v>
      </c>
      <c r="N49" s="29">
        <f t="shared" si="14"/>
        <v>0</v>
      </c>
      <c r="O49" s="29">
        <f t="shared" si="14"/>
        <v>0</v>
      </c>
      <c r="P49" s="29">
        <f>SUM(P12+P47)</f>
        <v>1437624648.4899998</v>
      </c>
      <c r="Q49" s="29">
        <f t="shared" si="14"/>
        <v>17950000</v>
      </c>
      <c r="R49" s="29">
        <f t="shared" si="14"/>
        <v>40050766.519999996</v>
      </c>
      <c r="S49" s="29">
        <f t="shared" si="14"/>
        <v>387608107.9599999</v>
      </c>
      <c r="T49" s="29">
        <f t="shared" si="14"/>
        <v>687193763.9</v>
      </c>
      <c r="U49" s="29">
        <f t="shared" si="14"/>
        <v>6963778.48</v>
      </c>
      <c r="V49" s="29">
        <f t="shared" si="14"/>
        <v>419254248.40000004</v>
      </c>
      <c r="W49" s="29">
        <f t="shared" si="14"/>
        <v>198371298.41</v>
      </c>
      <c r="X49" s="29">
        <f t="shared" si="14"/>
        <v>330740.4</v>
      </c>
      <c r="Y49" s="29">
        <f>SUM(Y12+Y47)</f>
        <v>7807247.65</v>
      </c>
      <c r="Z49" s="29">
        <f t="shared" si="14"/>
        <v>0</v>
      </c>
      <c r="AA49" s="29">
        <f t="shared" si="14"/>
        <v>0</v>
      </c>
      <c r="AB49" s="29">
        <f t="shared" si="14"/>
        <v>0</v>
      </c>
      <c r="AC49" s="183">
        <f>+AC12+AC47</f>
        <v>1437624648.4899998</v>
      </c>
      <c r="AD49" s="40"/>
      <c r="AE49" s="12"/>
      <c r="AL49" s="229"/>
    </row>
    <row r="50" spans="1:31" ht="15">
      <c r="A50" s="10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38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40"/>
      <c r="AE50" s="40"/>
    </row>
    <row r="51" spans="1:38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36"/>
      <c r="M51" s="5"/>
      <c r="N51" s="5"/>
      <c r="O51" s="5"/>
      <c r="P51" s="36"/>
      <c r="Q51" s="5"/>
      <c r="R51" s="36"/>
      <c r="S51" s="5"/>
      <c r="T51" s="5"/>
      <c r="U51" s="5"/>
      <c r="V51" s="5"/>
      <c r="W51" s="5"/>
      <c r="X51" s="5"/>
      <c r="Y51" s="5"/>
      <c r="Z51" s="5"/>
      <c r="AA51" s="5"/>
      <c r="AB51" s="5"/>
      <c r="AC51" s="184"/>
      <c r="AD51" s="12"/>
      <c r="AE51" s="40"/>
      <c r="AH51" s="206"/>
      <c r="AL51" s="227"/>
    </row>
    <row r="52" spans="1:29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</row>
    <row r="53" spans="1:36" ht="13.5" thickBot="1">
      <c r="A53" s="4"/>
      <c r="B53" s="74" t="s">
        <v>83</v>
      </c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6"/>
      <c r="P53" s="14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E53" s="36"/>
      <c r="AF53" s="5"/>
      <c r="AG53" s="5"/>
      <c r="AH53" s="5"/>
      <c r="AI53" s="5"/>
      <c r="AJ53" s="5"/>
    </row>
    <row r="54" spans="1:36" ht="15" thickBot="1">
      <c r="A54" s="7"/>
      <c r="B54" s="185" t="s">
        <v>111</v>
      </c>
      <c r="C54" s="186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3"/>
      <c r="AE54" s="171"/>
      <c r="AF54" s="5"/>
      <c r="AG54" s="5"/>
      <c r="AH54" s="5"/>
      <c r="AI54" s="5"/>
      <c r="AJ54" s="5"/>
    </row>
    <row r="55" spans="1:36" ht="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E55" s="171"/>
      <c r="AF55" s="5"/>
      <c r="AG55" s="5"/>
      <c r="AH55" s="5"/>
      <c r="AI55" s="5"/>
      <c r="AJ55" s="5"/>
    </row>
    <row r="56" spans="5:36" ht="15"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E56" s="171"/>
      <c r="AF56" s="5"/>
      <c r="AG56" s="5"/>
      <c r="AH56" s="5"/>
      <c r="AI56" s="5"/>
      <c r="AJ56" s="5"/>
    </row>
    <row r="57" spans="5:36" ht="15"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E57" s="171"/>
      <c r="AF57" s="5"/>
      <c r="AG57" s="5"/>
      <c r="AH57" s="5"/>
      <c r="AI57" s="5"/>
      <c r="AJ57" s="5"/>
    </row>
    <row r="58" spans="5:36" ht="15"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227"/>
      <c r="U58" s="132"/>
      <c r="V58" s="132"/>
      <c r="W58" s="132"/>
      <c r="X58" s="132"/>
      <c r="Y58" s="132"/>
      <c r="Z58" s="132"/>
      <c r="AA58" s="132"/>
      <c r="AB58" s="132"/>
      <c r="AC58" s="201"/>
      <c r="AE58" s="171"/>
      <c r="AF58" s="5"/>
      <c r="AG58" s="5"/>
      <c r="AH58" s="5"/>
      <c r="AI58" s="5"/>
      <c r="AJ58" s="5"/>
    </row>
    <row r="59" spans="5:36" ht="15"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227"/>
      <c r="U59" s="132"/>
      <c r="V59" s="132"/>
      <c r="W59" s="132"/>
      <c r="X59" s="132"/>
      <c r="Y59" s="132"/>
      <c r="Z59" s="132"/>
      <c r="AA59" s="132"/>
      <c r="AB59" s="132"/>
      <c r="AC59" s="132"/>
      <c r="AE59" s="171"/>
      <c r="AF59" s="5"/>
      <c r="AG59" s="5"/>
      <c r="AH59" s="5"/>
      <c r="AI59" s="5"/>
      <c r="AJ59" s="5"/>
    </row>
    <row r="60" spans="5:36" ht="15"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227"/>
      <c r="U60" s="132"/>
      <c r="V60" s="132"/>
      <c r="W60" s="132"/>
      <c r="X60" s="132"/>
      <c r="Y60" s="132"/>
      <c r="Z60" s="132"/>
      <c r="AA60" s="132"/>
      <c r="AB60" s="132"/>
      <c r="AC60" s="132"/>
      <c r="AE60" s="192"/>
      <c r="AF60" s="5"/>
      <c r="AG60" s="5"/>
      <c r="AH60" s="5"/>
      <c r="AI60" s="5"/>
      <c r="AJ60" s="5"/>
    </row>
    <row r="61" spans="5:36" ht="15"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227"/>
      <c r="U61" s="132"/>
      <c r="V61" s="132"/>
      <c r="W61" s="132"/>
      <c r="X61" s="132"/>
      <c r="Y61" s="132"/>
      <c r="Z61" s="132"/>
      <c r="AA61" s="132"/>
      <c r="AB61" s="132"/>
      <c r="AC61" s="132"/>
      <c r="AE61" s="192"/>
      <c r="AF61" s="5"/>
      <c r="AG61" s="5"/>
      <c r="AH61" s="5"/>
      <c r="AI61" s="5"/>
      <c r="AJ61" s="5"/>
    </row>
    <row r="62" spans="5:36" ht="12.75"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227"/>
      <c r="U62" s="132"/>
      <c r="V62" s="132"/>
      <c r="W62" s="132"/>
      <c r="X62" s="132"/>
      <c r="Y62" s="132"/>
      <c r="Z62" s="132"/>
      <c r="AA62" s="132"/>
      <c r="AB62" s="132"/>
      <c r="AC62" s="132"/>
      <c r="AE62" s="36"/>
      <c r="AF62" s="36"/>
      <c r="AG62" s="5"/>
      <c r="AH62" s="5"/>
      <c r="AI62" s="5"/>
      <c r="AJ62" s="5"/>
    </row>
    <row r="63" spans="5:36" ht="12.75"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E63" s="5"/>
      <c r="AF63" s="5"/>
      <c r="AG63" s="5"/>
      <c r="AH63" s="5"/>
      <c r="AI63" s="5"/>
      <c r="AJ63" s="5"/>
    </row>
    <row r="64" spans="5:31" ht="12.75"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>
        <v>2611680</v>
      </c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E64" s="12"/>
    </row>
    <row r="65" spans="5:29" ht="12.75"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</row>
    <row r="66" spans="5:29" ht="12.75"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</row>
    <row r="67" spans="5:29" ht="12.75"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</row>
    <row r="68" spans="5:29" ht="12.75"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</row>
    <row r="69" spans="5:29" ht="12.75"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</row>
    <row r="70" spans="5:29" ht="12.75"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</row>
    <row r="71" spans="5:29" ht="12.75"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</row>
    <row r="72" spans="5:29" ht="12.75"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</row>
    <row r="73" spans="5:29" ht="12.75"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</row>
    <row r="74" spans="5:29" ht="12.75"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</row>
    <row r="75" spans="5:29" ht="12.75"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</row>
    <row r="76" spans="5:29" ht="12.75"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</row>
    <row r="77" spans="5:29" ht="12.75"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</row>
    <row r="78" spans="5:29" ht="12.75"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</row>
    <row r="198" ht="13.5" thickBot="1"/>
    <row r="199" ht="12.75">
      <c r="AC199" s="98"/>
    </row>
    <row r="200" ht="12.75">
      <c r="AC200" s="99" t="s">
        <v>46</v>
      </c>
    </row>
    <row r="201" ht="13.5" thickBot="1">
      <c r="AC201" s="100" t="s">
        <v>25</v>
      </c>
    </row>
    <row r="202" ht="13.5" thickBot="1">
      <c r="AC202" s="103">
        <v>8</v>
      </c>
    </row>
    <row r="203" ht="15.75" thickBot="1">
      <c r="AC203" s="31">
        <f>AC206</f>
        <v>14566813657.820004</v>
      </c>
    </row>
    <row r="204" ht="15.75" thickBot="1">
      <c r="AC204" s="31">
        <f>+AC205</f>
        <v>11512628108.44</v>
      </c>
    </row>
    <row r="205" ht="15" thickBot="1">
      <c r="AC205" s="159">
        <f>+AC206</f>
        <v>11512628108.44</v>
      </c>
    </row>
    <row r="206" ht="15.75" thickBot="1">
      <c r="AC206" s="42">
        <f>+AC207+AC209</f>
        <v>14566813657.820004</v>
      </c>
    </row>
    <row r="207" ht="15">
      <c r="AC207" s="160">
        <f>+AC208</f>
        <v>3443.2000000000003</v>
      </c>
    </row>
    <row r="208" ht="15">
      <c r="AC208" s="127">
        <f>SUM(P17:AA17)</f>
        <v>3443.2000000000003</v>
      </c>
    </row>
    <row r="209" ht="15">
      <c r="AC209" s="118">
        <f>+AC210+AC215+AC219+AC222+AC226</f>
        <v>14566810214.620003</v>
      </c>
    </row>
    <row r="210" ht="15">
      <c r="AC210" s="118">
        <f>SUM(AC211:AC214)</f>
        <v>1219517600.1</v>
      </c>
    </row>
    <row r="211" ht="15">
      <c r="AC211" s="127">
        <f>SUM(P24:AA24)</f>
        <v>90420.02</v>
      </c>
    </row>
    <row r="212" ht="15">
      <c r="AC212" s="127">
        <f>SUM(P25:AA25)</f>
        <v>14382279.280000001</v>
      </c>
    </row>
    <row r="213" ht="15">
      <c r="AC213" s="127">
        <f>SUM(P26:AA26)</f>
        <v>5223360</v>
      </c>
    </row>
    <row r="214" ht="15">
      <c r="AC214" s="127">
        <f>SUM(P27:AA27)</f>
        <v>1199821540.8</v>
      </c>
    </row>
    <row r="215" ht="15">
      <c r="AC215" s="118">
        <f>SUM(AC216:AC218)</f>
        <v>63418.060000000005</v>
      </c>
    </row>
    <row r="216" ht="15">
      <c r="AC216" s="127">
        <f>SUM(P29:AA29)</f>
        <v>36568</v>
      </c>
    </row>
    <row r="217" ht="15">
      <c r="AC217" s="127">
        <f>SUM(P30:AA30)</f>
        <v>26844.66</v>
      </c>
    </row>
    <row r="218" ht="15">
      <c r="AC218" s="127">
        <f>SUM(P32:AA32)</f>
        <v>5.4</v>
      </c>
    </row>
    <row r="219" ht="15">
      <c r="AC219" s="118">
        <f>SUM(AC220:AC221)</f>
        <v>9680.32</v>
      </c>
    </row>
    <row r="220" ht="15">
      <c r="AC220" s="127">
        <f>SUM(P38:AA38)</f>
        <v>9680.32</v>
      </c>
    </row>
    <row r="221" ht="15">
      <c r="AC221" s="118">
        <f>SUM(AC226:AC227)</f>
        <v>0</v>
      </c>
    </row>
    <row r="222" ht="15">
      <c r="AC222" s="118">
        <f>SUM(AC223:AC225)</f>
        <v>16401405065.520006</v>
      </c>
    </row>
    <row r="223" ht="15">
      <c r="AC223" s="118">
        <f>SUM(AC228:AC228)</f>
        <v>366918281.54</v>
      </c>
    </row>
    <row r="224" ht="15">
      <c r="AC224" s="118">
        <f>SUM(AC228:AC229)</f>
        <v>733836563.08</v>
      </c>
    </row>
    <row r="225" ht="15">
      <c r="AC225" s="118">
        <f>SUM(AC229:AC230)</f>
        <v>15300650220.900005</v>
      </c>
    </row>
    <row r="226" ht="15">
      <c r="AC226" s="127">
        <f>AC227</f>
        <v>0</v>
      </c>
    </row>
    <row r="227" ht="15.75" thickBot="1">
      <c r="AC227" s="127">
        <f>SUM(P46:AA46)</f>
        <v>0</v>
      </c>
    </row>
    <row r="228" ht="15.75" thickBot="1">
      <c r="AC228" s="32">
        <f>SUM(AC229:AC229)</f>
        <v>366918281.54</v>
      </c>
    </row>
    <row r="229" ht="15.75" thickBot="1">
      <c r="AC229" s="32">
        <f>SUM(P48:AA48)</f>
        <v>366918281.54</v>
      </c>
    </row>
    <row r="230" ht="15.75" thickBot="1">
      <c r="AC230" s="29">
        <f>SUM(AC203+AC228)</f>
        <v>14933731939.360004</v>
      </c>
    </row>
  </sheetData>
  <sheetProtection/>
  <mergeCells count="10">
    <mergeCell ref="D54:P54"/>
    <mergeCell ref="Q54:AC54"/>
    <mergeCell ref="A1:AC1"/>
    <mergeCell ref="A2:AC2"/>
    <mergeCell ref="A3:AC3"/>
    <mergeCell ref="A4:AC4"/>
    <mergeCell ref="A5:AC5"/>
    <mergeCell ref="A6:B6"/>
    <mergeCell ref="A7:B7"/>
    <mergeCell ref="A49:B49"/>
  </mergeCells>
  <printOptions/>
  <pageMargins left="1.7322834645669292" right="0.7086614173228347" top="0.2755905511811024" bottom="0.15748031496062992" header="0.1968503937007874" footer="0.1968503937007874"/>
  <pageSetup horizontalDpi="600" verticalDpi="600" orientation="landscape" paperSize="5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6"/>
  <sheetViews>
    <sheetView zoomScale="75" zoomScaleNormal="75" zoomScalePageLayoutView="0" workbookViewId="0" topLeftCell="AA1">
      <selection activeCell="AU13" sqref="AU1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customWidth="1"/>
    <col min="15" max="15" width="21.71093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customWidth="1"/>
    <col min="28" max="28" width="20.71093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customWidth="1"/>
    <col min="41" max="41" width="20.7109375" style="1" hidden="1" customWidth="1"/>
    <col min="42" max="42" width="21.28125" style="1" bestFit="1" customWidth="1"/>
    <col min="43" max="43" width="21.28125" style="105" bestFit="1" customWidth="1"/>
    <col min="44" max="44" width="19.57421875" style="105" customWidth="1"/>
    <col min="45" max="45" width="17.7109375" style="125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7.2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3"/>
    </row>
    <row r="2" spans="1:42" ht="15">
      <c r="A2" s="274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6"/>
    </row>
    <row r="3" spans="1:42" ht="17.25">
      <c r="A3" s="277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9"/>
    </row>
    <row r="4" spans="1:42" ht="15">
      <c r="A4" s="274" t="s">
        <v>52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6"/>
    </row>
    <row r="5" spans="1:42" ht="21">
      <c r="A5" s="280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2"/>
    </row>
    <row r="6" spans="1:43" ht="1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5"/>
      <c r="AI6" s="49"/>
      <c r="AJ6" s="49"/>
      <c r="AK6" s="49"/>
      <c r="AL6" s="49"/>
      <c r="AM6" s="49"/>
      <c r="AN6" s="49"/>
      <c r="AO6" s="49"/>
      <c r="AP6" s="50"/>
      <c r="AQ6" s="106"/>
    </row>
    <row r="7" spans="1:43" ht="15">
      <c r="A7" s="284" t="s">
        <v>4</v>
      </c>
      <c r="B7" s="285"/>
      <c r="C7" s="65" t="s">
        <v>48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66" t="s">
        <v>8</v>
      </c>
      <c r="AD7" s="68"/>
      <c r="AE7" s="68"/>
      <c r="AF7" s="68"/>
      <c r="AG7" s="68"/>
      <c r="AH7" s="55"/>
      <c r="AI7" s="68"/>
      <c r="AJ7" s="68"/>
      <c r="AK7" s="68"/>
      <c r="AL7" s="68"/>
      <c r="AM7" s="68"/>
      <c r="AN7" s="68"/>
      <c r="AO7" s="68"/>
      <c r="AP7" s="71" t="s">
        <v>273</v>
      </c>
      <c r="AQ7" s="107"/>
    </row>
    <row r="8" spans="1:43" ht="20.25">
      <c r="A8" s="284" t="s">
        <v>5</v>
      </c>
      <c r="B8" s="285"/>
      <c r="C8" s="64" t="s">
        <v>55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66" t="s">
        <v>9</v>
      </c>
      <c r="AD8" s="68"/>
      <c r="AE8" s="68"/>
      <c r="AF8" s="68"/>
      <c r="AG8" s="68"/>
      <c r="AH8" s="55"/>
      <c r="AI8" s="68"/>
      <c r="AJ8" s="68"/>
      <c r="AK8" s="68"/>
      <c r="AL8" s="68"/>
      <c r="AM8" s="68"/>
      <c r="AN8" s="68"/>
      <c r="AO8" s="68"/>
      <c r="AP8" s="67">
        <v>2013</v>
      </c>
      <c r="AQ8" s="39"/>
    </row>
    <row r="9" spans="1:42" ht="15" thickBo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4"/>
    </row>
    <row r="10" spans="1:42" ht="1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ht="15">
      <c r="A11" s="99" t="s">
        <v>40</v>
      </c>
      <c r="B11" s="99" t="s">
        <v>42</v>
      </c>
      <c r="C11" s="99" t="s">
        <v>43</v>
      </c>
      <c r="D11" s="99" t="s">
        <v>44</v>
      </c>
      <c r="E11" s="99" t="s">
        <v>44</v>
      </c>
      <c r="F11" s="99" t="s">
        <v>44</v>
      </c>
      <c r="G11" s="99" t="s">
        <v>44</v>
      </c>
      <c r="H11" s="99" t="s">
        <v>44</v>
      </c>
      <c r="I11" s="99" t="s">
        <v>44</v>
      </c>
      <c r="J11" s="99" t="s">
        <v>44</v>
      </c>
      <c r="K11" s="99" t="s">
        <v>44</v>
      </c>
      <c r="L11" s="99" t="s">
        <v>44</v>
      </c>
      <c r="M11" s="99" t="s">
        <v>44</v>
      </c>
      <c r="N11" s="99" t="s">
        <v>44</v>
      </c>
      <c r="O11" s="99" t="s">
        <v>44</v>
      </c>
      <c r="P11" s="99" t="s">
        <v>44</v>
      </c>
      <c r="Q11" s="99" t="s">
        <v>45</v>
      </c>
      <c r="R11" s="99" t="s">
        <v>45</v>
      </c>
      <c r="S11" s="99" t="s">
        <v>45</v>
      </c>
      <c r="T11" s="99" t="s">
        <v>45</v>
      </c>
      <c r="U11" s="99" t="s">
        <v>45</v>
      </c>
      <c r="V11" s="99" t="s">
        <v>45</v>
      </c>
      <c r="W11" s="99" t="s">
        <v>45</v>
      </c>
      <c r="X11" s="99" t="s">
        <v>45</v>
      </c>
      <c r="Y11" s="99" t="s">
        <v>45</v>
      </c>
      <c r="Z11" s="99" t="s">
        <v>45</v>
      </c>
      <c r="AA11" s="99" t="s">
        <v>45</v>
      </c>
      <c r="AB11" s="99" t="s">
        <v>45</v>
      </c>
      <c r="AC11" s="99" t="s">
        <v>45</v>
      </c>
      <c r="AD11" s="99" t="s">
        <v>46</v>
      </c>
      <c r="AE11" s="99" t="s">
        <v>46</v>
      </c>
      <c r="AF11" s="99" t="s">
        <v>46</v>
      </c>
      <c r="AG11" s="99" t="s">
        <v>46</v>
      </c>
      <c r="AH11" s="99" t="s">
        <v>46</v>
      </c>
      <c r="AI11" s="99" t="s">
        <v>46</v>
      </c>
      <c r="AJ11" s="99" t="s">
        <v>46</v>
      </c>
      <c r="AK11" s="99" t="s">
        <v>46</v>
      </c>
      <c r="AL11" s="99" t="s">
        <v>46</v>
      </c>
      <c r="AM11" s="99" t="s">
        <v>46</v>
      </c>
      <c r="AN11" s="99" t="s">
        <v>46</v>
      </c>
      <c r="AO11" s="99" t="s">
        <v>46</v>
      </c>
      <c r="AP11" s="99" t="s">
        <v>46</v>
      </c>
    </row>
    <row r="12" spans="1:49" ht="15" thickBot="1">
      <c r="A12" s="100" t="s">
        <v>41</v>
      </c>
      <c r="B12" s="100"/>
      <c r="C12" s="100" t="s">
        <v>12</v>
      </c>
      <c r="D12" s="100" t="s">
        <v>13</v>
      </c>
      <c r="E12" s="100" t="s">
        <v>14</v>
      </c>
      <c r="F12" s="100" t="s">
        <v>15</v>
      </c>
      <c r="G12" s="100" t="s">
        <v>80</v>
      </c>
      <c r="H12" s="100" t="s">
        <v>17</v>
      </c>
      <c r="I12" s="100" t="s">
        <v>18</v>
      </c>
      <c r="J12" s="100" t="s">
        <v>19</v>
      </c>
      <c r="K12" s="100" t="s">
        <v>20</v>
      </c>
      <c r="L12" s="100" t="s">
        <v>21</v>
      </c>
      <c r="M12" s="100" t="s">
        <v>22</v>
      </c>
      <c r="N12" s="100" t="s">
        <v>23</v>
      </c>
      <c r="O12" s="100" t="s">
        <v>24</v>
      </c>
      <c r="P12" s="100" t="s">
        <v>25</v>
      </c>
      <c r="Q12" s="100" t="s">
        <v>13</v>
      </c>
      <c r="R12" s="100" t="s">
        <v>14</v>
      </c>
      <c r="S12" s="100" t="s">
        <v>15</v>
      </c>
      <c r="T12" s="100" t="s">
        <v>16</v>
      </c>
      <c r="U12" s="100" t="s">
        <v>28</v>
      </c>
      <c r="V12" s="100" t="s">
        <v>29</v>
      </c>
      <c r="W12" s="100" t="s">
        <v>30</v>
      </c>
      <c r="X12" s="100" t="s">
        <v>20</v>
      </c>
      <c r="Y12" s="100" t="s">
        <v>21</v>
      </c>
      <c r="Z12" s="100" t="s">
        <v>31</v>
      </c>
      <c r="AA12" s="100" t="s">
        <v>23</v>
      </c>
      <c r="AB12" s="100" t="s">
        <v>24</v>
      </c>
      <c r="AC12" s="100" t="s">
        <v>47</v>
      </c>
      <c r="AD12" s="100" t="s">
        <v>13</v>
      </c>
      <c r="AE12" s="100" t="s">
        <v>14</v>
      </c>
      <c r="AF12" s="100" t="s">
        <v>15</v>
      </c>
      <c r="AG12" s="100" t="s">
        <v>16</v>
      </c>
      <c r="AH12" s="100" t="s">
        <v>28</v>
      </c>
      <c r="AI12" s="100" t="s">
        <v>29</v>
      </c>
      <c r="AJ12" s="100" t="s">
        <v>30</v>
      </c>
      <c r="AK12" s="100" t="s">
        <v>20</v>
      </c>
      <c r="AL12" s="100" t="s">
        <v>21</v>
      </c>
      <c r="AM12" s="100" t="s">
        <v>31</v>
      </c>
      <c r="AN12" s="100" t="s">
        <v>23</v>
      </c>
      <c r="AO12" s="100" t="s">
        <v>24</v>
      </c>
      <c r="AP12" s="100" t="s">
        <v>25</v>
      </c>
      <c r="AS12" s="105"/>
      <c r="AT12" s="105"/>
      <c r="AU12" s="105"/>
      <c r="AV12" s="105"/>
      <c r="AW12" s="105"/>
    </row>
    <row r="13" spans="1:49" ht="15" thickBot="1">
      <c r="A13" s="101">
        <v>1</v>
      </c>
      <c r="B13" s="102">
        <v>2</v>
      </c>
      <c r="C13" s="102"/>
      <c r="D13" s="102"/>
      <c r="E13" s="102"/>
      <c r="F13" s="102">
        <v>3</v>
      </c>
      <c r="G13" s="102">
        <v>3</v>
      </c>
      <c r="H13" s="102">
        <v>3</v>
      </c>
      <c r="I13" s="102">
        <v>3</v>
      </c>
      <c r="J13" s="102">
        <v>3</v>
      </c>
      <c r="K13" s="102">
        <v>3</v>
      </c>
      <c r="L13" s="102">
        <v>3</v>
      </c>
      <c r="M13" s="102">
        <v>3</v>
      </c>
      <c r="N13" s="102">
        <v>3</v>
      </c>
      <c r="O13" s="102">
        <v>3</v>
      </c>
      <c r="P13" s="102">
        <v>4</v>
      </c>
      <c r="Q13" s="102"/>
      <c r="R13" s="102"/>
      <c r="S13" s="102">
        <v>5</v>
      </c>
      <c r="T13" s="102">
        <v>5</v>
      </c>
      <c r="U13" s="102">
        <v>5</v>
      </c>
      <c r="V13" s="102">
        <v>5</v>
      </c>
      <c r="W13" s="102">
        <v>5</v>
      </c>
      <c r="X13" s="102">
        <v>5</v>
      </c>
      <c r="Y13" s="102">
        <v>5</v>
      </c>
      <c r="Z13" s="102">
        <v>5</v>
      </c>
      <c r="AA13" s="102">
        <v>5</v>
      </c>
      <c r="AB13" s="102">
        <v>5</v>
      </c>
      <c r="AC13" s="102">
        <v>6</v>
      </c>
      <c r="AD13" s="102"/>
      <c r="AE13" s="102"/>
      <c r="AF13" s="102">
        <v>7</v>
      </c>
      <c r="AG13" s="102">
        <v>7</v>
      </c>
      <c r="AH13" s="102">
        <v>7</v>
      </c>
      <c r="AI13" s="102">
        <v>7</v>
      </c>
      <c r="AJ13" s="102">
        <v>7</v>
      </c>
      <c r="AK13" s="102">
        <v>7</v>
      </c>
      <c r="AL13" s="102">
        <v>7</v>
      </c>
      <c r="AM13" s="102">
        <v>7</v>
      </c>
      <c r="AN13" s="102">
        <v>7</v>
      </c>
      <c r="AO13" s="102">
        <v>7</v>
      </c>
      <c r="AP13" s="103">
        <v>8</v>
      </c>
      <c r="AS13" s="105"/>
      <c r="AT13" s="105"/>
      <c r="AU13" s="105"/>
      <c r="AV13" s="105"/>
      <c r="AW13" s="105"/>
    </row>
    <row r="14" spans="1:49" s="28" customFormat="1" ht="15.75" thickBot="1">
      <c r="A14" s="30"/>
      <c r="B14" s="69" t="s">
        <v>114</v>
      </c>
      <c r="C14" s="31">
        <f>C16</f>
        <v>21000000</v>
      </c>
      <c r="D14" s="31">
        <f>D16</f>
        <v>0</v>
      </c>
      <c r="E14" s="31">
        <f aca="true" t="shared" si="0" ref="E14:AP14">E16</f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0"/>
        <v>0</v>
      </c>
      <c r="Z14" s="31">
        <f t="shared" si="0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0"/>
        <v>0</v>
      </c>
      <c r="AE14" s="31">
        <f t="shared" si="0"/>
        <v>0</v>
      </c>
      <c r="AF14" s="31">
        <f t="shared" si="0"/>
        <v>0</v>
      </c>
      <c r="AG14" s="31">
        <f t="shared" si="0"/>
        <v>0</v>
      </c>
      <c r="AH14" s="31">
        <f t="shared" si="0"/>
        <v>0</v>
      </c>
      <c r="AI14" s="31">
        <f t="shared" si="0"/>
        <v>0</v>
      </c>
      <c r="AJ14" s="31">
        <f t="shared" si="0"/>
        <v>0</v>
      </c>
      <c r="AK14" s="31">
        <f t="shared" si="0"/>
        <v>0</v>
      </c>
      <c r="AL14" s="31">
        <f t="shared" si="0"/>
        <v>0</v>
      </c>
      <c r="AM14" s="31">
        <f t="shared" si="0"/>
        <v>0</v>
      </c>
      <c r="AN14" s="31">
        <f t="shared" si="0"/>
        <v>0</v>
      </c>
      <c r="AO14" s="31">
        <f t="shared" si="0"/>
        <v>0</v>
      </c>
      <c r="AP14" s="179">
        <f t="shared" si="0"/>
        <v>0</v>
      </c>
      <c r="AQ14" s="105"/>
      <c r="AR14" s="105"/>
      <c r="AS14" s="105"/>
      <c r="AT14" s="105"/>
      <c r="AU14" s="105"/>
      <c r="AV14" s="105"/>
      <c r="AW14" s="105"/>
    </row>
    <row r="15" spans="1:49" s="44" customFormat="1" ht="15.75" thickBot="1">
      <c r="A15" s="35"/>
      <c r="B15" s="69" t="s">
        <v>82</v>
      </c>
      <c r="C15" s="31">
        <f>C16</f>
        <v>21000000</v>
      </c>
      <c r="D15" s="31">
        <f aca="true" t="shared" si="1" ref="D15:AP15">SUM(D16:D17)</f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1"/>
        <v>0</v>
      </c>
      <c r="AL15" s="31">
        <f t="shared" si="1"/>
        <v>0</v>
      </c>
      <c r="AM15" s="31">
        <f t="shared" si="1"/>
        <v>0</v>
      </c>
      <c r="AN15" s="31">
        <f t="shared" si="1"/>
        <v>0</v>
      </c>
      <c r="AO15" s="31">
        <f t="shared" si="1"/>
        <v>0</v>
      </c>
      <c r="AP15" s="179">
        <f t="shared" si="1"/>
        <v>0</v>
      </c>
      <c r="AQ15" s="105"/>
      <c r="AR15" s="105"/>
      <c r="AS15" s="105"/>
      <c r="AT15" s="105"/>
      <c r="AU15" s="105"/>
      <c r="AV15" s="105"/>
      <c r="AW15" s="105"/>
    </row>
    <row r="16" spans="1:49" s="12" customFormat="1" ht="15" thickBot="1">
      <c r="A16" s="230" t="s">
        <v>121</v>
      </c>
      <c r="B16" s="232" t="s">
        <v>113</v>
      </c>
      <c r="C16" s="236">
        <v>21000000</v>
      </c>
      <c r="D16" s="236">
        <v>0</v>
      </c>
      <c r="E16" s="236"/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/>
      <c r="N16" s="236"/>
      <c r="O16" s="236">
        <v>0</v>
      </c>
      <c r="P16" s="237">
        <f>SUM(D16:O16)</f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/>
      <c r="Z16" s="236">
        <v>0</v>
      </c>
      <c r="AA16" s="236">
        <v>0</v>
      </c>
      <c r="AB16" s="236">
        <v>0</v>
      </c>
      <c r="AC16" s="237">
        <f>SUM(Q16:AB16)</f>
        <v>0</v>
      </c>
      <c r="AD16" s="236">
        <v>0</v>
      </c>
      <c r="AE16" s="236">
        <v>0</v>
      </c>
      <c r="AF16" s="236">
        <v>0</v>
      </c>
      <c r="AG16" s="236">
        <v>0</v>
      </c>
      <c r="AH16" s="236">
        <v>0</v>
      </c>
      <c r="AI16" s="236">
        <v>0</v>
      </c>
      <c r="AJ16" s="236"/>
      <c r="AK16" s="236">
        <v>0</v>
      </c>
      <c r="AL16" s="236">
        <v>0</v>
      </c>
      <c r="AM16" s="236">
        <v>0</v>
      </c>
      <c r="AN16" s="236"/>
      <c r="AO16" s="236">
        <v>0</v>
      </c>
      <c r="AP16" s="250">
        <f>SUM(AD16:AO16)</f>
        <v>0</v>
      </c>
      <c r="AQ16" s="40"/>
      <c r="AR16" s="105"/>
      <c r="AS16" s="105"/>
      <c r="AT16" s="105"/>
      <c r="AU16" s="105"/>
      <c r="AV16" s="105"/>
      <c r="AW16" s="105"/>
    </row>
    <row r="17" spans="1:49" s="12" customFormat="1" ht="15" hidden="1">
      <c r="A17" s="230" t="s">
        <v>91</v>
      </c>
      <c r="B17" s="232" t="s">
        <v>92</v>
      </c>
      <c r="C17" s="236">
        <f>SUM(C20,C40,C33)</f>
        <v>21000000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>
        <f>SUM(D17:O17)</f>
        <v>0</v>
      </c>
      <c r="Q17" s="236"/>
      <c r="R17" s="236"/>
      <c r="S17" s="236"/>
      <c r="T17" s="236"/>
      <c r="U17" s="236"/>
      <c r="V17" s="236"/>
      <c r="W17" s="236"/>
      <c r="X17" s="236">
        <v>0</v>
      </c>
      <c r="Y17" s="236"/>
      <c r="Z17" s="236"/>
      <c r="AA17" s="236"/>
      <c r="AB17" s="236"/>
      <c r="AC17" s="237">
        <f>SUM(Q17:AB17)</f>
        <v>0</v>
      </c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50">
        <f>SUM(AD17:AO17)</f>
        <v>0</v>
      </c>
      <c r="AQ17" s="105"/>
      <c r="AR17" s="105"/>
      <c r="AS17" s="105"/>
      <c r="AT17" s="105"/>
      <c r="AU17" s="105"/>
      <c r="AV17" s="105"/>
      <c r="AW17" s="105"/>
    </row>
    <row r="18" spans="1:49" s="12" customFormat="1" ht="15" hidden="1">
      <c r="A18" s="4" t="s">
        <v>271</v>
      </c>
      <c r="B18" s="233"/>
      <c r="C18" s="238">
        <f>C19</f>
        <v>19800000</v>
      </c>
      <c r="D18" s="236"/>
      <c r="E18" s="236"/>
      <c r="F18" s="236"/>
      <c r="G18" s="236"/>
      <c r="H18" s="236"/>
      <c r="I18" s="236"/>
      <c r="J18" s="238"/>
      <c r="K18" s="236"/>
      <c r="L18" s="236"/>
      <c r="M18" s="236"/>
      <c r="N18" s="236"/>
      <c r="O18" s="236"/>
      <c r="P18" s="238"/>
      <c r="Q18" s="236"/>
      <c r="R18" s="236"/>
      <c r="S18" s="236"/>
      <c r="T18" s="236"/>
      <c r="U18" s="236"/>
      <c r="V18" s="236"/>
      <c r="W18" s="238"/>
      <c r="X18" s="236"/>
      <c r="Y18" s="236"/>
      <c r="Z18" s="236"/>
      <c r="AA18" s="236"/>
      <c r="AB18" s="236"/>
      <c r="AC18" s="238"/>
      <c r="AD18" s="236"/>
      <c r="AE18" s="236"/>
      <c r="AF18" s="236"/>
      <c r="AG18" s="236"/>
      <c r="AH18" s="236"/>
      <c r="AI18" s="236"/>
      <c r="AJ18" s="238"/>
      <c r="AK18" s="236"/>
      <c r="AL18" s="236"/>
      <c r="AM18" s="236"/>
      <c r="AN18" s="236"/>
      <c r="AO18" s="236"/>
      <c r="AP18" s="251"/>
      <c r="AQ18" s="105"/>
      <c r="AR18" s="105"/>
      <c r="AS18" s="105"/>
      <c r="AT18" s="105"/>
      <c r="AU18" s="105"/>
      <c r="AV18" s="105"/>
      <c r="AW18" s="105"/>
    </row>
    <row r="19" spans="1:49" s="12" customFormat="1" ht="15" hidden="1">
      <c r="A19" s="4" t="s">
        <v>269</v>
      </c>
      <c r="B19" s="233"/>
      <c r="C19" s="238">
        <v>19800000</v>
      </c>
      <c r="D19" s="236"/>
      <c r="E19" s="236"/>
      <c r="F19" s="236"/>
      <c r="G19" s="236"/>
      <c r="H19" s="236"/>
      <c r="I19" s="236"/>
      <c r="J19" s="238"/>
      <c r="K19" s="236"/>
      <c r="L19" s="236"/>
      <c r="M19" s="236"/>
      <c r="N19" s="236"/>
      <c r="O19" s="236"/>
      <c r="P19" s="238"/>
      <c r="Q19" s="236"/>
      <c r="R19" s="236"/>
      <c r="S19" s="236"/>
      <c r="T19" s="236"/>
      <c r="U19" s="236"/>
      <c r="V19" s="236"/>
      <c r="W19" s="238"/>
      <c r="X19" s="236"/>
      <c r="Y19" s="236"/>
      <c r="Z19" s="236"/>
      <c r="AA19" s="236"/>
      <c r="AB19" s="236"/>
      <c r="AC19" s="238"/>
      <c r="AD19" s="236"/>
      <c r="AE19" s="236"/>
      <c r="AF19" s="236"/>
      <c r="AG19" s="236"/>
      <c r="AH19" s="236"/>
      <c r="AI19" s="236"/>
      <c r="AJ19" s="238"/>
      <c r="AK19" s="236"/>
      <c r="AL19" s="236"/>
      <c r="AM19" s="236"/>
      <c r="AN19" s="236"/>
      <c r="AO19" s="236"/>
      <c r="AP19" s="251"/>
      <c r="AQ19" s="105"/>
      <c r="AR19" s="105"/>
      <c r="AS19" s="105"/>
      <c r="AT19" s="105"/>
      <c r="AU19" s="105"/>
      <c r="AV19" s="105"/>
      <c r="AW19" s="105"/>
    </row>
    <row r="20" spans="1:49" s="12" customFormat="1" ht="31.5" customHeight="1" hidden="1" thickBot="1">
      <c r="A20" s="231" t="s">
        <v>90</v>
      </c>
      <c r="B20" s="234" t="s">
        <v>89</v>
      </c>
      <c r="C20" s="236">
        <f>SUM(C21:C32)</f>
        <v>21000000</v>
      </c>
      <c r="D20" s="237"/>
      <c r="E20" s="236"/>
      <c r="F20" s="236"/>
      <c r="G20" s="236"/>
      <c r="H20" s="237"/>
      <c r="I20" s="236"/>
      <c r="J20" s="236"/>
      <c r="K20" s="236"/>
      <c r="L20" s="236"/>
      <c r="M20" s="236"/>
      <c r="N20" s="236"/>
      <c r="O20" s="237"/>
      <c r="P20" s="237">
        <f>SUM(D20:O20)</f>
        <v>0</v>
      </c>
      <c r="Q20" s="237"/>
      <c r="R20" s="236"/>
      <c r="S20" s="236"/>
      <c r="T20" s="236"/>
      <c r="U20" s="237"/>
      <c r="V20" s="236"/>
      <c r="W20" s="236"/>
      <c r="X20" s="236"/>
      <c r="Y20" s="236"/>
      <c r="Z20" s="236"/>
      <c r="AA20" s="236"/>
      <c r="AB20" s="236"/>
      <c r="AC20" s="236">
        <f>SUM(Q20:AB20)</f>
        <v>0</v>
      </c>
      <c r="AD20" s="237"/>
      <c r="AE20" s="236"/>
      <c r="AF20" s="236"/>
      <c r="AG20" s="236"/>
      <c r="AH20" s="237"/>
      <c r="AI20" s="236"/>
      <c r="AJ20" s="236"/>
      <c r="AK20" s="236"/>
      <c r="AL20" s="236"/>
      <c r="AM20" s="236"/>
      <c r="AN20" s="236"/>
      <c r="AO20" s="236"/>
      <c r="AP20" s="250">
        <f>SUM(AD20:AO20)</f>
        <v>0</v>
      </c>
      <c r="AQ20" s="105"/>
      <c r="AR20" s="105"/>
      <c r="AS20" s="105"/>
      <c r="AT20" s="105"/>
      <c r="AU20" s="105"/>
      <c r="AV20" s="105"/>
      <c r="AW20" s="105"/>
    </row>
    <row r="21" spans="1:49" s="24" customFormat="1" ht="18" thickBot="1">
      <c r="A21" s="296" t="s">
        <v>50</v>
      </c>
      <c r="B21" s="297"/>
      <c r="C21" s="235">
        <f>C14</f>
        <v>21000000</v>
      </c>
      <c r="D21" s="235">
        <f aca="true" t="shared" si="2" ref="D21:AP21">D14</f>
        <v>0</v>
      </c>
      <c r="E21" s="235">
        <f t="shared" si="2"/>
        <v>0</v>
      </c>
      <c r="F21" s="235">
        <f t="shared" si="2"/>
        <v>0</v>
      </c>
      <c r="G21" s="235">
        <f t="shared" si="2"/>
        <v>0</v>
      </c>
      <c r="H21" s="235">
        <f t="shared" si="2"/>
        <v>0</v>
      </c>
      <c r="I21" s="235">
        <f t="shared" si="2"/>
        <v>0</v>
      </c>
      <c r="J21" s="235">
        <f t="shared" si="2"/>
        <v>0</v>
      </c>
      <c r="K21" s="235">
        <f t="shared" si="2"/>
        <v>0</v>
      </c>
      <c r="L21" s="235">
        <f t="shared" si="2"/>
        <v>0</v>
      </c>
      <c r="M21" s="235">
        <f t="shared" si="2"/>
        <v>0</v>
      </c>
      <c r="N21" s="235">
        <f t="shared" si="2"/>
        <v>0</v>
      </c>
      <c r="O21" s="235">
        <f t="shared" si="2"/>
        <v>0</v>
      </c>
      <c r="P21" s="235">
        <f t="shared" si="2"/>
        <v>0</v>
      </c>
      <c r="Q21" s="235">
        <f t="shared" si="2"/>
        <v>0</v>
      </c>
      <c r="R21" s="235">
        <f t="shared" si="2"/>
        <v>0</v>
      </c>
      <c r="S21" s="235">
        <f t="shared" si="2"/>
        <v>0</v>
      </c>
      <c r="T21" s="235">
        <f t="shared" si="2"/>
        <v>0</v>
      </c>
      <c r="U21" s="235">
        <f t="shared" si="2"/>
        <v>0</v>
      </c>
      <c r="V21" s="235">
        <f t="shared" si="2"/>
        <v>0</v>
      </c>
      <c r="W21" s="235">
        <f t="shared" si="2"/>
        <v>0</v>
      </c>
      <c r="X21" s="235">
        <f t="shared" si="2"/>
        <v>0</v>
      </c>
      <c r="Y21" s="235">
        <f t="shared" si="2"/>
        <v>0</v>
      </c>
      <c r="Z21" s="235">
        <f t="shared" si="2"/>
        <v>0</v>
      </c>
      <c r="AA21" s="235">
        <f t="shared" si="2"/>
        <v>0</v>
      </c>
      <c r="AB21" s="235">
        <f t="shared" si="2"/>
        <v>0</v>
      </c>
      <c r="AC21" s="235">
        <f t="shared" si="2"/>
        <v>0</v>
      </c>
      <c r="AD21" s="235">
        <f t="shared" si="2"/>
        <v>0</v>
      </c>
      <c r="AE21" s="235">
        <f t="shared" si="2"/>
        <v>0</v>
      </c>
      <c r="AF21" s="235">
        <f t="shared" si="2"/>
        <v>0</v>
      </c>
      <c r="AG21" s="235">
        <f t="shared" si="2"/>
        <v>0</v>
      </c>
      <c r="AH21" s="235">
        <f t="shared" si="2"/>
        <v>0</v>
      </c>
      <c r="AI21" s="235">
        <f t="shared" si="2"/>
        <v>0</v>
      </c>
      <c r="AJ21" s="235">
        <f t="shared" si="2"/>
        <v>0</v>
      </c>
      <c r="AK21" s="235">
        <f t="shared" si="2"/>
        <v>0</v>
      </c>
      <c r="AL21" s="235">
        <f t="shared" si="2"/>
        <v>0</v>
      </c>
      <c r="AM21" s="235">
        <f t="shared" si="2"/>
        <v>0</v>
      </c>
      <c r="AN21" s="235">
        <f t="shared" si="2"/>
        <v>0</v>
      </c>
      <c r="AO21" s="235">
        <f t="shared" si="2"/>
        <v>0</v>
      </c>
      <c r="AP21" s="252">
        <f t="shared" si="2"/>
        <v>0</v>
      </c>
      <c r="AQ21" s="105"/>
      <c r="AR21" s="105"/>
      <c r="AS21" s="105"/>
      <c r="AT21" s="105"/>
      <c r="AU21" s="105"/>
      <c r="AV21" s="105"/>
      <c r="AW21" s="105"/>
    </row>
    <row r="22" spans="1:49" ht="15">
      <c r="A22" s="10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S22" s="105"/>
      <c r="AT22" s="105"/>
      <c r="AU22" s="105"/>
      <c r="AV22" s="105"/>
      <c r="AW22" s="105"/>
    </row>
    <row r="23" spans="1:49" ht="15">
      <c r="A23" s="10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S23" s="105"/>
      <c r="AT23" s="105"/>
      <c r="AU23" s="105"/>
      <c r="AV23" s="105"/>
      <c r="AW23" s="105"/>
    </row>
    <row r="24" spans="1:49" ht="30.75" customHeight="1">
      <c r="A24" s="26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70"/>
      <c r="AS24" s="105"/>
      <c r="AT24" s="105"/>
      <c r="AU24" s="105"/>
      <c r="AV24" s="105"/>
      <c r="AW24" s="105"/>
    </row>
    <row r="25" spans="1:49" ht="15" hidden="1">
      <c r="A25" s="60">
        <f ca="1">TODAY()</f>
        <v>41632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S25" s="105"/>
      <c r="AT25" s="105"/>
      <c r="AU25" s="105"/>
      <c r="AV25" s="105"/>
      <c r="AW25" s="105"/>
    </row>
    <row r="26" spans="1:49" ht="15" hidden="1">
      <c r="A26" s="6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S26" s="105"/>
      <c r="AT26" s="105"/>
      <c r="AU26" s="105"/>
      <c r="AV26" s="105"/>
      <c r="AW26" s="105"/>
    </row>
    <row r="27" spans="1:49" ht="15" hidden="1">
      <c r="A27" s="6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S27" s="105"/>
      <c r="AT27" s="105"/>
      <c r="AU27" s="105"/>
      <c r="AV27" s="105"/>
      <c r="AW27" s="105"/>
    </row>
    <row r="28" spans="1:49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S28" s="105"/>
      <c r="AT28" s="105"/>
      <c r="AU28" s="105"/>
      <c r="AV28" s="105"/>
      <c r="AW28" s="105"/>
    </row>
    <row r="29" spans="1:49" ht="15" thickBot="1">
      <c r="A29" s="4"/>
      <c r="B29" s="74" t="s">
        <v>83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 t="s">
        <v>84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S29" s="105"/>
      <c r="AT29" s="105"/>
      <c r="AU29" s="105"/>
      <c r="AV29" s="105"/>
      <c r="AW29" s="105"/>
    </row>
    <row r="30" spans="1:42" ht="15">
      <c r="A30" s="4"/>
      <c r="B30" s="63"/>
      <c r="C30" s="283" t="s">
        <v>109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5"/>
      <c r="R30" s="5"/>
      <c r="S30" s="5"/>
      <c r="T30" s="36"/>
      <c r="U30" s="5"/>
      <c r="V30" s="5"/>
      <c r="W30" s="5"/>
      <c r="X30" s="5"/>
      <c r="Y30" s="5"/>
      <c r="Z30" s="5"/>
      <c r="AA30" s="5"/>
      <c r="AB30" s="5"/>
      <c r="AC30" s="63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3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 thickBo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/>
    </row>
    <row r="40" spans="6:35" ht="15"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AI40" s="1">
        <v>250000</v>
      </c>
    </row>
    <row r="41" spans="6:35" ht="15"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AI41" s="1">
        <v>720000</v>
      </c>
    </row>
    <row r="42" spans="6:18" ht="15"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</row>
    <row r="43" spans="6:18" ht="15"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</row>
    <row r="44" spans="6:18" ht="15"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</row>
    <row r="45" spans="6:18" ht="15"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</row>
    <row r="46" spans="6:18" ht="15"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</row>
  </sheetData>
  <sheetProtection/>
  <mergeCells count="10">
    <mergeCell ref="A1:AP1"/>
    <mergeCell ref="A2:AP2"/>
    <mergeCell ref="A3:AP3"/>
    <mergeCell ref="A4:AP4"/>
    <mergeCell ref="C30:P30"/>
    <mergeCell ref="A5:AP5"/>
    <mergeCell ref="A7:B7"/>
    <mergeCell ref="A8:B8"/>
    <mergeCell ref="A21:B21"/>
    <mergeCell ref="A24:AP24"/>
  </mergeCells>
  <printOptions horizontalCentered="1" verticalCentered="1"/>
  <pageMargins left="1.04" right="0.1968503937007874" top="0.15748031496062992" bottom="0.1968503937007874" header="0" footer="0.1968503937007874"/>
  <pageSetup horizontalDpi="600" verticalDpi="600" orientation="landscape" paperSize="5" scale="75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2013-11-18T19:42:28Z</cp:lastPrinted>
  <dcterms:created xsi:type="dcterms:W3CDTF">1999-04-05T19:37:02Z</dcterms:created>
  <dcterms:modified xsi:type="dcterms:W3CDTF">2013-12-24T18:39:01Z</dcterms:modified>
  <cp:category/>
  <cp:version/>
  <cp:contentType/>
  <cp:contentStatus/>
</cp:coreProperties>
</file>