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44" windowHeight="11676" activeTab="1"/>
  </bookViews>
  <sheets>
    <sheet name="CUENTAS POR PAGAR" sheetId="1" r:id="rId1"/>
    <sheet name="Gastos Dane " sheetId="2" r:id="rId2"/>
    <sheet name="RESERVAS Dane" sheetId="3" r:id="rId3"/>
    <sheet name="Hoja1" sheetId="4" r:id="rId4"/>
  </sheets>
  <definedNames>
    <definedName name="_xlnm.Print_Area" localSheetId="0">'CUENTAS POR PAGAR'!$A$1:$P$50</definedName>
    <definedName name="_xlnm.Print_Area" localSheetId="1">'Gastos Dane '!$A$1:$AP$90</definedName>
    <definedName name="_xlnm.Print_Area" localSheetId="2">'RESERVAS Dane'!$A$1:$AC$56</definedName>
  </definedNames>
  <calcPr fullCalcOnLoad="1"/>
</workbook>
</file>

<file path=xl/sharedStrings.xml><?xml version="1.0" encoding="utf-8"?>
<sst xmlns="http://schemas.openxmlformats.org/spreadsheetml/2006/main" count="465" uniqueCount="227">
  <si>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</si>
  <si>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</si>
  <si>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</si>
  <si>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</si>
  <si>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</si>
  <si>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</si>
  <si>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</si>
  <si>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</si>
  <si>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</si>
  <si>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</si>
  <si>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</si>
  <si>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</si>
  <si>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</si>
  <si>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</si>
  <si>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</si>
  <si>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</si>
  <si>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</si>
  <si>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</si>
  <si>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</si>
  <si>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</si>
  <si>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</si>
  <si>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</si>
  <si>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</si>
  <si>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</si>
  <si>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</si>
  <si>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</si>
  <si>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</si>
  <si>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</si>
  <si>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</si>
  <si>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</si>
  <si>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</si>
  <si>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</si>
  <si>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</si>
  <si>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</si>
  <si>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</si>
  <si>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</si>
  <si>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</si>
  <si>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</si>
  <si>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</si>
  <si>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</si>
  <si>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</si>
  <si>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</si>
  <si>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</si>
  <si>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</si>
  <si>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</si>
  <si>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</si>
  <si>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</si>
  <si>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</si>
  <si>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</si>
  <si>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</si>
  <si>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</si>
  <si>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</si>
  <si>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</si>
  <si>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</si>
  <si>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</si>
  <si>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</si>
  <si>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</si>
  <si>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</si>
  <si>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</si>
  <si>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</si>
  <si>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</si>
  <si>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</si>
  <si>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</si>
  <si>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</si>
  <si>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</si>
  <si>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</si>
  <si>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</si>
  <si>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</si>
  <si>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</si>
  <si>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</si>
  <si>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</si>
  <si>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</si>
  <si>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</si>
  <si>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</si>
  <si>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</si>
  <si>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</si>
  <si>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</si>
  <si>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</si>
  <si>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</si>
  <si>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</si>
  <si>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</si>
  <si>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</si>
  <si>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</si>
  <si>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</si>
  <si>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</si>
  <si>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</si>
  <si>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</si>
  <si>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</si>
  <si>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</si>
  <si>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</si>
  <si>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</si>
  <si>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</si>
  <si>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</si>
  <si>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</si>
  <si>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</si>
  <si>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</si>
  <si>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</si>
  <si>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</si>
  <si>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</si>
  <si>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</si>
  <si>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</si>
  <si>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</si>
  <si>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</si>
  <si>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</si>
  <si>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</si>
  <si>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</si>
  <si>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MATERIALES Y SUMINISTROS</t>
  </si>
  <si>
    <t>MANTENIMIENTO</t>
  </si>
  <si>
    <t>SERVICIOS PUBLICOS</t>
  </si>
  <si>
    <t>SEGUROS</t>
  </si>
  <si>
    <t>A|2|0|4|10|10</t>
  </si>
  <si>
    <t>A|2|0|4|5|10</t>
  </si>
  <si>
    <t>A|2|0|4|8|10</t>
  </si>
  <si>
    <t>A|2|0|4|9|10</t>
  </si>
  <si>
    <t>MEJORAMIENTO DE LA CAPACIDAD TECNICA Y ADMINISTRATIVA</t>
  </si>
  <si>
    <t>LEV. RECOP Y ACTUAL.  INF CUMPLIMIENTO OBJETIVOS MILENIO NAL.</t>
  </si>
  <si>
    <t>LEV. RECOP Y ACTUAL.  INF PRODUCCION COMERCIO Y SERVICIOS NAL.</t>
  </si>
  <si>
    <t>A|1|0|2|10</t>
  </si>
  <si>
    <t>CUENTAS POR PAGAR</t>
  </si>
  <si>
    <t xml:space="preserve">OTROS GASTOS POR ADQUISICION DE SERVICIOS </t>
  </si>
  <si>
    <t>A|2|0|4|41|10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</si>
  <si>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</si>
  <si>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</si>
  <si>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</si>
  <si>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</si>
  <si>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</si>
  <si>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</si>
  <si>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</si>
  <si>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>A|2|0|4|4|10</t>
  </si>
  <si>
    <t xml:space="preserve">IMPRESOS  Y PUBLICACIONES </t>
  </si>
  <si>
    <t>A|2|0|4|7|10</t>
  </si>
  <si>
    <t>INVERSION</t>
  </si>
  <si>
    <t>A|2|0|4|21|10</t>
  </si>
  <si>
    <t xml:space="preserve">CAPACITACION, BIENESTAR SOCIAL Y ESTIMULOS </t>
  </si>
  <si>
    <t>A|3|2|1|1|11</t>
  </si>
  <si>
    <t xml:space="preserve">ADQUISICION DE BIENES Y SERVICIOS </t>
  </si>
  <si>
    <t>A|1|0|2|12|10</t>
  </si>
  <si>
    <t xml:space="preserve"> </t>
  </si>
  <si>
    <t>Preparó : M.S.R.</t>
  </si>
  <si>
    <t>A|2|0|4|01|10</t>
  </si>
  <si>
    <t xml:space="preserve">COMPRA DE EQUIPO </t>
  </si>
  <si>
    <t xml:space="preserve">VIATICOS Y GASTOS DE VIAJES </t>
  </si>
  <si>
    <t>A|2|0|4|11|10</t>
  </si>
  <si>
    <t>C|450|1003|2|11</t>
  </si>
  <si>
    <t>LEV. RECOP Y ACTUAL.  INF DATOS ESPACIALES   A NIVEL NAL.</t>
  </si>
  <si>
    <t xml:space="preserve">DESARR. E INTEG. Y ACTUAL.DE LOS MARCOS ESTADIS. A NIV.NAL.COLOMBIA </t>
  </si>
  <si>
    <t>A|1|0|1|1|10</t>
  </si>
  <si>
    <t xml:space="preserve">SUELDOS PERSONAL DE  NOMINA </t>
  </si>
  <si>
    <t>OTRAS TRANSFERENCIAS -PREVIO CONCEPTO DGPNN</t>
  </si>
  <si>
    <t>A|2|0|4|| |10</t>
  </si>
  <si>
    <t>A|2|0|4||10</t>
  </si>
  <si>
    <t>C|520|1000|130-1|11</t>
  </si>
  <si>
    <t>A|3|6|3 ||20|10</t>
  </si>
  <si>
    <t>A|2|0|4|1|10</t>
  </si>
  <si>
    <t>C|410|1000|12|11</t>
  </si>
  <si>
    <t xml:space="preserve">LEV. RECOP, SEGUIM. Y ACTUL.  ENCUESTA LONGITUDINAL  PROT.SOC. COL.  NAL. </t>
  </si>
  <si>
    <t>C|450|1003|1|11</t>
  </si>
  <si>
    <t>C|450|1003|3|11</t>
  </si>
  <si>
    <t>C|450|1003|4|11</t>
  </si>
  <si>
    <t>C|450|1003|5|11</t>
  </si>
  <si>
    <t>C|450|1003|6|11</t>
  </si>
  <si>
    <t>C|450|1003|7|11</t>
  </si>
  <si>
    <t>C|450|1003|8|11</t>
  </si>
  <si>
    <t>C|450|1003|9|11</t>
  </si>
  <si>
    <t>C|450|1003|10|11</t>
  </si>
  <si>
    <t>C|450|1003|11|11</t>
  </si>
  <si>
    <t>LEV. RECOP Y ACTUAL.  INF CUENTAS NALES Y MACROECONOMIA  A NIV.NAL.</t>
  </si>
  <si>
    <t>LEV. RECOP Y ACTUAL.INF PLANIFICACION Y ARMON ESTADISTICA A NIV.NAL.</t>
  </si>
  <si>
    <t>C|450|1003|12|11</t>
  </si>
  <si>
    <t>LEV. Y ACTUAL.  DE INF AGROPECUARIA A NIV.NAL.</t>
  </si>
  <si>
    <t>C|450|1003|13|11</t>
  </si>
  <si>
    <t>LEV. RECOP Y ACTUAL. INF POBLACIONAL Y DEMOGRAFICA  NAL.</t>
  </si>
  <si>
    <t>C|450|1003|14|11</t>
  </si>
  <si>
    <t>C|450|1003|15|11</t>
  </si>
  <si>
    <t>DESARROLLO TERCER  CENSO NAL.  AGROPECUARIO -PREVIO CONCEPTO DNP.</t>
  </si>
  <si>
    <t>C|450|1003|16|11</t>
  </si>
  <si>
    <t>FORT.SIST. INF. PRECIOS Y ABASTECIMIENTO SECT.AGROPECUARIO SIPSA EN COL.</t>
  </si>
  <si>
    <t>C|450|1003|17|11</t>
  </si>
  <si>
    <t xml:space="preserve">LEV. RECOP Y ACTUAL. DE LAS ESTADISTICAS  DEL SECTOR TURISMO NAL. </t>
  </si>
  <si>
    <t>LEV. DE INF. ESTADIS. PARA GENERAR LA ENCUESTA  DE VICTIMIZACION NAL.</t>
  </si>
  <si>
    <t>C|450|1003|1|10</t>
  </si>
  <si>
    <t>C|450|1003|2|10</t>
  </si>
  <si>
    <t>C|450|1003|310</t>
  </si>
  <si>
    <t>C|450|1003|4|10</t>
  </si>
  <si>
    <t>C|450|1003|5|10</t>
  </si>
  <si>
    <t>C|450|1003|6|10</t>
  </si>
  <si>
    <t>C|450|1003|7|10</t>
  </si>
  <si>
    <t>C|450|1003|8|10</t>
  </si>
  <si>
    <t>C|450|1003|9|10</t>
  </si>
  <si>
    <t>C|450|1003|10|10</t>
  </si>
  <si>
    <t>C|450|1003|11|10</t>
  </si>
  <si>
    <t>C|450|1003|12|10</t>
  </si>
  <si>
    <t>LEV. Y ACTUAL.  DE INF AGROPECUARIA A NI.NAL.</t>
  </si>
  <si>
    <t>C|450|1003|13|10</t>
  </si>
  <si>
    <t>LEV. RECOP Y ACTUAL. INF POBLACIONAL Y DEMOGRAFICA  NAL</t>
  </si>
  <si>
    <t>C|450|1003|14|10</t>
  </si>
  <si>
    <t>C|450|1003|17|10</t>
  </si>
  <si>
    <t xml:space="preserve">LEV. RECOP Y ACTUAL. DE LAS ESTADISTICASS  DEL SECTOR TURISMO NAL. </t>
  </si>
  <si>
    <t>C|520|1000|122|11</t>
  </si>
  <si>
    <t xml:space="preserve">LEV. DE INF. ENCUESTA LONGITUDINAL  PROT. SOCIAL PARA COLOMBIA </t>
  </si>
  <si>
    <t xml:space="preserve">LEV. DE INF. ESTADIS. PARA LA ENCUESTA  NAL. DE VICTIMIZACION </t>
  </si>
  <si>
    <t>C|520|1000|130-4|11</t>
  </si>
  <si>
    <t>MEJORAMIENTO TEMATICO  GRAN ENCUESTA  INT. DE HOGARES A NIV. NAL.</t>
  </si>
  <si>
    <t>C|520|1000|130-5|11</t>
  </si>
  <si>
    <t>LEV.DE PRODUCTOS PARA EL DESARROLLO TERCER CENSO NAL. AGROPECUARIO</t>
  </si>
  <si>
    <t>C|520|1000|130-6|11</t>
  </si>
  <si>
    <t xml:space="preserve">LEV. DE LA GRAN ENCUESTA INTEG.  DE HOGARES-GEIH EN LOS NVOS DPTOS. NAL. </t>
  </si>
  <si>
    <t>LEV.DE PRODUCTOS PARA EL DESAR.TERCER CENSO NAL. AGROPECUARIO</t>
  </si>
  <si>
    <t xml:space="preserve">LEV. DE LA GRAN ENCUESTA INTEG. HOGARES-GEIH EN LOS NVOS DPTOS. NAL. </t>
  </si>
  <si>
    <t>A|1|0|1|5|10</t>
  </si>
  <si>
    <t xml:space="preserve">OTROS </t>
  </si>
  <si>
    <t>A|1|0|1|9|10</t>
  </si>
  <si>
    <t xml:space="preserve">HORAS EXTRAS, DIAS FESTIVOS E INDEMNIZACION  POR VACACIONES </t>
  </si>
  <si>
    <t>A|3|4|1 |144|10</t>
  </si>
  <si>
    <t>ORGANIZACIÓN COOPERACION Y DESARROLLO ECONOMICO  OCDE</t>
  </si>
  <si>
    <t>A|2|0|4|6|10</t>
  </si>
  <si>
    <t>SENTENCIAS Y CONCILIACIONES</t>
  </si>
  <si>
    <t xml:space="preserve">COMUNICACIONES Y TRANSPORTE </t>
  </si>
  <si>
    <t>A|2|0|4|2|10</t>
  </si>
  <si>
    <t xml:space="preserve">ENSERES Y EQUIPO DE OFICINA </t>
  </si>
  <si>
    <t>C|520|1000|131|11</t>
  </si>
  <si>
    <t xml:space="preserve">COORDINADOR  PRESUPUESTO </t>
  </si>
  <si>
    <t xml:space="preserve">COORDINADOR   PRESUPUESTO </t>
  </si>
  <si>
    <t xml:space="preserve">A  SEPTIEMBRE </t>
  </si>
  <si>
    <t xml:space="preserve">A SEPTIEMBRE </t>
  </si>
  <si>
    <t>A  SEPTIEMBRE</t>
  </si>
  <si>
    <t xml:space="preserve">NOTA: MEDIANTE RESOLUCION No.1255/2013, SE EFECTUO UN TRASLADO EN EL PPTO DE GTOS DE FUNCIONAMIENTO DANE POR VALOR DE $700.000.000, ASI: DE SUELDOS  POR $550.000.000 Y CONT.INHERENTES A LA NOMINA SECT. PRIVADO $150.000.000 A:  HONORARIOS $467.115.866  Y REM. SERV, TEC. $232.884.134; POR COMUNICACION DEL AREA  ADMINISTRATIVA DE FECHA  SEPT. 6/2013, SOLICITA TRASLADAR LA SUMA DE $717.500,000 DE COMPRA DE EQUIPO A MANTENIMIENTO  Y POR RESOLUCION  1258 DE FECHA AGOSTO 27/2013, SE EFECTUA UN TRASLADO EN EL PPTO GTOS DE FUNCIONAMIENTO  POR LA SUMA DE $45.000.000 DE  PRIMA DE SERVICIOS A PRIMA TECNICA  Y POR RESOLUCION No.2703 DE FECHA SEPT.17/2013 , SE EFECTUA UNA DISTRIBUCION  EN EL PPTO. DE GASTOS DE INVERSION  DEL DEPARTAMENTO  ADMINISTRATIVO NAL DE PLANEACION VIGENCIA 2013, CORRESPONDIENDOLE  AL DANE LA SUMA DE $209.000.000, PARA  EL PROYECTO 520-1000-0131-11  ENCUESTA VICTIMIZACION  NAL. 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</si>
</sst>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0;[Red]#,##0.00"/>
    <numFmt numFmtId="203" formatCode="#,##0.00_ ;[Red]\-#,##0.00\ "/>
    <numFmt numFmtId="204" formatCode="_(&quot;$&quot;* #,##0.000_);_(&quot;$&quot;* \(#,##0.000\);_(&quot;$&quot;* &quot;-&quot;??_);_(@_)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&quot;$&quot;\ #,##0.00"/>
    <numFmt numFmtId="210" formatCode="[$-1240A]&quot;$&quot;\ #,##0.00;\(&quot;$&quot;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7" fillId="33" borderId="0" xfId="0" applyFont="1" applyFill="1" applyBorder="1" applyAlignment="1" quotePrefix="1">
      <alignment horizontal="left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 horizontal="left"/>
    </xf>
    <xf numFmtId="0" fontId="8" fillId="33" borderId="19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left"/>
      <protection locked="0"/>
    </xf>
    <xf numFmtId="4" fontId="0" fillId="0" borderId="26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/>
    </xf>
    <xf numFmtId="4" fontId="0" fillId="0" borderId="27" xfId="0" applyNumberFormat="1" applyFont="1" applyFill="1" applyBorder="1" applyAlignment="1" applyProtection="1">
      <alignment horizontal="right"/>
      <protection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6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31" xfId="0" applyNumberFormat="1" applyFont="1" applyBorder="1" applyAlignment="1" applyProtection="1">
      <alignment horizontal="left"/>
      <protection locked="0"/>
    </xf>
    <xf numFmtId="4" fontId="0" fillId="0" borderId="31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4" fontId="0" fillId="0" borderId="32" xfId="0" applyNumberFormat="1" applyFont="1" applyFill="1" applyBorder="1" applyAlignment="1" applyProtection="1">
      <alignment horizontal="right"/>
      <protection/>
    </xf>
    <xf numFmtId="40" fontId="0" fillId="0" borderId="32" xfId="0" applyNumberFormat="1" applyFont="1" applyBorder="1" applyAlignment="1" applyProtection="1">
      <alignment horizontal="right"/>
      <protection locked="0"/>
    </xf>
    <xf numFmtId="4" fontId="0" fillId="0" borderId="34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4" fontId="0" fillId="0" borderId="39" xfId="0" applyNumberFormat="1" applyFont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41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4" fontId="4" fillId="0" borderId="17" xfId="0" applyNumberFormat="1" applyFont="1" applyBorder="1" applyAlignment="1" applyProtection="1">
      <alignment horizontal="center"/>
      <protection locked="0"/>
    </xf>
    <xf numFmtId="4" fontId="0" fillId="0" borderId="27" xfId="0" applyNumberFormat="1" applyFont="1" applyBorder="1" applyAlignment="1" applyProtection="1">
      <alignment horizontal="right"/>
      <protection locked="0"/>
    </xf>
    <xf numFmtId="40" fontId="1" fillId="0" borderId="29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4" fontId="0" fillId="0" borderId="28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4" fontId="0" fillId="0" borderId="45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Border="1" applyAlignment="1" applyProtection="1">
      <alignment horizontal="right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  <protection locked="0"/>
    </xf>
    <xf numFmtId="4" fontId="0" fillId="0" borderId="46" xfId="0" applyNumberFormat="1" applyFont="1" applyFill="1" applyBorder="1" applyAlignment="1" applyProtection="1">
      <alignment horizontal="right"/>
      <protection/>
    </xf>
    <xf numFmtId="40" fontId="0" fillId="0" borderId="28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Fill="1" applyBorder="1" applyAlignment="1" applyProtection="1">
      <alignment horizontal="right"/>
      <protection/>
    </xf>
    <xf numFmtId="40" fontId="0" fillId="0" borderId="46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Fill="1" applyBorder="1" applyAlignment="1" applyProtection="1">
      <alignment horizontal="right"/>
      <protection/>
    </xf>
    <xf numFmtId="4" fontId="0" fillId="0" borderId="46" xfId="0" applyNumberFormat="1" applyFont="1" applyFill="1" applyBorder="1" applyAlignment="1" applyProtection="1">
      <alignment horizontal="right"/>
      <protection locked="0"/>
    </xf>
    <xf numFmtId="39" fontId="0" fillId="0" borderId="46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 horizontal="right"/>
      <protection/>
    </xf>
    <xf numFmtId="209" fontId="3" fillId="0" borderId="0" xfId="0" applyNumberFormat="1" applyFont="1" applyBorder="1" applyAlignment="1">
      <alignment/>
    </xf>
    <xf numFmtId="4" fontId="0" fillId="0" borderId="29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9" fontId="10" fillId="0" borderId="49" xfId="0" applyNumberFormat="1" applyFont="1" applyBorder="1" applyAlignment="1" applyProtection="1">
      <alignment horizontal="right" vertical="center" wrapText="1" readingOrder="1"/>
      <protection locked="0"/>
    </xf>
    <xf numFmtId="4" fontId="46" fillId="0" borderId="46" xfId="0" applyNumberFormat="1" applyFont="1" applyBorder="1" applyAlignment="1" applyProtection="1">
      <alignment horizontal="right"/>
      <protection locked="0"/>
    </xf>
    <xf numFmtId="39" fontId="47" fillId="0" borderId="50" xfId="0" applyNumberFormat="1" applyFont="1" applyFill="1" applyBorder="1" applyAlignment="1">
      <alignment horizontal="right" vertical="center" wrapText="1" readingOrder="1"/>
    </xf>
    <xf numFmtId="43" fontId="1" fillId="0" borderId="0" xfId="48" applyFont="1" applyAlignment="1">
      <alignment/>
    </xf>
    <xf numFmtId="43" fontId="0" fillId="0" borderId="0" xfId="48" applyFont="1" applyAlignment="1">
      <alignment/>
    </xf>
    <xf numFmtId="20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4" fontId="46" fillId="0" borderId="0" xfId="0" applyNumberFormat="1" applyFont="1" applyBorder="1" applyAlignment="1" applyProtection="1">
      <alignment/>
      <protection locked="0"/>
    </xf>
    <xf numFmtId="4" fontId="46" fillId="0" borderId="0" xfId="0" applyNumberFormat="1" applyFont="1" applyAlignment="1" applyProtection="1">
      <alignment/>
      <protection locked="0"/>
    </xf>
    <xf numFmtId="14" fontId="2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4" fontId="1" fillId="0" borderId="2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4" fontId="2" fillId="0" borderId="43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zoomScale="90" zoomScaleNormal="90" zoomScalePageLayoutView="0" workbookViewId="0" topLeftCell="C12">
      <selection activeCell="P54" sqref="P54"/>
    </sheetView>
  </sheetViews>
  <sheetFormatPr defaultColWidth="11.421875" defaultRowHeight="12.75"/>
  <cols>
    <col min="1" max="1" width="18.8515625" style="1" customWidth="1"/>
    <col min="2" max="2" width="68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0.57421875" style="1" hidden="1" customWidth="1"/>
    <col min="11" max="11" width="20.7109375" style="1" hidden="1" customWidth="1"/>
    <col min="12" max="12" width="22.140625" style="1" customWidth="1"/>
    <col min="13" max="13" width="21.00390625" style="1" hidden="1" customWidth="1"/>
    <col min="14" max="14" width="19.8515625" style="1" hidden="1" customWidth="1"/>
    <col min="15" max="15" width="20.421875" style="1" hidden="1" customWidth="1"/>
    <col min="16" max="16" width="20.28125" style="1" customWidth="1"/>
    <col min="17" max="17" width="11.421875" style="1" customWidth="1"/>
    <col min="18" max="18" width="17.57421875" style="1" customWidth="1"/>
    <col min="19" max="19" width="21.421875" style="1" customWidth="1"/>
    <col min="20" max="16384" width="11.421875" style="1" customWidth="1"/>
  </cols>
  <sheetData>
    <row r="1" spans="1:16" s="22" customFormat="1" ht="13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2"/>
    </row>
    <row r="2" spans="1:16" s="22" customFormat="1" ht="13.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s="22" customFormat="1" ht="13.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16" s="22" customFormat="1" ht="13.5">
      <c r="A4" s="133" t="s">
        <v>118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5"/>
    </row>
    <row r="5" spans="1:16" s="22" customFormat="1" ht="13.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5"/>
    </row>
    <row r="6" spans="1:16" s="22" customFormat="1" ht="13.5">
      <c r="A6" s="136" t="s">
        <v>2</v>
      </c>
      <c r="B6" s="137"/>
      <c r="C6" s="27" t="s">
        <v>39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 t="s">
        <v>225</v>
      </c>
    </row>
    <row r="7" spans="1:16" s="22" customFormat="1" ht="15" customHeight="1" thickBot="1">
      <c r="A7" s="136" t="s">
        <v>3</v>
      </c>
      <c r="B7" s="137"/>
      <c r="C7" s="23" t="s">
        <v>37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30">
        <v>2013</v>
      </c>
    </row>
    <row r="8" spans="1:16" s="22" customFormat="1" ht="14.25" hidden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</row>
    <row r="9" spans="1:16" s="22" customFormat="1" ht="13.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s="22" customFormat="1" ht="13.5">
      <c r="A10" s="64" t="s">
        <v>24</v>
      </c>
      <c r="B10" s="64" t="s">
        <v>26</v>
      </c>
      <c r="C10" s="64" t="s">
        <v>27</v>
      </c>
      <c r="D10" s="64" t="s">
        <v>30</v>
      </c>
      <c r="E10" s="64" t="s">
        <v>30</v>
      </c>
      <c r="F10" s="64" t="s">
        <v>30</v>
      </c>
      <c r="G10" s="64" t="s">
        <v>30</v>
      </c>
      <c r="H10" s="64" t="s">
        <v>30</v>
      </c>
      <c r="I10" s="64" t="s">
        <v>30</v>
      </c>
      <c r="J10" s="64" t="s">
        <v>30</v>
      </c>
      <c r="K10" s="64" t="s">
        <v>30</v>
      </c>
      <c r="L10" s="64" t="s">
        <v>30</v>
      </c>
      <c r="M10" s="64" t="s">
        <v>30</v>
      </c>
      <c r="N10" s="64" t="s">
        <v>30</v>
      </c>
      <c r="O10" s="64" t="s">
        <v>30</v>
      </c>
      <c r="P10" s="64" t="s">
        <v>30</v>
      </c>
    </row>
    <row r="11" spans="1:16" s="22" customFormat="1" ht="14.25" thickBot="1">
      <c r="A11" s="65" t="s">
        <v>25</v>
      </c>
      <c r="B11" s="65"/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5" t="s">
        <v>20</v>
      </c>
      <c r="I11" s="65" t="s">
        <v>21</v>
      </c>
      <c r="J11" s="65" t="s">
        <v>22</v>
      </c>
      <c r="K11" s="65" t="s">
        <v>14</v>
      </c>
      <c r="L11" s="65" t="s">
        <v>15</v>
      </c>
      <c r="M11" s="65" t="s">
        <v>23</v>
      </c>
      <c r="N11" s="65" t="s">
        <v>17</v>
      </c>
      <c r="O11" s="65" t="s">
        <v>18</v>
      </c>
      <c r="P11" s="65" t="s">
        <v>19</v>
      </c>
    </row>
    <row r="12" spans="1:16" s="22" customFormat="1" ht="14.25" thickBot="1">
      <c r="A12" s="66">
        <v>1</v>
      </c>
      <c r="B12" s="66">
        <v>2</v>
      </c>
      <c r="C12" s="66"/>
      <c r="D12" s="66">
        <v>7</v>
      </c>
      <c r="E12" s="66">
        <v>7</v>
      </c>
      <c r="F12" s="66">
        <v>7</v>
      </c>
      <c r="G12" s="66">
        <v>7</v>
      </c>
      <c r="H12" s="66">
        <v>7</v>
      </c>
      <c r="I12" s="66">
        <v>7</v>
      </c>
      <c r="J12" s="66">
        <v>7</v>
      </c>
      <c r="K12" s="66">
        <v>7</v>
      </c>
      <c r="L12" s="66">
        <v>7</v>
      </c>
      <c r="M12" s="66">
        <v>7</v>
      </c>
      <c r="N12" s="66">
        <v>7</v>
      </c>
      <c r="O12" s="66">
        <v>7</v>
      </c>
      <c r="P12" s="66">
        <v>8</v>
      </c>
    </row>
    <row r="13" spans="1:16" s="14" customFormat="1" ht="13.5" thickBot="1">
      <c r="A13" s="34"/>
      <c r="B13" s="35" t="s">
        <v>45</v>
      </c>
      <c r="C13" s="36">
        <f aca="true" t="shared" si="0" ref="C13:P13">SUM(C14+C19)</f>
        <v>3983978089</v>
      </c>
      <c r="D13" s="36">
        <f t="shared" si="0"/>
        <v>1571693438</v>
      </c>
      <c r="E13" s="36">
        <f t="shared" si="0"/>
        <v>2412284651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  <c r="L13" s="36">
        <f t="shared" si="0"/>
        <v>0</v>
      </c>
      <c r="M13" s="36">
        <f t="shared" si="0"/>
        <v>0</v>
      </c>
      <c r="N13" s="36">
        <f t="shared" si="0"/>
        <v>0</v>
      </c>
      <c r="O13" s="36">
        <f t="shared" si="0"/>
        <v>0</v>
      </c>
      <c r="P13" s="36">
        <f t="shared" si="0"/>
        <v>3983978089</v>
      </c>
    </row>
    <row r="14" spans="1:16" s="14" customFormat="1" ht="12.75">
      <c r="A14" s="34"/>
      <c r="B14" s="35" t="s">
        <v>42</v>
      </c>
      <c r="C14" s="36">
        <f aca="true" t="shared" si="1" ref="C14:P14">SUM(C15:C18)</f>
        <v>439173069</v>
      </c>
      <c r="D14" s="36">
        <f t="shared" si="1"/>
        <v>415517724</v>
      </c>
      <c r="E14" s="36">
        <f t="shared" si="1"/>
        <v>23655345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439173069</v>
      </c>
    </row>
    <row r="15" spans="1:16" s="14" customFormat="1" ht="12.75">
      <c r="A15" s="15" t="s">
        <v>146</v>
      </c>
      <c r="B15" s="40" t="s">
        <v>147</v>
      </c>
      <c r="C15" s="41">
        <v>3123556</v>
      </c>
      <c r="D15" s="41">
        <v>3123556</v>
      </c>
      <c r="E15" s="42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/>
      <c r="N15" s="41"/>
      <c r="O15" s="41"/>
      <c r="P15" s="51">
        <f>SUM(D15:O15)</f>
        <v>3123556</v>
      </c>
    </row>
    <row r="16" spans="1:16" s="14" customFormat="1" ht="12.75">
      <c r="A16" s="15" t="s">
        <v>209</v>
      </c>
      <c r="B16" s="40" t="s">
        <v>210</v>
      </c>
      <c r="C16" s="41">
        <f>50106327-2022931</f>
        <v>48083396</v>
      </c>
      <c r="D16" s="41">
        <v>50106327</v>
      </c>
      <c r="E16" s="42">
        <v>-2022931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/>
      <c r="N16" s="41"/>
      <c r="O16" s="41"/>
      <c r="P16" s="51">
        <f>SUM(D16:O16)</f>
        <v>48083396</v>
      </c>
    </row>
    <row r="17" spans="1:16" s="14" customFormat="1" ht="12.75">
      <c r="A17" s="15" t="s">
        <v>211</v>
      </c>
      <c r="B17" s="40" t="s">
        <v>212</v>
      </c>
      <c r="C17" s="41">
        <f>81693533-1790955</f>
        <v>79902578</v>
      </c>
      <c r="D17" s="41">
        <v>81693533</v>
      </c>
      <c r="E17" s="42">
        <v>-1790955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/>
      <c r="N17" s="41"/>
      <c r="O17" s="41"/>
      <c r="P17" s="51">
        <f>SUM(D17:O17)</f>
        <v>79902578</v>
      </c>
    </row>
    <row r="18" spans="1:16" s="14" customFormat="1" ht="13.5" thickBot="1">
      <c r="A18" s="15" t="s">
        <v>136</v>
      </c>
      <c r="B18" s="40" t="s">
        <v>32</v>
      </c>
      <c r="C18" s="41">
        <v>308063539</v>
      </c>
      <c r="D18" s="41">
        <v>280594308</v>
      </c>
      <c r="E18" s="42">
        <v>27469231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/>
      <c r="N18" s="41"/>
      <c r="O18" s="41"/>
      <c r="P18" s="51">
        <f>SUM(D18:O18)</f>
        <v>308063539</v>
      </c>
    </row>
    <row r="19" spans="1:16" s="14" customFormat="1" ht="13.5" thickBot="1">
      <c r="A19" s="21"/>
      <c r="B19" s="46" t="s">
        <v>43</v>
      </c>
      <c r="C19" s="47">
        <f aca="true" t="shared" si="2" ref="C19:P19">SUM(C20:C20)</f>
        <v>3544805020</v>
      </c>
      <c r="D19" s="47">
        <f t="shared" si="2"/>
        <v>1156175714</v>
      </c>
      <c r="E19" s="47">
        <f t="shared" si="2"/>
        <v>2388629306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3544805020</v>
      </c>
    </row>
    <row r="20" spans="1:16" s="14" customFormat="1" ht="13.5" thickBot="1">
      <c r="A20" s="16" t="s">
        <v>150</v>
      </c>
      <c r="B20" s="48" t="s">
        <v>135</v>
      </c>
      <c r="C20" s="102">
        <v>3544805020</v>
      </c>
      <c r="D20" s="44">
        <v>1156175714</v>
      </c>
      <c r="E20" s="44">
        <v>2388629306</v>
      </c>
      <c r="F20" s="44">
        <v>0</v>
      </c>
      <c r="G20" s="44"/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/>
      <c r="N20" s="44"/>
      <c r="O20" s="44"/>
      <c r="P20" s="51">
        <f>SUM(D20:O20)</f>
        <v>3544805020</v>
      </c>
    </row>
    <row r="21" spans="1:16" s="14" customFormat="1" ht="13.5" hidden="1" thickBot="1">
      <c r="A21" s="21"/>
      <c r="B21" s="46" t="s">
        <v>44</v>
      </c>
      <c r="C21" s="47">
        <f aca="true" t="shared" si="3" ref="C21:P21">SUM(C22:C23)</f>
        <v>0</v>
      </c>
      <c r="D21" s="47">
        <f t="shared" si="3"/>
        <v>0</v>
      </c>
      <c r="E21" s="47">
        <f t="shared" si="3"/>
        <v>0</v>
      </c>
      <c r="F21" s="47">
        <f t="shared" si="3"/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47">
        <f t="shared" si="3"/>
        <v>0</v>
      </c>
      <c r="K21" s="47">
        <f t="shared" si="3"/>
        <v>0</v>
      </c>
      <c r="L21" s="47">
        <f t="shared" si="3"/>
        <v>0</v>
      </c>
      <c r="M21" s="47">
        <f t="shared" si="3"/>
        <v>0</v>
      </c>
      <c r="N21" s="47">
        <f t="shared" si="3"/>
        <v>0</v>
      </c>
      <c r="O21" s="47">
        <f t="shared" si="3"/>
        <v>0</v>
      </c>
      <c r="P21" s="37">
        <f t="shared" si="3"/>
        <v>0</v>
      </c>
    </row>
    <row r="22" spans="1:16" s="12" customFormat="1" ht="13.5" hidden="1" thickBot="1">
      <c r="A22" s="68" t="s">
        <v>40</v>
      </c>
      <c r="B22" s="52" t="s">
        <v>46</v>
      </c>
      <c r="C22" s="53"/>
      <c r="D22" s="41">
        <v>0</v>
      </c>
      <c r="E22" s="42"/>
      <c r="F22" s="41"/>
      <c r="G22" s="41"/>
      <c r="H22" s="41"/>
      <c r="I22" s="41"/>
      <c r="J22" s="41"/>
      <c r="K22" s="41"/>
      <c r="L22" s="53"/>
      <c r="M22" s="42"/>
      <c r="N22" s="41"/>
      <c r="O22" s="41"/>
      <c r="P22" s="43">
        <f>SUM(D22:O22)</f>
        <v>0</v>
      </c>
    </row>
    <row r="23" spans="1:19" s="12" customFormat="1" ht="13.5" hidden="1" thickBot="1">
      <c r="A23" s="15" t="s">
        <v>50</v>
      </c>
      <c r="B23" s="40" t="s">
        <v>49</v>
      </c>
      <c r="C23" s="41"/>
      <c r="D23" s="41">
        <v>0</v>
      </c>
      <c r="E23" s="42"/>
      <c r="F23" s="41"/>
      <c r="G23" s="41"/>
      <c r="H23" s="41"/>
      <c r="I23" s="41"/>
      <c r="J23" s="41"/>
      <c r="K23" s="41"/>
      <c r="L23" s="53"/>
      <c r="M23" s="42"/>
      <c r="N23" s="41"/>
      <c r="O23" s="41"/>
      <c r="P23" s="43">
        <f>SUM(D23:O23)</f>
        <v>0</v>
      </c>
      <c r="S23" s="53"/>
    </row>
    <row r="24" spans="1:19" s="14" customFormat="1" ht="18" customHeight="1" thickBot="1">
      <c r="A24" s="21"/>
      <c r="B24" s="46" t="s">
        <v>131</v>
      </c>
      <c r="C24" s="47">
        <f aca="true" t="shared" si="4" ref="C24:P24">SUM(C25:C45)</f>
        <v>10034312277</v>
      </c>
      <c r="D24" s="47">
        <f t="shared" si="4"/>
        <v>7855671659.5</v>
      </c>
      <c r="E24" s="47">
        <f t="shared" si="4"/>
        <v>2178640617.5</v>
      </c>
      <c r="F24" s="47">
        <f t="shared" si="4"/>
        <v>0</v>
      </c>
      <c r="G24" s="47">
        <v>0</v>
      </c>
      <c r="H24" s="47">
        <f t="shared" si="4"/>
        <v>0</v>
      </c>
      <c r="I24" s="47">
        <f t="shared" si="4"/>
        <v>0</v>
      </c>
      <c r="J24" s="47">
        <f t="shared" si="4"/>
        <v>0</v>
      </c>
      <c r="K24" s="47">
        <f t="shared" si="4"/>
        <v>0</v>
      </c>
      <c r="L24" s="47">
        <f t="shared" si="4"/>
        <v>0</v>
      </c>
      <c r="M24" s="47">
        <f t="shared" si="4"/>
        <v>0</v>
      </c>
      <c r="N24" s="47">
        <f t="shared" si="4"/>
        <v>0</v>
      </c>
      <c r="O24" s="47">
        <f t="shared" si="4"/>
        <v>0</v>
      </c>
      <c r="P24" s="47">
        <f t="shared" si="4"/>
        <v>10034312277</v>
      </c>
      <c r="R24" s="113"/>
      <c r="S24" s="113"/>
    </row>
    <row r="25" spans="1:19" s="10" customFormat="1" ht="12.75">
      <c r="A25" s="82" t="s">
        <v>180</v>
      </c>
      <c r="B25" s="13" t="s">
        <v>114</v>
      </c>
      <c r="C25" s="53">
        <v>1317370332.5</v>
      </c>
      <c r="D25" s="44">
        <v>1245030788</v>
      </c>
      <c r="E25" s="53">
        <v>72339544.5</v>
      </c>
      <c r="F25" s="53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/>
      <c r="N25" s="44"/>
      <c r="O25" s="44"/>
      <c r="P25" s="43">
        <f>SUM(D25:O25)</f>
        <v>1317370332.5</v>
      </c>
      <c r="R25" s="118"/>
      <c r="S25" s="113"/>
    </row>
    <row r="26" spans="1:19" s="10" customFormat="1" ht="12.75">
      <c r="A26" s="82" t="s">
        <v>181</v>
      </c>
      <c r="B26" s="13" t="s">
        <v>115</v>
      </c>
      <c r="C26" s="101">
        <v>819820530.5</v>
      </c>
      <c r="D26" s="101">
        <v>656602899.5</v>
      </c>
      <c r="E26" s="101">
        <v>163217631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/>
      <c r="N26" s="101"/>
      <c r="O26" s="101"/>
      <c r="P26" s="43">
        <f aca="true" t="shared" si="5" ref="P26:P45">SUM(D26:O26)</f>
        <v>819820530.5</v>
      </c>
      <c r="R26" s="118"/>
      <c r="S26" s="113"/>
    </row>
    <row r="27" spans="1:19" s="10" customFormat="1" ht="12.75">
      <c r="A27" s="82" t="s">
        <v>143</v>
      </c>
      <c r="B27" s="13" t="s">
        <v>115</v>
      </c>
      <c r="C27" s="102">
        <v>71113515</v>
      </c>
      <c r="D27" s="102">
        <v>60603779</v>
      </c>
      <c r="E27" s="102">
        <v>10509736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/>
      <c r="N27" s="102"/>
      <c r="O27" s="102"/>
      <c r="P27" s="43">
        <f t="shared" si="5"/>
        <v>71113515</v>
      </c>
      <c r="R27" s="118"/>
      <c r="S27" s="113"/>
    </row>
    <row r="28" spans="1:19" s="10" customFormat="1" ht="12.75">
      <c r="A28" s="82" t="s">
        <v>182</v>
      </c>
      <c r="B28" s="13" t="s">
        <v>116</v>
      </c>
      <c r="C28" s="102">
        <v>477908690.65</v>
      </c>
      <c r="D28" s="102">
        <v>437205436.65</v>
      </c>
      <c r="E28" s="102">
        <v>40703254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/>
      <c r="N28" s="102"/>
      <c r="O28" s="102"/>
      <c r="P28" s="43">
        <f t="shared" si="5"/>
        <v>477908690.65</v>
      </c>
      <c r="R28" s="118"/>
      <c r="S28" s="113"/>
    </row>
    <row r="29" spans="1:19" s="10" customFormat="1" ht="12.75">
      <c r="A29" s="82" t="s">
        <v>183</v>
      </c>
      <c r="B29" s="13" t="s">
        <v>121</v>
      </c>
      <c r="C29" s="102">
        <v>239290646</v>
      </c>
      <c r="D29" s="102">
        <v>216093912</v>
      </c>
      <c r="E29" s="102">
        <v>23196734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/>
      <c r="N29" s="102"/>
      <c r="O29" s="102"/>
      <c r="P29" s="43">
        <f>SUM(D29:O29)</f>
        <v>239290646</v>
      </c>
      <c r="R29" s="118"/>
      <c r="S29" s="113"/>
    </row>
    <row r="30" spans="1:19" s="10" customFormat="1" ht="12.75">
      <c r="A30" s="82" t="s">
        <v>184</v>
      </c>
      <c r="B30" s="13" t="s">
        <v>122</v>
      </c>
      <c r="C30" s="102">
        <v>286155745.85</v>
      </c>
      <c r="D30" s="102">
        <v>266588964.85</v>
      </c>
      <c r="E30" s="102">
        <v>19566781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/>
      <c r="N30" s="102"/>
      <c r="O30" s="102"/>
      <c r="P30" s="43">
        <f t="shared" si="5"/>
        <v>286155745.85</v>
      </c>
      <c r="R30" s="118"/>
      <c r="S30" s="113"/>
    </row>
    <row r="31" spans="1:19" s="10" customFormat="1" ht="12.75">
      <c r="A31" s="82" t="s">
        <v>185</v>
      </c>
      <c r="B31" s="13" t="s">
        <v>123</v>
      </c>
      <c r="C31" s="102">
        <v>518246369</v>
      </c>
      <c r="D31" s="102">
        <v>379971436</v>
      </c>
      <c r="E31" s="102">
        <v>138274933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/>
      <c r="N31" s="102"/>
      <c r="O31" s="102"/>
      <c r="P31" s="43">
        <f t="shared" si="5"/>
        <v>518246369</v>
      </c>
      <c r="R31" s="118"/>
      <c r="S31" s="113"/>
    </row>
    <row r="32" spans="1:19" s="10" customFormat="1" ht="12.75">
      <c r="A32" s="82" t="s">
        <v>186</v>
      </c>
      <c r="B32" s="13" t="s">
        <v>124</v>
      </c>
      <c r="C32" s="102">
        <v>15241433</v>
      </c>
      <c r="D32" s="102">
        <v>15241433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/>
      <c r="N32" s="102"/>
      <c r="O32" s="102"/>
      <c r="P32" s="43">
        <f t="shared" si="5"/>
        <v>15241433</v>
      </c>
      <c r="R32" s="118"/>
      <c r="S32" s="113"/>
    </row>
    <row r="33" spans="1:19" s="10" customFormat="1" ht="12.75">
      <c r="A33" s="82" t="s">
        <v>187</v>
      </c>
      <c r="B33" s="13" t="s">
        <v>144</v>
      </c>
      <c r="C33" s="102">
        <v>44783645</v>
      </c>
      <c r="D33" s="102">
        <v>42919895</v>
      </c>
      <c r="E33" s="102">
        <v>1863750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/>
      <c r="N33" s="102"/>
      <c r="O33" s="102"/>
      <c r="P33" s="43">
        <f>SUM(D33:O33)</f>
        <v>44783645</v>
      </c>
      <c r="R33" s="118"/>
      <c r="S33" s="113"/>
    </row>
    <row r="34" spans="1:19" s="10" customFormat="1" ht="12.75">
      <c r="A34" s="82" t="s">
        <v>188</v>
      </c>
      <c r="B34" s="13" t="s">
        <v>125</v>
      </c>
      <c r="C34" s="102">
        <v>52375895</v>
      </c>
      <c r="D34" s="102">
        <v>41590831</v>
      </c>
      <c r="E34" s="102">
        <v>10785064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/>
      <c r="N34" s="102"/>
      <c r="O34" s="102"/>
      <c r="P34" s="43">
        <f t="shared" si="5"/>
        <v>52375895</v>
      </c>
      <c r="R34" s="118"/>
      <c r="S34" s="113"/>
    </row>
    <row r="35" spans="1:19" s="10" customFormat="1" ht="12.75">
      <c r="A35" s="82" t="s">
        <v>189</v>
      </c>
      <c r="B35" s="13" t="s">
        <v>126</v>
      </c>
      <c r="C35" s="102">
        <v>92744652</v>
      </c>
      <c r="D35" s="102">
        <v>68210326</v>
      </c>
      <c r="E35" s="102">
        <v>24534326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/>
      <c r="N35" s="102"/>
      <c r="O35" s="102"/>
      <c r="P35" s="43">
        <f t="shared" si="5"/>
        <v>92744652</v>
      </c>
      <c r="R35" s="118"/>
      <c r="S35" s="113"/>
    </row>
    <row r="36" spans="1:19" s="10" customFormat="1" ht="12.75">
      <c r="A36" s="82" t="s">
        <v>190</v>
      </c>
      <c r="B36" s="13" t="s">
        <v>127</v>
      </c>
      <c r="C36" s="102">
        <v>684845038.5</v>
      </c>
      <c r="D36" s="102">
        <v>588207462.5</v>
      </c>
      <c r="E36" s="102">
        <v>96637576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/>
      <c r="N36" s="102"/>
      <c r="O36" s="102"/>
      <c r="P36" s="43">
        <f t="shared" si="5"/>
        <v>684845038.5</v>
      </c>
      <c r="R36" s="118"/>
      <c r="S36" s="113"/>
    </row>
    <row r="37" spans="1:19" s="10" customFormat="1" ht="12.75">
      <c r="A37" s="82" t="s">
        <v>191</v>
      </c>
      <c r="B37" s="13" t="s">
        <v>192</v>
      </c>
      <c r="C37" s="102">
        <v>1689551777</v>
      </c>
      <c r="D37" s="102">
        <v>1247834125</v>
      </c>
      <c r="E37" s="102">
        <v>441717652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/>
      <c r="N37" s="102"/>
      <c r="O37" s="102"/>
      <c r="P37" s="43">
        <f t="shared" si="5"/>
        <v>1689551777</v>
      </c>
      <c r="R37" s="118"/>
      <c r="S37" s="113"/>
    </row>
    <row r="38" spans="1:19" s="10" customFormat="1" ht="12.75">
      <c r="A38" s="82" t="s">
        <v>193</v>
      </c>
      <c r="B38" s="13" t="s">
        <v>194</v>
      </c>
      <c r="C38" s="102">
        <v>181304009</v>
      </c>
      <c r="D38" s="102">
        <v>157822594</v>
      </c>
      <c r="E38" s="102">
        <v>23481415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/>
      <c r="N38" s="102"/>
      <c r="O38" s="102"/>
      <c r="P38" s="43">
        <f t="shared" si="5"/>
        <v>181304009</v>
      </c>
      <c r="R38" s="118"/>
      <c r="S38" s="113"/>
    </row>
    <row r="39" spans="1:19" s="10" customFormat="1" ht="12.75">
      <c r="A39" s="82" t="s">
        <v>195</v>
      </c>
      <c r="B39" s="13" t="s">
        <v>145</v>
      </c>
      <c r="C39" s="102">
        <v>486511521</v>
      </c>
      <c r="D39" s="102">
        <v>393550339</v>
      </c>
      <c r="E39" s="102">
        <v>92961182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/>
      <c r="N39" s="102"/>
      <c r="O39" s="102"/>
      <c r="P39" s="43">
        <f t="shared" si="5"/>
        <v>486511521</v>
      </c>
      <c r="R39" s="118"/>
      <c r="S39" s="113"/>
    </row>
    <row r="40" spans="1:19" s="10" customFormat="1" ht="12.75">
      <c r="A40" s="82" t="s">
        <v>196</v>
      </c>
      <c r="B40" s="13" t="s">
        <v>197</v>
      </c>
      <c r="C40" s="102">
        <v>124365082</v>
      </c>
      <c r="D40" s="102">
        <v>118441917</v>
      </c>
      <c r="E40" s="102">
        <v>5923165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/>
      <c r="N40" s="102"/>
      <c r="O40" s="102"/>
      <c r="P40" s="43">
        <f t="shared" si="5"/>
        <v>124365082</v>
      </c>
      <c r="R40" s="118"/>
      <c r="S40" s="113"/>
    </row>
    <row r="41" spans="1:19" s="10" customFormat="1" ht="12.75">
      <c r="A41" s="82" t="s">
        <v>198</v>
      </c>
      <c r="B41" s="13" t="s">
        <v>199</v>
      </c>
      <c r="C41" s="102">
        <v>509820879</v>
      </c>
      <c r="D41" s="102">
        <v>343138971</v>
      </c>
      <c r="E41" s="102">
        <v>166681908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v>0</v>
      </c>
      <c r="L41" s="102">
        <v>0</v>
      </c>
      <c r="M41" s="102"/>
      <c r="N41" s="102"/>
      <c r="O41" s="102"/>
      <c r="P41" s="43">
        <f t="shared" si="5"/>
        <v>509820879</v>
      </c>
      <c r="R41" s="118"/>
      <c r="S41" s="113"/>
    </row>
    <row r="42" spans="1:19" s="10" customFormat="1" ht="12.75">
      <c r="A42" s="82" t="s">
        <v>151</v>
      </c>
      <c r="B42" s="13" t="s">
        <v>200</v>
      </c>
      <c r="C42" s="58">
        <v>19221006</v>
      </c>
      <c r="D42" s="58">
        <v>14815582</v>
      </c>
      <c r="E42" s="58">
        <v>4405424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/>
      <c r="N42" s="58"/>
      <c r="O42" s="58"/>
      <c r="P42" s="43">
        <f>SUM(D42:O42)</f>
        <v>19221006</v>
      </c>
      <c r="R42" s="118"/>
      <c r="S42" s="113"/>
    </row>
    <row r="43" spans="1:19" s="10" customFormat="1" ht="12.75">
      <c r="A43" s="82" t="s">
        <v>201</v>
      </c>
      <c r="B43" s="13" t="s">
        <v>202</v>
      </c>
      <c r="C43" s="102">
        <v>315022796</v>
      </c>
      <c r="D43" s="102">
        <v>312795119</v>
      </c>
      <c r="E43" s="102">
        <v>2227677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0</v>
      </c>
      <c r="L43" s="102">
        <v>0</v>
      </c>
      <c r="M43" s="102"/>
      <c r="N43" s="102"/>
      <c r="O43" s="102"/>
      <c r="P43" s="43">
        <f>SUM(D43:O43)</f>
        <v>315022796</v>
      </c>
      <c r="R43" s="118"/>
      <c r="S43" s="113"/>
    </row>
    <row r="44" spans="1:19" s="10" customFormat="1" ht="12.75">
      <c r="A44" s="82" t="s">
        <v>203</v>
      </c>
      <c r="B44" s="13" t="s">
        <v>204</v>
      </c>
      <c r="C44" s="58">
        <v>1102503030</v>
      </c>
      <c r="D44" s="58">
        <v>829127329</v>
      </c>
      <c r="E44" s="102">
        <v>273375701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/>
      <c r="N44" s="102"/>
      <c r="O44" s="102"/>
      <c r="P44" s="43">
        <f>SUM(D44:O44)</f>
        <v>1102503030</v>
      </c>
      <c r="R44" s="118"/>
      <c r="S44" s="119"/>
    </row>
    <row r="45" spans="1:16" s="10" customFormat="1" ht="13.5" thickBot="1">
      <c r="A45" s="82" t="s">
        <v>205</v>
      </c>
      <c r="B45" s="13" t="s">
        <v>206</v>
      </c>
      <c r="C45" s="44">
        <v>986115684</v>
      </c>
      <c r="D45" s="44">
        <v>419878520</v>
      </c>
      <c r="E45" s="44">
        <v>566237164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3">
        <f t="shared" si="5"/>
        <v>986115684</v>
      </c>
    </row>
    <row r="46" spans="1:16" s="11" customFormat="1" ht="13.5" thickBot="1">
      <c r="A46" s="138" t="s">
        <v>33</v>
      </c>
      <c r="B46" s="139"/>
      <c r="C46" s="47">
        <f aca="true" t="shared" si="6" ref="C46:P46">SUM(C13+C24)</f>
        <v>14018290366</v>
      </c>
      <c r="D46" s="47">
        <f t="shared" si="6"/>
        <v>9427365097.5</v>
      </c>
      <c r="E46" s="47">
        <f t="shared" si="6"/>
        <v>4590925268.5</v>
      </c>
      <c r="F46" s="47">
        <f t="shared" si="6"/>
        <v>0</v>
      </c>
      <c r="G46" s="47">
        <f t="shared" si="6"/>
        <v>0</v>
      </c>
      <c r="H46" s="47">
        <f t="shared" si="6"/>
        <v>0</v>
      </c>
      <c r="I46" s="47">
        <f t="shared" si="6"/>
        <v>0</v>
      </c>
      <c r="J46" s="47">
        <f t="shared" si="6"/>
        <v>0</v>
      </c>
      <c r="K46" s="47">
        <f t="shared" si="6"/>
        <v>0</v>
      </c>
      <c r="L46" s="47">
        <f t="shared" si="6"/>
        <v>0</v>
      </c>
      <c r="M46" s="47">
        <f t="shared" si="6"/>
        <v>0</v>
      </c>
      <c r="N46" s="47">
        <f t="shared" si="6"/>
        <v>0</v>
      </c>
      <c r="O46" s="47">
        <f t="shared" si="6"/>
        <v>0</v>
      </c>
      <c r="P46" s="47">
        <f t="shared" si="6"/>
        <v>14018290366</v>
      </c>
    </row>
    <row r="47" spans="1:16" ht="12" customHeight="1">
      <c r="A47" s="69" t="s">
        <v>138</v>
      </c>
      <c r="B47" s="8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9"/>
    </row>
    <row r="48" spans="1:16" ht="0" customHeight="1" hidden="1">
      <c r="A48" s="60"/>
      <c r="B48" s="5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1:16" ht="13.5" customHeight="1">
      <c r="A49" s="130">
        <f ca="1">TODAY()</f>
        <v>41563</v>
      </c>
      <c r="B49" s="59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1:16" ht="13.5" customHeight="1" thickBot="1">
      <c r="A50" s="99"/>
      <c r="B50" s="100" t="s">
        <v>222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2"/>
    </row>
    <row r="51" spans="1:16" ht="0.75" customHeight="1" hidden="1" thickBot="1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7"/>
    </row>
  </sheetData>
  <sheetProtection/>
  <mergeCells count="9">
    <mergeCell ref="C50:P50"/>
    <mergeCell ref="A5:P5"/>
    <mergeCell ref="A6:B6"/>
    <mergeCell ref="A7:B7"/>
    <mergeCell ref="A46:B46"/>
    <mergeCell ref="A1:P1"/>
    <mergeCell ref="A2:P2"/>
    <mergeCell ref="A3:P3"/>
    <mergeCell ref="A4:P4"/>
  </mergeCells>
  <printOptions/>
  <pageMargins left="0.5905511811023623" right="0.2755905511811024" top="0.5511811023622047" bottom="0.4724409448818898" header="0" footer="0"/>
  <pageSetup horizontalDpi="600" verticalDpi="600" orientation="landscape" paperSize="9" scale="90" r:id="rId1"/>
  <headerFooter alignWithMargins="0">
    <oddFooter>&amp;C
HACIENDA 2013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98"/>
  <sheetViews>
    <sheetView tabSelected="1" zoomScale="80" zoomScaleNormal="80" zoomScalePageLayoutView="0" workbookViewId="0" topLeftCell="P4">
      <pane ySplit="1788" topLeftCell="A51" activePane="topLeft" state="split"/>
      <selection pane="topLeft" activeCell="AQ4" sqref="AQ1:AT16384"/>
      <selection pane="bottomLeft" activeCell="AP61" sqref="AP61"/>
    </sheetView>
  </sheetViews>
  <sheetFormatPr defaultColWidth="11.421875" defaultRowHeight="12.75"/>
  <cols>
    <col min="1" max="1" width="20.28125" style="1" customWidth="1"/>
    <col min="2" max="2" width="65.8515625" style="1" customWidth="1"/>
    <col min="3" max="3" width="21.7109375" style="1" bestFit="1" customWidth="1"/>
    <col min="4" max="5" width="18.28125" style="1" hidden="1" customWidth="1"/>
    <col min="6" max="8" width="17.00390625" style="1" hidden="1" customWidth="1"/>
    <col min="9" max="9" width="16.28125" style="1" hidden="1" customWidth="1"/>
    <col min="10" max="10" width="16.7109375" style="1" hidden="1" customWidth="1"/>
    <col min="11" max="11" width="15.421875" style="1" hidden="1" customWidth="1"/>
    <col min="12" max="12" width="17.140625" style="1" customWidth="1"/>
    <col min="13" max="13" width="18.57421875" style="1" hidden="1" customWidth="1"/>
    <col min="14" max="14" width="17.00390625" style="1" hidden="1" customWidth="1"/>
    <col min="15" max="15" width="17.57421875" style="1" hidden="1" customWidth="1"/>
    <col min="16" max="16" width="18.140625" style="1" customWidth="1"/>
    <col min="17" max="22" width="16.28125" style="1" hidden="1" customWidth="1"/>
    <col min="23" max="23" width="16.421875" style="1" hidden="1" customWidth="1"/>
    <col min="24" max="24" width="17.00390625" style="1" hidden="1" customWidth="1"/>
    <col min="25" max="25" width="19.57421875" style="1" customWidth="1"/>
    <col min="26" max="26" width="16.7109375" style="1" hidden="1" customWidth="1"/>
    <col min="27" max="27" width="19.00390625" style="1" hidden="1" customWidth="1"/>
    <col min="28" max="28" width="16.7109375" style="1" hidden="1" customWidth="1"/>
    <col min="29" max="29" width="18.421875" style="1" customWidth="1"/>
    <col min="30" max="35" width="16.28125" style="1" hidden="1" customWidth="1"/>
    <col min="36" max="36" width="17.28125" style="1" hidden="1" customWidth="1"/>
    <col min="37" max="37" width="19.140625" style="1" hidden="1" customWidth="1"/>
    <col min="38" max="38" width="16.28125" style="1" customWidth="1"/>
    <col min="39" max="40" width="16.28125" style="1" hidden="1" customWidth="1"/>
    <col min="41" max="41" width="17.57421875" style="1" hidden="1" customWidth="1"/>
    <col min="42" max="42" width="17.421875" style="1" customWidth="1"/>
    <col min="43" max="43" width="21.7109375" style="1" customWidth="1"/>
    <col min="44" max="44" width="24.00390625" style="1" customWidth="1"/>
    <col min="45" max="45" width="17.7109375" style="1" bestFit="1" customWidth="1"/>
    <col min="46" max="46" width="16.28125" style="1" customWidth="1"/>
    <col min="47" max="47" width="13.7109375" style="1" bestFit="1" customWidth="1"/>
    <col min="48" max="48" width="16.28125" style="1" bestFit="1" customWidth="1"/>
    <col min="49" max="16384" width="11.421875" style="1" customWidth="1"/>
  </cols>
  <sheetData>
    <row r="1" spans="1:42" ht="12.7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8"/>
    </row>
    <row r="2" spans="1:42" ht="12.75">
      <c r="A2" s="143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5"/>
    </row>
    <row r="3" spans="1:42" ht="12.75">
      <c r="A3" s="143" t="s">
        <v>34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5"/>
    </row>
    <row r="4" spans="1:42" ht="12.75">
      <c r="A4" s="143" t="s">
        <v>35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5"/>
    </row>
    <row r="5" spans="1:42" ht="12.75">
      <c r="A5" s="143" t="s">
        <v>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5"/>
    </row>
    <row r="6" spans="1:42" ht="12.75">
      <c r="A6" s="86" t="s">
        <v>2</v>
      </c>
      <c r="B6" s="87"/>
      <c r="C6" s="18" t="s">
        <v>137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7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9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74" t="s">
        <v>223</v>
      </c>
    </row>
    <row r="7" spans="1:42" ht="14.25" customHeight="1" thickBot="1">
      <c r="A7" s="86" t="s">
        <v>3</v>
      </c>
      <c r="B7" s="88"/>
      <c r="C7" s="18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7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9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75">
        <v>2013</v>
      </c>
    </row>
    <row r="8" spans="1:42" ht="11.2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</row>
    <row r="9" spans="1:42" ht="12.75">
      <c r="A9" s="62" t="s">
        <v>24</v>
      </c>
      <c r="B9" s="62" t="s">
        <v>26</v>
      </c>
      <c r="C9" s="62" t="s">
        <v>27</v>
      </c>
      <c r="D9" s="62" t="s">
        <v>28</v>
      </c>
      <c r="E9" s="62" t="s">
        <v>28</v>
      </c>
      <c r="F9" s="62" t="s">
        <v>28</v>
      </c>
      <c r="G9" s="62" t="s">
        <v>28</v>
      </c>
      <c r="H9" s="62" t="s">
        <v>28</v>
      </c>
      <c r="I9" s="62" t="s">
        <v>28</v>
      </c>
      <c r="J9" s="62" t="s">
        <v>28</v>
      </c>
      <c r="K9" s="62" t="s">
        <v>28</v>
      </c>
      <c r="L9" s="62" t="s">
        <v>28</v>
      </c>
      <c r="M9" s="62" t="s">
        <v>28</v>
      </c>
      <c r="N9" s="62" t="s">
        <v>28</v>
      </c>
      <c r="O9" s="62" t="s">
        <v>28</v>
      </c>
      <c r="P9" s="62" t="s">
        <v>28</v>
      </c>
      <c r="Q9" s="62" t="s">
        <v>29</v>
      </c>
      <c r="R9" s="62" t="s">
        <v>29</v>
      </c>
      <c r="S9" s="62" t="s">
        <v>29</v>
      </c>
      <c r="T9" s="62" t="s">
        <v>29</v>
      </c>
      <c r="U9" s="62" t="s">
        <v>29</v>
      </c>
      <c r="V9" s="62" t="s">
        <v>29</v>
      </c>
      <c r="W9" s="62" t="s">
        <v>29</v>
      </c>
      <c r="X9" s="62" t="s">
        <v>29</v>
      </c>
      <c r="Y9" s="62" t="s">
        <v>29</v>
      </c>
      <c r="Z9" s="62" t="s">
        <v>29</v>
      </c>
      <c r="AA9" s="62" t="s">
        <v>29</v>
      </c>
      <c r="AB9" s="62" t="s">
        <v>29</v>
      </c>
      <c r="AC9" s="62" t="s">
        <v>29</v>
      </c>
      <c r="AD9" s="62" t="s">
        <v>30</v>
      </c>
      <c r="AE9" s="62" t="s">
        <v>30</v>
      </c>
      <c r="AF9" s="62" t="s">
        <v>30</v>
      </c>
      <c r="AG9" s="62" t="s">
        <v>30</v>
      </c>
      <c r="AH9" s="62" t="s">
        <v>30</v>
      </c>
      <c r="AI9" s="62" t="s">
        <v>30</v>
      </c>
      <c r="AJ9" s="62" t="s">
        <v>30</v>
      </c>
      <c r="AK9" s="62" t="s">
        <v>30</v>
      </c>
      <c r="AL9" s="62" t="s">
        <v>30</v>
      </c>
      <c r="AM9" s="62" t="s">
        <v>30</v>
      </c>
      <c r="AN9" s="62" t="s">
        <v>30</v>
      </c>
      <c r="AO9" s="62" t="s">
        <v>30</v>
      </c>
      <c r="AP9" s="62" t="s">
        <v>30</v>
      </c>
    </row>
    <row r="10" spans="1:42" ht="12" customHeight="1" thickBot="1">
      <c r="A10" s="76" t="s">
        <v>25</v>
      </c>
      <c r="B10" s="76"/>
      <c r="C10" s="76" t="s">
        <v>6</v>
      </c>
      <c r="D10" s="76" t="s">
        <v>7</v>
      </c>
      <c r="E10" s="76" t="s">
        <v>8</v>
      </c>
      <c r="F10" s="76" t="s">
        <v>9</v>
      </c>
      <c r="G10" s="76" t="s">
        <v>10</v>
      </c>
      <c r="H10" s="76" t="s">
        <v>11</v>
      </c>
      <c r="I10" s="76" t="s">
        <v>12</v>
      </c>
      <c r="J10" s="76" t="s">
        <v>13</v>
      </c>
      <c r="K10" s="76" t="s">
        <v>14</v>
      </c>
      <c r="L10" s="76" t="s">
        <v>15</v>
      </c>
      <c r="M10" s="76" t="s">
        <v>16</v>
      </c>
      <c r="N10" s="76" t="s">
        <v>17</v>
      </c>
      <c r="O10" s="76" t="s">
        <v>18</v>
      </c>
      <c r="P10" s="76" t="s">
        <v>19</v>
      </c>
      <c r="Q10" s="76" t="s">
        <v>7</v>
      </c>
      <c r="R10" s="76" t="s">
        <v>8</v>
      </c>
      <c r="S10" s="76" t="s">
        <v>9</v>
      </c>
      <c r="T10" s="76" t="s">
        <v>10</v>
      </c>
      <c r="U10" s="76" t="s">
        <v>20</v>
      </c>
      <c r="V10" s="76" t="s">
        <v>21</v>
      </c>
      <c r="W10" s="76" t="s">
        <v>22</v>
      </c>
      <c r="X10" s="76" t="s">
        <v>14</v>
      </c>
      <c r="Y10" s="76" t="s">
        <v>15</v>
      </c>
      <c r="Z10" s="76" t="s">
        <v>23</v>
      </c>
      <c r="AA10" s="76" t="s">
        <v>17</v>
      </c>
      <c r="AB10" s="76" t="s">
        <v>18</v>
      </c>
      <c r="AC10" s="76" t="s">
        <v>31</v>
      </c>
      <c r="AD10" s="76" t="s">
        <v>7</v>
      </c>
      <c r="AE10" s="76" t="s">
        <v>8</v>
      </c>
      <c r="AF10" s="76" t="s">
        <v>9</v>
      </c>
      <c r="AG10" s="76" t="s">
        <v>10</v>
      </c>
      <c r="AH10" s="76" t="s">
        <v>20</v>
      </c>
      <c r="AI10" s="76" t="s">
        <v>21</v>
      </c>
      <c r="AJ10" s="76" t="s">
        <v>22</v>
      </c>
      <c r="AK10" s="76" t="s">
        <v>14</v>
      </c>
      <c r="AL10" s="76" t="s">
        <v>15</v>
      </c>
      <c r="AM10" s="76" t="s">
        <v>23</v>
      </c>
      <c r="AN10" s="76" t="s">
        <v>17</v>
      </c>
      <c r="AO10" s="76" t="s">
        <v>18</v>
      </c>
      <c r="AP10" s="76" t="s">
        <v>19</v>
      </c>
    </row>
    <row r="11" spans="1:42" s="81" customFormat="1" ht="12" customHeight="1" thickBot="1">
      <c r="A11" s="61">
        <v>1</v>
      </c>
      <c r="B11" s="61">
        <v>2</v>
      </c>
      <c r="C11" s="61"/>
      <c r="D11" s="61">
        <v>3</v>
      </c>
      <c r="E11" s="61">
        <v>3</v>
      </c>
      <c r="F11" s="61">
        <v>3</v>
      </c>
      <c r="G11" s="61">
        <v>3</v>
      </c>
      <c r="H11" s="61">
        <v>3</v>
      </c>
      <c r="I11" s="61">
        <v>3</v>
      </c>
      <c r="J11" s="61">
        <v>3</v>
      </c>
      <c r="K11" s="61">
        <v>3</v>
      </c>
      <c r="L11" s="61">
        <v>3</v>
      </c>
      <c r="M11" s="61">
        <v>3</v>
      </c>
      <c r="N11" s="61">
        <v>3</v>
      </c>
      <c r="O11" s="61">
        <v>3</v>
      </c>
      <c r="P11" s="61">
        <v>4</v>
      </c>
      <c r="Q11" s="61">
        <v>5</v>
      </c>
      <c r="R11" s="61">
        <v>5</v>
      </c>
      <c r="S11" s="61">
        <v>5</v>
      </c>
      <c r="T11" s="61">
        <v>5</v>
      </c>
      <c r="U11" s="61">
        <v>5</v>
      </c>
      <c r="V11" s="61">
        <v>5</v>
      </c>
      <c r="W11" s="61">
        <v>5</v>
      </c>
      <c r="X11" s="61">
        <v>5</v>
      </c>
      <c r="Y11" s="61">
        <v>5</v>
      </c>
      <c r="Z11" s="61">
        <v>5</v>
      </c>
      <c r="AA11" s="61">
        <v>5</v>
      </c>
      <c r="AB11" s="61">
        <v>5</v>
      </c>
      <c r="AC11" s="61">
        <v>6</v>
      </c>
      <c r="AD11" s="61">
        <v>7</v>
      </c>
      <c r="AE11" s="61">
        <v>7</v>
      </c>
      <c r="AF11" s="61">
        <v>7</v>
      </c>
      <c r="AG11" s="61">
        <v>7</v>
      </c>
      <c r="AH11" s="61">
        <v>7</v>
      </c>
      <c r="AI11" s="61">
        <v>7</v>
      </c>
      <c r="AJ11" s="61">
        <v>7</v>
      </c>
      <c r="AK11" s="61">
        <v>7</v>
      </c>
      <c r="AL11" s="61">
        <v>7</v>
      </c>
      <c r="AM11" s="61">
        <v>7</v>
      </c>
      <c r="AN11" s="61">
        <v>7</v>
      </c>
      <c r="AO11" s="61">
        <v>7</v>
      </c>
      <c r="AP11" s="61">
        <v>8</v>
      </c>
    </row>
    <row r="12" spans="1:45" s="14" customFormat="1" ht="13.5" thickBot="1">
      <c r="A12" s="34"/>
      <c r="B12" s="35" t="s">
        <v>45</v>
      </c>
      <c r="C12" s="36">
        <f aca="true" t="shared" si="0" ref="C12:AP12">SUM(C13,C41,C55)</f>
        <v>73805588071</v>
      </c>
      <c r="D12" s="36">
        <f t="shared" si="0"/>
        <v>7172009125.88</v>
      </c>
      <c r="E12" s="36">
        <f t="shared" si="0"/>
        <v>4789204130.19</v>
      </c>
      <c r="F12" s="36">
        <f t="shared" si="0"/>
        <v>4170917190.11</v>
      </c>
      <c r="G12" s="36">
        <f t="shared" si="0"/>
        <v>5645952309.35</v>
      </c>
      <c r="H12" s="36">
        <f t="shared" si="0"/>
        <v>3898420977.93</v>
      </c>
      <c r="I12" s="36">
        <f t="shared" si="0"/>
        <v>4547053664.16</v>
      </c>
      <c r="J12" s="36">
        <f t="shared" si="0"/>
        <v>6462450582.99</v>
      </c>
      <c r="K12" s="36">
        <f t="shared" si="0"/>
        <v>3810953732.0299997</v>
      </c>
      <c r="L12" s="36">
        <f t="shared" si="0"/>
        <v>4817173497.54</v>
      </c>
      <c r="M12" s="36">
        <f t="shared" si="0"/>
        <v>0</v>
      </c>
      <c r="N12" s="36">
        <f t="shared" si="0"/>
        <v>0</v>
      </c>
      <c r="O12" s="36">
        <f t="shared" si="0"/>
        <v>0</v>
      </c>
      <c r="P12" s="36">
        <f t="shared" si="0"/>
        <v>45314135210.18</v>
      </c>
      <c r="Q12" s="36">
        <f t="shared" si="0"/>
        <v>2901463827.88</v>
      </c>
      <c r="R12" s="36">
        <f t="shared" si="0"/>
        <v>4425636208.19</v>
      </c>
      <c r="S12" s="36">
        <f t="shared" si="0"/>
        <v>4873630802.110001</v>
      </c>
      <c r="T12" s="36">
        <f t="shared" si="0"/>
        <v>4680863489.35</v>
      </c>
      <c r="U12" s="36">
        <f t="shared" si="0"/>
        <v>4690741134.93</v>
      </c>
      <c r="V12" s="36">
        <f t="shared" si="0"/>
        <v>5155959899.26</v>
      </c>
      <c r="W12" s="36">
        <f t="shared" si="0"/>
        <v>6379388162.89</v>
      </c>
      <c r="X12" s="36">
        <f t="shared" si="0"/>
        <v>4644164206.03</v>
      </c>
      <c r="Y12" s="36">
        <f t="shared" si="0"/>
        <v>5141307561.54</v>
      </c>
      <c r="Z12" s="36">
        <f t="shared" si="0"/>
        <v>0</v>
      </c>
      <c r="AA12" s="36">
        <f t="shared" si="0"/>
        <v>0</v>
      </c>
      <c r="AB12" s="36">
        <f t="shared" si="0"/>
        <v>0</v>
      </c>
      <c r="AC12" s="36">
        <f t="shared" si="0"/>
        <v>42893155292.18</v>
      </c>
      <c r="AD12" s="36">
        <f t="shared" si="0"/>
        <v>2544115778.88</v>
      </c>
      <c r="AE12" s="36">
        <f t="shared" si="0"/>
        <v>4683502259.19</v>
      </c>
      <c r="AF12" s="36">
        <f t="shared" si="0"/>
        <v>4778116327.110001</v>
      </c>
      <c r="AG12" s="36">
        <f t="shared" si="0"/>
        <v>4846602602.35</v>
      </c>
      <c r="AH12" s="36">
        <f t="shared" si="0"/>
        <v>4717585483.93</v>
      </c>
      <c r="AI12" s="36">
        <f t="shared" si="0"/>
        <v>5087401188.26</v>
      </c>
      <c r="AJ12" s="36">
        <f t="shared" si="0"/>
        <v>6198015975.89</v>
      </c>
      <c r="AK12" s="36">
        <f t="shared" si="0"/>
        <v>4876056947.03</v>
      </c>
      <c r="AL12" s="36">
        <f t="shared" si="0"/>
        <v>5157064873.54</v>
      </c>
      <c r="AM12" s="36">
        <f t="shared" si="0"/>
        <v>0</v>
      </c>
      <c r="AN12" s="36">
        <f t="shared" si="0"/>
        <v>0</v>
      </c>
      <c r="AO12" s="36">
        <f t="shared" si="0"/>
        <v>0</v>
      </c>
      <c r="AP12" s="36">
        <f t="shared" si="0"/>
        <v>42888461436.18</v>
      </c>
      <c r="AR12" s="125"/>
      <c r="AS12" s="123"/>
    </row>
    <row r="13" spans="1:42" s="14" customFormat="1" ht="13.5" thickBot="1">
      <c r="A13" s="34"/>
      <c r="B13" s="35" t="s">
        <v>42</v>
      </c>
      <c r="C13" s="36">
        <f>SUM(C14:C40)</f>
        <v>66352988071</v>
      </c>
      <c r="D13" s="36">
        <f aca="true" t="shared" si="1" ref="D13:AP13">SUM(D14:D40)</f>
        <v>5048752321</v>
      </c>
      <c r="E13" s="36">
        <f t="shared" si="1"/>
        <v>4041777413</v>
      </c>
      <c r="F13" s="36">
        <f t="shared" si="1"/>
        <v>3477079147</v>
      </c>
      <c r="G13" s="36">
        <f t="shared" si="1"/>
        <v>5415085115</v>
      </c>
      <c r="H13" s="36">
        <f t="shared" si="1"/>
        <v>3437128420</v>
      </c>
      <c r="I13" s="36">
        <f t="shared" si="1"/>
        <v>4362493616</v>
      </c>
      <c r="J13" s="36">
        <f t="shared" si="1"/>
        <v>6323844691</v>
      </c>
      <c r="K13" s="36">
        <f t="shared" si="1"/>
        <v>3277583830</v>
      </c>
      <c r="L13" s="36">
        <f t="shared" si="1"/>
        <v>3978196017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39361940570</v>
      </c>
      <c r="Q13" s="36">
        <f t="shared" si="1"/>
        <v>2853401919</v>
      </c>
      <c r="R13" s="36">
        <f t="shared" si="1"/>
        <v>3730065700</v>
      </c>
      <c r="S13" s="36">
        <f t="shared" si="1"/>
        <v>3999775244</v>
      </c>
      <c r="T13" s="36">
        <f t="shared" si="1"/>
        <v>4329554690</v>
      </c>
      <c r="U13" s="36">
        <f t="shared" si="1"/>
        <v>4131525853</v>
      </c>
      <c r="V13" s="36">
        <f t="shared" si="1"/>
        <v>4776129884</v>
      </c>
      <c r="W13" s="36">
        <f t="shared" si="1"/>
        <v>5901222449</v>
      </c>
      <c r="X13" s="36">
        <f t="shared" si="1"/>
        <v>4275509543</v>
      </c>
      <c r="Y13" s="36">
        <f t="shared" si="1"/>
        <v>4543207215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38540392497</v>
      </c>
      <c r="AD13" s="36">
        <f t="shared" si="1"/>
        <v>2497916065</v>
      </c>
      <c r="AE13" s="36">
        <f t="shared" si="1"/>
        <v>3992380846</v>
      </c>
      <c r="AF13" s="36">
        <f t="shared" si="1"/>
        <v>3899105628</v>
      </c>
      <c r="AG13" s="36">
        <f t="shared" si="1"/>
        <v>4494759334</v>
      </c>
      <c r="AH13" s="36">
        <f t="shared" si="1"/>
        <v>4157748522</v>
      </c>
      <c r="AI13" s="36">
        <f t="shared" si="1"/>
        <v>4707895840</v>
      </c>
      <c r="AJ13" s="36">
        <f t="shared" si="1"/>
        <v>5728461987</v>
      </c>
      <c r="AK13" s="36">
        <f t="shared" si="1"/>
        <v>4498465892</v>
      </c>
      <c r="AL13" s="36">
        <f t="shared" si="1"/>
        <v>4559841148</v>
      </c>
      <c r="AM13" s="36">
        <f t="shared" si="1"/>
        <v>0</v>
      </c>
      <c r="AN13" s="36">
        <f t="shared" si="1"/>
        <v>0</v>
      </c>
      <c r="AO13" s="36">
        <f t="shared" si="1"/>
        <v>0</v>
      </c>
      <c r="AP13" s="37">
        <f t="shared" si="1"/>
        <v>38536575262</v>
      </c>
    </row>
    <row r="14" spans="1:44" s="12" customFormat="1" ht="12.75">
      <c r="A14" s="38" t="s">
        <v>52</v>
      </c>
      <c r="B14" s="39" t="s">
        <v>54</v>
      </c>
      <c r="C14" s="104">
        <f>26678850000+6297008650-3000000-30000000-200000000-550000000</f>
        <v>32192858650</v>
      </c>
      <c r="D14" s="104">
        <v>1828626884</v>
      </c>
      <c r="E14" s="104">
        <v>1979141602</v>
      </c>
      <c r="F14" s="104">
        <v>2008185715</v>
      </c>
      <c r="G14" s="104">
        <v>2047360490</v>
      </c>
      <c r="H14" s="104">
        <v>2031140431</v>
      </c>
      <c r="I14" s="104">
        <v>2436566459</v>
      </c>
      <c r="J14" s="104">
        <v>2050099519</v>
      </c>
      <c r="K14" s="104">
        <v>2036245690</v>
      </c>
      <c r="L14" s="104">
        <v>2240799407</v>
      </c>
      <c r="M14" s="104"/>
      <c r="N14" s="104"/>
      <c r="O14" s="104"/>
      <c r="P14" s="71">
        <f>SUM(D14:O14)</f>
        <v>18658166197</v>
      </c>
      <c r="Q14" s="104">
        <v>1828626884</v>
      </c>
      <c r="R14" s="104">
        <v>1979141602</v>
      </c>
      <c r="S14" s="104">
        <v>2008185715</v>
      </c>
      <c r="T14" s="104">
        <v>2047360490</v>
      </c>
      <c r="U14" s="104">
        <v>2031140431</v>
      </c>
      <c r="V14" s="104">
        <v>2258589867</v>
      </c>
      <c r="W14" s="104">
        <v>2050099519</v>
      </c>
      <c r="X14" s="104">
        <v>2214222282</v>
      </c>
      <c r="Y14" s="104">
        <v>2240799407</v>
      </c>
      <c r="Z14" s="104"/>
      <c r="AA14" s="104"/>
      <c r="AB14" s="104"/>
      <c r="AC14" s="71">
        <f>SUM(Q14:AB14)</f>
        <v>18658166197</v>
      </c>
      <c r="AD14" s="104">
        <v>1828626884</v>
      </c>
      <c r="AE14" s="104">
        <v>1979141602</v>
      </c>
      <c r="AF14" s="104">
        <v>2008185715</v>
      </c>
      <c r="AG14" s="104">
        <v>2047360490</v>
      </c>
      <c r="AH14" s="104">
        <v>2031140431</v>
      </c>
      <c r="AI14" s="104">
        <v>2258589867</v>
      </c>
      <c r="AJ14" s="104">
        <v>2050099519</v>
      </c>
      <c r="AK14" s="104">
        <v>2214222282</v>
      </c>
      <c r="AL14" s="104">
        <v>2240799407</v>
      </c>
      <c r="AM14" s="104"/>
      <c r="AN14" s="104"/>
      <c r="AO14" s="104"/>
      <c r="AP14" s="72">
        <f>SUM(AD14:AO14)</f>
        <v>18658166197</v>
      </c>
      <c r="AQ14" s="113"/>
      <c r="AR14" s="113"/>
    </row>
    <row r="15" spans="1:44" s="12" customFormat="1" ht="12.75">
      <c r="A15" s="16" t="s">
        <v>53</v>
      </c>
      <c r="B15" s="48" t="s">
        <v>55</v>
      </c>
      <c r="C15" s="102">
        <v>1404150000</v>
      </c>
      <c r="D15" s="102">
        <v>33120708</v>
      </c>
      <c r="E15" s="102">
        <v>12124214</v>
      </c>
      <c r="F15" s="102">
        <v>45267640</v>
      </c>
      <c r="G15" s="102">
        <v>33252427</v>
      </c>
      <c r="H15" s="102">
        <v>37422150</v>
      </c>
      <c r="I15" s="102">
        <v>92931819</v>
      </c>
      <c r="J15" s="102">
        <v>99908823</v>
      </c>
      <c r="K15" s="102">
        <v>43708722</v>
      </c>
      <c r="L15" s="102">
        <v>115515052</v>
      </c>
      <c r="M15" s="102"/>
      <c r="N15" s="102"/>
      <c r="O15" s="102"/>
      <c r="P15" s="106">
        <f aca="true" t="shared" si="2" ref="P15:P58">SUM(D15:O15)</f>
        <v>513251555</v>
      </c>
      <c r="Q15" s="102">
        <v>33120708</v>
      </c>
      <c r="R15" s="102">
        <v>12124214</v>
      </c>
      <c r="S15" s="102">
        <v>45267640</v>
      </c>
      <c r="T15" s="102">
        <v>33252427</v>
      </c>
      <c r="U15" s="102">
        <v>37422150</v>
      </c>
      <c r="V15" s="102">
        <v>92931819</v>
      </c>
      <c r="W15" s="102">
        <v>99908823</v>
      </c>
      <c r="X15" s="102">
        <v>43708722</v>
      </c>
      <c r="Y15" s="102">
        <v>115515052</v>
      </c>
      <c r="Z15" s="102"/>
      <c r="AA15" s="102"/>
      <c r="AB15" s="102"/>
      <c r="AC15" s="106">
        <f aca="true" t="shared" si="3" ref="AC15:AC40">SUM(Q15:AB15)</f>
        <v>513251555</v>
      </c>
      <c r="AD15" s="102">
        <v>33120708</v>
      </c>
      <c r="AE15" s="102">
        <v>12124214</v>
      </c>
      <c r="AF15" s="102">
        <v>45267640</v>
      </c>
      <c r="AG15" s="102">
        <v>33252427</v>
      </c>
      <c r="AH15" s="102">
        <v>37422150</v>
      </c>
      <c r="AI15" s="102">
        <v>92931819</v>
      </c>
      <c r="AJ15" s="102">
        <v>99908823</v>
      </c>
      <c r="AK15" s="102">
        <v>43708722</v>
      </c>
      <c r="AL15" s="102">
        <v>115515052</v>
      </c>
      <c r="AM15" s="102"/>
      <c r="AN15" s="102"/>
      <c r="AO15" s="102"/>
      <c r="AP15" s="110">
        <f aca="true" t="shared" si="4" ref="AP15:AP40">SUM(AD15:AO15)</f>
        <v>513251555</v>
      </c>
      <c r="AQ15" s="113"/>
      <c r="AR15" s="113"/>
    </row>
    <row r="16" spans="1:44" s="12" customFormat="1" ht="12.75">
      <c r="A16" s="16" t="s">
        <v>74</v>
      </c>
      <c r="B16" s="48" t="s">
        <v>56</v>
      </c>
      <c r="C16" s="102">
        <f>40000000+3000000+30000000</f>
        <v>73000000</v>
      </c>
      <c r="D16" s="102">
        <v>2485310</v>
      </c>
      <c r="E16" s="102">
        <v>6940336</v>
      </c>
      <c r="F16" s="102">
        <v>5630556</v>
      </c>
      <c r="G16" s="102">
        <v>1529189</v>
      </c>
      <c r="H16" s="102">
        <v>15996603</v>
      </c>
      <c r="I16" s="102">
        <v>9891046</v>
      </c>
      <c r="J16" s="102">
        <v>7106827</v>
      </c>
      <c r="K16" s="102">
        <v>4602136</v>
      </c>
      <c r="L16" s="102">
        <v>10206043</v>
      </c>
      <c r="M16" s="102"/>
      <c r="N16" s="102"/>
      <c r="O16" s="102"/>
      <c r="P16" s="106">
        <f t="shared" si="2"/>
        <v>64388046</v>
      </c>
      <c r="Q16" s="102">
        <v>2485310</v>
      </c>
      <c r="R16" s="102">
        <v>6940336</v>
      </c>
      <c r="S16" s="102">
        <v>5630556</v>
      </c>
      <c r="T16" s="102">
        <v>1529189</v>
      </c>
      <c r="U16" s="102">
        <v>15996603</v>
      </c>
      <c r="V16" s="102">
        <v>9891046</v>
      </c>
      <c r="W16" s="102">
        <v>7106827</v>
      </c>
      <c r="X16" s="102">
        <v>4602136</v>
      </c>
      <c r="Y16" s="102">
        <v>10206043</v>
      </c>
      <c r="Z16" s="102"/>
      <c r="AA16" s="102"/>
      <c r="AB16" s="102"/>
      <c r="AC16" s="106">
        <f t="shared" si="3"/>
        <v>64388046</v>
      </c>
      <c r="AD16" s="102">
        <v>2485310</v>
      </c>
      <c r="AE16" s="102">
        <v>6940336</v>
      </c>
      <c r="AF16" s="102">
        <v>5630556</v>
      </c>
      <c r="AG16" s="102">
        <v>1529189</v>
      </c>
      <c r="AH16" s="102">
        <v>15996603</v>
      </c>
      <c r="AI16" s="102">
        <v>9891046</v>
      </c>
      <c r="AJ16" s="102">
        <v>7106827</v>
      </c>
      <c r="AK16" s="102">
        <v>4602136</v>
      </c>
      <c r="AL16" s="102">
        <v>10206043</v>
      </c>
      <c r="AM16" s="102"/>
      <c r="AN16" s="102"/>
      <c r="AO16" s="102"/>
      <c r="AP16" s="110">
        <f t="shared" si="4"/>
        <v>64388046</v>
      </c>
      <c r="AQ16" s="114"/>
      <c r="AR16" s="113"/>
    </row>
    <row r="17" spans="1:44" s="12" customFormat="1" ht="12.75">
      <c r="A17" s="16" t="s">
        <v>75</v>
      </c>
      <c r="B17" s="48" t="s">
        <v>57</v>
      </c>
      <c r="C17" s="102">
        <f>658000000+45000000</f>
        <v>703000000</v>
      </c>
      <c r="D17" s="102">
        <v>49427829</v>
      </c>
      <c r="E17" s="102">
        <v>62166935</v>
      </c>
      <c r="F17" s="102">
        <v>58182002</v>
      </c>
      <c r="G17" s="102">
        <v>55096733</v>
      </c>
      <c r="H17" s="102">
        <v>52320024</v>
      </c>
      <c r="I17" s="102">
        <v>64552585</v>
      </c>
      <c r="J17" s="102">
        <v>53753518</v>
      </c>
      <c r="K17" s="102">
        <v>52621291</v>
      </c>
      <c r="L17" s="102">
        <v>58101343</v>
      </c>
      <c r="M17" s="102"/>
      <c r="N17" s="102"/>
      <c r="O17" s="102"/>
      <c r="P17" s="106">
        <f t="shared" si="2"/>
        <v>506222260</v>
      </c>
      <c r="Q17" s="102">
        <v>49427829</v>
      </c>
      <c r="R17" s="102">
        <v>62166935</v>
      </c>
      <c r="S17" s="102">
        <v>58182002</v>
      </c>
      <c r="T17" s="102">
        <v>55096733</v>
      </c>
      <c r="U17" s="102">
        <v>52320024</v>
      </c>
      <c r="V17" s="102">
        <v>64552585</v>
      </c>
      <c r="W17" s="102">
        <v>53753518</v>
      </c>
      <c r="X17" s="102">
        <v>52621291</v>
      </c>
      <c r="Y17" s="102">
        <v>58101343</v>
      </c>
      <c r="Z17" s="102"/>
      <c r="AA17" s="102"/>
      <c r="AB17" s="102"/>
      <c r="AC17" s="106">
        <f t="shared" si="3"/>
        <v>506222260</v>
      </c>
      <c r="AD17" s="102">
        <v>49427829</v>
      </c>
      <c r="AE17" s="102">
        <v>62166935</v>
      </c>
      <c r="AF17" s="102">
        <v>58182002</v>
      </c>
      <c r="AG17" s="102">
        <v>55096733</v>
      </c>
      <c r="AH17" s="102">
        <v>52320024</v>
      </c>
      <c r="AI17" s="102">
        <v>64552585</v>
      </c>
      <c r="AJ17" s="102">
        <v>53753518</v>
      </c>
      <c r="AK17" s="102">
        <v>52621291</v>
      </c>
      <c r="AL17" s="102">
        <v>58101343</v>
      </c>
      <c r="AM17" s="102"/>
      <c r="AN17" s="102"/>
      <c r="AO17" s="102"/>
      <c r="AP17" s="110">
        <f t="shared" si="4"/>
        <v>506222260</v>
      </c>
      <c r="AQ17" s="113"/>
      <c r="AR17" s="113"/>
    </row>
    <row r="18" spans="1:44" s="12" customFormat="1" ht="12.75">
      <c r="A18" s="16" t="s">
        <v>76</v>
      </c>
      <c r="B18" s="48" t="s">
        <v>58</v>
      </c>
      <c r="C18" s="102">
        <v>131051412</v>
      </c>
      <c r="D18" s="102">
        <v>6314420</v>
      </c>
      <c r="E18" s="102">
        <v>6314420</v>
      </c>
      <c r="F18" s="102">
        <v>6314420</v>
      </c>
      <c r="G18" s="102">
        <v>6314420</v>
      </c>
      <c r="H18" s="102">
        <v>6314420</v>
      </c>
      <c r="I18" s="102">
        <v>7617716</v>
      </c>
      <c r="J18" s="102">
        <v>10978966</v>
      </c>
      <c r="K18" s="102">
        <v>11296632</v>
      </c>
      <c r="L18" s="102">
        <v>11296632</v>
      </c>
      <c r="M18" s="102"/>
      <c r="N18" s="102"/>
      <c r="O18" s="102"/>
      <c r="P18" s="106">
        <f t="shared" si="2"/>
        <v>72762046</v>
      </c>
      <c r="Q18" s="102">
        <v>6314420</v>
      </c>
      <c r="R18" s="102">
        <v>6314420</v>
      </c>
      <c r="S18" s="102">
        <v>6314420</v>
      </c>
      <c r="T18" s="102">
        <v>6314420</v>
      </c>
      <c r="U18" s="102">
        <v>6314420</v>
      </c>
      <c r="V18" s="102">
        <v>7617716</v>
      </c>
      <c r="W18" s="102">
        <v>10978966</v>
      </c>
      <c r="X18" s="102">
        <v>11296632</v>
      </c>
      <c r="Y18" s="102">
        <v>11296632</v>
      </c>
      <c r="Z18" s="102"/>
      <c r="AA18" s="102"/>
      <c r="AB18" s="102"/>
      <c r="AC18" s="106">
        <f t="shared" si="3"/>
        <v>72762046</v>
      </c>
      <c r="AD18" s="102">
        <v>6314420</v>
      </c>
      <c r="AE18" s="102">
        <v>6314420</v>
      </c>
      <c r="AF18" s="102">
        <v>6314420</v>
      </c>
      <c r="AG18" s="102">
        <v>6314420</v>
      </c>
      <c r="AH18" s="102">
        <v>6314420</v>
      </c>
      <c r="AI18" s="102">
        <v>7617716</v>
      </c>
      <c r="AJ18" s="102">
        <v>10978966</v>
      </c>
      <c r="AK18" s="102">
        <v>11296632</v>
      </c>
      <c r="AL18" s="102">
        <v>11296632</v>
      </c>
      <c r="AM18" s="102"/>
      <c r="AN18" s="102"/>
      <c r="AO18" s="102"/>
      <c r="AP18" s="110">
        <f t="shared" si="4"/>
        <v>72762046</v>
      </c>
      <c r="AQ18" s="113"/>
      <c r="AR18" s="114"/>
    </row>
    <row r="19" spans="1:44" s="12" customFormat="1" ht="12.75">
      <c r="A19" s="16" t="s">
        <v>85</v>
      </c>
      <c r="B19" s="48" t="s">
        <v>86</v>
      </c>
      <c r="C19" s="102">
        <v>854205758</v>
      </c>
      <c r="D19" s="102">
        <v>42410005</v>
      </c>
      <c r="E19" s="102">
        <v>54654392</v>
      </c>
      <c r="F19" s="102">
        <v>21751609</v>
      </c>
      <c r="G19" s="102">
        <v>26311417</v>
      </c>
      <c r="H19" s="102">
        <v>28204445</v>
      </c>
      <c r="I19" s="102">
        <v>31854075</v>
      </c>
      <c r="J19" s="102">
        <v>265028614</v>
      </c>
      <c r="K19" s="102">
        <v>37930313</v>
      </c>
      <c r="L19" s="102">
        <v>65920284</v>
      </c>
      <c r="M19" s="102"/>
      <c r="N19" s="102"/>
      <c r="O19" s="102"/>
      <c r="P19" s="106">
        <f>SUM(D19:O19)</f>
        <v>574065154</v>
      </c>
      <c r="Q19" s="102">
        <v>42410005</v>
      </c>
      <c r="R19" s="102">
        <v>54654392</v>
      </c>
      <c r="S19" s="102">
        <v>21751609</v>
      </c>
      <c r="T19" s="102">
        <v>26311417</v>
      </c>
      <c r="U19" s="102">
        <v>28204445</v>
      </c>
      <c r="V19" s="102">
        <v>31854075</v>
      </c>
      <c r="W19" s="102">
        <v>265028614</v>
      </c>
      <c r="X19" s="102">
        <v>37930313</v>
      </c>
      <c r="Y19" s="102">
        <v>65920284</v>
      </c>
      <c r="Z19" s="102"/>
      <c r="AA19" s="102"/>
      <c r="AB19" s="102"/>
      <c r="AC19" s="106">
        <f>SUM(Q19:AB19)</f>
        <v>574065154</v>
      </c>
      <c r="AD19" s="102">
        <v>42410005</v>
      </c>
      <c r="AE19" s="102">
        <v>54654392</v>
      </c>
      <c r="AF19" s="102">
        <v>21751609</v>
      </c>
      <c r="AG19" s="102">
        <v>26311417</v>
      </c>
      <c r="AH19" s="102">
        <v>28204445</v>
      </c>
      <c r="AI19" s="102">
        <v>31854075</v>
      </c>
      <c r="AJ19" s="102">
        <v>265028614</v>
      </c>
      <c r="AK19" s="102">
        <v>37930313</v>
      </c>
      <c r="AL19" s="102">
        <v>65920284</v>
      </c>
      <c r="AM19" s="102"/>
      <c r="AN19" s="102"/>
      <c r="AO19" s="102"/>
      <c r="AP19" s="110">
        <f>SUM(AD19:AO19)</f>
        <v>574065154</v>
      </c>
      <c r="AQ19" s="113"/>
      <c r="AR19" s="114"/>
    </row>
    <row r="20" spans="1:44" s="12" customFormat="1" ht="12.75">
      <c r="A20" s="16" t="s">
        <v>90</v>
      </c>
      <c r="B20" s="48" t="s">
        <v>63</v>
      </c>
      <c r="C20" s="102">
        <v>156219303</v>
      </c>
      <c r="D20" s="102">
        <v>2855992</v>
      </c>
      <c r="E20" s="102">
        <v>1793126</v>
      </c>
      <c r="F20" s="102">
        <v>4559297</v>
      </c>
      <c r="G20" s="102">
        <v>2847363</v>
      </c>
      <c r="H20" s="102">
        <v>3399586</v>
      </c>
      <c r="I20" s="102">
        <v>8709176</v>
      </c>
      <c r="J20" s="102">
        <v>7711231</v>
      </c>
      <c r="K20" s="102">
        <v>5126512</v>
      </c>
      <c r="L20" s="102">
        <v>11920226</v>
      </c>
      <c r="M20" s="102"/>
      <c r="N20" s="102"/>
      <c r="O20" s="102"/>
      <c r="P20" s="106">
        <f>SUM(D20:O20)</f>
        <v>48922509</v>
      </c>
      <c r="Q20" s="102">
        <v>2855992</v>
      </c>
      <c r="R20" s="102">
        <v>1793126</v>
      </c>
      <c r="S20" s="102">
        <v>4559297</v>
      </c>
      <c r="T20" s="102">
        <v>2847363</v>
      </c>
      <c r="U20" s="102">
        <v>3399586</v>
      </c>
      <c r="V20" s="102">
        <v>8709176</v>
      </c>
      <c r="W20" s="102">
        <v>7711231</v>
      </c>
      <c r="X20" s="102">
        <v>5126512</v>
      </c>
      <c r="Y20" s="102">
        <v>11920226</v>
      </c>
      <c r="Z20" s="102"/>
      <c r="AA20" s="102"/>
      <c r="AB20" s="102"/>
      <c r="AC20" s="106">
        <f>SUM(Q20:AB20)</f>
        <v>48922509</v>
      </c>
      <c r="AD20" s="102">
        <v>2855992</v>
      </c>
      <c r="AE20" s="102">
        <v>1793126</v>
      </c>
      <c r="AF20" s="102">
        <v>4559297</v>
      </c>
      <c r="AG20" s="102">
        <v>2847363</v>
      </c>
      <c r="AH20" s="102">
        <v>3399586</v>
      </c>
      <c r="AI20" s="102">
        <v>8709176</v>
      </c>
      <c r="AJ20" s="102">
        <v>7711231</v>
      </c>
      <c r="AK20" s="102">
        <v>5126512</v>
      </c>
      <c r="AL20" s="102">
        <v>11920226</v>
      </c>
      <c r="AM20" s="102"/>
      <c r="AN20" s="102"/>
      <c r="AO20" s="102"/>
      <c r="AP20" s="110">
        <f>SUM(AD20:AO20)</f>
        <v>48922509</v>
      </c>
      <c r="AQ20" s="113"/>
      <c r="AR20" s="114"/>
    </row>
    <row r="21" spans="1:45" s="12" customFormat="1" ht="12.75">
      <c r="A21" s="16" t="s">
        <v>79</v>
      </c>
      <c r="B21" s="48" t="s">
        <v>77</v>
      </c>
      <c r="C21" s="102">
        <f>113590083.5+4200000</f>
        <v>117790083.5</v>
      </c>
      <c r="D21" s="102">
        <v>7094206</v>
      </c>
      <c r="E21" s="102">
        <v>8073806</v>
      </c>
      <c r="F21" s="102">
        <v>7921973</v>
      </c>
      <c r="G21" s="102">
        <v>8125904</v>
      </c>
      <c r="H21" s="102">
        <v>7874343</v>
      </c>
      <c r="I21" s="102">
        <v>9405332</v>
      </c>
      <c r="J21" s="102">
        <v>8085347</v>
      </c>
      <c r="K21" s="102">
        <v>8169824</v>
      </c>
      <c r="L21" s="102">
        <v>8168285</v>
      </c>
      <c r="M21" s="102"/>
      <c r="N21" s="102"/>
      <c r="O21" s="102"/>
      <c r="P21" s="106">
        <f t="shared" si="2"/>
        <v>72919020</v>
      </c>
      <c r="Q21" s="102">
        <v>7094206</v>
      </c>
      <c r="R21" s="102">
        <v>8073806</v>
      </c>
      <c r="S21" s="102">
        <v>7921973</v>
      </c>
      <c r="T21" s="102">
        <v>8125904</v>
      </c>
      <c r="U21" s="102">
        <v>7874343</v>
      </c>
      <c r="V21" s="102">
        <v>9405332</v>
      </c>
      <c r="W21" s="102">
        <v>8085347</v>
      </c>
      <c r="X21" s="102">
        <v>8169824</v>
      </c>
      <c r="Y21" s="102">
        <v>8168285</v>
      </c>
      <c r="Z21" s="102"/>
      <c r="AA21" s="102"/>
      <c r="AB21" s="102"/>
      <c r="AC21" s="106">
        <f t="shared" si="3"/>
        <v>72919020</v>
      </c>
      <c r="AD21" s="102">
        <v>7094206</v>
      </c>
      <c r="AE21" s="102">
        <v>8073806</v>
      </c>
      <c r="AF21" s="102">
        <v>7921973</v>
      </c>
      <c r="AG21" s="102">
        <v>8125904</v>
      </c>
      <c r="AH21" s="102">
        <v>7874343</v>
      </c>
      <c r="AI21" s="102">
        <v>9405332</v>
      </c>
      <c r="AJ21" s="102">
        <v>8085347</v>
      </c>
      <c r="AK21" s="102">
        <v>8169824</v>
      </c>
      <c r="AL21" s="102">
        <v>8168285</v>
      </c>
      <c r="AM21" s="102"/>
      <c r="AN21" s="102"/>
      <c r="AO21" s="102"/>
      <c r="AP21" s="110">
        <f t="shared" si="4"/>
        <v>72919020</v>
      </c>
      <c r="AQ21" s="113"/>
      <c r="AR21" s="127"/>
      <c r="AS21" s="128"/>
    </row>
    <row r="22" spans="1:46" s="12" customFormat="1" ht="12.75">
      <c r="A22" s="16" t="s">
        <v>80</v>
      </c>
      <c r="B22" s="48" t="s">
        <v>78</v>
      </c>
      <c r="C22" s="102">
        <f>129310923.5+3500000</f>
        <v>132810923.5</v>
      </c>
      <c r="D22" s="102">
        <v>9559810</v>
      </c>
      <c r="E22" s="102">
        <v>10539120</v>
      </c>
      <c r="F22" s="102">
        <v>10520950</v>
      </c>
      <c r="G22" s="102">
        <v>10307350</v>
      </c>
      <c r="H22" s="102">
        <v>10555950</v>
      </c>
      <c r="I22" s="102">
        <v>4519050</v>
      </c>
      <c r="J22" s="102">
        <v>9263700</v>
      </c>
      <c r="K22" s="102">
        <v>9324650</v>
      </c>
      <c r="L22" s="102">
        <v>9441000</v>
      </c>
      <c r="M22" s="102"/>
      <c r="N22" s="102"/>
      <c r="O22" s="102"/>
      <c r="P22" s="106">
        <f t="shared" si="2"/>
        <v>84031580</v>
      </c>
      <c r="Q22" s="102">
        <v>9559810</v>
      </c>
      <c r="R22" s="102">
        <v>10539120</v>
      </c>
      <c r="S22" s="102">
        <v>10520950</v>
      </c>
      <c r="T22" s="102">
        <v>10307350</v>
      </c>
      <c r="U22" s="102">
        <v>10555950</v>
      </c>
      <c r="V22" s="102">
        <v>4519050</v>
      </c>
      <c r="W22" s="102">
        <v>9263700</v>
      </c>
      <c r="X22" s="102">
        <v>9324650</v>
      </c>
      <c r="Y22" s="102">
        <v>9441000</v>
      </c>
      <c r="Z22" s="102"/>
      <c r="AA22" s="102"/>
      <c r="AB22" s="102"/>
      <c r="AC22" s="106">
        <f t="shared" si="3"/>
        <v>84031580</v>
      </c>
      <c r="AD22" s="102">
        <v>9559810</v>
      </c>
      <c r="AE22" s="102">
        <v>10539120</v>
      </c>
      <c r="AF22" s="102">
        <v>10520950</v>
      </c>
      <c r="AG22" s="102">
        <v>10307350</v>
      </c>
      <c r="AH22" s="102">
        <v>10555950</v>
      </c>
      <c r="AI22" s="102">
        <v>4519050</v>
      </c>
      <c r="AJ22" s="102">
        <v>9263700</v>
      </c>
      <c r="AK22" s="102">
        <v>9324650</v>
      </c>
      <c r="AL22" s="102">
        <v>9441000</v>
      </c>
      <c r="AM22" s="102"/>
      <c r="AN22" s="102"/>
      <c r="AO22" s="102"/>
      <c r="AP22" s="110">
        <f t="shared" si="4"/>
        <v>84031580</v>
      </c>
      <c r="AQ22" s="113"/>
      <c r="AR22" s="127"/>
      <c r="AS22" s="128"/>
      <c r="AT22" s="128"/>
    </row>
    <row r="23" spans="1:46" s="12" customFormat="1" ht="12.75">
      <c r="A23" s="16" t="s">
        <v>81</v>
      </c>
      <c r="B23" s="48" t="s">
        <v>59</v>
      </c>
      <c r="C23" s="102">
        <f>1222767434-45000000</f>
        <v>1177767434</v>
      </c>
      <c r="D23" s="102">
        <v>391286</v>
      </c>
      <c r="E23" s="102">
        <v>3466018</v>
      </c>
      <c r="F23" s="102">
        <v>5463721</v>
      </c>
      <c r="G23" s="102">
        <v>2667347</v>
      </c>
      <c r="H23" s="102">
        <v>4256640</v>
      </c>
      <c r="I23" s="102">
        <v>10585783</v>
      </c>
      <c r="J23" s="102">
        <v>960605512</v>
      </c>
      <c r="K23" s="102">
        <v>34584</v>
      </c>
      <c r="L23" s="102">
        <v>0</v>
      </c>
      <c r="M23" s="102"/>
      <c r="N23" s="102"/>
      <c r="O23" s="102"/>
      <c r="P23" s="106">
        <f t="shared" si="2"/>
        <v>987470891</v>
      </c>
      <c r="Q23" s="102">
        <v>391286</v>
      </c>
      <c r="R23" s="102">
        <v>3466018</v>
      </c>
      <c r="S23" s="102">
        <v>5463721</v>
      </c>
      <c r="T23" s="102">
        <v>2667347</v>
      </c>
      <c r="U23" s="102">
        <v>4256640</v>
      </c>
      <c r="V23" s="102">
        <v>10585783</v>
      </c>
      <c r="W23" s="102">
        <v>960605512</v>
      </c>
      <c r="X23" s="102">
        <v>34584</v>
      </c>
      <c r="Y23" s="102">
        <v>0</v>
      </c>
      <c r="Z23" s="102"/>
      <c r="AA23" s="102"/>
      <c r="AB23" s="102"/>
      <c r="AC23" s="106">
        <f t="shared" si="3"/>
        <v>987470891</v>
      </c>
      <c r="AD23" s="102">
        <v>391286</v>
      </c>
      <c r="AE23" s="102">
        <v>3466018</v>
      </c>
      <c r="AF23" s="102">
        <v>5463721</v>
      </c>
      <c r="AG23" s="102">
        <v>2667347</v>
      </c>
      <c r="AH23" s="102">
        <v>4256640</v>
      </c>
      <c r="AI23" s="102">
        <v>10585783</v>
      </c>
      <c r="AJ23" s="102">
        <v>960605512</v>
      </c>
      <c r="AK23" s="102">
        <v>34584</v>
      </c>
      <c r="AL23" s="102">
        <v>0</v>
      </c>
      <c r="AM23" s="102"/>
      <c r="AN23" s="102"/>
      <c r="AO23" s="102"/>
      <c r="AP23" s="110">
        <f t="shared" si="4"/>
        <v>987470891</v>
      </c>
      <c r="AQ23" s="113"/>
      <c r="AR23" s="114"/>
      <c r="AS23" s="128"/>
      <c r="AT23" s="128"/>
    </row>
    <row r="24" spans="1:46" s="12" customFormat="1" ht="12.75">
      <c r="A24" s="16" t="s">
        <v>82</v>
      </c>
      <c r="B24" s="48" t="s">
        <v>61</v>
      </c>
      <c r="C24" s="102">
        <v>1301126754</v>
      </c>
      <c r="D24" s="102">
        <v>26370916</v>
      </c>
      <c r="E24" s="102">
        <v>14512714</v>
      </c>
      <c r="F24" s="102">
        <v>37789786</v>
      </c>
      <c r="G24" s="102">
        <v>26174598</v>
      </c>
      <c r="H24" s="102">
        <v>29227397</v>
      </c>
      <c r="I24" s="102">
        <v>76219491</v>
      </c>
      <c r="J24" s="102">
        <v>67004240</v>
      </c>
      <c r="K24" s="102">
        <v>41735505</v>
      </c>
      <c r="L24" s="102">
        <v>96625011</v>
      </c>
      <c r="M24" s="102"/>
      <c r="N24" s="102"/>
      <c r="O24" s="102"/>
      <c r="P24" s="106">
        <f t="shared" si="2"/>
        <v>415659658</v>
      </c>
      <c r="Q24" s="102">
        <v>26370916</v>
      </c>
      <c r="R24" s="102">
        <v>14512714</v>
      </c>
      <c r="S24" s="102">
        <v>37789786</v>
      </c>
      <c r="T24" s="102">
        <v>26174598</v>
      </c>
      <c r="U24" s="102">
        <v>29227397</v>
      </c>
      <c r="V24" s="102">
        <v>76219491</v>
      </c>
      <c r="W24" s="102">
        <v>67004240</v>
      </c>
      <c r="X24" s="102">
        <v>41735505</v>
      </c>
      <c r="Y24" s="102">
        <v>96625011</v>
      </c>
      <c r="Z24" s="102"/>
      <c r="AA24" s="102"/>
      <c r="AB24" s="102"/>
      <c r="AC24" s="106">
        <f t="shared" si="3"/>
        <v>415659658</v>
      </c>
      <c r="AD24" s="102">
        <v>26370916</v>
      </c>
      <c r="AE24" s="102">
        <v>14512714</v>
      </c>
      <c r="AF24" s="102">
        <v>37789786</v>
      </c>
      <c r="AG24" s="102">
        <v>26174598</v>
      </c>
      <c r="AH24" s="102">
        <v>29227397</v>
      </c>
      <c r="AI24" s="102">
        <v>76219491</v>
      </c>
      <c r="AJ24" s="102">
        <v>67004240</v>
      </c>
      <c r="AK24" s="102">
        <v>41735505</v>
      </c>
      <c r="AL24" s="102">
        <v>96625011</v>
      </c>
      <c r="AM24" s="102"/>
      <c r="AN24" s="102"/>
      <c r="AO24" s="102"/>
      <c r="AP24" s="110">
        <f t="shared" si="4"/>
        <v>415659658</v>
      </c>
      <c r="AQ24" s="113"/>
      <c r="AR24" s="121"/>
      <c r="AS24" s="128"/>
      <c r="AT24" s="128"/>
    </row>
    <row r="25" spans="1:44" s="12" customFormat="1" ht="12.75">
      <c r="A25" s="16" t="s">
        <v>83</v>
      </c>
      <c r="B25" s="48" t="s">
        <v>60</v>
      </c>
      <c r="C25" s="102">
        <f>2655859391+940353470</f>
        <v>3596212861</v>
      </c>
      <c r="D25" s="102">
        <v>0</v>
      </c>
      <c r="E25" s="102">
        <v>1992933</v>
      </c>
      <c r="F25" s="102">
        <v>3040649</v>
      </c>
      <c r="G25" s="102">
        <v>2338939</v>
      </c>
      <c r="H25" s="102">
        <v>4533006</v>
      </c>
      <c r="I25" s="102">
        <v>11854971</v>
      </c>
      <c r="J25" s="102">
        <v>0</v>
      </c>
      <c r="K25" s="102">
        <v>9888878</v>
      </c>
      <c r="L25" s="102">
        <v>15978933</v>
      </c>
      <c r="M25" s="102"/>
      <c r="N25" s="102"/>
      <c r="O25" s="102"/>
      <c r="P25" s="106">
        <f t="shared" si="2"/>
        <v>49628309</v>
      </c>
      <c r="Q25" s="102">
        <v>0</v>
      </c>
      <c r="R25" s="102">
        <v>1992933</v>
      </c>
      <c r="S25" s="102">
        <v>3040649</v>
      </c>
      <c r="T25" s="102">
        <v>2338939</v>
      </c>
      <c r="U25" s="102">
        <v>4533006</v>
      </c>
      <c r="V25" s="102">
        <v>11854971</v>
      </c>
      <c r="W25" s="102">
        <v>0</v>
      </c>
      <c r="X25" s="102">
        <v>9888878</v>
      </c>
      <c r="Y25" s="102">
        <v>15978933</v>
      </c>
      <c r="Z25" s="102"/>
      <c r="AA25" s="102"/>
      <c r="AB25" s="102"/>
      <c r="AC25" s="106">
        <f t="shared" si="3"/>
        <v>49628309</v>
      </c>
      <c r="AD25" s="102">
        <v>0</v>
      </c>
      <c r="AE25" s="102">
        <v>1992933</v>
      </c>
      <c r="AF25" s="102">
        <v>3040649</v>
      </c>
      <c r="AG25" s="102">
        <v>2338939</v>
      </c>
      <c r="AH25" s="102">
        <v>4533006</v>
      </c>
      <c r="AI25" s="102">
        <v>11854971</v>
      </c>
      <c r="AJ25" s="102">
        <v>0</v>
      </c>
      <c r="AK25" s="102">
        <v>9888878</v>
      </c>
      <c r="AL25" s="102">
        <v>15978933</v>
      </c>
      <c r="AM25" s="102"/>
      <c r="AN25" s="102"/>
      <c r="AO25" s="102"/>
      <c r="AP25" s="110">
        <f t="shared" si="4"/>
        <v>49628309</v>
      </c>
      <c r="AQ25" s="113"/>
      <c r="AR25" s="114"/>
    </row>
    <row r="26" spans="1:44" s="12" customFormat="1" ht="12.75">
      <c r="A26" s="16" t="s">
        <v>84</v>
      </c>
      <c r="B26" s="48" t="s">
        <v>62</v>
      </c>
      <c r="C26" s="102">
        <v>2898010</v>
      </c>
      <c r="D26" s="102">
        <v>0</v>
      </c>
      <c r="E26" s="102">
        <v>483001</v>
      </c>
      <c r="F26" s="102">
        <v>241500</v>
      </c>
      <c r="G26" s="102">
        <v>241500</v>
      </c>
      <c r="H26" s="102">
        <v>241500</v>
      </c>
      <c r="I26" s="102">
        <v>291348</v>
      </c>
      <c r="J26" s="102">
        <v>249808</v>
      </c>
      <c r="K26" s="102">
        <v>249808</v>
      </c>
      <c r="L26" s="102">
        <v>249808</v>
      </c>
      <c r="M26" s="102"/>
      <c r="N26" s="102"/>
      <c r="O26" s="102"/>
      <c r="P26" s="106">
        <f t="shared" si="2"/>
        <v>2248273</v>
      </c>
      <c r="Q26" s="102">
        <v>0</v>
      </c>
      <c r="R26" s="102">
        <v>483001</v>
      </c>
      <c r="S26" s="102">
        <v>241500</v>
      </c>
      <c r="T26" s="102">
        <v>241500</v>
      </c>
      <c r="U26" s="102">
        <v>241500</v>
      </c>
      <c r="V26" s="102">
        <v>291348</v>
      </c>
      <c r="W26" s="102">
        <v>249808</v>
      </c>
      <c r="X26" s="102">
        <v>249808</v>
      </c>
      <c r="Y26" s="102">
        <v>249808</v>
      </c>
      <c r="Z26" s="102"/>
      <c r="AA26" s="102"/>
      <c r="AB26" s="102"/>
      <c r="AC26" s="106">
        <f t="shared" si="3"/>
        <v>2248273</v>
      </c>
      <c r="AD26" s="102">
        <v>0</v>
      </c>
      <c r="AE26" s="102">
        <v>483001</v>
      </c>
      <c r="AF26" s="102">
        <v>241500</v>
      </c>
      <c r="AG26" s="102">
        <v>241500</v>
      </c>
      <c r="AH26" s="102">
        <v>241500</v>
      </c>
      <c r="AI26" s="102">
        <v>291348</v>
      </c>
      <c r="AJ26" s="102">
        <v>249808</v>
      </c>
      <c r="AK26" s="102">
        <v>249808</v>
      </c>
      <c r="AL26" s="102">
        <v>249808</v>
      </c>
      <c r="AM26" s="102"/>
      <c r="AN26" s="102"/>
      <c r="AO26" s="102"/>
      <c r="AP26" s="110">
        <f t="shared" si="4"/>
        <v>2248273</v>
      </c>
      <c r="AQ26" s="113"/>
      <c r="AR26" s="121"/>
    </row>
    <row r="27" spans="1:44" s="12" customFormat="1" ht="12.75">
      <c r="A27" s="16" t="s">
        <v>87</v>
      </c>
      <c r="B27" s="48" t="s">
        <v>104</v>
      </c>
      <c r="C27" s="102">
        <v>35607612</v>
      </c>
      <c r="D27" s="102">
        <v>3115667</v>
      </c>
      <c r="E27" s="102">
        <v>3115668</v>
      </c>
      <c r="F27" s="102">
        <v>3115668</v>
      </c>
      <c r="G27" s="102">
        <v>3115668</v>
      </c>
      <c r="H27" s="102">
        <v>3115668</v>
      </c>
      <c r="I27" s="102">
        <v>3758737</v>
      </c>
      <c r="J27" s="102">
        <v>0</v>
      </c>
      <c r="K27" s="102">
        <v>6445692</v>
      </c>
      <c r="L27" s="102">
        <v>3222846</v>
      </c>
      <c r="M27" s="102"/>
      <c r="N27" s="102"/>
      <c r="O27" s="102"/>
      <c r="P27" s="106">
        <f t="shared" si="2"/>
        <v>29005614</v>
      </c>
      <c r="Q27" s="102">
        <v>3115667</v>
      </c>
      <c r="R27" s="102">
        <v>3115668</v>
      </c>
      <c r="S27" s="102">
        <v>3115668</v>
      </c>
      <c r="T27" s="102">
        <v>3115668</v>
      </c>
      <c r="U27" s="102">
        <v>3115668</v>
      </c>
      <c r="V27" s="102">
        <v>3758737</v>
      </c>
      <c r="W27" s="102">
        <v>0</v>
      </c>
      <c r="X27" s="102">
        <v>6445692</v>
      </c>
      <c r="Y27" s="102">
        <v>3222846</v>
      </c>
      <c r="Z27" s="102"/>
      <c r="AA27" s="102"/>
      <c r="AB27" s="102"/>
      <c r="AC27" s="106">
        <f t="shared" si="3"/>
        <v>29005614</v>
      </c>
      <c r="AD27" s="102">
        <v>3115667</v>
      </c>
      <c r="AE27" s="102">
        <v>3115668</v>
      </c>
      <c r="AF27" s="102">
        <v>3115668</v>
      </c>
      <c r="AG27" s="102">
        <v>3115668</v>
      </c>
      <c r="AH27" s="102">
        <v>3115668</v>
      </c>
      <c r="AI27" s="102">
        <v>3758737</v>
      </c>
      <c r="AJ27" s="102">
        <v>0</v>
      </c>
      <c r="AK27" s="102">
        <v>6445692</v>
      </c>
      <c r="AL27" s="102">
        <v>3222846</v>
      </c>
      <c r="AM27" s="102"/>
      <c r="AN27" s="102"/>
      <c r="AO27" s="102"/>
      <c r="AP27" s="110">
        <f t="shared" si="4"/>
        <v>29005614</v>
      </c>
      <c r="AQ27" s="113"/>
      <c r="AR27" s="127"/>
    </row>
    <row r="28" spans="1:44" s="12" customFormat="1" ht="12.75">
      <c r="A28" s="16" t="s">
        <v>89</v>
      </c>
      <c r="B28" s="48" t="s">
        <v>88</v>
      </c>
      <c r="C28" s="102">
        <v>839969706</v>
      </c>
      <c r="D28" s="102">
        <v>24087722</v>
      </c>
      <c r="E28" s="102">
        <v>29768049</v>
      </c>
      <c r="F28" s="102">
        <v>28518821</v>
      </c>
      <c r="G28" s="102">
        <v>29118855</v>
      </c>
      <c r="H28" s="102">
        <v>29076980</v>
      </c>
      <c r="I28" s="102">
        <v>34482723</v>
      </c>
      <c r="J28" s="102">
        <v>28009902</v>
      </c>
      <c r="K28" s="102">
        <v>30131324</v>
      </c>
      <c r="L28" s="102">
        <v>30050616</v>
      </c>
      <c r="M28" s="102"/>
      <c r="N28" s="102"/>
      <c r="O28" s="102"/>
      <c r="P28" s="106">
        <f t="shared" si="2"/>
        <v>263244992</v>
      </c>
      <c r="Q28" s="102">
        <v>24087722</v>
      </c>
      <c r="R28" s="102">
        <v>29768049</v>
      </c>
      <c r="S28" s="102">
        <v>28518821</v>
      </c>
      <c r="T28" s="102">
        <v>29118855</v>
      </c>
      <c r="U28" s="102">
        <v>29076980</v>
      </c>
      <c r="V28" s="102">
        <v>34482723</v>
      </c>
      <c r="W28" s="102">
        <v>28009902</v>
      </c>
      <c r="X28" s="102">
        <v>30131324</v>
      </c>
      <c r="Y28" s="102">
        <v>30050616</v>
      </c>
      <c r="Z28" s="102"/>
      <c r="AA28" s="102"/>
      <c r="AB28" s="102"/>
      <c r="AC28" s="106">
        <f t="shared" si="3"/>
        <v>263244992</v>
      </c>
      <c r="AD28" s="102">
        <v>24087722</v>
      </c>
      <c r="AE28" s="102">
        <v>29768049</v>
      </c>
      <c r="AF28" s="102">
        <v>28518821</v>
      </c>
      <c r="AG28" s="102">
        <v>29118855</v>
      </c>
      <c r="AH28" s="102">
        <v>29076980</v>
      </c>
      <c r="AI28" s="102">
        <v>34482723</v>
      </c>
      <c r="AJ28" s="102">
        <v>28009902</v>
      </c>
      <c r="AK28" s="102">
        <v>30131324</v>
      </c>
      <c r="AL28" s="102">
        <v>30050616</v>
      </c>
      <c r="AM28" s="102"/>
      <c r="AN28" s="102"/>
      <c r="AO28" s="102"/>
      <c r="AP28" s="110">
        <f t="shared" si="4"/>
        <v>263244992</v>
      </c>
      <c r="AQ28" s="113"/>
      <c r="AR28" s="114"/>
    </row>
    <row r="29" spans="1:44" s="12" customFormat="1" ht="12.75">
      <c r="A29" s="16" t="s">
        <v>91</v>
      </c>
      <c r="B29" s="48" t="s">
        <v>64</v>
      </c>
      <c r="C29" s="102">
        <v>214393613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182996421</v>
      </c>
      <c r="J29" s="102">
        <v>0</v>
      </c>
      <c r="K29" s="102">
        <v>0</v>
      </c>
      <c r="L29" s="102">
        <v>0</v>
      </c>
      <c r="M29" s="102"/>
      <c r="N29" s="102"/>
      <c r="O29" s="102"/>
      <c r="P29" s="106">
        <f t="shared" si="2"/>
        <v>182996421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182996421</v>
      </c>
      <c r="W29" s="102">
        <v>0</v>
      </c>
      <c r="X29" s="102">
        <v>0</v>
      </c>
      <c r="Y29" s="102">
        <v>0</v>
      </c>
      <c r="Z29" s="102"/>
      <c r="AA29" s="102"/>
      <c r="AB29" s="102"/>
      <c r="AC29" s="106">
        <f t="shared" si="3"/>
        <v>182996421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182996421</v>
      </c>
      <c r="AJ29" s="102">
        <v>0</v>
      </c>
      <c r="AK29" s="102">
        <v>0</v>
      </c>
      <c r="AL29" s="102">
        <v>0</v>
      </c>
      <c r="AM29" s="102"/>
      <c r="AN29" s="102"/>
      <c r="AO29" s="102"/>
      <c r="AP29" s="110">
        <f t="shared" si="4"/>
        <v>182996421</v>
      </c>
      <c r="AQ29" s="114"/>
      <c r="AR29" s="113"/>
    </row>
    <row r="30" spans="1:44" s="12" customFormat="1" ht="12.75">
      <c r="A30" s="16" t="s">
        <v>92</v>
      </c>
      <c r="B30" s="48" t="s">
        <v>65</v>
      </c>
      <c r="C30" s="102">
        <f>58527204-800000-12000000-16000000+40000000+20000000</f>
        <v>89727204</v>
      </c>
      <c r="D30" s="102">
        <v>0</v>
      </c>
      <c r="E30" s="102">
        <v>7259830</v>
      </c>
      <c r="F30" s="102">
        <v>5090141</v>
      </c>
      <c r="G30" s="102">
        <v>4863751</v>
      </c>
      <c r="H30" s="102">
        <v>4997639</v>
      </c>
      <c r="I30" s="102">
        <v>5449740</v>
      </c>
      <c r="J30" s="102">
        <v>0</v>
      </c>
      <c r="K30" s="102">
        <v>8626065</v>
      </c>
      <c r="L30" s="102">
        <v>5116516</v>
      </c>
      <c r="M30" s="102"/>
      <c r="N30" s="102"/>
      <c r="O30" s="102"/>
      <c r="P30" s="106">
        <f t="shared" si="2"/>
        <v>41403682</v>
      </c>
      <c r="Q30" s="102">
        <v>0</v>
      </c>
      <c r="R30" s="102">
        <v>7259830</v>
      </c>
      <c r="S30" s="102">
        <v>5090141</v>
      </c>
      <c r="T30" s="102">
        <v>4863751</v>
      </c>
      <c r="U30" s="102">
        <v>4997639</v>
      </c>
      <c r="V30" s="102">
        <v>5449740</v>
      </c>
      <c r="W30" s="102">
        <v>0</v>
      </c>
      <c r="X30" s="102">
        <v>8626065</v>
      </c>
      <c r="Y30" s="102">
        <v>5116516</v>
      </c>
      <c r="Z30" s="102"/>
      <c r="AA30" s="102"/>
      <c r="AB30" s="102"/>
      <c r="AC30" s="106">
        <f t="shared" si="3"/>
        <v>41403682</v>
      </c>
      <c r="AD30" s="102">
        <v>0</v>
      </c>
      <c r="AE30" s="102">
        <v>7259830</v>
      </c>
      <c r="AF30" s="102">
        <v>5090141</v>
      </c>
      <c r="AG30" s="102">
        <v>4863751</v>
      </c>
      <c r="AH30" s="102">
        <v>4997639</v>
      </c>
      <c r="AI30" s="102">
        <v>5449740</v>
      </c>
      <c r="AJ30" s="102">
        <v>0</v>
      </c>
      <c r="AK30" s="102">
        <v>8626065</v>
      </c>
      <c r="AL30" s="102">
        <v>5116516</v>
      </c>
      <c r="AM30" s="102"/>
      <c r="AN30" s="102"/>
      <c r="AO30" s="102"/>
      <c r="AP30" s="110">
        <f t="shared" si="4"/>
        <v>41403682</v>
      </c>
      <c r="AQ30" s="114"/>
      <c r="AR30" s="113"/>
    </row>
    <row r="31" spans="1:44" s="12" customFormat="1" ht="12.75">
      <c r="A31" s="16" t="s">
        <v>93</v>
      </c>
      <c r="B31" s="48" t="s">
        <v>66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/>
      <c r="N31" s="102"/>
      <c r="O31" s="102"/>
      <c r="P31" s="106">
        <f t="shared" si="2"/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/>
      <c r="AA31" s="102"/>
      <c r="AB31" s="102"/>
      <c r="AC31" s="106">
        <f t="shared" si="3"/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0</v>
      </c>
      <c r="AJ31" s="102">
        <v>0</v>
      </c>
      <c r="AK31" s="102">
        <v>0</v>
      </c>
      <c r="AL31" s="102">
        <v>0</v>
      </c>
      <c r="AM31" s="102"/>
      <c r="AN31" s="102"/>
      <c r="AO31" s="102"/>
      <c r="AP31" s="110">
        <f t="shared" si="4"/>
        <v>0</v>
      </c>
      <c r="AR31" s="113"/>
    </row>
    <row r="32" spans="1:44" s="12" customFormat="1" ht="12.75">
      <c r="A32" s="16" t="s">
        <v>94</v>
      </c>
      <c r="B32" s="40" t="s">
        <v>51</v>
      </c>
      <c r="C32" s="102">
        <f>37472796+800000+12000000+16000000+100000000+40000000</f>
        <v>206272796</v>
      </c>
      <c r="D32" s="102">
        <v>10898610</v>
      </c>
      <c r="E32" s="102">
        <v>7835731</v>
      </c>
      <c r="F32" s="102">
        <v>11332316</v>
      </c>
      <c r="G32" s="102">
        <v>5434807</v>
      </c>
      <c r="H32" s="102">
        <v>10849662</v>
      </c>
      <c r="I32" s="102">
        <v>19225555</v>
      </c>
      <c r="J32" s="102">
        <v>0</v>
      </c>
      <c r="K32" s="102">
        <v>15271424</v>
      </c>
      <c r="L32" s="102">
        <v>18553055</v>
      </c>
      <c r="M32" s="102"/>
      <c r="N32" s="102"/>
      <c r="O32" s="102"/>
      <c r="P32" s="106">
        <f t="shared" si="2"/>
        <v>99401160</v>
      </c>
      <c r="Q32" s="102">
        <v>10898610</v>
      </c>
      <c r="R32" s="102">
        <v>7835731</v>
      </c>
      <c r="S32" s="102">
        <v>11332316</v>
      </c>
      <c r="T32" s="102">
        <v>5434807</v>
      </c>
      <c r="U32" s="102">
        <v>10849662</v>
      </c>
      <c r="V32" s="102">
        <v>19225555</v>
      </c>
      <c r="W32" s="102">
        <v>0</v>
      </c>
      <c r="X32" s="102">
        <v>15271424</v>
      </c>
      <c r="Y32" s="102">
        <v>18553055</v>
      </c>
      <c r="Z32" s="102"/>
      <c r="AA32" s="102"/>
      <c r="AB32" s="102"/>
      <c r="AC32" s="106">
        <f t="shared" si="3"/>
        <v>99401160</v>
      </c>
      <c r="AD32" s="102">
        <v>10898610</v>
      </c>
      <c r="AE32" s="102">
        <v>7835731</v>
      </c>
      <c r="AF32" s="102">
        <v>11332316</v>
      </c>
      <c r="AG32" s="102">
        <v>5434807</v>
      </c>
      <c r="AH32" s="102">
        <v>10849662</v>
      </c>
      <c r="AI32" s="102">
        <v>19225555</v>
      </c>
      <c r="AJ32" s="102">
        <v>0</v>
      </c>
      <c r="AK32" s="102">
        <v>15271424</v>
      </c>
      <c r="AL32" s="102">
        <v>18553055</v>
      </c>
      <c r="AM32" s="102"/>
      <c r="AN32" s="102"/>
      <c r="AO32" s="102"/>
      <c r="AP32" s="110">
        <f t="shared" si="4"/>
        <v>99401160</v>
      </c>
      <c r="AR32" s="113"/>
    </row>
    <row r="33" spans="1:44" s="12" customFormat="1" ht="12.75">
      <c r="A33" s="16" t="s">
        <v>95</v>
      </c>
      <c r="B33" s="40" t="s">
        <v>67</v>
      </c>
      <c r="C33" s="111">
        <f>4054677511-187541171+163874595-188860000+78200000-223000000-121000000+21000000-250000000+1488553607+54147679-2320500-4595136-49000000-38362081+1417797988.81-60000000-150000000-7000000-166320-939370+6000000+467115866</f>
        <v>6468582668.809999</v>
      </c>
      <c r="D33" s="102">
        <v>1810438628</v>
      </c>
      <c r="E33" s="102">
        <v>549361773</v>
      </c>
      <c r="F33" s="102">
        <v>169647894</v>
      </c>
      <c r="G33" s="102">
        <v>1720001105</v>
      </c>
      <c r="H33" s="102">
        <v>253574166</v>
      </c>
      <c r="I33" s="102">
        <v>266579494</v>
      </c>
      <c r="J33" s="122">
        <v>1155583968</v>
      </c>
      <c r="K33" s="102">
        <v>49750308</v>
      </c>
      <c r="L33" s="102">
        <v>337988076</v>
      </c>
      <c r="M33" s="102"/>
      <c r="N33" s="102"/>
      <c r="O33" s="102"/>
      <c r="P33" s="106">
        <f t="shared" si="2"/>
        <v>6312925412</v>
      </c>
      <c r="Q33" s="102">
        <v>0</v>
      </c>
      <c r="R33" s="102">
        <v>522446679</v>
      </c>
      <c r="S33" s="102">
        <v>669193355</v>
      </c>
      <c r="T33" s="102">
        <v>868623082</v>
      </c>
      <c r="U33" s="102">
        <v>609262900</v>
      </c>
      <c r="V33" s="102">
        <v>764278272</v>
      </c>
      <c r="W33" s="102">
        <v>857958163</v>
      </c>
      <c r="X33" s="102">
        <v>697550127</v>
      </c>
      <c r="Y33" s="102">
        <v>718023544</v>
      </c>
      <c r="Z33" s="102"/>
      <c r="AA33" s="102"/>
      <c r="AB33" s="102"/>
      <c r="AC33" s="106">
        <f t="shared" si="3"/>
        <v>5707336122</v>
      </c>
      <c r="AD33" s="102">
        <v>0</v>
      </c>
      <c r="AE33" s="102">
        <v>429275971</v>
      </c>
      <c r="AF33" s="102">
        <v>708974106</v>
      </c>
      <c r="AG33" s="102">
        <v>894937359</v>
      </c>
      <c r="AH33" s="102">
        <v>633925569</v>
      </c>
      <c r="AI33" s="102">
        <v>752101803</v>
      </c>
      <c r="AJ33" s="102">
        <v>831632506</v>
      </c>
      <c r="AK33" s="102">
        <v>718646127</v>
      </c>
      <c r="AL33" s="102">
        <v>734025446</v>
      </c>
      <c r="AM33" s="102"/>
      <c r="AN33" s="102"/>
      <c r="AO33" s="102"/>
      <c r="AP33" s="110">
        <f t="shared" si="4"/>
        <v>5703518887</v>
      </c>
      <c r="AR33" s="113"/>
    </row>
    <row r="34" spans="1:44" s="12" customFormat="1" ht="12.75">
      <c r="A34" s="16" t="s">
        <v>96</v>
      </c>
      <c r="B34" s="40" t="s">
        <v>68</v>
      </c>
      <c r="C34" s="111">
        <f>524819661+187541171+72125405+188860000-78200000+223000000+121000000-21000000+250000000+118000000-54147679+2320500+4595136+49000000+38362081+299916418.19+60000000+150000000+7000000+166320+939370-6000000+232884134</f>
        <v>2371182517.19</v>
      </c>
      <c r="D34" s="102">
        <v>384911774</v>
      </c>
      <c r="E34" s="102">
        <v>399392987</v>
      </c>
      <c r="F34" s="102">
        <v>66879267</v>
      </c>
      <c r="G34" s="102">
        <v>605713997</v>
      </c>
      <c r="H34" s="102">
        <v>78934838</v>
      </c>
      <c r="I34" s="102">
        <v>198510315</v>
      </c>
      <c r="J34" s="122">
        <v>379883816</v>
      </c>
      <c r="K34" s="102">
        <v>8332479</v>
      </c>
      <c r="L34" s="102">
        <v>181207612</v>
      </c>
      <c r="M34" s="102"/>
      <c r="N34" s="102"/>
      <c r="O34" s="102"/>
      <c r="P34" s="106">
        <f t="shared" si="2"/>
        <v>2303767085</v>
      </c>
      <c r="Q34" s="102">
        <v>0</v>
      </c>
      <c r="R34" s="102">
        <v>114596368</v>
      </c>
      <c r="S34" s="102">
        <v>266307825</v>
      </c>
      <c r="T34" s="102">
        <v>375805728</v>
      </c>
      <c r="U34" s="102">
        <v>237121482</v>
      </c>
      <c r="V34" s="102">
        <v>292424397</v>
      </c>
      <c r="W34" s="102">
        <v>255469979</v>
      </c>
      <c r="X34" s="102">
        <v>275136373</v>
      </c>
      <c r="Y34" s="102">
        <v>270946150</v>
      </c>
      <c r="Z34" s="102"/>
      <c r="AA34" s="102"/>
      <c r="AB34" s="102"/>
      <c r="AC34" s="106">
        <f t="shared" si="3"/>
        <v>2087808302</v>
      </c>
      <c r="AD34" s="102">
        <v>0</v>
      </c>
      <c r="AE34" s="102">
        <v>114596368</v>
      </c>
      <c r="AF34" s="102">
        <v>260792753</v>
      </c>
      <c r="AG34" s="102">
        <v>379760800</v>
      </c>
      <c r="AH34" s="102">
        <v>238681482</v>
      </c>
      <c r="AI34" s="102">
        <v>292424397</v>
      </c>
      <c r="AJ34" s="102">
        <v>253825949</v>
      </c>
      <c r="AK34" s="102">
        <v>276148372</v>
      </c>
      <c r="AL34" s="102">
        <v>271578181</v>
      </c>
      <c r="AM34" s="102"/>
      <c r="AN34" s="102"/>
      <c r="AO34" s="102"/>
      <c r="AP34" s="110">
        <f t="shared" si="4"/>
        <v>2087808302</v>
      </c>
      <c r="AR34" s="113"/>
    </row>
    <row r="35" spans="1:42" s="12" customFormat="1" ht="12.75">
      <c r="A35" s="16" t="s">
        <v>97</v>
      </c>
      <c r="B35" s="40" t="s">
        <v>98</v>
      </c>
      <c r="C35" s="102">
        <f>5414046210+1325662528-150000000</f>
        <v>6589708738</v>
      </c>
      <c r="D35" s="102">
        <v>409456200</v>
      </c>
      <c r="E35" s="102">
        <v>401814200</v>
      </c>
      <c r="F35" s="102">
        <v>531756400</v>
      </c>
      <c r="G35" s="102">
        <v>413919500</v>
      </c>
      <c r="H35" s="102">
        <v>412538300</v>
      </c>
      <c r="I35" s="102">
        <v>425821600</v>
      </c>
      <c r="J35" s="102">
        <v>582806700</v>
      </c>
      <c r="K35" s="102">
        <v>421969100</v>
      </c>
      <c r="L35" s="102">
        <v>333766607</v>
      </c>
      <c r="M35" s="102"/>
      <c r="N35" s="102"/>
      <c r="O35" s="102"/>
      <c r="P35" s="106">
        <f t="shared" si="2"/>
        <v>3933848607</v>
      </c>
      <c r="Q35" s="102">
        <v>409456200</v>
      </c>
      <c r="R35" s="102">
        <v>401814200</v>
      </c>
      <c r="S35" s="102">
        <v>531756400</v>
      </c>
      <c r="T35" s="102">
        <v>413919500</v>
      </c>
      <c r="U35" s="102">
        <v>412538300</v>
      </c>
      <c r="V35" s="102">
        <v>425821600</v>
      </c>
      <c r="W35" s="102">
        <v>582424500</v>
      </c>
      <c r="X35" s="102">
        <v>372762907</v>
      </c>
      <c r="Y35" s="102">
        <v>383355000</v>
      </c>
      <c r="Z35" s="102"/>
      <c r="AA35" s="102"/>
      <c r="AB35" s="102"/>
      <c r="AC35" s="106">
        <f t="shared" si="3"/>
        <v>3933848607</v>
      </c>
      <c r="AD35" s="102">
        <v>315190000</v>
      </c>
      <c r="AE35" s="102">
        <v>496080400</v>
      </c>
      <c r="AF35" s="102">
        <v>396821105</v>
      </c>
      <c r="AG35" s="102">
        <v>548854795</v>
      </c>
      <c r="AH35" s="102">
        <v>412538300</v>
      </c>
      <c r="AI35" s="102">
        <v>401148600</v>
      </c>
      <c r="AJ35" s="102">
        <v>533161000</v>
      </c>
      <c r="AK35" s="102">
        <v>446699407</v>
      </c>
      <c r="AL35" s="102">
        <v>383355000</v>
      </c>
      <c r="AM35" s="102"/>
      <c r="AN35" s="102"/>
      <c r="AO35" s="102"/>
      <c r="AP35" s="110">
        <f t="shared" si="4"/>
        <v>3933848607</v>
      </c>
    </row>
    <row r="36" spans="1:42" s="12" customFormat="1" ht="12.75">
      <c r="A36" s="16" t="s">
        <v>99</v>
      </c>
      <c r="B36" s="40" t="s">
        <v>69</v>
      </c>
      <c r="C36" s="102">
        <f>4875438162+960341516</f>
        <v>5835779678</v>
      </c>
      <c r="D36" s="102">
        <v>290988954</v>
      </c>
      <c r="E36" s="102">
        <v>375706758</v>
      </c>
      <c r="F36" s="102">
        <v>339877722</v>
      </c>
      <c r="G36" s="102">
        <v>301942455</v>
      </c>
      <c r="H36" s="102">
        <v>303544272</v>
      </c>
      <c r="I36" s="102">
        <v>346770080</v>
      </c>
      <c r="J36" s="102">
        <v>446225600</v>
      </c>
      <c r="K36" s="102">
        <v>364290093</v>
      </c>
      <c r="L36" s="102">
        <v>299174365</v>
      </c>
      <c r="M36" s="102"/>
      <c r="N36" s="102"/>
      <c r="O36" s="102"/>
      <c r="P36" s="106">
        <f t="shared" si="2"/>
        <v>3068520299</v>
      </c>
      <c r="Q36" s="102">
        <v>290988954</v>
      </c>
      <c r="R36" s="102">
        <v>375706758</v>
      </c>
      <c r="S36" s="102">
        <v>163599800</v>
      </c>
      <c r="T36" s="102">
        <v>297698322</v>
      </c>
      <c r="U36" s="102">
        <v>484066327</v>
      </c>
      <c r="V36" s="102">
        <v>346770080</v>
      </c>
      <c r="W36" s="102">
        <v>446101900</v>
      </c>
      <c r="X36" s="102">
        <v>318764994</v>
      </c>
      <c r="Y36" s="102">
        <v>344823164</v>
      </c>
      <c r="Z36" s="102"/>
      <c r="AA36" s="102"/>
      <c r="AB36" s="102"/>
      <c r="AC36" s="106">
        <f t="shared" si="3"/>
        <v>3068520299</v>
      </c>
      <c r="AD36" s="102">
        <v>114066600</v>
      </c>
      <c r="AE36" s="102">
        <v>552629112</v>
      </c>
      <c r="AF36" s="102">
        <v>163599800</v>
      </c>
      <c r="AG36" s="102">
        <v>297698322</v>
      </c>
      <c r="AH36" s="102">
        <v>484066327</v>
      </c>
      <c r="AI36" s="102">
        <v>346770080</v>
      </c>
      <c r="AJ36" s="102">
        <v>337469950</v>
      </c>
      <c r="AK36" s="102">
        <v>427396944</v>
      </c>
      <c r="AL36" s="102">
        <v>344823164</v>
      </c>
      <c r="AM36" s="102"/>
      <c r="AN36" s="102"/>
      <c r="AO36" s="102"/>
      <c r="AP36" s="110">
        <f t="shared" si="4"/>
        <v>3068520299</v>
      </c>
    </row>
    <row r="37" spans="1:42" s="12" customFormat="1" ht="12.75">
      <c r="A37" s="16" t="s">
        <v>100</v>
      </c>
      <c r="B37" s="40" t="s">
        <v>70</v>
      </c>
      <c r="C37" s="102">
        <f>956109379+159094030</f>
        <v>1115203409</v>
      </c>
      <c r="D37" s="102">
        <v>63719300</v>
      </c>
      <c r="E37" s="102">
        <v>63198500</v>
      </c>
      <c r="F37" s="102">
        <v>63601800</v>
      </c>
      <c r="G37" s="102">
        <v>65052000</v>
      </c>
      <c r="H37" s="102">
        <v>65414100</v>
      </c>
      <c r="I37" s="102">
        <v>68350100</v>
      </c>
      <c r="J37" s="102">
        <v>114910200</v>
      </c>
      <c r="K37" s="102">
        <v>67111400</v>
      </c>
      <c r="L37" s="102">
        <v>74948500</v>
      </c>
      <c r="M37" s="102"/>
      <c r="N37" s="102"/>
      <c r="O37" s="102"/>
      <c r="P37" s="106">
        <f t="shared" si="2"/>
        <v>646305900</v>
      </c>
      <c r="Q37" s="102">
        <v>63719300</v>
      </c>
      <c r="R37" s="102">
        <v>63198500</v>
      </c>
      <c r="S37" s="102">
        <v>63601800</v>
      </c>
      <c r="T37" s="102">
        <v>65052000</v>
      </c>
      <c r="U37" s="102">
        <v>65414100</v>
      </c>
      <c r="V37" s="102">
        <v>68350100</v>
      </c>
      <c r="W37" s="102">
        <v>114864200</v>
      </c>
      <c r="X37" s="102">
        <v>67157400</v>
      </c>
      <c r="Y37" s="102">
        <v>74948500</v>
      </c>
      <c r="Z37" s="102"/>
      <c r="AA37" s="102"/>
      <c r="AB37" s="102"/>
      <c r="AC37" s="106">
        <f t="shared" si="3"/>
        <v>646305900</v>
      </c>
      <c r="AD37" s="102">
        <v>490500</v>
      </c>
      <c r="AE37" s="102">
        <v>126427300</v>
      </c>
      <c r="AF37" s="102">
        <v>63601800</v>
      </c>
      <c r="AG37" s="102">
        <v>65052000</v>
      </c>
      <c r="AH37" s="102">
        <v>65414100</v>
      </c>
      <c r="AI37" s="102">
        <v>68350100</v>
      </c>
      <c r="AJ37" s="102">
        <v>103915600</v>
      </c>
      <c r="AK37" s="102">
        <v>78106000</v>
      </c>
      <c r="AL37" s="102">
        <v>74948500</v>
      </c>
      <c r="AM37" s="102"/>
      <c r="AN37" s="102"/>
      <c r="AO37" s="102"/>
      <c r="AP37" s="110">
        <f t="shared" si="4"/>
        <v>646305900</v>
      </c>
    </row>
    <row r="38" spans="1:42" s="12" customFormat="1" ht="12.75">
      <c r="A38" s="16" t="s">
        <v>101</v>
      </c>
      <c r="B38" s="40" t="s">
        <v>71</v>
      </c>
      <c r="C38" s="102">
        <f>159351561+26515674</f>
        <v>185867235</v>
      </c>
      <c r="D38" s="102">
        <v>10623100</v>
      </c>
      <c r="E38" s="102">
        <v>10532800</v>
      </c>
      <c r="F38" s="102">
        <v>10599800</v>
      </c>
      <c r="G38" s="102">
        <v>10841000</v>
      </c>
      <c r="H38" s="102">
        <v>10901300</v>
      </c>
      <c r="I38" s="102">
        <v>11390600</v>
      </c>
      <c r="J38" s="102">
        <v>19171000</v>
      </c>
      <c r="K38" s="102">
        <v>11183400</v>
      </c>
      <c r="L38" s="102">
        <v>12487600</v>
      </c>
      <c r="M38" s="102"/>
      <c r="N38" s="102"/>
      <c r="O38" s="102"/>
      <c r="P38" s="106">
        <f t="shared" si="2"/>
        <v>107730600</v>
      </c>
      <c r="Q38" s="102">
        <v>10623100</v>
      </c>
      <c r="R38" s="102">
        <v>10532800</v>
      </c>
      <c r="S38" s="102">
        <v>10599800</v>
      </c>
      <c r="T38" s="102">
        <v>10841000</v>
      </c>
      <c r="U38" s="102">
        <v>10901300</v>
      </c>
      <c r="V38" s="102">
        <v>11390600</v>
      </c>
      <c r="W38" s="102">
        <v>19163300</v>
      </c>
      <c r="X38" s="102">
        <v>11191100</v>
      </c>
      <c r="Y38" s="102">
        <v>12487600</v>
      </c>
      <c r="Z38" s="102"/>
      <c r="AA38" s="102"/>
      <c r="AB38" s="102"/>
      <c r="AC38" s="106">
        <f t="shared" si="3"/>
        <v>107730600</v>
      </c>
      <c r="AD38" s="102">
        <v>10623100</v>
      </c>
      <c r="AE38" s="102">
        <v>10532800</v>
      </c>
      <c r="AF38" s="102">
        <v>10599800</v>
      </c>
      <c r="AG38" s="102">
        <v>10841000</v>
      </c>
      <c r="AH38" s="102">
        <v>10901300</v>
      </c>
      <c r="AI38" s="102">
        <v>11390600</v>
      </c>
      <c r="AJ38" s="102">
        <v>17314800</v>
      </c>
      <c r="AK38" s="102">
        <v>13039600</v>
      </c>
      <c r="AL38" s="102">
        <v>12487600</v>
      </c>
      <c r="AM38" s="102"/>
      <c r="AN38" s="102"/>
      <c r="AO38" s="102"/>
      <c r="AP38" s="110">
        <f t="shared" si="4"/>
        <v>107730600</v>
      </c>
    </row>
    <row r="39" spans="1:42" s="12" customFormat="1" ht="12.75">
      <c r="A39" s="16" t="s">
        <v>102</v>
      </c>
      <c r="B39" s="40" t="s">
        <v>72</v>
      </c>
      <c r="C39" s="102">
        <f>159351561+26515674</f>
        <v>185867235</v>
      </c>
      <c r="D39" s="102">
        <v>10623100</v>
      </c>
      <c r="E39" s="102">
        <v>10532800</v>
      </c>
      <c r="F39" s="102">
        <v>10599800</v>
      </c>
      <c r="G39" s="102">
        <v>10841000</v>
      </c>
      <c r="H39" s="102">
        <v>10901300</v>
      </c>
      <c r="I39" s="102">
        <v>11390600</v>
      </c>
      <c r="J39" s="102">
        <v>19171000</v>
      </c>
      <c r="K39" s="102">
        <v>11183400</v>
      </c>
      <c r="L39" s="102">
        <v>12487600</v>
      </c>
      <c r="M39" s="102"/>
      <c r="N39" s="102"/>
      <c r="O39" s="102"/>
      <c r="P39" s="106">
        <f t="shared" si="2"/>
        <v>107730600</v>
      </c>
      <c r="Q39" s="102">
        <v>10623100</v>
      </c>
      <c r="R39" s="102">
        <v>10532800</v>
      </c>
      <c r="S39" s="102">
        <v>10599800</v>
      </c>
      <c r="T39" s="102">
        <v>10841000</v>
      </c>
      <c r="U39" s="102">
        <v>10901300</v>
      </c>
      <c r="V39" s="102">
        <v>11390600</v>
      </c>
      <c r="W39" s="102">
        <v>19163300</v>
      </c>
      <c r="X39" s="102">
        <v>11191100</v>
      </c>
      <c r="Y39" s="102">
        <v>12487600</v>
      </c>
      <c r="Z39" s="102"/>
      <c r="AA39" s="102"/>
      <c r="AB39" s="102"/>
      <c r="AC39" s="106">
        <f t="shared" si="3"/>
        <v>107730600</v>
      </c>
      <c r="AD39" s="102">
        <v>10623100</v>
      </c>
      <c r="AE39" s="102">
        <v>10532800</v>
      </c>
      <c r="AF39" s="102">
        <v>10599800</v>
      </c>
      <c r="AG39" s="102">
        <v>10841000</v>
      </c>
      <c r="AH39" s="102">
        <v>10901300</v>
      </c>
      <c r="AI39" s="102">
        <v>2774825</v>
      </c>
      <c r="AJ39" s="102">
        <v>25930575</v>
      </c>
      <c r="AK39" s="102">
        <v>13039600</v>
      </c>
      <c r="AL39" s="102">
        <v>12487600</v>
      </c>
      <c r="AM39" s="102"/>
      <c r="AN39" s="102"/>
      <c r="AO39" s="102"/>
      <c r="AP39" s="110">
        <f t="shared" si="4"/>
        <v>107730600</v>
      </c>
    </row>
    <row r="40" spans="1:42" s="12" customFormat="1" ht="13.5" thickBot="1">
      <c r="A40" s="16" t="s">
        <v>103</v>
      </c>
      <c r="B40" s="40" t="s">
        <v>73</v>
      </c>
      <c r="C40" s="49">
        <f>318703127+53031343</f>
        <v>371734470</v>
      </c>
      <c r="D40" s="49">
        <v>21231900</v>
      </c>
      <c r="E40" s="49">
        <v>21055700</v>
      </c>
      <c r="F40" s="49">
        <v>21189700</v>
      </c>
      <c r="G40" s="49">
        <v>21673300</v>
      </c>
      <c r="H40" s="49">
        <v>21793700</v>
      </c>
      <c r="I40" s="49">
        <v>22768800</v>
      </c>
      <c r="J40" s="49">
        <v>38286400</v>
      </c>
      <c r="K40" s="49">
        <v>22354600</v>
      </c>
      <c r="L40" s="49">
        <v>24970600</v>
      </c>
      <c r="M40" s="49"/>
      <c r="N40" s="49"/>
      <c r="O40" s="49"/>
      <c r="P40" s="45">
        <f t="shared" si="2"/>
        <v>215324700</v>
      </c>
      <c r="Q40" s="49">
        <v>21231900</v>
      </c>
      <c r="R40" s="49">
        <v>21055700</v>
      </c>
      <c r="S40" s="49">
        <v>21189700</v>
      </c>
      <c r="T40" s="49">
        <v>21673300</v>
      </c>
      <c r="U40" s="49">
        <v>21793700</v>
      </c>
      <c r="V40" s="49">
        <v>22768800</v>
      </c>
      <c r="W40" s="49">
        <v>38271100</v>
      </c>
      <c r="X40" s="49">
        <v>22369900</v>
      </c>
      <c r="Y40" s="49">
        <v>24970600</v>
      </c>
      <c r="Z40" s="49"/>
      <c r="AA40" s="49"/>
      <c r="AB40" s="49"/>
      <c r="AC40" s="45">
        <f t="shared" si="3"/>
        <v>215324700</v>
      </c>
      <c r="AD40" s="49">
        <v>163400</v>
      </c>
      <c r="AE40" s="49">
        <v>42124200</v>
      </c>
      <c r="AF40" s="49">
        <v>21189700</v>
      </c>
      <c r="AG40" s="49">
        <v>21673300</v>
      </c>
      <c r="AH40" s="49">
        <v>21793700</v>
      </c>
      <c r="AI40" s="49">
        <v>0</v>
      </c>
      <c r="AJ40" s="49">
        <v>57405600</v>
      </c>
      <c r="AK40" s="49">
        <v>26004200</v>
      </c>
      <c r="AL40" s="49">
        <v>24970600</v>
      </c>
      <c r="AM40" s="49"/>
      <c r="AN40" s="49"/>
      <c r="AO40" s="49"/>
      <c r="AP40" s="108">
        <f t="shared" si="4"/>
        <v>215324700</v>
      </c>
    </row>
    <row r="41" spans="1:44" s="14" customFormat="1" ht="13.5" thickBot="1">
      <c r="A41" s="21"/>
      <c r="B41" s="46" t="s">
        <v>43</v>
      </c>
      <c r="C41" s="47">
        <f>SUM(C43:C54)</f>
        <v>6053600000</v>
      </c>
      <c r="D41" s="117">
        <f>SUM(D42:D54)</f>
        <v>2123256804.88</v>
      </c>
      <c r="E41" s="47">
        <f>SUM(E43:E54)</f>
        <v>747426717.1899999</v>
      </c>
      <c r="F41" s="47">
        <f>SUM(F42:F54)</f>
        <v>98838043.11</v>
      </c>
      <c r="G41" s="47">
        <f>SUM(G42:G54)</f>
        <v>230867194.35</v>
      </c>
      <c r="H41" s="47">
        <f>SUM(H42:H54)</f>
        <v>165684501.93</v>
      </c>
      <c r="I41" s="47">
        <f>SUM(I45:I54)</f>
        <v>184560048.16</v>
      </c>
      <c r="J41" s="47">
        <f>SUM(J45:J54)</f>
        <v>139592416.99</v>
      </c>
      <c r="K41" s="47">
        <f>SUM(K42:K54)</f>
        <v>361369902.03</v>
      </c>
      <c r="L41" s="47">
        <f>SUM(L42:L54)</f>
        <v>838977480.54</v>
      </c>
      <c r="M41" s="47">
        <f>SUM(M43:M54)</f>
        <v>0</v>
      </c>
      <c r="N41" s="47">
        <f>SUM(N42:N54)</f>
        <v>0</v>
      </c>
      <c r="O41" s="47">
        <f>SUM(O42:O54)</f>
        <v>0</v>
      </c>
      <c r="P41" s="47">
        <f>SUM(P43:P54)</f>
        <v>4890573109.179999</v>
      </c>
      <c r="Q41" s="47">
        <f>SUM(Q42:Q54)</f>
        <v>48061908.88</v>
      </c>
      <c r="R41" s="47">
        <f>SUM(R42:R54)</f>
        <v>695570508.1899999</v>
      </c>
      <c r="S41" s="47">
        <f>SUM(S42:S54)</f>
        <v>278855558.11</v>
      </c>
      <c r="T41" s="47">
        <f>SUM(T42:T54)</f>
        <v>351308799.35</v>
      </c>
      <c r="U41" s="47">
        <f>SUM(U42:U54)</f>
        <v>263607225.93</v>
      </c>
      <c r="V41" s="47">
        <f>SUM(V45:V54)</f>
        <v>380816540.26</v>
      </c>
      <c r="W41" s="47">
        <f>SUM(W45:W54)</f>
        <v>478165713.89</v>
      </c>
      <c r="X41" s="47">
        <f>SUM(X42:X54)</f>
        <v>368654663.03</v>
      </c>
      <c r="Y41" s="47">
        <f>SUM(Y42:Y54)</f>
        <v>426100346.54</v>
      </c>
      <c r="Z41" s="47">
        <f>SUM(Z43:Z54)</f>
        <v>0</v>
      </c>
      <c r="AA41" s="47">
        <f>SUM(AA42:AA54)</f>
        <v>0</v>
      </c>
      <c r="AB41" s="47">
        <f>SUM(AB42:AB54)</f>
        <v>0</v>
      </c>
      <c r="AC41" s="47">
        <f>SUM(AC43:AC54)</f>
        <v>3291141264.1800003</v>
      </c>
      <c r="AD41" s="47">
        <f>SUM(AD42:AD54)</f>
        <v>46199713.88</v>
      </c>
      <c r="AE41" s="47">
        <f>SUM(AE42:AE54)</f>
        <v>691121413.1899999</v>
      </c>
      <c r="AF41" s="47">
        <f>SUM(AF42:AF54)</f>
        <v>284010699.11</v>
      </c>
      <c r="AG41" s="47">
        <f>SUM(AG42:AG54)</f>
        <v>351843268.35</v>
      </c>
      <c r="AH41" s="47">
        <f>SUM(AH42:AH54)</f>
        <v>264228905.93</v>
      </c>
      <c r="AI41" s="47">
        <f>SUM(AI45:AI54)</f>
        <v>380491873.26</v>
      </c>
      <c r="AJ41" s="47">
        <f>SUM(AJ45:AJ54)</f>
        <v>469553988.89</v>
      </c>
      <c r="AK41" s="47">
        <f>SUM(AK42:AK54)</f>
        <v>377591055.03</v>
      </c>
      <c r="AL41" s="47">
        <f>SUM(AL42:AL54)</f>
        <v>425223725.54</v>
      </c>
      <c r="AM41" s="47">
        <f>SUM(AM43:AM54)</f>
        <v>0</v>
      </c>
      <c r="AN41" s="47">
        <f>SUM(AN42:AN54)</f>
        <v>0</v>
      </c>
      <c r="AO41" s="47">
        <f>SUM(AO42:AO54)</f>
        <v>0</v>
      </c>
      <c r="AP41" s="37">
        <f>SUM(AP43:AP54)</f>
        <v>3290264643.1800003</v>
      </c>
      <c r="AQ41" s="113"/>
      <c r="AR41" s="12"/>
    </row>
    <row r="42" spans="1:43" s="12" customFormat="1" ht="13.5" hidden="1" thickBot="1">
      <c r="A42" s="16" t="s">
        <v>139</v>
      </c>
      <c r="B42" s="48" t="s">
        <v>140</v>
      </c>
      <c r="C42" s="102">
        <v>0</v>
      </c>
      <c r="D42" s="102">
        <v>0</v>
      </c>
      <c r="E42" s="102"/>
      <c r="F42" s="105">
        <v>0</v>
      </c>
      <c r="G42" s="105">
        <v>0</v>
      </c>
      <c r="H42" s="102">
        <v>0</v>
      </c>
      <c r="I42" s="105">
        <v>0</v>
      </c>
      <c r="J42" s="105"/>
      <c r="K42" s="105"/>
      <c r="L42" s="105"/>
      <c r="M42" s="105"/>
      <c r="N42" s="105"/>
      <c r="O42" s="105"/>
      <c r="P42" s="71">
        <f t="shared" si="2"/>
        <v>0</v>
      </c>
      <c r="Q42" s="105">
        <v>0</v>
      </c>
      <c r="R42" s="102"/>
      <c r="S42" s="102">
        <v>0</v>
      </c>
      <c r="T42" s="105">
        <v>0</v>
      </c>
      <c r="U42" s="102">
        <v>0</v>
      </c>
      <c r="V42" s="105">
        <v>0</v>
      </c>
      <c r="W42" s="102"/>
      <c r="X42" s="102"/>
      <c r="Y42" s="102"/>
      <c r="Z42" s="102"/>
      <c r="AA42" s="102"/>
      <c r="AB42" s="105"/>
      <c r="AC42" s="106">
        <f aca="true" t="shared" si="5" ref="AC42:AC54">SUM(Q42:AB42)</f>
        <v>0</v>
      </c>
      <c r="AD42" s="105">
        <v>0</v>
      </c>
      <c r="AE42" s="105"/>
      <c r="AF42" s="105">
        <v>0</v>
      </c>
      <c r="AG42" s="105">
        <v>0</v>
      </c>
      <c r="AH42" s="102">
        <v>0</v>
      </c>
      <c r="AI42" s="105">
        <v>0</v>
      </c>
      <c r="AJ42" s="105"/>
      <c r="AK42" s="105"/>
      <c r="AL42" s="105"/>
      <c r="AM42" s="105"/>
      <c r="AN42" s="105"/>
      <c r="AO42" s="102"/>
      <c r="AP42" s="106">
        <f>SUM(AD42:AO42)</f>
        <v>0</v>
      </c>
      <c r="AQ42" s="113"/>
    </row>
    <row r="43" spans="1:43" s="12" customFormat="1" ht="12.75">
      <c r="A43" s="16" t="s">
        <v>153</v>
      </c>
      <c r="B43" s="48" t="s">
        <v>140</v>
      </c>
      <c r="C43" s="102">
        <f>1000000000-98000000-116500000-10000000-3459963-22000000-727500000+22000000</f>
        <v>44540037</v>
      </c>
      <c r="D43" s="102">
        <v>0</v>
      </c>
      <c r="E43" s="102">
        <v>0</v>
      </c>
      <c r="F43" s="102">
        <v>0</v>
      </c>
      <c r="G43" s="102">
        <v>0</v>
      </c>
      <c r="H43" s="102">
        <v>0</v>
      </c>
      <c r="I43" s="102">
        <v>0</v>
      </c>
      <c r="J43" s="102">
        <v>0</v>
      </c>
      <c r="K43" s="102">
        <v>383123.64</v>
      </c>
      <c r="L43" s="102">
        <v>0</v>
      </c>
      <c r="M43" s="105"/>
      <c r="N43" s="102"/>
      <c r="O43" s="105"/>
      <c r="P43" s="71">
        <f>SUM(D43:O43)</f>
        <v>383123.64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383123.64</v>
      </c>
      <c r="Y43" s="102">
        <v>0</v>
      </c>
      <c r="Z43" s="102"/>
      <c r="AA43" s="102"/>
      <c r="AB43" s="105"/>
      <c r="AC43" s="71">
        <f>SUM(Q43:AB43)</f>
        <v>383123.64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5">
        <v>0</v>
      </c>
      <c r="AJ43" s="102">
        <v>0</v>
      </c>
      <c r="AK43" s="71">
        <f>SUM(Y43:AJ43)</f>
        <v>383123.64</v>
      </c>
      <c r="AL43" s="102">
        <v>0</v>
      </c>
      <c r="AM43" s="102"/>
      <c r="AN43" s="105"/>
      <c r="AO43" s="102"/>
      <c r="AP43" s="72">
        <f>SUM(AD43:AO43)</f>
        <v>383123.64</v>
      </c>
      <c r="AQ43" s="113"/>
    </row>
    <row r="44" spans="1:43" s="12" customFormat="1" ht="12.75">
      <c r="A44" s="16" t="s">
        <v>218</v>
      </c>
      <c r="B44" s="48" t="s">
        <v>219</v>
      </c>
      <c r="C44" s="102">
        <v>3000000</v>
      </c>
      <c r="D44" s="102"/>
      <c r="E44" s="102"/>
      <c r="F44" s="102"/>
      <c r="G44" s="102"/>
      <c r="H44" s="102"/>
      <c r="I44" s="102">
        <v>0</v>
      </c>
      <c r="J44" s="102">
        <v>0</v>
      </c>
      <c r="K44" s="102">
        <v>0</v>
      </c>
      <c r="L44" s="102">
        <v>0</v>
      </c>
      <c r="M44" s="102"/>
      <c r="N44" s="102"/>
      <c r="O44" s="102"/>
      <c r="P44" s="106">
        <f>SUM(D44:O44)</f>
        <v>0</v>
      </c>
      <c r="Q44" s="102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/>
      <c r="AA44" s="102"/>
      <c r="AB44" s="102"/>
      <c r="AC44" s="106">
        <f>SUM(Q44:AB44)</f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0</v>
      </c>
      <c r="AJ44" s="102">
        <v>0</v>
      </c>
      <c r="AK44" s="102">
        <v>0</v>
      </c>
      <c r="AL44" s="102">
        <v>0</v>
      </c>
      <c r="AM44" s="102"/>
      <c r="AN44" s="102"/>
      <c r="AO44" s="102"/>
      <c r="AP44" s="110">
        <f>SUM(AD44:AO44)</f>
        <v>0</v>
      </c>
      <c r="AQ44" s="113"/>
    </row>
    <row r="45" spans="1:43" s="12" customFormat="1" ht="13.5" customHeight="1">
      <c r="A45" s="16" t="s">
        <v>128</v>
      </c>
      <c r="B45" s="48" t="s">
        <v>106</v>
      </c>
      <c r="C45" s="111">
        <f>134200000+19000000+39000000-303</f>
        <v>192199697</v>
      </c>
      <c r="D45" s="102">
        <v>0</v>
      </c>
      <c r="E45" s="102">
        <v>3900000</v>
      </c>
      <c r="F45" s="102">
        <v>11425923</v>
      </c>
      <c r="G45" s="102">
        <v>0</v>
      </c>
      <c r="H45" s="102">
        <v>2118573</v>
      </c>
      <c r="I45" s="102">
        <v>321500</v>
      </c>
      <c r="J45" s="102">
        <v>6507166</v>
      </c>
      <c r="K45" s="102">
        <v>33628645</v>
      </c>
      <c r="L45" s="102">
        <v>1450234</v>
      </c>
      <c r="M45" s="102"/>
      <c r="N45" s="102"/>
      <c r="O45" s="102"/>
      <c r="P45" s="106">
        <f t="shared" si="2"/>
        <v>59352041</v>
      </c>
      <c r="Q45" s="102">
        <v>0</v>
      </c>
      <c r="R45" s="106">
        <v>3900000</v>
      </c>
      <c r="S45" s="102">
        <v>4999890</v>
      </c>
      <c r="T45" s="102">
        <v>4396033</v>
      </c>
      <c r="U45" s="102">
        <v>4148573</v>
      </c>
      <c r="V45" s="102">
        <v>321500</v>
      </c>
      <c r="W45" s="102">
        <v>603664</v>
      </c>
      <c r="X45" s="102">
        <v>9225647</v>
      </c>
      <c r="Y45" s="102">
        <v>4773470</v>
      </c>
      <c r="Z45" s="102"/>
      <c r="AA45" s="102"/>
      <c r="AB45" s="102"/>
      <c r="AC45" s="106">
        <f>SUM(Q45:AB45)</f>
        <v>32368777</v>
      </c>
      <c r="AD45" s="102">
        <v>0</v>
      </c>
      <c r="AE45" s="106">
        <v>3900000</v>
      </c>
      <c r="AF45" s="102">
        <v>4999890</v>
      </c>
      <c r="AG45" s="102">
        <v>4396033</v>
      </c>
      <c r="AH45" s="102">
        <v>4148573</v>
      </c>
      <c r="AI45" s="102">
        <v>321500</v>
      </c>
      <c r="AJ45" s="102">
        <v>603664</v>
      </c>
      <c r="AK45" s="102">
        <v>9225647</v>
      </c>
      <c r="AL45" s="102">
        <v>4773470</v>
      </c>
      <c r="AM45" s="102"/>
      <c r="AN45" s="105"/>
      <c r="AO45" s="105"/>
      <c r="AP45" s="110">
        <f aca="true" t="shared" si="6" ref="AP45:AP54">SUM(AD45:AO45)</f>
        <v>32368777</v>
      </c>
      <c r="AQ45" s="113"/>
    </row>
    <row r="46" spans="1:43" s="12" customFormat="1" ht="12.75">
      <c r="A46" s="16" t="s">
        <v>111</v>
      </c>
      <c r="B46" s="48" t="s">
        <v>107</v>
      </c>
      <c r="C46" s="102">
        <f>2154795451-20070000-65056161+12000000-210000000+3500000-26200+3459963-1040000+727500000</f>
        <v>2605063053</v>
      </c>
      <c r="D46" s="102">
        <v>1471103480</v>
      </c>
      <c r="E46" s="102">
        <v>16149354</v>
      </c>
      <c r="F46" s="102">
        <v>9402075</v>
      </c>
      <c r="G46" s="102">
        <v>146338234</v>
      </c>
      <c r="H46" s="102">
        <v>29748800</v>
      </c>
      <c r="I46" s="102">
        <v>33728992</v>
      </c>
      <c r="J46" s="102">
        <v>0</v>
      </c>
      <c r="K46" s="102">
        <v>3419948</v>
      </c>
      <c r="L46" s="102">
        <v>704680886</v>
      </c>
      <c r="M46" s="102"/>
      <c r="N46" s="102"/>
      <c r="O46" s="102"/>
      <c r="P46" s="106">
        <f t="shared" si="2"/>
        <v>2414571769</v>
      </c>
      <c r="Q46" s="102">
        <v>0</v>
      </c>
      <c r="R46" s="102">
        <v>126000063</v>
      </c>
      <c r="S46" s="102">
        <v>125273713</v>
      </c>
      <c r="T46" s="102">
        <v>200753676</v>
      </c>
      <c r="U46" s="102">
        <v>99011607</v>
      </c>
      <c r="V46" s="102">
        <v>144982400</v>
      </c>
      <c r="W46" s="102">
        <v>266288871</v>
      </c>
      <c r="X46" s="102">
        <v>96234284</v>
      </c>
      <c r="Y46" s="102">
        <v>178481336</v>
      </c>
      <c r="Z46" s="102"/>
      <c r="AA46" s="102"/>
      <c r="AB46" s="102"/>
      <c r="AC46" s="106">
        <f t="shared" si="5"/>
        <v>1237025950</v>
      </c>
      <c r="AD46" s="102">
        <v>0</v>
      </c>
      <c r="AE46" s="102">
        <v>126000063</v>
      </c>
      <c r="AF46" s="102">
        <v>125273713</v>
      </c>
      <c r="AG46" s="102">
        <v>200753676</v>
      </c>
      <c r="AH46" s="102">
        <v>99011607</v>
      </c>
      <c r="AI46" s="102">
        <v>144982400</v>
      </c>
      <c r="AJ46" s="102">
        <v>265852479</v>
      </c>
      <c r="AK46" s="102">
        <v>96670676</v>
      </c>
      <c r="AL46" s="102">
        <v>178481336</v>
      </c>
      <c r="AM46" s="102"/>
      <c r="AN46" s="102"/>
      <c r="AO46" s="105"/>
      <c r="AP46" s="110">
        <f t="shared" si="6"/>
        <v>1237025950</v>
      </c>
      <c r="AQ46" s="113"/>
    </row>
    <row r="47" spans="1:43" s="12" customFormat="1" ht="12.75">
      <c r="A47" s="16" t="s">
        <v>215</v>
      </c>
      <c r="B47" s="48" t="s">
        <v>217</v>
      </c>
      <c r="C47" s="102">
        <f>11958460+98000000+14500000+3000000</f>
        <v>127458460</v>
      </c>
      <c r="D47" s="102">
        <v>0</v>
      </c>
      <c r="E47" s="102">
        <v>0</v>
      </c>
      <c r="F47" s="102">
        <v>0</v>
      </c>
      <c r="G47" s="102">
        <v>0</v>
      </c>
      <c r="H47" s="102">
        <v>156420</v>
      </c>
      <c r="I47" s="102">
        <v>46732.47</v>
      </c>
      <c r="J47" s="102">
        <v>4963383.27</v>
      </c>
      <c r="K47" s="102">
        <v>113274099.44</v>
      </c>
      <c r="L47" s="102">
        <v>2760336.36</v>
      </c>
      <c r="M47" s="102"/>
      <c r="N47" s="102"/>
      <c r="O47" s="102"/>
      <c r="P47" s="106">
        <f>SUM(D47:O47)</f>
        <v>121200971.53999999</v>
      </c>
      <c r="Q47" s="102">
        <v>0</v>
      </c>
      <c r="R47" s="106">
        <v>0</v>
      </c>
      <c r="S47" s="102">
        <v>0</v>
      </c>
      <c r="T47" s="102">
        <v>0</v>
      </c>
      <c r="U47" s="102">
        <v>0</v>
      </c>
      <c r="V47" s="102">
        <v>203152.47</v>
      </c>
      <c r="W47" s="102">
        <v>2223383.27</v>
      </c>
      <c r="X47" s="102">
        <v>774099.44</v>
      </c>
      <c r="Y47" s="102">
        <v>2760336.36</v>
      </c>
      <c r="Z47" s="102"/>
      <c r="AA47" s="102"/>
      <c r="AB47" s="102"/>
      <c r="AC47" s="106">
        <f>SUM(Q47:AB47)</f>
        <v>5960971.54</v>
      </c>
      <c r="AD47" s="102">
        <v>0</v>
      </c>
      <c r="AE47" s="106">
        <v>0</v>
      </c>
      <c r="AF47" s="102">
        <v>0</v>
      </c>
      <c r="AG47" s="102">
        <v>0</v>
      </c>
      <c r="AH47" s="102">
        <v>0</v>
      </c>
      <c r="AI47" s="102">
        <v>203152.47</v>
      </c>
      <c r="AJ47" s="102">
        <v>2223383.27</v>
      </c>
      <c r="AK47" s="102">
        <v>774099.44</v>
      </c>
      <c r="AL47" s="102">
        <v>2760336.36</v>
      </c>
      <c r="AM47" s="102"/>
      <c r="AN47" s="102"/>
      <c r="AO47" s="105"/>
      <c r="AP47" s="110">
        <f>SUM(AD47:AO47)</f>
        <v>5960971.54</v>
      </c>
      <c r="AQ47" s="113"/>
    </row>
    <row r="48" spans="1:42" s="12" customFormat="1" ht="12.75">
      <c r="A48" s="16" t="s">
        <v>130</v>
      </c>
      <c r="B48" s="48" t="s">
        <v>129</v>
      </c>
      <c r="C48" s="102">
        <v>1000000</v>
      </c>
      <c r="D48" s="102">
        <v>0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2"/>
      <c r="N48" s="102"/>
      <c r="O48" s="102"/>
      <c r="P48" s="106">
        <f>SUM(D48:O48)</f>
        <v>0</v>
      </c>
      <c r="Q48" s="102">
        <v>0</v>
      </c>
      <c r="R48" s="106">
        <v>0</v>
      </c>
      <c r="S48" s="102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/>
      <c r="AA48" s="102"/>
      <c r="AB48" s="102"/>
      <c r="AC48" s="106">
        <f>SUM(Q48:AB48)</f>
        <v>0</v>
      </c>
      <c r="AD48" s="102">
        <v>0</v>
      </c>
      <c r="AE48" s="106">
        <v>0</v>
      </c>
      <c r="AF48" s="102">
        <v>0</v>
      </c>
      <c r="AG48" s="102">
        <v>0</v>
      </c>
      <c r="AH48" s="102">
        <v>0</v>
      </c>
      <c r="AI48" s="102">
        <v>0</v>
      </c>
      <c r="AJ48" s="102">
        <v>0</v>
      </c>
      <c r="AK48" s="102">
        <v>0</v>
      </c>
      <c r="AL48" s="102">
        <v>0</v>
      </c>
      <c r="AM48" s="102"/>
      <c r="AN48" s="102"/>
      <c r="AO48" s="105"/>
      <c r="AP48" s="110">
        <f>SUM(AD48:AO48)</f>
        <v>0</v>
      </c>
    </row>
    <row r="49" spans="1:42" s="12" customFormat="1" ht="12.75">
      <c r="A49" s="16" t="s">
        <v>112</v>
      </c>
      <c r="B49" s="48" t="s">
        <v>108</v>
      </c>
      <c r="C49" s="102">
        <f>1489076360-25463460-51166999+26503</f>
        <v>1412472404</v>
      </c>
      <c r="D49" s="102">
        <v>46694083.88</v>
      </c>
      <c r="E49" s="106">
        <v>58073218.79</v>
      </c>
      <c r="F49" s="102">
        <v>48018370.11</v>
      </c>
      <c r="G49" s="102">
        <v>59876752.35</v>
      </c>
      <c r="H49" s="102">
        <v>62133754.93</v>
      </c>
      <c r="I49" s="102">
        <v>100889495.69</v>
      </c>
      <c r="J49" s="102">
        <v>100284941.72</v>
      </c>
      <c r="K49" s="102">
        <v>107822360.95</v>
      </c>
      <c r="L49" s="102">
        <v>119193088.18</v>
      </c>
      <c r="M49" s="102"/>
      <c r="N49" s="102"/>
      <c r="O49" s="102"/>
      <c r="P49" s="106">
        <f t="shared" si="2"/>
        <v>702986066.6000001</v>
      </c>
      <c r="Q49" s="102">
        <v>46694083.88</v>
      </c>
      <c r="R49" s="106">
        <v>53226448.79</v>
      </c>
      <c r="S49" s="102">
        <v>52865140.11</v>
      </c>
      <c r="T49" s="102">
        <v>59870042.35</v>
      </c>
      <c r="U49" s="102">
        <v>55803003.93</v>
      </c>
      <c r="V49" s="102">
        <v>105148037.79</v>
      </c>
      <c r="W49" s="102">
        <v>101877686.62</v>
      </c>
      <c r="X49" s="102">
        <v>107823693.95</v>
      </c>
      <c r="Y49" s="102">
        <v>118252704.18</v>
      </c>
      <c r="Z49" s="102"/>
      <c r="AA49" s="102"/>
      <c r="AB49" s="102"/>
      <c r="AC49" s="106">
        <f t="shared" si="5"/>
        <v>701560841.6000001</v>
      </c>
      <c r="AD49" s="102">
        <v>46199713.88</v>
      </c>
      <c r="AE49" s="106">
        <v>53720818.79</v>
      </c>
      <c r="AF49" s="102">
        <v>52865140.11</v>
      </c>
      <c r="AG49" s="102">
        <v>59248362.35</v>
      </c>
      <c r="AH49" s="102">
        <v>56424683.93</v>
      </c>
      <c r="AI49" s="102">
        <v>105148037.79</v>
      </c>
      <c r="AJ49" s="102">
        <v>101877686.62</v>
      </c>
      <c r="AK49" s="102">
        <v>107823693.95</v>
      </c>
      <c r="AL49" s="102">
        <v>118252704.18</v>
      </c>
      <c r="AM49" s="102"/>
      <c r="AN49" s="102"/>
      <c r="AO49" s="105"/>
      <c r="AP49" s="110">
        <f t="shared" si="6"/>
        <v>701560841.6000001</v>
      </c>
    </row>
    <row r="50" spans="1:42" s="12" customFormat="1" ht="12.75">
      <c r="A50" s="16" t="s">
        <v>113</v>
      </c>
      <c r="B50" s="48" t="s">
        <v>109</v>
      </c>
      <c r="C50" s="102">
        <f>425000000+12166999</f>
        <v>437166999</v>
      </c>
      <c r="D50" s="102">
        <v>420030780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17136219</v>
      </c>
      <c r="L50" s="102">
        <v>0</v>
      </c>
      <c r="M50" s="102"/>
      <c r="N50" s="102"/>
      <c r="O50" s="102"/>
      <c r="P50" s="106">
        <f t="shared" si="2"/>
        <v>437166999</v>
      </c>
      <c r="Q50" s="102">
        <v>0</v>
      </c>
      <c r="R50" s="106">
        <v>420030779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17136219</v>
      </c>
      <c r="Z50" s="102"/>
      <c r="AA50" s="102"/>
      <c r="AB50" s="102"/>
      <c r="AC50" s="106">
        <f t="shared" si="5"/>
        <v>437166998</v>
      </c>
      <c r="AD50" s="102">
        <v>0</v>
      </c>
      <c r="AE50" s="106">
        <v>420030779</v>
      </c>
      <c r="AF50" s="102">
        <v>0</v>
      </c>
      <c r="AG50" s="102">
        <v>0</v>
      </c>
      <c r="AH50" s="102">
        <v>0</v>
      </c>
      <c r="AI50" s="102">
        <v>0</v>
      </c>
      <c r="AJ50" s="102">
        <v>0</v>
      </c>
      <c r="AK50" s="102">
        <v>0</v>
      </c>
      <c r="AL50" s="102">
        <v>17136219</v>
      </c>
      <c r="AM50" s="102"/>
      <c r="AN50" s="102"/>
      <c r="AO50" s="105"/>
      <c r="AP50" s="110">
        <f t="shared" si="6"/>
        <v>437166998</v>
      </c>
    </row>
    <row r="51" spans="1:42" s="12" customFormat="1" ht="12.75">
      <c r="A51" s="16" t="s">
        <v>110</v>
      </c>
      <c r="B51" s="48" t="s">
        <v>105</v>
      </c>
      <c r="C51" s="102">
        <f>936181725+20070000+65056161+1505000-3000000+6500000+1040000</f>
        <v>1027352886</v>
      </c>
      <c r="D51" s="102">
        <v>179730491</v>
      </c>
      <c r="E51" s="102">
        <v>637639138.4</v>
      </c>
      <c r="F51" s="102">
        <v>24604750</v>
      </c>
      <c r="G51" s="102">
        <v>16914187</v>
      </c>
      <c r="H51" s="102">
        <v>64372650</v>
      </c>
      <c r="I51" s="102">
        <v>7615232</v>
      </c>
      <c r="J51" s="102">
        <v>23450</v>
      </c>
      <c r="K51" s="102">
        <v>61382616</v>
      </c>
      <c r="L51" s="102">
        <v>3383090</v>
      </c>
      <c r="M51" s="102"/>
      <c r="N51" s="102"/>
      <c r="O51" s="102"/>
      <c r="P51" s="106">
        <f t="shared" si="2"/>
        <v>995665604.4</v>
      </c>
      <c r="Q51" s="102">
        <v>0</v>
      </c>
      <c r="R51" s="102">
        <v>71527208.4</v>
      </c>
      <c r="S51" s="102">
        <v>87120748</v>
      </c>
      <c r="T51" s="102">
        <v>78551027</v>
      </c>
      <c r="U51" s="102">
        <v>100148362</v>
      </c>
      <c r="V51" s="102">
        <v>118771924</v>
      </c>
      <c r="W51" s="102">
        <v>93980540</v>
      </c>
      <c r="X51" s="102">
        <v>89549693</v>
      </c>
      <c r="Y51" s="102">
        <v>82736779</v>
      </c>
      <c r="Z51" s="102"/>
      <c r="AA51" s="102"/>
      <c r="AB51" s="102"/>
      <c r="AC51" s="106">
        <f t="shared" si="5"/>
        <v>722386281.4</v>
      </c>
      <c r="AD51" s="102">
        <v>0</v>
      </c>
      <c r="AE51" s="102">
        <v>71527208.4</v>
      </c>
      <c r="AF51" s="102">
        <v>87120748</v>
      </c>
      <c r="AG51" s="102">
        <v>78551027</v>
      </c>
      <c r="AH51" s="102">
        <v>100148362</v>
      </c>
      <c r="AI51" s="102">
        <v>118771924</v>
      </c>
      <c r="AJ51" s="102">
        <v>93980540</v>
      </c>
      <c r="AK51" s="102">
        <v>89549693</v>
      </c>
      <c r="AL51" s="102">
        <v>82736779</v>
      </c>
      <c r="AM51" s="102"/>
      <c r="AN51" s="102"/>
      <c r="AO51" s="105"/>
      <c r="AP51" s="110">
        <f t="shared" si="6"/>
        <v>722386281.4</v>
      </c>
    </row>
    <row r="52" spans="1:42" s="12" customFormat="1" ht="12.75">
      <c r="A52" s="16" t="s">
        <v>142</v>
      </c>
      <c r="B52" s="48" t="s">
        <v>141</v>
      </c>
      <c r="C52" s="102">
        <f>58304408+80000000</f>
        <v>138304408</v>
      </c>
      <c r="D52" s="102">
        <v>5697970</v>
      </c>
      <c r="E52" s="102">
        <v>31665006</v>
      </c>
      <c r="F52" s="102">
        <v>5386925</v>
      </c>
      <c r="G52" s="102">
        <v>7738021</v>
      </c>
      <c r="H52" s="102">
        <v>7154304</v>
      </c>
      <c r="I52" s="102">
        <v>41958096</v>
      </c>
      <c r="J52" s="102">
        <v>1972508</v>
      </c>
      <c r="K52" s="102">
        <v>13372490</v>
      </c>
      <c r="L52" s="102">
        <v>7509846</v>
      </c>
      <c r="M52" s="102"/>
      <c r="N52" s="102"/>
      <c r="O52" s="102"/>
      <c r="P52" s="106">
        <f>SUM(D52:O52)</f>
        <v>122455166</v>
      </c>
      <c r="Q52" s="102">
        <v>1367825</v>
      </c>
      <c r="R52" s="102">
        <v>20886009</v>
      </c>
      <c r="S52" s="102">
        <v>8596067</v>
      </c>
      <c r="T52" s="102">
        <v>7738021</v>
      </c>
      <c r="U52" s="102">
        <v>4495680</v>
      </c>
      <c r="V52" s="102">
        <v>11389526</v>
      </c>
      <c r="W52" s="102">
        <v>13191569</v>
      </c>
      <c r="X52" s="102">
        <v>38823154</v>
      </c>
      <c r="Y52" s="102">
        <v>11009102</v>
      </c>
      <c r="Z52" s="102"/>
      <c r="AA52" s="102"/>
      <c r="AB52" s="102"/>
      <c r="AC52" s="106">
        <f>SUM(Q52:AB52)</f>
        <v>117496953</v>
      </c>
      <c r="AD52" s="102">
        <v>0</v>
      </c>
      <c r="AE52" s="102">
        <v>15942544</v>
      </c>
      <c r="AF52" s="102">
        <v>13751208</v>
      </c>
      <c r="AG52" s="102">
        <v>8894170</v>
      </c>
      <c r="AH52" s="102">
        <v>4495680</v>
      </c>
      <c r="AI52" s="102">
        <v>11064859</v>
      </c>
      <c r="AJ52" s="102">
        <v>5016236</v>
      </c>
      <c r="AK52" s="102">
        <v>47323154</v>
      </c>
      <c r="AL52" s="102">
        <v>10132481</v>
      </c>
      <c r="AM52" s="102"/>
      <c r="AN52" s="102"/>
      <c r="AO52" s="105"/>
      <c r="AP52" s="110">
        <f>SUM(AD52:AO52)</f>
        <v>116620332</v>
      </c>
    </row>
    <row r="53" spans="1:42" s="12" customFormat="1" ht="12.75">
      <c r="A53" s="16" t="s">
        <v>132</v>
      </c>
      <c r="B53" s="48" t="s">
        <v>133</v>
      </c>
      <c r="C53" s="102">
        <v>54042056</v>
      </c>
      <c r="D53" s="102">
        <v>0</v>
      </c>
      <c r="E53" s="102">
        <v>0</v>
      </c>
      <c r="F53" s="102">
        <v>0</v>
      </c>
      <c r="G53" s="102">
        <v>0</v>
      </c>
      <c r="H53" s="102">
        <v>0</v>
      </c>
      <c r="I53" s="102">
        <v>0</v>
      </c>
      <c r="J53" s="102">
        <v>25840968</v>
      </c>
      <c r="K53" s="102">
        <v>0</v>
      </c>
      <c r="L53" s="102">
        <v>0</v>
      </c>
      <c r="M53" s="102"/>
      <c r="N53" s="102"/>
      <c r="O53" s="102"/>
      <c r="P53" s="106">
        <f t="shared" si="2"/>
        <v>25840968</v>
      </c>
      <c r="Q53" s="102">
        <v>0</v>
      </c>
      <c r="R53" s="106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25840968</v>
      </c>
      <c r="Y53" s="102">
        <v>0</v>
      </c>
      <c r="Z53" s="102"/>
      <c r="AA53" s="102"/>
      <c r="AB53" s="102"/>
      <c r="AC53" s="106">
        <f t="shared" si="5"/>
        <v>25840968</v>
      </c>
      <c r="AD53" s="102">
        <v>0</v>
      </c>
      <c r="AE53" s="106">
        <v>0</v>
      </c>
      <c r="AF53" s="102">
        <v>0</v>
      </c>
      <c r="AG53" s="102">
        <v>0</v>
      </c>
      <c r="AH53" s="102">
        <v>0</v>
      </c>
      <c r="AI53" s="102">
        <v>0</v>
      </c>
      <c r="AJ53" s="102">
        <v>0</v>
      </c>
      <c r="AK53" s="102">
        <v>25840968</v>
      </c>
      <c r="AL53" s="102">
        <v>0</v>
      </c>
      <c r="AM53" s="102"/>
      <c r="AN53" s="102"/>
      <c r="AO53" s="105"/>
      <c r="AP53" s="110">
        <f t="shared" si="6"/>
        <v>25840968</v>
      </c>
    </row>
    <row r="54" spans="1:42" s="12" customFormat="1" ht="13.5" thickBot="1">
      <c r="A54" s="16" t="s">
        <v>120</v>
      </c>
      <c r="B54" s="48" t="s">
        <v>119</v>
      </c>
      <c r="C54" s="49">
        <v>11000000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10950400</v>
      </c>
      <c r="L54" s="49">
        <v>0</v>
      </c>
      <c r="M54" s="49"/>
      <c r="N54" s="49"/>
      <c r="O54" s="49"/>
      <c r="P54" s="45">
        <f t="shared" si="2"/>
        <v>10950400</v>
      </c>
      <c r="Q54" s="49">
        <v>0</v>
      </c>
      <c r="R54" s="50">
        <v>0</v>
      </c>
      <c r="S54" s="49">
        <v>0</v>
      </c>
      <c r="T54" s="49">
        <v>0</v>
      </c>
      <c r="U54" s="49">
        <v>0</v>
      </c>
      <c r="V54" s="49">
        <v>0</v>
      </c>
      <c r="W54" s="49">
        <v>0</v>
      </c>
      <c r="X54" s="49">
        <v>0</v>
      </c>
      <c r="Y54" s="49">
        <v>10950400</v>
      </c>
      <c r="Z54" s="49"/>
      <c r="AA54" s="49"/>
      <c r="AB54" s="49"/>
      <c r="AC54" s="45">
        <f t="shared" si="5"/>
        <v>10950400</v>
      </c>
      <c r="AD54" s="49">
        <v>0</v>
      </c>
      <c r="AE54" s="50">
        <v>0</v>
      </c>
      <c r="AF54" s="49">
        <v>0</v>
      </c>
      <c r="AG54" s="49">
        <v>0</v>
      </c>
      <c r="AH54" s="49">
        <v>0</v>
      </c>
      <c r="AI54" s="49">
        <v>0</v>
      </c>
      <c r="AJ54" s="49">
        <v>0</v>
      </c>
      <c r="AK54" s="49">
        <v>0</v>
      </c>
      <c r="AL54" s="49">
        <v>10950400</v>
      </c>
      <c r="AM54" s="103"/>
      <c r="AN54" s="49"/>
      <c r="AO54" s="103"/>
      <c r="AP54" s="108">
        <f t="shared" si="6"/>
        <v>10950400</v>
      </c>
    </row>
    <row r="55" spans="1:43" s="14" customFormat="1" ht="13.5" thickBot="1">
      <c r="A55" s="21"/>
      <c r="B55" s="46" t="s">
        <v>44</v>
      </c>
      <c r="C55" s="47">
        <f aca="true" t="shared" si="7" ref="C55:AL55">SUM(C56:C59)</f>
        <v>1399000000</v>
      </c>
      <c r="D55" s="47">
        <f t="shared" si="7"/>
        <v>0</v>
      </c>
      <c r="E55" s="47">
        <f t="shared" si="7"/>
        <v>0</v>
      </c>
      <c r="F55" s="47">
        <f t="shared" si="7"/>
        <v>595000000</v>
      </c>
      <c r="G55" s="47">
        <f t="shared" si="7"/>
        <v>0</v>
      </c>
      <c r="H55" s="47">
        <f t="shared" si="7"/>
        <v>295608056</v>
      </c>
      <c r="I55" s="47">
        <f t="shared" si="7"/>
        <v>0</v>
      </c>
      <c r="J55" s="47">
        <f t="shared" si="7"/>
        <v>-986525</v>
      </c>
      <c r="K55" s="47">
        <f t="shared" si="7"/>
        <v>172000000</v>
      </c>
      <c r="L55" s="47">
        <f t="shared" si="7"/>
        <v>0</v>
      </c>
      <c r="M55" s="47">
        <f t="shared" si="7"/>
        <v>0</v>
      </c>
      <c r="N55" s="47">
        <f t="shared" si="7"/>
        <v>0</v>
      </c>
      <c r="O55" s="47">
        <f t="shared" si="7"/>
        <v>0</v>
      </c>
      <c r="P55" s="47">
        <f t="shared" si="7"/>
        <v>1061621531</v>
      </c>
      <c r="Q55" s="47">
        <f t="shared" si="7"/>
        <v>0</v>
      </c>
      <c r="R55" s="47">
        <f t="shared" si="7"/>
        <v>0</v>
      </c>
      <c r="S55" s="47">
        <f t="shared" si="7"/>
        <v>595000000</v>
      </c>
      <c r="T55" s="47">
        <f t="shared" si="7"/>
        <v>0</v>
      </c>
      <c r="U55" s="47">
        <f t="shared" si="7"/>
        <v>295608056</v>
      </c>
      <c r="V55" s="47">
        <f t="shared" si="7"/>
        <v>-986525</v>
      </c>
      <c r="W55" s="47">
        <f t="shared" si="7"/>
        <v>0</v>
      </c>
      <c r="X55" s="47">
        <f t="shared" si="7"/>
        <v>0</v>
      </c>
      <c r="Y55" s="47">
        <f t="shared" si="7"/>
        <v>172000000</v>
      </c>
      <c r="Z55" s="47">
        <f t="shared" si="7"/>
        <v>0</v>
      </c>
      <c r="AA55" s="47">
        <f t="shared" si="7"/>
        <v>0</v>
      </c>
      <c r="AB55" s="47">
        <f t="shared" si="7"/>
        <v>0</v>
      </c>
      <c r="AC55" s="47">
        <f t="shared" si="7"/>
        <v>1061621531</v>
      </c>
      <c r="AD55" s="47">
        <f t="shared" si="7"/>
        <v>0</v>
      </c>
      <c r="AE55" s="47">
        <f t="shared" si="7"/>
        <v>0</v>
      </c>
      <c r="AF55" s="47">
        <f t="shared" si="7"/>
        <v>595000000</v>
      </c>
      <c r="AG55" s="47">
        <f t="shared" si="7"/>
        <v>0</v>
      </c>
      <c r="AH55" s="47">
        <f t="shared" si="7"/>
        <v>295608056</v>
      </c>
      <c r="AI55" s="47">
        <f t="shared" si="7"/>
        <v>-986525</v>
      </c>
      <c r="AJ55" s="47">
        <f t="shared" si="7"/>
        <v>0</v>
      </c>
      <c r="AK55" s="47">
        <f t="shared" si="7"/>
        <v>0</v>
      </c>
      <c r="AL55" s="47">
        <f t="shared" si="7"/>
        <v>172000000</v>
      </c>
      <c r="AM55" s="47">
        <f>SUM(AM56:AM59)</f>
        <v>0</v>
      </c>
      <c r="AN55" s="47">
        <f>SUM(AN56:AN59)</f>
        <v>0</v>
      </c>
      <c r="AO55" s="47">
        <f>SUM(AO56:AO59)</f>
        <v>0</v>
      </c>
      <c r="AP55" s="37">
        <f>SUM(AP56:AP59)</f>
        <v>1061621531</v>
      </c>
      <c r="AQ55" s="12"/>
    </row>
    <row r="56" spans="1:42" s="12" customFormat="1" ht="13.5" thickBot="1">
      <c r="A56" s="68" t="s">
        <v>134</v>
      </c>
      <c r="B56" s="52" t="s">
        <v>46</v>
      </c>
      <c r="C56" s="53">
        <v>250000000</v>
      </c>
      <c r="D56" s="102">
        <v>0</v>
      </c>
      <c r="E56" s="102">
        <v>0</v>
      </c>
      <c r="F56" s="102">
        <v>0</v>
      </c>
      <c r="G56" s="102">
        <v>0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  <c r="O56" s="102"/>
      <c r="P56" s="71">
        <f t="shared" si="2"/>
        <v>0</v>
      </c>
      <c r="Q56" s="102">
        <v>0</v>
      </c>
      <c r="R56" s="105">
        <v>0</v>
      </c>
      <c r="S56" s="102"/>
      <c r="T56" s="102">
        <v>0</v>
      </c>
      <c r="U56" s="102">
        <v>0</v>
      </c>
      <c r="V56" s="102">
        <v>0</v>
      </c>
      <c r="W56" s="102">
        <v>0</v>
      </c>
      <c r="X56" s="102">
        <v>0</v>
      </c>
      <c r="Y56" s="102">
        <v>0</v>
      </c>
      <c r="Z56" s="102"/>
      <c r="AA56" s="102"/>
      <c r="AB56" s="102"/>
      <c r="AC56" s="71">
        <f>SUM(Q56:AB56)</f>
        <v>0</v>
      </c>
      <c r="AD56" s="102">
        <v>0</v>
      </c>
      <c r="AE56" s="105">
        <v>0</v>
      </c>
      <c r="AF56" s="102"/>
      <c r="AG56" s="102">
        <v>0</v>
      </c>
      <c r="AH56" s="102">
        <v>0</v>
      </c>
      <c r="AI56" s="102">
        <v>0</v>
      </c>
      <c r="AJ56" s="102">
        <v>0</v>
      </c>
      <c r="AK56" s="102">
        <v>0</v>
      </c>
      <c r="AL56" s="102">
        <v>0</v>
      </c>
      <c r="AM56" s="102"/>
      <c r="AN56" s="102"/>
      <c r="AO56" s="102"/>
      <c r="AP56" s="72">
        <f>SUM(AD56:AO56)</f>
        <v>0</v>
      </c>
    </row>
    <row r="57" spans="1:42" s="12" customFormat="1" ht="13.5" thickBot="1">
      <c r="A57" s="15" t="s">
        <v>213</v>
      </c>
      <c r="B57" s="40" t="s">
        <v>214</v>
      </c>
      <c r="C57" s="53">
        <f>850000000-172000000</f>
        <v>678000000</v>
      </c>
      <c r="D57" s="102">
        <v>0</v>
      </c>
      <c r="E57" s="102">
        <v>0</v>
      </c>
      <c r="F57" s="102">
        <v>595000000</v>
      </c>
      <c r="G57" s="102">
        <v>0</v>
      </c>
      <c r="H57" s="102">
        <v>0</v>
      </c>
      <c r="I57" s="102">
        <v>0</v>
      </c>
      <c r="J57" s="109">
        <v>-986525</v>
      </c>
      <c r="K57" s="102">
        <v>0</v>
      </c>
      <c r="L57" s="102">
        <v>0</v>
      </c>
      <c r="M57" s="102">
        <v>0</v>
      </c>
      <c r="N57" s="102">
        <v>0</v>
      </c>
      <c r="O57" s="102"/>
      <c r="P57" s="71">
        <f>SUM(D57:O57)</f>
        <v>594013475</v>
      </c>
      <c r="Q57" s="53">
        <v>0</v>
      </c>
      <c r="R57" s="115">
        <v>0</v>
      </c>
      <c r="S57" s="42">
        <v>595000000</v>
      </c>
      <c r="T57" s="53">
        <v>0</v>
      </c>
      <c r="U57" s="53">
        <v>0</v>
      </c>
      <c r="V57" s="102">
        <v>-986525</v>
      </c>
      <c r="W57" s="102">
        <v>0</v>
      </c>
      <c r="X57" s="102">
        <v>0</v>
      </c>
      <c r="Y57" s="102">
        <v>0</v>
      </c>
      <c r="Z57" s="102">
        <v>0</v>
      </c>
      <c r="AA57" s="102">
        <v>0</v>
      </c>
      <c r="AB57" s="102"/>
      <c r="AC57" s="71">
        <f>SUM(Q57:AB57)</f>
        <v>594013475</v>
      </c>
      <c r="AD57" s="105">
        <v>0</v>
      </c>
      <c r="AE57" s="105">
        <v>0</v>
      </c>
      <c r="AF57" s="102">
        <v>595000000</v>
      </c>
      <c r="AG57" s="102">
        <v>0</v>
      </c>
      <c r="AH57" s="102">
        <v>0</v>
      </c>
      <c r="AI57" s="102">
        <v>-986525</v>
      </c>
      <c r="AJ57" s="105">
        <v>0</v>
      </c>
      <c r="AK57" s="102">
        <v>0</v>
      </c>
      <c r="AL57" s="102">
        <v>0</v>
      </c>
      <c r="AM57" s="105"/>
      <c r="AN57" s="105"/>
      <c r="AO57" s="105"/>
      <c r="AP57" s="72">
        <f>SUM(AD57:AO57)</f>
        <v>594013475</v>
      </c>
    </row>
    <row r="58" spans="1:42" s="12" customFormat="1" ht="13.5" thickBot="1">
      <c r="A58" s="15" t="s">
        <v>50</v>
      </c>
      <c r="B58" s="40" t="s">
        <v>216</v>
      </c>
      <c r="C58" s="53">
        <f>89000000+210000000+172000000</f>
        <v>471000000</v>
      </c>
      <c r="D58" s="102">
        <v>0</v>
      </c>
      <c r="E58" s="102">
        <v>0</v>
      </c>
      <c r="F58" s="102">
        <v>0</v>
      </c>
      <c r="G58" s="102">
        <v>0</v>
      </c>
      <c r="H58" s="102">
        <v>295608056</v>
      </c>
      <c r="I58" s="102">
        <v>0</v>
      </c>
      <c r="J58" s="102">
        <v>0</v>
      </c>
      <c r="K58" s="102">
        <v>172000000</v>
      </c>
      <c r="L58" s="102">
        <v>0</v>
      </c>
      <c r="M58" s="102">
        <v>0</v>
      </c>
      <c r="N58" s="102">
        <v>0</v>
      </c>
      <c r="O58" s="102"/>
      <c r="P58" s="71">
        <f t="shared" si="2"/>
        <v>467608056</v>
      </c>
      <c r="Q58" s="53">
        <v>0</v>
      </c>
      <c r="R58" s="115">
        <v>0</v>
      </c>
      <c r="S58" s="42"/>
      <c r="T58" s="53">
        <v>0</v>
      </c>
      <c r="U58" s="102">
        <v>295608056</v>
      </c>
      <c r="V58" s="102">
        <v>0</v>
      </c>
      <c r="W58" s="102">
        <v>0</v>
      </c>
      <c r="X58" s="102">
        <v>0</v>
      </c>
      <c r="Y58" s="102">
        <v>172000000</v>
      </c>
      <c r="Z58" s="102"/>
      <c r="AA58" s="102"/>
      <c r="AB58" s="102"/>
      <c r="AC58" s="71">
        <f>SUM(Q58:AB58)</f>
        <v>467608056</v>
      </c>
      <c r="AD58" s="105">
        <v>0</v>
      </c>
      <c r="AE58" s="105">
        <v>0</v>
      </c>
      <c r="AF58" s="105"/>
      <c r="AG58" s="102">
        <v>0</v>
      </c>
      <c r="AH58" s="102">
        <v>295608056</v>
      </c>
      <c r="AI58" s="102">
        <v>0</v>
      </c>
      <c r="AJ58" s="105">
        <v>0</v>
      </c>
      <c r="AK58" s="102">
        <v>0</v>
      </c>
      <c r="AL58" s="102">
        <v>172000000</v>
      </c>
      <c r="AM58" s="105"/>
      <c r="AN58" s="105"/>
      <c r="AO58" s="105"/>
      <c r="AP58" s="72">
        <f>SUM(AD58:AO58)</f>
        <v>467608056</v>
      </c>
    </row>
    <row r="59" spans="1:42" s="12" customFormat="1" ht="13.5" thickBot="1">
      <c r="A59" s="15" t="s">
        <v>152</v>
      </c>
      <c r="B59" s="40" t="s">
        <v>148</v>
      </c>
      <c r="C59" s="53">
        <f>14206490899-1086000000-1606553607-11513937292</f>
        <v>0</v>
      </c>
      <c r="D59" s="102">
        <v>0</v>
      </c>
      <c r="E59" s="102">
        <v>0</v>
      </c>
      <c r="F59" s="102">
        <v>0</v>
      </c>
      <c r="G59" s="102">
        <v>0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/>
      <c r="P59" s="71">
        <f>SUM(D59:O59)</f>
        <v>0</v>
      </c>
      <c r="Q59" s="53">
        <v>0</v>
      </c>
      <c r="R59" s="115">
        <v>0</v>
      </c>
      <c r="S59" s="42">
        <v>0</v>
      </c>
      <c r="T59" s="53">
        <v>0</v>
      </c>
      <c r="U59" s="53">
        <v>0</v>
      </c>
      <c r="V59" s="102">
        <v>0</v>
      </c>
      <c r="W59" s="102">
        <v>0</v>
      </c>
      <c r="X59" s="102">
        <v>0</v>
      </c>
      <c r="Y59" s="102">
        <v>0</v>
      </c>
      <c r="Z59" s="102">
        <v>0</v>
      </c>
      <c r="AA59" s="102">
        <v>0</v>
      </c>
      <c r="AB59" s="102"/>
      <c r="AC59" s="71">
        <f>SUM(Q59:AB59)</f>
        <v>0</v>
      </c>
      <c r="AD59" s="105">
        <v>0</v>
      </c>
      <c r="AE59" s="105">
        <v>0</v>
      </c>
      <c r="AF59" s="105"/>
      <c r="AG59" s="102">
        <v>0</v>
      </c>
      <c r="AH59" s="102">
        <v>0</v>
      </c>
      <c r="AI59" s="102">
        <v>0</v>
      </c>
      <c r="AJ59" s="105">
        <v>0</v>
      </c>
      <c r="AK59" s="102">
        <v>0</v>
      </c>
      <c r="AL59" s="105"/>
      <c r="AM59" s="105"/>
      <c r="AN59" s="105"/>
      <c r="AO59" s="105"/>
      <c r="AP59" s="72">
        <f>SUM(AD59:AO59)</f>
        <v>0</v>
      </c>
    </row>
    <row r="60" spans="1:44" s="14" customFormat="1" ht="18" customHeight="1" thickBot="1">
      <c r="A60" s="21"/>
      <c r="B60" s="46" t="s">
        <v>41</v>
      </c>
      <c r="C60" s="47">
        <f>SUM(C61:C79)</f>
        <v>117330260052</v>
      </c>
      <c r="D60" s="47">
        <f>SUM(D61:D79)</f>
        <v>24709741932</v>
      </c>
      <c r="E60" s="84">
        <f>SUM(E61:E79)</f>
        <v>7506945304.57</v>
      </c>
      <c r="F60" s="84">
        <f>SUM(F61:F79)</f>
        <v>8921086824</v>
      </c>
      <c r="G60" s="84">
        <f aca="true" t="shared" si="8" ref="G60:P60">SUM(G61:G79)</f>
        <v>12739028180.36</v>
      </c>
      <c r="H60" s="84">
        <f t="shared" si="8"/>
        <v>4490108519</v>
      </c>
      <c r="I60" s="47">
        <f t="shared" si="8"/>
        <v>6139153332.2</v>
      </c>
      <c r="J60" s="47">
        <f t="shared" si="8"/>
        <v>4467283113.6</v>
      </c>
      <c r="K60" s="47">
        <f t="shared" si="8"/>
        <v>3883529025.3999996</v>
      </c>
      <c r="L60" s="47">
        <f t="shared" si="8"/>
        <v>3560035973</v>
      </c>
      <c r="M60" s="47">
        <f t="shared" si="8"/>
        <v>0</v>
      </c>
      <c r="N60" s="47">
        <f t="shared" si="8"/>
        <v>0</v>
      </c>
      <c r="O60" s="47">
        <f t="shared" si="8"/>
        <v>0</v>
      </c>
      <c r="P60" s="47">
        <f t="shared" si="8"/>
        <v>76416912204.12999</v>
      </c>
      <c r="Q60" s="47">
        <f>SUM(Q61:Q79)</f>
        <v>364798236</v>
      </c>
      <c r="R60" s="47">
        <f>SUM(R61:R79)</f>
        <v>3446514878</v>
      </c>
      <c r="S60" s="47">
        <f>SUM(S61:S79)</f>
        <v>3529187836</v>
      </c>
      <c r="T60" s="47">
        <f aca="true" t="shared" si="9" ref="T60:AC60">SUM(T61:T79)</f>
        <v>4387154252.4</v>
      </c>
      <c r="U60" s="84">
        <f t="shared" si="9"/>
        <v>6208421236.91</v>
      </c>
      <c r="V60" s="47">
        <f t="shared" si="9"/>
        <v>20021319037.4</v>
      </c>
      <c r="W60" s="47">
        <f t="shared" si="9"/>
        <v>7467002902.8</v>
      </c>
      <c r="X60" s="47">
        <f t="shared" si="9"/>
        <v>5779153041</v>
      </c>
      <c r="Y60" s="47">
        <f t="shared" si="9"/>
        <v>6249977269</v>
      </c>
      <c r="Z60" s="47">
        <f t="shared" si="9"/>
        <v>0</v>
      </c>
      <c r="AA60" s="47">
        <f t="shared" si="9"/>
        <v>0</v>
      </c>
      <c r="AB60" s="47">
        <f t="shared" si="9"/>
        <v>0</v>
      </c>
      <c r="AC60" s="47">
        <f t="shared" si="9"/>
        <v>57453528689.51</v>
      </c>
      <c r="AD60" s="47">
        <f>SUM(AD61:AD79)</f>
        <v>99798236</v>
      </c>
      <c r="AE60" s="47">
        <f>SUM(AE61:AE79)</f>
        <v>3461340470</v>
      </c>
      <c r="AF60" s="47">
        <f>SUM(AF61:AF79)</f>
        <v>3726506118</v>
      </c>
      <c r="AG60" s="47">
        <f aca="true" t="shared" si="10" ref="AG60:AP60">SUM(AG61:AG79)</f>
        <v>4298118987.4</v>
      </c>
      <c r="AH60" s="84">
        <f t="shared" si="10"/>
        <v>6246005394.91</v>
      </c>
      <c r="AI60" s="47">
        <f t="shared" si="10"/>
        <v>20051466089.4</v>
      </c>
      <c r="AJ60" s="47">
        <f t="shared" si="10"/>
        <v>7190328016.8</v>
      </c>
      <c r="AK60" s="47">
        <f t="shared" si="10"/>
        <v>6067550632</v>
      </c>
      <c r="AL60" s="47">
        <f t="shared" si="10"/>
        <v>6254647413</v>
      </c>
      <c r="AM60" s="47">
        <f t="shared" si="10"/>
        <v>0</v>
      </c>
      <c r="AN60" s="47">
        <f t="shared" si="10"/>
        <v>0</v>
      </c>
      <c r="AO60" s="47">
        <f t="shared" si="10"/>
        <v>0</v>
      </c>
      <c r="AP60" s="37">
        <f t="shared" si="10"/>
        <v>57395761357.51</v>
      </c>
      <c r="AR60" s="124"/>
    </row>
    <row r="61" spans="1:44" s="10" customFormat="1" ht="13.5" thickBot="1">
      <c r="A61" s="82" t="s">
        <v>154</v>
      </c>
      <c r="B61" s="13" t="s">
        <v>155</v>
      </c>
      <c r="C61" s="44">
        <f>352906240+690000000</f>
        <v>1042906240</v>
      </c>
      <c r="D61" s="44">
        <v>28463922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76000000</v>
      </c>
      <c r="L61" s="44">
        <v>4680000</v>
      </c>
      <c r="M61" s="44"/>
      <c r="N61" s="44"/>
      <c r="O61" s="107"/>
      <c r="P61" s="71">
        <f aca="true" t="shared" si="11" ref="P61:P73">SUM(D61:O61)</f>
        <v>109143922</v>
      </c>
      <c r="Q61" s="44">
        <v>0</v>
      </c>
      <c r="R61" s="44">
        <v>1581329</v>
      </c>
      <c r="S61" s="44">
        <v>2371994</v>
      </c>
      <c r="T61" s="44">
        <v>2371993</v>
      </c>
      <c r="U61" s="44">
        <v>2371994</v>
      </c>
      <c r="V61" s="44">
        <v>2371994</v>
      </c>
      <c r="W61" s="44">
        <v>2371993</v>
      </c>
      <c r="X61" s="44">
        <v>2371993</v>
      </c>
      <c r="Y61" s="44">
        <v>11638659</v>
      </c>
      <c r="Z61" s="44"/>
      <c r="AA61" s="44"/>
      <c r="AB61" s="107"/>
      <c r="AC61" s="71">
        <f>SUM(Q61:AB61)</f>
        <v>27451949</v>
      </c>
      <c r="AD61" s="44">
        <v>0</v>
      </c>
      <c r="AE61" s="44">
        <v>1581329</v>
      </c>
      <c r="AF61" s="120">
        <v>2371994</v>
      </c>
      <c r="AG61" s="44">
        <v>2371993</v>
      </c>
      <c r="AH61" s="44">
        <v>2371994</v>
      </c>
      <c r="AI61" s="44">
        <v>2371994</v>
      </c>
      <c r="AJ61" s="44">
        <v>2371993</v>
      </c>
      <c r="AK61" s="44">
        <v>2371993</v>
      </c>
      <c r="AL61" s="44">
        <v>11638659</v>
      </c>
      <c r="AM61" s="44"/>
      <c r="AN61" s="44"/>
      <c r="AO61" s="107"/>
      <c r="AP61" s="72">
        <f>SUM(AD61:AO61)</f>
        <v>27451949</v>
      </c>
      <c r="AR61" s="124"/>
    </row>
    <row r="62" spans="1:44" s="10" customFormat="1" ht="12.75">
      <c r="A62" s="82" t="s">
        <v>156</v>
      </c>
      <c r="B62" s="13" t="s">
        <v>114</v>
      </c>
      <c r="C62" s="44">
        <v>5867728688</v>
      </c>
      <c r="D62" s="44">
        <v>1595283678</v>
      </c>
      <c r="E62" s="44">
        <v>165754662</v>
      </c>
      <c r="F62" s="44">
        <v>233916537</v>
      </c>
      <c r="G62" s="44">
        <v>249709981</v>
      </c>
      <c r="H62" s="44">
        <v>113535219</v>
      </c>
      <c r="I62" s="44">
        <v>138140336</v>
      </c>
      <c r="J62" s="44">
        <v>370530994</v>
      </c>
      <c r="K62" s="44">
        <v>205849919.6</v>
      </c>
      <c r="L62" s="44">
        <v>300815931</v>
      </c>
      <c r="M62" s="44"/>
      <c r="N62" s="44"/>
      <c r="O62" s="107"/>
      <c r="P62" s="71">
        <f>SUM(D62:O62)</f>
        <v>3373537257.6</v>
      </c>
      <c r="Q62" s="44">
        <v>0</v>
      </c>
      <c r="R62" s="44">
        <v>347224439</v>
      </c>
      <c r="S62" s="44">
        <v>166194292</v>
      </c>
      <c r="T62" s="44">
        <v>237984346</v>
      </c>
      <c r="U62" s="44">
        <v>209504505</v>
      </c>
      <c r="V62" s="44">
        <v>217875473</v>
      </c>
      <c r="W62" s="44">
        <v>313828321</v>
      </c>
      <c r="X62" s="44">
        <v>139306370</v>
      </c>
      <c r="Y62" s="44">
        <v>362065811</v>
      </c>
      <c r="Z62" s="44"/>
      <c r="AA62" s="44"/>
      <c r="AB62" s="107"/>
      <c r="AC62" s="71">
        <f>SUM(Q62:AB62)</f>
        <v>1993983557</v>
      </c>
      <c r="AD62" s="44">
        <v>0</v>
      </c>
      <c r="AE62" s="44">
        <v>331450452</v>
      </c>
      <c r="AF62" s="120">
        <v>180200279</v>
      </c>
      <c r="AG62" s="44">
        <v>179248057</v>
      </c>
      <c r="AH62" s="44">
        <v>261290504</v>
      </c>
      <c r="AI62" s="44">
        <v>226593763</v>
      </c>
      <c r="AJ62" s="44">
        <v>288271727</v>
      </c>
      <c r="AK62" s="44">
        <v>162564667</v>
      </c>
      <c r="AL62" s="44">
        <v>362972108</v>
      </c>
      <c r="AM62" s="44"/>
      <c r="AN62" s="44"/>
      <c r="AO62" s="107"/>
      <c r="AP62" s="72">
        <f>SUM(AD62:AO62)</f>
        <v>1992591557</v>
      </c>
      <c r="AR62" s="124"/>
    </row>
    <row r="63" spans="1:44" s="10" customFormat="1" ht="12.75">
      <c r="A63" s="82" t="s">
        <v>143</v>
      </c>
      <c r="B63" s="13" t="s">
        <v>115</v>
      </c>
      <c r="C63" s="102">
        <v>7044048856</v>
      </c>
      <c r="D63" s="102">
        <v>1009634034</v>
      </c>
      <c r="E63" s="102">
        <v>1374510562</v>
      </c>
      <c r="F63" s="102">
        <v>193654986</v>
      </c>
      <c r="G63" s="102">
        <v>320822058</v>
      </c>
      <c r="H63" s="102">
        <v>457381844</v>
      </c>
      <c r="I63" s="102">
        <v>300912190</v>
      </c>
      <c r="J63" s="102">
        <v>286331716</v>
      </c>
      <c r="K63" s="102">
        <v>1549939600</v>
      </c>
      <c r="L63" s="102">
        <v>1366550644</v>
      </c>
      <c r="M63" s="102"/>
      <c r="N63" s="102"/>
      <c r="O63" s="109"/>
      <c r="P63" s="106">
        <f t="shared" si="11"/>
        <v>6859737634</v>
      </c>
      <c r="Q63" s="102">
        <v>45062952</v>
      </c>
      <c r="R63" s="102">
        <v>522620279</v>
      </c>
      <c r="S63" s="102">
        <v>480989250</v>
      </c>
      <c r="T63" s="102">
        <v>485422202</v>
      </c>
      <c r="U63" s="102">
        <v>547172952</v>
      </c>
      <c r="V63" s="102">
        <v>530807037</v>
      </c>
      <c r="W63" s="102">
        <v>290391655</v>
      </c>
      <c r="X63" s="102">
        <v>317665480</v>
      </c>
      <c r="Y63" s="102">
        <v>953945421</v>
      </c>
      <c r="Z63" s="102"/>
      <c r="AA63" s="102"/>
      <c r="AB63" s="109"/>
      <c r="AC63" s="106">
        <f aca="true" t="shared" si="12" ref="AC63:AC73">SUM(Q63:AB63)</f>
        <v>4174077228</v>
      </c>
      <c r="AD63" s="102">
        <v>16735819</v>
      </c>
      <c r="AE63" s="102">
        <v>531996068</v>
      </c>
      <c r="AF63" s="120">
        <v>499940594</v>
      </c>
      <c r="AG63" s="102">
        <v>485422202</v>
      </c>
      <c r="AH63" s="102">
        <v>547172952</v>
      </c>
      <c r="AI63" s="102">
        <v>479386437</v>
      </c>
      <c r="AJ63" s="102">
        <v>317812255</v>
      </c>
      <c r="AK63" s="102">
        <v>341665480</v>
      </c>
      <c r="AL63" s="102">
        <v>953945421</v>
      </c>
      <c r="AM63" s="102"/>
      <c r="AN63" s="102"/>
      <c r="AO63" s="109"/>
      <c r="AP63" s="110">
        <f aca="true" t="shared" si="13" ref="AP63:AP73">SUM(AD63:AO63)</f>
        <v>4174077228</v>
      </c>
      <c r="AR63" s="124"/>
    </row>
    <row r="64" spans="1:44" s="10" customFormat="1" ht="12.75">
      <c r="A64" s="82" t="s">
        <v>157</v>
      </c>
      <c r="B64" s="13" t="s">
        <v>116</v>
      </c>
      <c r="C64" s="102">
        <f>7172573770+950000000</f>
        <v>8122573770</v>
      </c>
      <c r="D64" s="102">
        <v>837960760</v>
      </c>
      <c r="E64" s="102">
        <v>844918103</v>
      </c>
      <c r="F64" s="102">
        <v>595823168</v>
      </c>
      <c r="G64" s="102">
        <v>1025855526</v>
      </c>
      <c r="H64" s="102">
        <v>1495922904</v>
      </c>
      <c r="I64" s="102">
        <v>202089087</v>
      </c>
      <c r="J64" s="102">
        <v>264342318</v>
      </c>
      <c r="K64" s="102">
        <v>53013210</v>
      </c>
      <c r="L64" s="102">
        <v>330173086</v>
      </c>
      <c r="M64" s="102"/>
      <c r="N64" s="102"/>
      <c r="O64" s="109"/>
      <c r="P64" s="106">
        <f>SUM(D64:O64)</f>
        <v>5650098162</v>
      </c>
      <c r="Q64" s="102">
        <v>0</v>
      </c>
      <c r="R64" s="102">
        <v>223348976</v>
      </c>
      <c r="S64" s="102">
        <v>321123812</v>
      </c>
      <c r="T64" s="102">
        <v>494416905</v>
      </c>
      <c r="U64" s="102">
        <v>488093225</v>
      </c>
      <c r="V64" s="102">
        <v>663750760</v>
      </c>
      <c r="W64" s="102">
        <v>711608144</v>
      </c>
      <c r="X64" s="102">
        <v>704404480</v>
      </c>
      <c r="Y64" s="102">
        <v>627908789</v>
      </c>
      <c r="Z64" s="102"/>
      <c r="AA64" s="102"/>
      <c r="AB64" s="109"/>
      <c r="AC64" s="106">
        <f t="shared" si="12"/>
        <v>4234655091</v>
      </c>
      <c r="AD64" s="102">
        <v>0</v>
      </c>
      <c r="AE64" s="102">
        <v>194146741</v>
      </c>
      <c r="AF64" s="120">
        <v>338519653</v>
      </c>
      <c r="AG64" s="102">
        <v>490617959</v>
      </c>
      <c r="AH64" s="102">
        <v>503698565</v>
      </c>
      <c r="AI64" s="102">
        <v>662359196</v>
      </c>
      <c r="AJ64" s="102">
        <v>675003708</v>
      </c>
      <c r="AK64" s="102">
        <v>739904480</v>
      </c>
      <c r="AL64" s="102">
        <v>605507847</v>
      </c>
      <c r="AM64" s="102"/>
      <c r="AN64" s="102"/>
      <c r="AO64" s="109"/>
      <c r="AP64" s="110">
        <f t="shared" si="13"/>
        <v>4209758149</v>
      </c>
      <c r="AR64" s="124"/>
    </row>
    <row r="65" spans="1:44" s="10" customFormat="1" ht="12.75">
      <c r="A65" s="82" t="s">
        <v>158</v>
      </c>
      <c r="B65" s="13" t="s">
        <v>121</v>
      </c>
      <c r="C65" s="102">
        <f>2446653458+2300000000</f>
        <v>4746653458</v>
      </c>
      <c r="D65" s="102">
        <v>280672364</v>
      </c>
      <c r="E65" s="102">
        <v>801460097</v>
      </c>
      <c r="F65" s="102">
        <v>119162681</v>
      </c>
      <c r="G65" s="102">
        <v>306920205</v>
      </c>
      <c r="H65" s="102">
        <v>35705940</v>
      </c>
      <c r="I65" s="102">
        <v>243900165</v>
      </c>
      <c r="J65" s="102">
        <v>106641030</v>
      </c>
      <c r="K65" s="102">
        <v>140233302</v>
      </c>
      <c r="L65" s="102">
        <v>699572710</v>
      </c>
      <c r="M65" s="102"/>
      <c r="N65" s="102"/>
      <c r="O65" s="109"/>
      <c r="P65" s="106">
        <f t="shared" si="11"/>
        <v>2734268494</v>
      </c>
      <c r="Q65" s="102">
        <v>406000</v>
      </c>
      <c r="R65" s="102">
        <v>180192631</v>
      </c>
      <c r="S65" s="102">
        <v>156083241</v>
      </c>
      <c r="T65" s="102">
        <v>186998801</v>
      </c>
      <c r="U65" s="102">
        <v>215254472</v>
      </c>
      <c r="V65" s="102">
        <v>214331149</v>
      </c>
      <c r="W65" s="102">
        <v>271979936</v>
      </c>
      <c r="X65" s="102">
        <v>272924314</v>
      </c>
      <c r="Y65" s="102">
        <v>272783507</v>
      </c>
      <c r="Z65" s="102"/>
      <c r="AA65" s="102"/>
      <c r="AB65" s="109"/>
      <c r="AC65" s="106">
        <f t="shared" si="12"/>
        <v>1770954051</v>
      </c>
      <c r="AD65" s="102">
        <v>406000</v>
      </c>
      <c r="AE65" s="102">
        <v>174792631</v>
      </c>
      <c r="AF65" s="120">
        <v>159070029</v>
      </c>
      <c r="AG65" s="102">
        <v>189412013</v>
      </c>
      <c r="AH65" s="102">
        <v>215254472</v>
      </c>
      <c r="AI65" s="102">
        <v>214281149</v>
      </c>
      <c r="AJ65" s="102">
        <v>263029936</v>
      </c>
      <c r="AK65" s="102">
        <v>281924314</v>
      </c>
      <c r="AL65" s="102">
        <v>272783507</v>
      </c>
      <c r="AM65" s="102"/>
      <c r="AN65" s="102"/>
      <c r="AO65" s="109"/>
      <c r="AP65" s="110">
        <f t="shared" si="13"/>
        <v>1770954051</v>
      </c>
      <c r="AR65" s="123"/>
    </row>
    <row r="66" spans="1:42" s="10" customFormat="1" ht="12.75">
      <c r="A66" s="82" t="s">
        <v>159</v>
      </c>
      <c r="B66" s="13" t="s">
        <v>122</v>
      </c>
      <c r="C66" s="102">
        <v>4517334820</v>
      </c>
      <c r="D66" s="102">
        <v>1103013568</v>
      </c>
      <c r="E66" s="102">
        <v>54066501</v>
      </c>
      <c r="F66" s="102">
        <v>1467145324</v>
      </c>
      <c r="G66" s="102">
        <v>1136599404</v>
      </c>
      <c r="H66" s="102">
        <v>4225319</v>
      </c>
      <c r="I66" s="102">
        <v>19197463</v>
      </c>
      <c r="J66" s="102">
        <v>349823915</v>
      </c>
      <c r="K66" s="102">
        <v>5918096</v>
      </c>
      <c r="L66" s="102">
        <v>5009140</v>
      </c>
      <c r="M66" s="102"/>
      <c r="N66" s="102"/>
      <c r="O66" s="109"/>
      <c r="P66" s="106">
        <f t="shared" si="11"/>
        <v>4144998730</v>
      </c>
      <c r="Q66" s="102">
        <v>184000</v>
      </c>
      <c r="R66" s="102">
        <v>441317201</v>
      </c>
      <c r="S66" s="102">
        <v>283586496</v>
      </c>
      <c r="T66" s="102">
        <v>375696571.4</v>
      </c>
      <c r="U66" s="102">
        <v>389724909</v>
      </c>
      <c r="V66" s="102">
        <v>375947864.4</v>
      </c>
      <c r="W66" s="102">
        <v>378501035</v>
      </c>
      <c r="X66" s="102">
        <v>414844366.4</v>
      </c>
      <c r="Y66" s="102">
        <v>327761629</v>
      </c>
      <c r="Z66" s="102"/>
      <c r="AA66" s="102"/>
      <c r="AB66" s="109"/>
      <c r="AC66" s="106">
        <f t="shared" si="12"/>
        <v>2987564072.2000003</v>
      </c>
      <c r="AD66" s="102">
        <v>184000</v>
      </c>
      <c r="AE66" s="102">
        <v>439517201</v>
      </c>
      <c r="AF66" s="120">
        <v>285386496</v>
      </c>
      <c r="AG66" s="102">
        <v>375696571.4</v>
      </c>
      <c r="AH66" s="102">
        <v>389724909</v>
      </c>
      <c r="AI66" s="102">
        <v>375947864.4</v>
      </c>
      <c r="AJ66" s="102">
        <v>375501035</v>
      </c>
      <c r="AK66" s="102">
        <v>417844366.4</v>
      </c>
      <c r="AL66" s="102">
        <v>327761629</v>
      </c>
      <c r="AM66" s="102"/>
      <c r="AN66" s="102"/>
      <c r="AO66" s="109"/>
      <c r="AP66" s="110">
        <f t="shared" si="13"/>
        <v>2987564072.2000003</v>
      </c>
    </row>
    <row r="67" spans="1:42" s="10" customFormat="1" ht="13.5" thickBot="1">
      <c r="A67" s="82" t="s">
        <v>160</v>
      </c>
      <c r="B67" s="13" t="s">
        <v>123</v>
      </c>
      <c r="C67" s="102">
        <v>16724886299</v>
      </c>
      <c r="D67" s="102">
        <v>2595763812</v>
      </c>
      <c r="E67" s="102">
        <v>903794396.57</v>
      </c>
      <c r="F67" s="102">
        <v>3386695272</v>
      </c>
      <c r="G67" s="102">
        <v>4672794590.36</v>
      </c>
      <c r="H67" s="102">
        <v>369404031</v>
      </c>
      <c r="I67" s="102">
        <v>326043604</v>
      </c>
      <c r="J67" s="102">
        <v>875965964.6</v>
      </c>
      <c r="K67" s="102">
        <v>325393911.6</v>
      </c>
      <c r="L67" s="102">
        <v>203824714</v>
      </c>
      <c r="M67" s="102"/>
      <c r="N67" s="102"/>
      <c r="O67" s="109"/>
      <c r="P67" s="106">
        <f t="shared" si="11"/>
        <v>13659680296.130001</v>
      </c>
      <c r="Q67" s="102">
        <v>76192638</v>
      </c>
      <c r="R67" s="102">
        <v>930597145</v>
      </c>
      <c r="S67" s="102">
        <v>958595302</v>
      </c>
      <c r="T67" s="102">
        <v>1133181861</v>
      </c>
      <c r="U67" s="102">
        <v>1395780430.91</v>
      </c>
      <c r="V67" s="102">
        <v>1432063867</v>
      </c>
      <c r="W67" s="102">
        <v>1469538103.6</v>
      </c>
      <c r="X67" s="102">
        <v>1325120071.6</v>
      </c>
      <c r="Y67" s="102">
        <v>1294540419</v>
      </c>
      <c r="Z67" s="102"/>
      <c r="AA67" s="102"/>
      <c r="AB67" s="109"/>
      <c r="AC67" s="106">
        <f t="shared" si="12"/>
        <v>10015609838.11</v>
      </c>
      <c r="AD67" s="102">
        <v>76192638</v>
      </c>
      <c r="AE67" s="102">
        <v>894297145</v>
      </c>
      <c r="AF67" s="120">
        <v>987697635</v>
      </c>
      <c r="AG67" s="102">
        <v>1140379528</v>
      </c>
      <c r="AH67" s="102">
        <v>1393075430.91</v>
      </c>
      <c r="AI67" s="102">
        <v>1434768867</v>
      </c>
      <c r="AJ67" s="102">
        <v>1403628103.6</v>
      </c>
      <c r="AK67" s="102">
        <v>1391030071.6</v>
      </c>
      <c r="AL67" s="102">
        <v>1285054914</v>
      </c>
      <c r="AM67" s="102"/>
      <c r="AN67" s="102"/>
      <c r="AO67" s="109"/>
      <c r="AP67" s="110">
        <f t="shared" si="13"/>
        <v>10006124333.11</v>
      </c>
    </row>
    <row r="68" spans="1:44" s="10" customFormat="1" ht="13.5" thickBot="1">
      <c r="A68" s="82" t="s">
        <v>161</v>
      </c>
      <c r="B68" s="13" t="s">
        <v>124</v>
      </c>
      <c r="C68" s="102">
        <v>350800141</v>
      </c>
      <c r="D68" s="102">
        <v>0</v>
      </c>
      <c r="E68" s="102">
        <v>14000000</v>
      </c>
      <c r="F68" s="102">
        <v>292328</v>
      </c>
      <c r="G68" s="102">
        <v>0</v>
      </c>
      <c r="H68" s="102">
        <v>2250000</v>
      </c>
      <c r="I68" s="102">
        <v>4860000</v>
      </c>
      <c r="J68" s="102">
        <v>59925608</v>
      </c>
      <c r="K68" s="102">
        <v>106475761</v>
      </c>
      <c r="L68" s="102">
        <v>59902837</v>
      </c>
      <c r="M68" s="102"/>
      <c r="N68" s="102"/>
      <c r="O68" s="109"/>
      <c r="P68" s="106">
        <f t="shared" si="11"/>
        <v>247706534</v>
      </c>
      <c r="Q68" s="102">
        <v>0</v>
      </c>
      <c r="R68" s="102">
        <v>4200000</v>
      </c>
      <c r="S68" s="102">
        <v>292328</v>
      </c>
      <c r="T68" s="102">
        <v>0</v>
      </c>
      <c r="U68" s="102">
        <v>0</v>
      </c>
      <c r="V68" s="102">
        <v>550000</v>
      </c>
      <c r="W68" s="102">
        <v>10282207</v>
      </c>
      <c r="X68" s="102">
        <v>8945021</v>
      </c>
      <c r="Y68" s="102">
        <v>70594331</v>
      </c>
      <c r="Z68" s="102"/>
      <c r="AA68" s="102"/>
      <c r="AB68" s="109"/>
      <c r="AC68" s="106">
        <f t="shared" si="12"/>
        <v>94863887</v>
      </c>
      <c r="AD68" s="102">
        <v>0</v>
      </c>
      <c r="AE68" s="102">
        <v>0</v>
      </c>
      <c r="AF68" s="120">
        <v>4492328</v>
      </c>
      <c r="AG68" s="102">
        <v>0</v>
      </c>
      <c r="AH68" s="102">
        <v>0</v>
      </c>
      <c r="AI68" s="102">
        <v>550000</v>
      </c>
      <c r="AJ68" s="102">
        <v>3282207</v>
      </c>
      <c r="AK68" s="102">
        <v>15945021</v>
      </c>
      <c r="AL68" s="102">
        <v>70133986</v>
      </c>
      <c r="AM68" s="102"/>
      <c r="AN68" s="102"/>
      <c r="AO68" s="109"/>
      <c r="AP68" s="110">
        <f t="shared" si="13"/>
        <v>94403542</v>
      </c>
      <c r="AR68" s="47"/>
    </row>
    <row r="69" spans="1:44" s="10" customFormat="1" ht="12.75">
      <c r="A69" s="82" t="s">
        <v>162</v>
      </c>
      <c r="B69" s="13" t="s">
        <v>144</v>
      </c>
      <c r="C69" s="102">
        <v>713652561</v>
      </c>
      <c r="D69" s="102">
        <v>321147040</v>
      </c>
      <c r="E69" s="102">
        <v>124320163</v>
      </c>
      <c r="F69" s="102">
        <v>29271130</v>
      </c>
      <c r="G69" s="102">
        <v>75223436</v>
      </c>
      <c r="H69" s="102">
        <v>58242191</v>
      </c>
      <c r="I69" s="102">
        <v>16078678</v>
      </c>
      <c r="J69" s="102">
        <v>10297522</v>
      </c>
      <c r="K69" s="102">
        <v>29309951</v>
      </c>
      <c r="L69" s="102">
        <v>-6345698</v>
      </c>
      <c r="M69" s="102"/>
      <c r="N69" s="102"/>
      <c r="O69" s="109"/>
      <c r="P69" s="106">
        <f t="shared" si="11"/>
        <v>657544413</v>
      </c>
      <c r="Q69" s="102">
        <v>0</v>
      </c>
      <c r="R69" s="102">
        <v>31531626</v>
      </c>
      <c r="S69" s="102">
        <v>39546135</v>
      </c>
      <c r="T69" s="102">
        <v>52034360</v>
      </c>
      <c r="U69" s="102">
        <v>66742666</v>
      </c>
      <c r="V69" s="102">
        <v>68539030</v>
      </c>
      <c r="W69" s="102">
        <v>101554573</v>
      </c>
      <c r="X69" s="102">
        <v>53766096</v>
      </c>
      <c r="Y69" s="102">
        <v>60604738</v>
      </c>
      <c r="Z69" s="102"/>
      <c r="AA69" s="102"/>
      <c r="AB69" s="109"/>
      <c r="AC69" s="106">
        <f t="shared" si="12"/>
        <v>474319224</v>
      </c>
      <c r="AD69" s="102">
        <v>0</v>
      </c>
      <c r="AE69" s="102">
        <v>15418620</v>
      </c>
      <c r="AF69" s="120">
        <v>48304862</v>
      </c>
      <c r="AG69" s="102">
        <v>56421555</v>
      </c>
      <c r="AH69" s="102">
        <v>69709750</v>
      </c>
      <c r="AI69" s="102">
        <v>68539030</v>
      </c>
      <c r="AJ69" s="102">
        <v>75054573</v>
      </c>
      <c r="AK69" s="102">
        <v>80266096</v>
      </c>
      <c r="AL69" s="102">
        <v>58852538</v>
      </c>
      <c r="AM69" s="102"/>
      <c r="AN69" s="102"/>
      <c r="AO69" s="109"/>
      <c r="AP69" s="110">
        <f t="shared" si="13"/>
        <v>472567024</v>
      </c>
      <c r="AR69" s="11" t="s">
        <v>137</v>
      </c>
    </row>
    <row r="70" spans="1:42" s="10" customFormat="1" ht="12.75">
      <c r="A70" s="82" t="s">
        <v>163</v>
      </c>
      <c r="B70" s="13" t="s">
        <v>125</v>
      </c>
      <c r="C70" s="102">
        <v>1602409118</v>
      </c>
      <c r="D70" s="102">
        <v>5692784</v>
      </c>
      <c r="E70" s="102">
        <v>48220000</v>
      </c>
      <c r="F70" s="102">
        <v>6880404</v>
      </c>
      <c r="G70" s="102">
        <v>0</v>
      </c>
      <c r="H70" s="102">
        <v>54652800</v>
      </c>
      <c r="I70" s="102">
        <v>54212563</v>
      </c>
      <c r="J70" s="102">
        <v>564439732</v>
      </c>
      <c r="K70" s="102">
        <v>806444239</v>
      </c>
      <c r="L70" s="102">
        <v>6328781</v>
      </c>
      <c r="M70" s="102"/>
      <c r="N70" s="102"/>
      <c r="O70" s="109"/>
      <c r="P70" s="106">
        <f t="shared" si="11"/>
        <v>1546871303</v>
      </c>
      <c r="Q70" s="102">
        <v>0</v>
      </c>
      <c r="R70" s="102">
        <v>3316266</v>
      </c>
      <c r="S70" s="102">
        <v>4114399</v>
      </c>
      <c r="T70" s="102">
        <v>10994803</v>
      </c>
      <c r="U70" s="102">
        <v>4114399</v>
      </c>
      <c r="V70" s="102">
        <v>4114399</v>
      </c>
      <c r="W70" s="102">
        <v>44826725</v>
      </c>
      <c r="X70" s="102">
        <v>406506553</v>
      </c>
      <c r="Y70" s="102">
        <v>599852120</v>
      </c>
      <c r="Z70" s="102"/>
      <c r="AA70" s="102"/>
      <c r="AB70" s="109"/>
      <c r="AC70" s="106">
        <f t="shared" si="12"/>
        <v>1077839664</v>
      </c>
      <c r="AD70" s="102">
        <v>0</v>
      </c>
      <c r="AE70" s="102">
        <v>316266</v>
      </c>
      <c r="AF70" s="120">
        <v>7114399</v>
      </c>
      <c r="AG70" s="102">
        <v>10994803</v>
      </c>
      <c r="AH70" s="102">
        <v>4114399</v>
      </c>
      <c r="AI70" s="102">
        <v>4114399</v>
      </c>
      <c r="AJ70" s="102">
        <v>39826725</v>
      </c>
      <c r="AK70" s="102">
        <v>411506553</v>
      </c>
      <c r="AL70" s="102">
        <v>599852120</v>
      </c>
      <c r="AM70" s="102"/>
      <c r="AN70" s="102"/>
      <c r="AO70" s="109"/>
      <c r="AP70" s="110">
        <f t="shared" si="13"/>
        <v>1077839664</v>
      </c>
    </row>
    <row r="71" spans="1:42" s="10" customFormat="1" ht="12.75">
      <c r="A71" s="82" t="s">
        <v>164</v>
      </c>
      <c r="B71" s="13" t="s">
        <v>166</v>
      </c>
      <c r="C71" s="102">
        <v>735257716</v>
      </c>
      <c r="D71" s="102">
        <v>298690035</v>
      </c>
      <c r="E71" s="102">
        <v>49132120</v>
      </c>
      <c r="F71" s="102">
        <v>101732209</v>
      </c>
      <c r="G71" s="102">
        <v>123563254</v>
      </c>
      <c r="H71" s="102">
        <v>22932427</v>
      </c>
      <c r="I71" s="102">
        <v>16777414</v>
      </c>
      <c r="J71" s="102">
        <v>1215579</v>
      </c>
      <c r="K71" s="102">
        <v>27293</v>
      </c>
      <c r="L71" s="102">
        <v>630</v>
      </c>
      <c r="M71" s="102"/>
      <c r="N71" s="102"/>
      <c r="O71" s="109"/>
      <c r="P71" s="106">
        <f t="shared" si="11"/>
        <v>614070961</v>
      </c>
      <c r="Q71" s="102">
        <v>0</v>
      </c>
      <c r="R71" s="102">
        <v>33687334</v>
      </c>
      <c r="S71" s="102">
        <v>39712726</v>
      </c>
      <c r="T71" s="102">
        <v>57976150</v>
      </c>
      <c r="U71" s="102">
        <v>69071902</v>
      </c>
      <c r="V71" s="102">
        <v>45713206</v>
      </c>
      <c r="W71" s="102">
        <v>62010169</v>
      </c>
      <c r="X71" s="102">
        <v>77800616</v>
      </c>
      <c r="Y71" s="102">
        <v>53067937</v>
      </c>
      <c r="Z71" s="102"/>
      <c r="AA71" s="102"/>
      <c r="AB71" s="109"/>
      <c r="AC71" s="106">
        <f t="shared" si="12"/>
        <v>439040040</v>
      </c>
      <c r="AD71" s="102">
        <v>0</v>
      </c>
      <c r="AE71" s="102">
        <v>11675699</v>
      </c>
      <c r="AF71" s="120">
        <v>61724361</v>
      </c>
      <c r="AG71" s="102">
        <v>57976150</v>
      </c>
      <c r="AH71" s="102">
        <v>49388904</v>
      </c>
      <c r="AI71" s="102">
        <v>65396204</v>
      </c>
      <c r="AJ71" s="102">
        <v>49510169</v>
      </c>
      <c r="AK71" s="102">
        <v>90300616</v>
      </c>
      <c r="AL71" s="102">
        <v>53067937</v>
      </c>
      <c r="AM71" s="102"/>
      <c r="AN71" s="102"/>
      <c r="AO71" s="109"/>
      <c r="AP71" s="110">
        <f t="shared" si="13"/>
        <v>439040040</v>
      </c>
    </row>
    <row r="72" spans="1:42" s="10" customFormat="1" ht="12.75">
      <c r="A72" s="82" t="s">
        <v>165</v>
      </c>
      <c r="B72" s="13" t="s">
        <v>167</v>
      </c>
      <c r="C72" s="102">
        <v>1376803293</v>
      </c>
      <c r="D72" s="102">
        <v>240390127</v>
      </c>
      <c r="E72" s="102">
        <v>264382665</v>
      </c>
      <c r="F72" s="102">
        <v>96129886</v>
      </c>
      <c r="G72" s="102">
        <v>202399061</v>
      </c>
      <c r="H72" s="102">
        <v>46076501</v>
      </c>
      <c r="I72" s="102">
        <v>19007929</v>
      </c>
      <c r="J72" s="102">
        <v>149024119</v>
      </c>
      <c r="K72" s="102">
        <v>30578109</v>
      </c>
      <c r="L72" s="102">
        <v>24316763</v>
      </c>
      <c r="M72" s="102"/>
      <c r="N72" s="102"/>
      <c r="O72" s="109"/>
      <c r="P72" s="106">
        <f t="shared" si="11"/>
        <v>1072305160</v>
      </c>
      <c r="Q72" s="102">
        <v>0</v>
      </c>
      <c r="R72" s="102">
        <v>23321853</v>
      </c>
      <c r="S72" s="102">
        <v>36693377</v>
      </c>
      <c r="T72" s="102">
        <v>54396690</v>
      </c>
      <c r="U72" s="102">
        <v>68660361</v>
      </c>
      <c r="V72" s="102">
        <v>64339661</v>
      </c>
      <c r="W72" s="102">
        <v>92978386</v>
      </c>
      <c r="X72" s="102">
        <v>95041870</v>
      </c>
      <c r="Y72" s="102">
        <v>77413935</v>
      </c>
      <c r="Z72" s="102"/>
      <c r="AA72" s="102"/>
      <c r="AB72" s="109"/>
      <c r="AC72" s="106">
        <f t="shared" si="12"/>
        <v>512846133</v>
      </c>
      <c r="AD72" s="102">
        <v>0</v>
      </c>
      <c r="AE72" s="102">
        <v>7109556</v>
      </c>
      <c r="AF72" s="120">
        <v>52905674</v>
      </c>
      <c r="AG72" s="102">
        <v>52098393</v>
      </c>
      <c r="AH72" s="102">
        <v>70958658</v>
      </c>
      <c r="AI72" s="102">
        <v>64339661</v>
      </c>
      <c r="AJ72" s="102">
        <v>77329052</v>
      </c>
      <c r="AK72" s="102">
        <v>108392907</v>
      </c>
      <c r="AL72" s="102">
        <v>79157787</v>
      </c>
      <c r="AM72" s="102"/>
      <c r="AN72" s="102"/>
      <c r="AO72" s="109"/>
      <c r="AP72" s="110">
        <f t="shared" si="13"/>
        <v>512291688</v>
      </c>
    </row>
    <row r="73" spans="1:42" s="10" customFormat="1" ht="12.75">
      <c r="A73" s="82" t="s">
        <v>168</v>
      </c>
      <c r="B73" s="13" t="s">
        <v>169</v>
      </c>
      <c r="C73" s="102">
        <v>5121735692</v>
      </c>
      <c r="D73" s="102">
        <v>95152801</v>
      </c>
      <c r="E73" s="102">
        <v>3564124</v>
      </c>
      <c r="F73" s="102">
        <v>477622198</v>
      </c>
      <c r="G73" s="102">
        <v>399970640</v>
      </c>
      <c r="H73" s="102">
        <v>1048857255</v>
      </c>
      <c r="I73" s="112">
        <v>387943967.2</v>
      </c>
      <c r="J73" s="102">
        <v>6299074</v>
      </c>
      <c r="K73" s="102">
        <v>3212992</v>
      </c>
      <c r="L73" s="102">
        <v>-1939664</v>
      </c>
      <c r="M73" s="102"/>
      <c r="N73" s="102"/>
      <c r="O73" s="109"/>
      <c r="P73" s="106">
        <f t="shared" si="11"/>
        <v>2420683387.2</v>
      </c>
      <c r="Q73" s="102">
        <v>0</v>
      </c>
      <c r="R73" s="102">
        <v>13256396</v>
      </c>
      <c r="S73" s="102">
        <v>19590743</v>
      </c>
      <c r="T73" s="102">
        <v>65288470</v>
      </c>
      <c r="U73" s="102">
        <v>160767240</v>
      </c>
      <c r="V73" s="102">
        <v>728940373</v>
      </c>
      <c r="W73" s="102">
        <v>945505050.2</v>
      </c>
      <c r="X73" s="102">
        <v>228212611</v>
      </c>
      <c r="Y73" s="102">
        <v>82792744</v>
      </c>
      <c r="Z73" s="102"/>
      <c r="AA73" s="102"/>
      <c r="AB73" s="109"/>
      <c r="AC73" s="106">
        <f t="shared" si="12"/>
        <v>2244353627.2</v>
      </c>
      <c r="AD73" s="102">
        <v>0</v>
      </c>
      <c r="AE73" s="102">
        <v>11756396</v>
      </c>
      <c r="AF73" s="120">
        <v>21090743</v>
      </c>
      <c r="AG73" s="102">
        <v>52654500</v>
      </c>
      <c r="AH73" s="102">
        <v>146350850</v>
      </c>
      <c r="AI73" s="102">
        <v>739828357</v>
      </c>
      <c r="AJ73" s="102">
        <v>959167426.2</v>
      </c>
      <c r="AK73" s="102">
        <v>228007571</v>
      </c>
      <c r="AL73" s="102">
        <v>82792744</v>
      </c>
      <c r="AM73" s="102"/>
      <c r="AN73" s="102"/>
      <c r="AO73" s="109"/>
      <c r="AP73" s="110">
        <f t="shared" si="13"/>
        <v>2241648587.2</v>
      </c>
    </row>
    <row r="74" spans="1:42" s="10" customFormat="1" ht="12.75">
      <c r="A74" s="82" t="s">
        <v>170</v>
      </c>
      <c r="B74" s="13" t="s">
        <v>171</v>
      </c>
      <c r="C74" s="49">
        <v>2174524752</v>
      </c>
      <c r="D74" s="109">
        <v>722789490</v>
      </c>
      <c r="E74" s="109">
        <v>395668326</v>
      </c>
      <c r="F74" s="102">
        <v>357742201</v>
      </c>
      <c r="G74" s="109">
        <v>85058221</v>
      </c>
      <c r="H74" s="109">
        <v>18901676</v>
      </c>
      <c r="I74" s="109">
        <v>59331131</v>
      </c>
      <c r="J74" s="109">
        <v>71056940</v>
      </c>
      <c r="K74" s="109">
        <v>91532460</v>
      </c>
      <c r="L74" s="109">
        <v>92377400</v>
      </c>
      <c r="M74" s="109"/>
      <c r="N74" s="109"/>
      <c r="O74" s="109"/>
      <c r="P74" s="45">
        <f aca="true" t="shared" si="14" ref="P74:P79">SUM(D74:O74)</f>
        <v>1894457845</v>
      </c>
      <c r="Q74" s="102">
        <v>237300867</v>
      </c>
      <c r="R74" s="102">
        <v>117868567</v>
      </c>
      <c r="S74" s="102">
        <v>96874871</v>
      </c>
      <c r="T74" s="102">
        <v>103535092</v>
      </c>
      <c r="U74" s="102">
        <v>145178614</v>
      </c>
      <c r="V74" s="102">
        <v>136055746</v>
      </c>
      <c r="W74" s="102">
        <v>175976029</v>
      </c>
      <c r="X74" s="102">
        <v>135166877</v>
      </c>
      <c r="Y74" s="102">
        <v>186755180</v>
      </c>
      <c r="Z74" s="102"/>
      <c r="AA74" s="102"/>
      <c r="AB74" s="109"/>
      <c r="AC74" s="45">
        <f aca="true" t="shared" si="15" ref="AC74:AC79">SUM(Q74:AB74)</f>
        <v>1334711843</v>
      </c>
      <c r="AD74" s="102">
        <v>628000</v>
      </c>
      <c r="AE74" s="102">
        <v>329341434</v>
      </c>
      <c r="AF74" s="120">
        <v>121720132</v>
      </c>
      <c r="AG74" s="102">
        <v>103889831</v>
      </c>
      <c r="AH74" s="102">
        <v>139978614</v>
      </c>
      <c r="AI74" s="102">
        <v>141255746</v>
      </c>
      <c r="AJ74" s="102">
        <v>132804399</v>
      </c>
      <c r="AK74" s="102">
        <v>178338507</v>
      </c>
      <c r="AL74" s="102">
        <v>185218262</v>
      </c>
      <c r="AM74" s="102"/>
      <c r="AN74" s="102"/>
      <c r="AO74" s="102"/>
      <c r="AP74" s="108">
        <f aca="true" t="shared" si="16" ref="AP74:AP79">SUM(AD74:AO74)</f>
        <v>1333174925</v>
      </c>
    </row>
    <row r="75" spans="1:42" s="10" customFormat="1" ht="12.75">
      <c r="A75" s="82" t="s">
        <v>172</v>
      </c>
      <c r="B75" s="13" t="s">
        <v>145</v>
      </c>
      <c r="C75" s="102">
        <v>2204810186</v>
      </c>
      <c r="D75" s="109">
        <v>780387890</v>
      </c>
      <c r="E75" s="109">
        <v>344671772</v>
      </c>
      <c r="F75" s="102">
        <v>231587755</v>
      </c>
      <c r="G75" s="109">
        <v>481995028</v>
      </c>
      <c r="H75" s="109">
        <v>26128223</v>
      </c>
      <c r="I75" s="109">
        <v>13790400</v>
      </c>
      <c r="J75" s="109">
        <v>11188492</v>
      </c>
      <c r="K75" s="109">
        <v>59570233.2</v>
      </c>
      <c r="L75" s="109">
        <v>7429082</v>
      </c>
      <c r="M75" s="109"/>
      <c r="N75" s="109"/>
      <c r="O75" s="109"/>
      <c r="P75" s="45">
        <f t="shared" si="14"/>
        <v>1956748875.2</v>
      </c>
      <c r="Q75" s="102">
        <v>0</v>
      </c>
      <c r="R75" s="102">
        <v>148794520</v>
      </c>
      <c r="S75" s="102">
        <v>189196713</v>
      </c>
      <c r="T75" s="102">
        <v>198928791</v>
      </c>
      <c r="U75" s="102">
        <v>165869154</v>
      </c>
      <c r="V75" s="102">
        <v>142744096</v>
      </c>
      <c r="W75" s="102">
        <v>175536412</v>
      </c>
      <c r="X75" s="102">
        <v>165297145</v>
      </c>
      <c r="Y75" s="102">
        <v>169550044</v>
      </c>
      <c r="Z75" s="102"/>
      <c r="AA75" s="102"/>
      <c r="AB75" s="109"/>
      <c r="AC75" s="45">
        <f t="shared" si="15"/>
        <v>1355916875</v>
      </c>
      <c r="AD75" s="102">
        <v>0</v>
      </c>
      <c r="AE75" s="102">
        <v>144594520</v>
      </c>
      <c r="AF75" s="120">
        <v>191356713</v>
      </c>
      <c r="AG75" s="102">
        <v>193335160</v>
      </c>
      <c r="AH75" s="102">
        <v>171381185</v>
      </c>
      <c r="AI75" s="102">
        <v>144865696</v>
      </c>
      <c r="AJ75" s="102">
        <v>164293212</v>
      </c>
      <c r="AK75" s="102">
        <v>168009225</v>
      </c>
      <c r="AL75" s="102">
        <v>167428444</v>
      </c>
      <c r="AM75" s="102"/>
      <c r="AN75" s="102"/>
      <c r="AO75" s="102"/>
      <c r="AP75" s="108">
        <f t="shared" si="16"/>
        <v>1345264155</v>
      </c>
    </row>
    <row r="76" spans="1:42" s="10" customFormat="1" ht="12.75">
      <c r="A76" s="82" t="s">
        <v>173</v>
      </c>
      <c r="B76" s="13" t="s">
        <v>174</v>
      </c>
      <c r="C76" s="102">
        <f>50000000000-3000000000</f>
        <v>47000000000</v>
      </c>
      <c r="D76" s="109">
        <v>13775462184</v>
      </c>
      <c r="E76" s="109">
        <v>1871217380</v>
      </c>
      <c r="F76" s="102">
        <v>184652048</v>
      </c>
      <c r="G76" s="109">
        <v>78169285</v>
      </c>
      <c r="H76" s="109">
        <v>625213187</v>
      </c>
      <c r="I76" s="109">
        <v>4120924602</v>
      </c>
      <c r="J76" s="109">
        <v>1319079175</v>
      </c>
      <c r="K76" s="109">
        <v>331637657</v>
      </c>
      <c r="L76" s="109">
        <v>394212224</v>
      </c>
      <c r="M76" s="109"/>
      <c r="N76" s="109"/>
      <c r="O76" s="109"/>
      <c r="P76" s="45">
        <f t="shared" si="14"/>
        <v>22700567742</v>
      </c>
      <c r="Q76" s="102">
        <v>0</v>
      </c>
      <c r="R76" s="102">
        <v>88290675</v>
      </c>
      <c r="S76" s="102">
        <v>428887969</v>
      </c>
      <c r="T76" s="102">
        <v>500919164</v>
      </c>
      <c r="U76" s="102">
        <v>558991424</v>
      </c>
      <c r="V76" s="102">
        <v>14253672196</v>
      </c>
      <c r="W76" s="102">
        <v>1682301041</v>
      </c>
      <c r="X76" s="102">
        <v>945448268</v>
      </c>
      <c r="Y76" s="102">
        <v>626667400</v>
      </c>
      <c r="Z76" s="102"/>
      <c r="AA76" s="102"/>
      <c r="AB76" s="109"/>
      <c r="AC76" s="45">
        <f t="shared" si="15"/>
        <v>19085178137</v>
      </c>
      <c r="AD76" s="102">
        <v>0</v>
      </c>
      <c r="AE76" s="102">
        <v>46993783</v>
      </c>
      <c r="AF76" s="120">
        <v>453313486</v>
      </c>
      <c r="AG76" s="102">
        <v>484466560</v>
      </c>
      <c r="AH76" s="102">
        <v>556562738</v>
      </c>
      <c r="AI76" s="102">
        <v>14284289220</v>
      </c>
      <c r="AJ76" s="102">
        <v>1639035973</v>
      </c>
      <c r="AK76" s="102">
        <v>949740255</v>
      </c>
      <c r="AL76" s="102">
        <v>666444905</v>
      </c>
      <c r="AM76" s="102"/>
      <c r="AN76" s="102"/>
      <c r="AO76" s="102"/>
      <c r="AP76" s="108">
        <f t="shared" si="16"/>
        <v>19080846920</v>
      </c>
    </row>
    <row r="77" spans="1:42" s="10" customFormat="1" ht="12.75">
      <c r="A77" s="82" t="s">
        <v>175</v>
      </c>
      <c r="B77" s="13" t="s">
        <v>176</v>
      </c>
      <c r="C77" s="102">
        <f>968865414+3000000000</f>
        <v>3968865414</v>
      </c>
      <c r="D77" s="109">
        <v>796657094</v>
      </c>
      <c r="E77" s="109">
        <v>30251514</v>
      </c>
      <c r="F77" s="102">
        <v>597232050</v>
      </c>
      <c r="G77" s="109">
        <v>1642564624</v>
      </c>
      <c r="H77" s="109">
        <v>72655663</v>
      </c>
      <c r="I77" s="109">
        <v>204728116</v>
      </c>
      <c r="J77" s="109">
        <v>21947371</v>
      </c>
      <c r="K77" s="109">
        <v>47086090</v>
      </c>
      <c r="L77" s="109">
        <v>31945115</v>
      </c>
      <c r="M77" s="109"/>
      <c r="N77" s="109"/>
      <c r="O77" s="109"/>
      <c r="P77" s="45">
        <f>SUM(D77:O77)</f>
        <v>3445067637</v>
      </c>
      <c r="Q77" s="102">
        <v>5651779</v>
      </c>
      <c r="R77" s="102">
        <v>288938949</v>
      </c>
      <c r="S77" s="102">
        <v>260864821</v>
      </c>
      <c r="T77" s="102">
        <v>301570786</v>
      </c>
      <c r="U77" s="102">
        <v>314688064</v>
      </c>
      <c r="V77" s="102">
        <v>295085192</v>
      </c>
      <c r="W77" s="102">
        <v>461145516</v>
      </c>
      <c r="X77" s="102">
        <v>308630428</v>
      </c>
      <c r="Y77" s="102">
        <v>308072099</v>
      </c>
      <c r="Z77" s="102"/>
      <c r="AA77" s="102"/>
      <c r="AB77" s="109"/>
      <c r="AC77" s="45">
        <f>SUM(Q77:AB77)</f>
        <v>2544647634</v>
      </c>
      <c r="AD77" s="102">
        <v>5651779</v>
      </c>
      <c r="AE77" s="102">
        <v>288938949</v>
      </c>
      <c r="AF77" s="120">
        <v>260864821</v>
      </c>
      <c r="AG77" s="102">
        <v>297489309</v>
      </c>
      <c r="AH77" s="102">
        <v>318769541</v>
      </c>
      <c r="AI77" s="102">
        <v>295085192</v>
      </c>
      <c r="AJ77" s="102">
        <v>458737916</v>
      </c>
      <c r="AK77" s="102">
        <v>311038028</v>
      </c>
      <c r="AL77" s="102">
        <v>308072099</v>
      </c>
      <c r="AM77" s="102"/>
      <c r="AN77" s="102"/>
      <c r="AO77" s="102"/>
      <c r="AP77" s="108">
        <f>SUM(AD77:AO77)</f>
        <v>2544647634</v>
      </c>
    </row>
    <row r="78" spans="1:42" s="10" customFormat="1" ht="12.75">
      <c r="A78" s="82" t="s">
        <v>177</v>
      </c>
      <c r="B78" s="13" t="s">
        <v>178</v>
      </c>
      <c r="C78" s="102">
        <v>1500000000</v>
      </c>
      <c r="D78" s="109">
        <v>222580349</v>
      </c>
      <c r="E78" s="109">
        <v>139541297</v>
      </c>
      <c r="F78" s="102">
        <v>462131937</v>
      </c>
      <c r="G78" s="109">
        <v>265554458</v>
      </c>
      <c r="H78" s="109">
        <v>21237032</v>
      </c>
      <c r="I78" s="109">
        <v>0</v>
      </c>
      <c r="J78" s="109">
        <v>-788936</v>
      </c>
      <c r="K78" s="109">
        <v>14306201</v>
      </c>
      <c r="L78" s="109">
        <v>26116058</v>
      </c>
      <c r="M78" s="109"/>
      <c r="N78" s="109"/>
      <c r="O78" s="109"/>
      <c r="P78" s="45">
        <f>SUM(D78:O78)</f>
        <v>1150678396</v>
      </c>
      <c r="Q78" s="102">
        <v>0</v>
      </c>
      <c r="R78" s="102">
        <v>22256215</v>
      </c>
      <c r="S78" s="102">
        <v>33149988</v>
      </c>
      <c r="T78" s="102">
        <v>48054669</v>
      </c>
      <c r="U78" s="102">
        <v>165938316</v>
      </c>
      <c r="V78" s="102">
        <v>175109022</v>
      </c>
      <c r="W78" s="102">
        <v>181440080</v>
      </c>
      <c r="X78" s="102">
        <v>156871948</v>
      </c>
      <c r="Y78" s="102">
        <v>158455859</v>
      </c>
      <c r="Z78" s="102"/>
      <c r="AA78" s="102"/>
      <c r="AB78" s="109"/>
      <c r="AC78" s="45">
        <f>SUM(Q78:AB78)</f>
        <v>941276097</v>
      </c>
      <c r="AD78" s="102">
        <v>0</v>
      </c>
      <c r="AE78" s="102">
        <v>17743203</v>
      </c>
      <c r="AF78" s="120">
        <v>35249988</v>
      </c>
      <c r="AG78" s="102">
        <v>47624357</v>
      </c>
      <c r="AH78" s="102">
        <v>166368628</v>
      </c>
      <c r="AI78" s="102">
        <v>177522034</v>
      </c>
      <c r="AJ78" s="102">
        <v>177940080</v>
      </c>
      <c r="AK78" s="102">
        <v>160371948</v>
      </c>
      <c r="AL78" s="102">
        <v>158455859</v>
      </c>
      <c r="AM78" s="102"/>
      <c r="AN78" s="102"/>
      <c r="AO78" s="102"/>
      <c r="AP78" s="108">
        <f>SUM(AD78:AO78)</f>
        <v>941276097</v>
      </c>
    </row>
    <row r="79" spans="1:42" s="10" customFormat="1" ht="13.5" thickBot="1">
      <c r="A79" s="82" t="s">
        <v>220</v>
      </c>
      <c r="B79" s="13" t="s">
        <v>179</v>
      </c>
      <c r="C79" s="102">
        <f>2306269048+209000000</f>
        <v>2515269048</v>
      </c>
      <c r="D79" s="109">
        <v>0</v>
      </c>
      <c r="E79" s="109">
        <v>77471622</v>
      </c>
      <c r="F79" s="102">
        <v>379414710</v>
      </c>
      <c r="G79" s="109">
        <v>1671828409</v>
      </c>
      <c r="H79" s="109">
        <v>16786307</v>
      </c>
      <c r="I79" s="109">
        <v>11215687</v>
      </c>
      <c r="J79" s="109">
        <v>-37500</v>
      </c>
      <c r="K79" s="109">
        <v>7000000</v>
      </c>
      <c r="L79" s="109">
        <v>15066220</v>
      </c>
      <c r="M79" s="109"/>
      <c r="N79" s="109"/>
      <c r="O79" s="109"/>
      <c r="P79" s="45">
        <f t="shared" si="14"/>
        <v>2178745455</v>
      </c>
      <c r="Q79" s="102">
        <v>0</v>
      </c>
      <c r="R79" s="102">
        <v>24170477</v>
      </c>
      <c r="S79" s="102">
        <v>11319379</v>
      </c>
      <c r="T79" s="102">
        <v>77382598</v>
      </c>
      <c r="U79" s="102">
        <v>1240496609</v>
      </c>
      <c r="V79" s="102">
        <v>669307972</v>
      </c>
      <c r="W79" s="102">
        <v>95227527</v>
      </c>
      <c r="X79" s="102">
        <v>20828533</v>
      </c>
      <c r="Y79" s="102">
        <v>5506647</v>
      </c>
      <c r="Z79" s="102"/>
      <c r="AA79" s="102"/>
      <c r="AB79" s="109"/>
      <c r="AC79" s="45">
        <f t="shared" si="15"/>
        <v>2144239742</v>
      </c>
      <c r="AD79" s="102">
        <v>0</v>
      </c>
      <c r="AE79" s="102">
        <v>19670477</v>
      </c>
      <c r="AF79" s="120">
        <v>15181931</v>
      </c>
      <c r="AG79" s="102">
        <v>78020046</v>
      </c>
      <c r="AH79" s="102">
        <v>1239833301</v>
      </c>
      <c r="AI79" s="102">
        <v>669971280</v>
      </c>
      <c r="AJ79" s="102">
        <v>87727527</v>
      </c>
      <c r="AK79" s="102">
        <v>28328533</v>
      </c>
      <c r="AL79" s="102">
        <v>5506647</v>
      </c>
      <c r="AM79" s="102"/>
      <c r="AN79" s="102"/>
      <c r="AO79" s="102"/>
      <c r="AP79" s="108">
        <f t="shared" si="16"/>
        <v>2144239742</v>
      </c>
    </row>
    <row r="80" spans="1:42" s="11" customFormat="1" ht="13.5" thickBot="1">
      <c r="A80" s="151"/>
      <c r="B80" s="152"/>
      <c r="C80" s="47">
        <f aca="true" t="shared" si="17" ref="C80:AP80">SUM(C13+C41+C55+C60)</f>
        <v>191135848123</v>
      </c>
      <c r="D80" s="47">
        <f t="shared" si="17"/>
        <v>31881751057.88</v>
      </c>
      <c r="E80" s="47">
        <f t="shared" si="17"/>
        <v>12296149434.759998</v>
      </c>
      <c r="F80" s="47">
        <f t="shared" si="17"/>
        <v>13092004014.11</v>
      </c>
      <c r="G80" s="47">
        <f t="shared" si="17"/>
        <v>18384980489.71</v>
      </c>
      <c r="H80" s="47">
        <f t="shared" si="17"/>
        <v>8388529496.93</v>
      </c>
      <c r="I80" s="47">
        <f t="shared" si="17"/>
        <v>10686206996.36</v>
      </c>
      <c r="J80" s="47">
        <f t="shared" si="17"/>
        <v>10929733696.59</v>
      </c>
      <c r="K80" s="47">
        <f t="shared" si="17"/>
        <v>7694482757.429999</v>
      </c>
      <c r="L80" s="47">
        <f t="shared" si="17"/>
        <v>8377209470.54</v>
      </c>
      <c r="M80" s="47">
        <f t="shared" si="17"/>
        <v>0</v>
      </c>
      <c r="N80" s="47">
        <f t="shared" si="17"/>
        <v>0</v>
      </c>
      <c r="O80" s="47">
        <f t="shared" si="17"/>
        <v>0</v>
      </c>
      <c r="P80" s="47">
        <f t="shared" si="17"/>
        <v>121731047414.31</v>
      </c>
      <c r="Q80" s="47">
        <f t="shared" si="17"/>
        <v>3266262063.88</v>
      </c>
      <c r="R80" s="47">
        <f t="shared" si="17"/>
        <v>7872151086.19</v>
      </c>
      <c r="S80" s="47">
        <f t="shared" si="17"/>
        <v>8402818638.110001</v>
      </c>
      <c r="T80" s="47">
        <f t="shared" si="17"/>
        <v>9068017741.75</v>
      </c>
      <c r="U80" s="47">
        <f t="shared" si="17"/>
        <v>10899162371.84</v>
      </c>
      <c r="V80" s="47">
        <f t="shared" si="17"/>
        <v>25177278936.660004</v>
      </c>
      <c r="W80" s="47">
        <f t="shared" si="17"/>
        <v>13846391065.69</v>
      </c>
      <c r="X80" s="47">
        <f t="shared" si="17"/>
        <v>10423317247.029999</v>
      </c>
      <c r="Y80" s="47">
        <f t="shared" si="17"/>
        <v>11391284830.54</v>
      </c>
      <c r="Z80" s="47">
        <f t="shared" si="17"/>
        <v>0</v>
      </c>
      <c r="AA80" s="47">
        <f t="shared" si="17"/>
        <v>0</v>
      </c>
      <c r="AB80" s="47">
        <f t="shared" si="17"/>
        <v>0</v>
      </c>
      <c r="AC80" s="47">
        <f t="shared" si="17"/>
        <v>100346683981.69</v>
      </c>
      <c r="AD80" s="47">
        <f t="shared" si="17"/>
        <v>2643914014.88</v>
      </c>
      <c r="AE80" s="47">
        <f t="shared" si="17"/>
        <v>8144842729.19</v>
      </c>
      <c r="AF80" s="47">
        <f t="shared" si="17"/>
        <v>8504622445.110001</v>
      </c>
      <c r="AG80" s="47">
        <f t="shared" si="17"/>
        <v>9144721589.75</v>
      </c>
      <c r="AH80" s="47">
        <f t="shared" si="17"/>
        <v>10963590878.84</v>
      </c>
      <c r="AI80" s="47">
        <f t="shared" si="17"/>
        <v>25138867277.660004</v>
      </c>
      <c r="AJ80" s="47">
        <f t="shared" si="17"/>
        <v>13388343992.69</v>
      </c>
      <c r="AK80" s="47">
        <f t="shared" si="17"/>
        <v>10943607579.029999</v>
      </c>
      <c r="AL80" s="47">
        <f t="shared" si="17"/>
        <v>11411712286.54</v>
      </c>
      <c r="AM80" s="47">
        <f t="shared" si="17"/>
        <v>0</v>
      </c>
      <c r="AN80" s="47">
        <f t="shared" si="17"/>
        <v>0</v>
      </c>
      <c r="AO80" s="47">
        <f t="shared" si="17"/>
        <v>0</v>
      </c>
      <c r="AP80" s="37">
        <f t="shared" si="17"/>
        <v>100284222793.69</v>
      </c>
    </row>
    <row r="81" spans="1:42" ht="12.75">
      <c r="A81" s="69" t="s">
        <v>138</v>
      </c>
      <c r="B81" s="77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78"/>
    </row>
    <row r="82" spans="1:42" ht="12.75">
      <c r="A82" s="129">
        <f ca="1">TODAY()</f>
        <v>41563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116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79"/>
    </row>
    <row r="83" spans="1:42" ht="9.75" customHeight="1" thickBot="1">
      <c r="A83" s="70"/>
      <c r="B83" s="80"/>
      <c r="C83" s="2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59"/>
      <c r="AL83" s="59"/>
      <c r="AM83" s="59"/>
      <c r="AN83" s="59"/>
      <c r="AO83" s="59"/>
      <c r="AP83" s="79"/>
    </row>
    <row r="84" spans="1:42" ht="12.75" customHeight="1">
      <c r="A84" s="70"/>
      <c r="B84" s="98" t="s">
        <v>221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150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59"/>
      <c r="AM84" s="59"/>
      <c r="AN84" s="59"/>
      <c r="AO84" s="59"/>
      <c r="AP84" s="79"/>
    </row>
    <row r="85" spans="1:42" ht="0.75" customHeight="1" thickBot="1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7"/>
    </row>
    <row r="86" spans="1:42" ht="0.75" customHeight="1">
      <c r="A86" s="9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</row>
    <row r="87" spans="1:42" ht="0.75" customHeight="1">
      <c r="A87" s="9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</row>
    <row r="88" spans="1:42" ht="95.25" customHeight="1">
      <c r="A88" s="149" t="s">
        <v>226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</row>
    <row r="89" spans="1:42" ht="12" customHeigh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</row>
    <row r="90" spans="1:42" ht="10.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</row>
    <row r="94" ht="12.75">
      <c r="C94" s="10"/>
    </row>
    <row r="95" ht="13.5" thickBot="1"/>
    <row r="96" ht="13.5" thickBot="1">
      <c r="H96" s="36"/>
    </row>
    <row r="97" ht="12.75">
      <c r="H97" s="36"/>
    </row>
    <row r="98" ht="12.75">
      <c r="H98" s="10"/>
    </row>
  </sheetData>
  <sheetProtection/>
  <mergeCells count="9">
    <mergeCell ref="A5:AP5"/>
    <mergeCell ref="A4:AP4"/>
    <mergeCell ref="A1:AP1"/>
    <mergeCell ref="A2:AP2"/>
    <mergeCell ref="A3:AP3"/>
    <mergeCell ref="A88:AP88"/>
    <mergeCell ref="X84:AK84"/>
    <mergeCell ref="X83:AJ83"/>
    <mergeCell ref="A80:B80"/>
  </mergeCells>
  <printOptions horizontalCentered="1" verticalCentered="1"/>
  <pageMargins left="0.9055118110236221" right="0.6692913385826772" top="0.15748031496062992" bottom="0.1968503937007874" header="0.15748031496062992" footer="0.1968503937007874"/>
  <pageSetup horizontalDpi="300" verticalDpi="300" orientation="landscape" paperSize="5" scale="75" r:id="rId1"/>
  <headerFooter alignWithMargins="0">
    <oddHeader>&amp;C
</oddHeader>
    <oddFooter>&amp;CHACIENDA2013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2">
      <pane xSplit="1" topLeftCell="L1" activePane="topRight" state="frozen"/>
      <selection pane="topLeft" activeCell="A1" sqref="A1"/>
      <selection pane="topRight" activeCell="AD2" sqref="AD1:AD16384"/>
    </sheetView>
  </sheetViews>
  <sheetFormatPr defaultColWidth="11.421875" defaultRowHeight="12.75"/>
  <cols>
    <col min="1" max="1" width="18.57421875" style="1" bestFit="1" customWidth="1"/>
    <col min="2" max="2" width="66.28125" style="1" bestFit="1" customWidth="1"/>
    <col min="3" max="3" width="21.28125" style="1" bestFit="1" customWidth="1"/>
    <col min="4" max="11" width="17.57421875" style="1" hidden="1" customWidth="1"/>
    <col min="12" max="12" width="17.57421875" style="1" customWidth="1"/>
    <col min="13" max="15" width="17.57421875" style="1" hidden="1" customWidth="1"/>
    <col min="16" max="16" width="21.8515625" style="1" customWidth="1"/>
    <col min="17" max="24" width="21.8515625" style="1" hidden="1" customWidth="1"/>
    <col min="25" max="25" width="21.8515625" style="1" customWidth="1"/>
    <col min="26" max="28" width="21.8515625" style="1" hidden="1" customWidth="1"/>
    <col min="29" max="29" width="19.28125" style="1" customWidth="1"/>
    <col min="30" max="16384" width="11.421875" style="1" customWidth="1"/>
  </cols>
  <sheetData>
    <row r="1" spans="1:29" s="22" customFormat="1" ht="13.5">
      <c r="A1" s="140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2"/>
    </row>
    <row r="2" spans="1:29" s="22" customFormat="1" ht="13.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5"/>
    </row>
    <row r="3" spans="1:29" s="22" customFormat="1" ht="13.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5"/>
    </row>
    <row r="4" spans="1:29" s="22" customFormat="1" ht="13.5">
      <c r="A4" s="133" t="s">
        <v>36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5"/>
    </row>
    <row r="5" spans="1:29" s="22" customFormat="1" ht="13.5">
      <c r="A5" s="133" t="s">
        <v>38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5"/>
    </row>
    <row r="6" spans="1:29" s="22" customFormat="1" ht="13.5">
      <c r="A6" s="24"/>
      <c r="B6" s="25"/>
      <c r="C6" s="25"/>
      <c r="D6" s="25" t="s">
        <v>137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6"/>
    </row>
    <row r="7" spans="1:29" s="22" customFormat="1" ht="13.5">
      <c r="A7" s="159" t="s">
        <v>2</v>
      </c>
      <c r="B7" s="160"/>
      <c r="C7" s="27" t="s">
        <v>39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8" t="s">
        <v>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9" t="s">
        <v>224</v>
      </c>
    </row>
    <row r="8" spans="1:29" s="22" customFormat="1" ht="15" customHeight="1" thickBot="1">
      <c r="A8" s="159" t="s">
        <v>3</v>
      </c>
      <c r="B8" s="160"/>
      <c r="C8" s="23" t="s">
        <v>37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8" t="s">
        <v>5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30">
        <v>2013</v>
      </c>
    </row>
    <row r="9" spans="1:29" s="22" customFormat="1" ht="14.25" hidden="1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3"/>
    </row>
    <row r="10" spans="1:29" s="22" customFormat="1" ht="13.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s="22" customFormat="1" ht="13.5">
      <c r="A11" s="64" t="s">
        <v>24</v>
      </c>
      <c r="B11" s="64" t="s">
        <v>26</v>
      </c>
      <c r="C11" s="64" t="s">
        <v>27</v>
      </c>
      <c r="D11" s="64" t="s">
        <v>29</v>
      </c>
      <c r="E11" s="64" t="s">
        <v>29</v>
      </c>
      <c r="F11" s="64" t="s">
        <v>29</v>
      </c>
      <c r="G11" s="64" t="s">
        <v>29</v>
      </c>
      <c r="H11" s="64" t="s">
        <v>29</v>
      </c>
      <c r="I11" s="64" t="s">
        <v>29</v>
      </c>
      <c r="J11" s="64" t="s">
        <v>29</v>
      </c>
      <c r="K11" s="64" t="s">
        <v>29</v>
      </c>
      <c r="L11" s="64" t="s">
        <v>29</v>
      </c>
      <c r="M11" s="64" t="s">
        <v>29</v>
      </c>
      <c r="N11" s="64" t="s">
        <v>29</v>
      </c>
      <c r="O11" s="64" t="s">
        <v>29</v>
      </c>
      <c r="P11" s="64" t="s">
        <v>29</v>
      </c>
      <c r="Q11" s="64" t="s">
        <v>30</v>
      </c>
      <c r="R11" s="64" t="s">
        <v>30</v>
      </c>
      <c r="S11" s="64" t="s">
        <v>30</v>
      </c>
      <c r="T11" s="64" t="s">
        <v>30</v>
      </c>
      <c r="U11" s="64" t="s">
        <v>30</v>
      </c>
      <c r="V11" s="64" t="s">
        <v>30</v>
      </c>
      <c r="W11" s="64" t="s">
        <v>30</v>
      </c>
      <c r="X11" s="64" t="s">
        <v>30</v>
      </c>
      <c r="Y11" s="64" t="s">
        <v>30</v>
      </c>
      <c r="Z11" s="64" t="s">
        <v>30</v>
      </c>
      <c r="AA11" s="64" t="s">
        <v>30</v>
      </c>
      <c r="AB11" s="64" t="s">
        <v>30</v>
      </c>
      <c r="AC11" s="64" t="s">
        <v>30</v>
      </c>
    </row>
    <row r="12" spans="1:29" s="22" customFormat="1" ht="14.25" thickBot="1">
      <c r="A12" s="65" t="s">
        <v>25</v>
      </c>
      <c r="B12" s="65"/>
      <c r="C12" s="65" t="s">
        <v>6</v>
      </c>
      <c r="D12" s="65" t="s">
        <v>7</v>
      </c>
      <c r="E12" s="65" t="s">
        <v>8</v>
      </c>
      <c r="F12" s="65" t="s">
        <v>9</v>
      </c>
      <c r="G12" s="65" t="s">
        <v>10</v>
      </c>
      <c r="H12" s="65" t="s">
        <v>20</v>
      </c>
      <c r="I12" s="65" t="s">
        <v>21</v>
      </c>
      <c r="J12" s="65" t="s">
        <v>22</v>
      </c>
      <c r="K12" s="65" t="s">
        <v>14</v>
      </c>
      <c r="L12" s="65" t="s">
        <v>15</v>
      </c>
      <c r="M12" s="65" t="s">
        <v>23</v>
      </c>
      <c r="N12" s="65" t="s">
        <v>17</v>
      </c>
      <c r="O12" s="65" t="s">
        <v>18</v>
      </c>
      <c r="P12" s="65" t="s">
        <v>31</v>
      </c>
      <c r="Q12" s="65" t="s">
        <v>7</v>
      </c>
      <c r="R12" s="65" t="s">
        <v>8</v>
      </c>
      <c r="S12" s="65" t="s">
        <v>9</v>
      </c>
      <c r="T12" s="65" t="s">
        <v>10</v>
      </c>
      <c r="U12" s="65" t="s">
        <v>20</v>
      </c>
      <c r="V12" s="65" t="s">
        <v>21</v>
      </c>
      <c r="W12" s="65" t="s">
        <v>22</v>
      </c>
      <c r="X12" s="65" t="s">
        <v>14</v>
      </c>
      <c r="Y12" s="65" t="s">
        <v>15</v>
      </c>
      <c r="Z12" s="65" t="s">
        <v>23</v>
      </c>
      <c r="AA12" s="65" t="s">
        <v>17</v>
      </c>
      <c r="AB12" s="65" t="s">
        <v>18</v>
      </c>
      <c r="AC12" s="65" t="s">
        <v>19</v>
      </c>
    </row>
    <row r="13" spans="1:29" s="22" customFormat="1" ht="18.75" customHeight="1" thickBot="1">
      <c r="A13" s="66">
        <v>1</v>
      </c>
      <c r="B13" s="66">
        <v>2</v>
      </c>
      <c r="C13" s="66"/>
      <c r="D13" s="66">
        <v>5</v>
      </c>
      <c r="E13" s="66">
        <v>5</v>
      </c>
      <c r="F13" s="66">
        <v>5</v>
      </c>
      <c r="G13" s="66">
        <v>5</v>
      </c>
      <c r="H13" s="66">
        <v>5</v>
      </c>
      <c r="I13" s="66">
        <v>5</v>
      </c>
      <c r="J13" s="66">
        <v>5</v>
      </c>
      <c r="K13" s="66">
        <v>5</v>
      </c>
      <c r="L13" s="66">
        <v>5</v>
      </c>
      <c r="M13" s="66">
        <v>5</v>
      </c>
      <c r="N13" s="66">
        <v>5</v>
      </c>
      <c r="O13" s="66">
        <v>5</v>
      </c>
      <c r="P13" s="66">
        <v>6</v>
      </c>
      <c r="Q13" s="66">
        <v>7</v>
      </c>
      <c r="R13" s="66">
        <v>7</v>
      </c>
      <c r="S13" s="66">
        <v>7</v>
      </c>
      <c r="T13" s="66">
        <v>7</v>
      </c>
      <c r="U13" s="66">
        <v>7</v>
      </c>
      <c r="V13" s="66">
        <v>7</v>
      </c>
      <c r="W13" s="66">
        <v>7</v>
      </c>
      <c r="X13" s="66">
        <v>7</v>
      </c>
      <c r="Y13" s="66">
        <v>7</v>
      </c>
      <c r="Z13" s="66">
        <v>7</v>
      </c>
      <c r="AA13" s="66">
        <v>7</v>
      </c>
      <c r="AB13" s="66">
        <v>7</v>
      </c>
      <c r="AC13" s="66">
        <v>8</v>
      </c>
    </row>
    <row r="14" spans="1:29" s="14" customFormat="1" ht="13.5" thickBot="1">
      <c r="A14" s="34"/>
      <c r="B14" s="35" t="s">
        <v>45</v>
      </c>
      <c r="C14" s="36">
        <f aca="true" t="shared" si="0" ref="C14:AC14">SUM(C15+C17)</f>
        <v>590145336.2</v>
      </c>
      <c r="D14" s="36">
        <f t="shared" si="0"/>
        <v>146088846</v>
      </c>
      <c r="E14" s="36">
        <f t="shared" si="0"/>
        <v>306834930</v>
      </c>
      <c r="F14" s="36">
        <f t="shared" si="0"/>
        <v>15888375</v>
      </c>
      <c r="G14" s="36">
        <f t="shared" si="0"/>
        <v>26346050.2</v>
      </c>
      <c r="H14" s="36">
        <f t="shared" si="0"/>
        <v>0</v>
      </c>
      <c r="I14" s="36">
        <f t="shared" si="0"/>
        <v>2779160</v>
      </c>
      <c r="J14" s="36">
        <f t="shared" si="0"/>
        <v>950000</v>
      </c>
      <c r="K14" s="36">
        <f t="shared" si="0"/>
        <v>8763627</v>
      </c>
      <c r="L14" s="36">
        <f t="shared" si="0"/>
        <v>0</v>
      </c>
      <c r="M14" s="36">
        <f t="shared" si="0"/>
        <v>0</v>
      </c>
      <c r="N14" s="36">
        <f t="shared" si="0"/>
        <v>0</v>
      </c>
      <c r="O14" s="36">
        <f t="shared" si="0"/>
        <v>0</v>
      </c>
      <c r="P14" s="36">
        <f t="shared" si="0"/>
        <v>507650988.2</v>
      </c>
      <c r="Q14" s="36">
        <f t="shared" si="0"/>
        <v>0</v>
      </c>
      <c r="R14" s="36">
        <f t="shared" si="0"/>
        <v>376952368</v>
      </c>
      <c r="S14" s="36">
        <f t="shared" si="0"/>
        <v>81189394</v>
      </c>
      <c r="T14" s="36">
        <f t="shared" si="0"/>
        <v>18987851</v>
      </c>
      <c r="U14" s="36">
        <f t="shared" si="0"/>
        <v>18028588.2</v>
      </c>
      <c r="V14" s="36">
        <f t="shared" si="0"/>
        <v>0</v>
      </c>
      <c r="W14" s="36">
        <f t="shared" si="0"/>
        <v>3729160</v>
      </c>
      <c r="X14" s="36">
        <f t="shared" si="0"/>
        <v>0</v>
      </c>
      <c r="Y14" s="36">
        <f t="shared" si="0"/>
        <v>8763627</v>
      </c>
      <c r="Z14" s="36">
        <f t="shared" si="0"/>
        <v>0</v>
      </c>
      <c r="AA14" s="36">
        <f t="shared" si="0"/>
        <v>0</v>
      </c>
      <c r="AB14" s="36">
        <f t="shared" si="0"/>
        <v>0</v>
      </c>
      <c r="AC14" s="36">
        <f t="shared" si="0"/>
        <v>507650988.2</v>
      </c>
    </row>
    <row r="15" spans="1:29" s="14" customFormat="1" ht="13.5" thickBot="1">
      <c r="A15" s="34"/>
      <c r="B15" s="35" t="s">
        <v>42</v>
      </c>
      <c r="C15" s="47">
        <f aca="true" t="shared" si="1" ref="C15:AC17">SUM(C16:C16)</f>
        <v>408069595</v>
      </c>
      <c r="D15" s="47">
        <f t="shared" si="1"/>
        <v>141988846</v>
      </c>
      <c r="E15" s="47">
        <f t="shared" si="1"/>
        <v>248254771</v>
      </c>
      <c r="F15" s="47">
        <f t="shared" si="1"/>
        <v>10014054</v>
      </c>
      <c r="G15" s="47">
        <f t="shared" si="1"/>
        <v>2707475</v>
      </c>
      <c r="H15" s="47">
        <f t="shared" si="1"/>
        <v>0</v>
      </c>
      <c r="I15" s="47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>
        <f t="shared" si="1"/>
        <v>0</v>
      </c>
      <c r="N15" s="47">
        <f t="shared" si="1"/>
        <v>0</v>
      </c>
      <c r="O15" s="47">
        <f t="shared" si="1"/>
        <v>0</v>
      </c>
      <c r="P15" s="47">
        <f t="shared" si="1"/>
        <v>402965146</v>
      </c>
      <c r="Q15" s="47">
        <f t="shared" si="1"/>
        <v>0</v>
      </c>
      <c r="R15" s="47">
        <f t="shared" si="1"/>
        <v>342917195</v>
      </c>
      <c r="S15" s="47">
        <f t="shared" si="1"/>
        <v>52544408</v>
      </c>
      <c r="T15" s="47">
        <f t="shared" si="1"/>
        <v>4796068</v>
      </c>
      <c r="U15" s="47">
        <f t="shared" si="1"/>
        <v>2707475</v>
      </c>
      <c r="V15" s="47">
        <f t="shared" si="1"/>
        <v>0</v>
      </c>
      <c r="W15" s="47">
        <f t="shared" si="1"/>
        <v>0</v>
      </c>
      <c r="X15" s="47">
        <f t="shared" si="1"/>
        <v>0</v>
      </c>
      <c r="Y15" s="47">
        <f t="shared" si="1"/>
        <v>0</v>
      </c>
      <c r="Z15" s="47">
        <f t="shared" si="1"/>
        <v>0</v>
      </c>
      <c r="AA15" s="47">
        <f t="shared" si="1"/>
        <v>0</v>
      </c>
      <c r="AB15" s="47">
        <f t="shared" si="1"/>
        <v>0</v>
      </c>
      <c r="AC15" s="47">
        <f t="shared" si="1"/>
        <v>402965146</v>
      </c>
    </row>
    <row r="16" spans="1:29" s="12" customFormat="1" ht="13.5" thickBot="1">
      <c r="A16" s="15" t="s">
        <v>117</v>
      </c>
      <c r="B16" s="40" t="s">
        <v>32</v>
      </c>
      <c r="C16" s="41">
        <v>408069595</v>
      </c>
      <c r="D16" s="41">
        <v>141988846</v>
      </c>
      <c r="E16" s="41">
        <v>248254771</v>
      </c>
      <c r="F16" s="41">
        <v>10014054</v>
      </c>
      <c r="G16" s="41">
        <v>2707475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/>
      <c r="N16" s="41"/>
      <c r="O16" s="41"/>
      <c r="P16" s="50">
        <f>SUM(D16:O16)</f>
        <v>402965146</v>
      </c>
      <c r="Q16" s="41"/>
      <c r="R16" s="41">
        <v>342917195</v>
      </c>
      <c r="S16" s="41">
        <v>52544408</v>
      </c>
      <c r="T16" s="41">
        <v>4796068</v>
      </c>
      <c r="U16" s="41">
        <v>2707475</v>
      </c>
      <c r="V16" s="41">
        <v>0</v>
      </c>
      <c r="W16" s="41">
        <v>0</v>
      </c>
      <c r="X16" s="41">
        <v>0</v>
      </c>
      <c r="Y16" s="41">
        <v>0</v>
      </c>
      <c r="Z16" s="41"/>
      <c r="AA16" s="41"/>
      <c r="AB16" s="41"/>
      <c r="AC16" s="43">
        <f>SUM(Q16:AB16)</f>
        <v>402965146</v>
      </c>
    </row>
    <row r="17" spans="1:29" s="14" customFormat="1" ht="13.5" thickBot="1">
      <c r="A17" s="21"/>
      <c r="B17" s="46" t="s">
        <v>43</v>
      </c>
      <c r="C17" s="47">
        <f t="shared" si="1"/>
        <v>182075741.2</v>
      </c>
      <c r="D17" s="47">
        <f t="shared" si="1"/>
        <v>4100000</v>
      </c>
      <c r="E17" s="47">
        <f t="shared" si="1"/>
        <v>58580159</v>
      </c>
      <c r="F17" s="47">
        <f t="shared" si="1"/>
        <v>5874321</v>
      </c>
      <c r="G17" s="47">
        <f t="shared" si="1"/>
        <v>23638575.2</v>
      </c>
      <c r="H17" s="47">
        <f t="shared" si="1"/>
        <v>0</v>
      </c>
      <c r="I17" s="47">
        <f t="shared" si="1"/>
        <v>2779160</v>
      </c>
      <c r="J17" s="47">
        <f t="shared" si="1"/>
        <v>950000</v>
      </c>
      <c r="K17" s="47">
        <f t="shared" si="1"/>
        <v>8763627</v>
      </c>
      <c r="L17" s="47">
        <f t="shared" si="1"/>
        <v>0</v>
      </c>
      <c r="M17" s="47">
        <f t="shared" si="1"/>
        <v>0</v>
      </c>
      <c r="N17" s="47">
        <f t="shared" si="1"/>
        <v>0</v>
      </c>
      <c r="O17" s="47">
        <f t="shared" si="1"/>
        <v>0</v>
      </c>
      <c r="P17" s="47">
        <f t="shared" si="1"/>
        <v>104685842.2</v>
      </c>
      <c r="Q17" s="47">
        <f t="shared" si="1"/>
        <v>0</v>
      </c>
      <c r="R17" s="47">
        <f t="shared" si="1"/>
        <v>34035173</v>
      </c>
      <c r="S17" s="47">
        <f t="shared" si="1"/>
        <v>28644986</v>
      </c>
      <c r="T17" s="47">
        <f t="shared" si="1"/>
        <v>14191783</v>
      </c>
      <c r="U17" s="47">
        <f t="shared" si="1"/>
        <v>15321113.2</v>
      </c>
      <c r="V17" s="47">
        <f t="shared" si="1"/>
        <v>0</v>
      </c>
      <c r="W17" s="47">
        <f t="shared" si="1"/>
        <v>3729160</v>
      </c>
      <c r="X17" s="47">
        <f t="shared" si="1"/>
        <v>0</v>
      </c>
      <c r="Y17" s="47">
        <f t="shared" si="1"/>
        <v>8763627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37">
        <f t="shared" si="1"/>
        <v>104685842.2</v>
      </c>
    </row>
    <row r="18" spans="1:29" s="14" customFormat="1" ht="13.5" thickBot="1">
      <c r="A18" s="16" t="s">
        <v>149</v>
      </c>
      <c r="B18" s="48" t="s">
        <v>135</v>
      </c>
      <c r="C18" s="89">
        <f>182638541.2-562800</f>
        <v>182075741.2</v>
      </c>
      <c r="D18" s="85">
        <v>4100000</v>
      </c>
      <c r="E18" s="89">
        <v>58580159</v>
      </c>
      <c r="F18" s="89">
        <v>5874321</v>
      </c>
      <c r="G18" s="89">
        <v>23638575.2</v>
      </c>
      <c r="H18" s="85">
        <v>0</v>
      </c>
      <c r="I18" s="85">
        <v>2779160</v>
      </c>
      <c r="J18" s="89">
        <v>950000</v>
      </c>
      <c r="K18" s="85">
        <v>8763627</v>
      </c>
      <c r="L18" s="85">
        <v>0</v>
      </c>
      <c r="M18" s="85"/>
      <c r="N18" s="85"/>
      <c r="O18" s="85"/>
      <c r="P18" s="50">
        <f>SUM(D18:O18)</f>
        <v>104685842.2</v>
      </c>
      <c r="Q18" s="89"/>
      <c r="R18" s="89">
        <v>34035173</v>
      </c>
      <c r="S18" s="89">
        <v>28644986</v>
      </c>
      <c r="T18" s="89">
        <v>14191783</v>
      </c>
      <c r="U18" s="89">
        <v>15321113.2</v>
      </c>
      <c r="V18" s="89">
        <v>0</v>
      </c>
      <c r="W18" s="89">
        <v>3729160</v>
      </c>
      <c r="X18" s="89">
        <v>0</v>
      </c>
      <c r="Y18" s="89">
        <v>8763627</v>
      </c>
      <c r="Z18" s="89"/>
      <c r="AA18" s="44"/>
      <c r="AB18" s="89"/>
      <c r="AC18" s="83">
        <f>SUM(Q18:AB18)</f>
        <v>104685842.2</v>
      </c>
    </row>
    <row r="19" spans="1:29" s="14" customFormat="1" ht="13.5" hidden="1" thickBot="1">
      <c r="A19" s="21"/>
      <c r="B19" s="46" t="s">
        <v>44</v>
      </c>
      <c r="C19" s="47">
        <f aca="true" t="shared" si="2" ref="C19:AC19">SUM(C20:C22)</f>
        <v>0</v>
      </c>
      <c r="D19" s="47">
        <f t="shared" si="2"/>
        <v>0</v>
      </c>
      <c r="E19" s="47">
        <f t="shared" si="2"/>
        <v>0</v>
      </c>
      <c r="F19" s="47">
        <f t="shared" si="2"/>
        <v>0</v>
      </c>
      <c r="G19" s="47">
        <f t="shared" si="2"/>
        <v>0</v>
      </c>
      <c r="H19" s="47">
        <f t="shared" si="2"/>
        <v>0</v>
      </c>
      <c r="I19" s="47">
        <f t="shared" si="2"/>
        <v>0</v>
      </c>
      <c r="J19" s="47">
        <f t="shared" si="2"/>
        <v>0</v>
      </c>
      <c r="K19" s="47">
        <f t="shared" si="2"/>
        <v>0</v>
      </c>
      <c r="L19" s="47">
        <f t="shared" si="2"/>
        <v>0</v>
      </c>
      <c r="M19" s="47">
        <f t="shared" si="2"/>
        <v>0</v>
      </c>
      <c r="N19" s="47">
        <f t="shared" si="2"/>
        <v>0</v>
      </c>
      <c r="O19" s="47">
        <f t="shared" si="2"/>
        <v>0</v>
      </c>
      <c r="P19" s="47">
        <f t="shared" si="2"/>
        <v>0</v>
      </c>
      <c r="Q19" s="47">
        <f t="shared" si="2"/>
        <v>0</v>
      </c>
      <c r="R19" s="47">
        <f t="shared" si="2"/>
        <v>0</v>
      </c>
      <c r="S19" s="47">
        <f t="shared" si="2"/>
        <v>0</v>
      </c>
      <c r="T19" s="47">
        <f t="shared" si="2"/>
        <v>0</v>
      </c>
      <c r="U19" s="47">
        <f t="shared" si="2"/>
        <v>0</v>
      </c>
      <c r="V19" s="47">
        <f t="shared" si="2"/>
        <v>0</v>
      </c>
      <c r="W19" s="47">
        <f t="shared" si="2"/>
        <v>0</v>
      </c>
      <c r="X19" s="47">
        <f t="shared" si="2"/>
        <v>0</v>
      </c>
      <c r="Y19" s="47">
        <f t="shared" si="2"/>
        <v>0</v>
      </c>
      <c r="Z19" s="47">
        <f t="shared" si="2"/>
        <v>0</v>
      </c>
      <c r="AA19" s="41">
        <v>0</v>
      </c>
      <c r="AB19" s="47">
        <f t="shared" si="2"/>
        <v>0</v>
      </c>
      <c r="AC19" s="37">
        <f t="shared" si="2"/>
        <v>0</v>
      </c>
    </row>
    <row r="20" spans="1:29" s="12" customFormat="1" ht="13.5" hidden="1" thickBot="1">
      <c r="A20" s="68" t="s">
        <v>40</v>
      </c>
      <c r="B20" s="52" t="s">
        <v>46</v>
      </c>
      <c r="C20" s="53"/>
      <c r="D20" s="41"/>
      <c r="E20" s="45"/>
      <c r="F20" s="42"/>
      <c r="G20" s="53"/>
      <c r="H20" s="42"/>
      <c r="I20" s="41"/>
      <c r="J20" s="41"/>
      <c r="K20" s="41"/>
      <c r="L20" s="41"/>
      <c r="M20" s="41"/>
      <c r="N20" s="41"/>
      <c r="O20" s="41"/>
      <c r="P20" s="42">
        <f>SUM(D20:O20)</f>
        <v>0</v>
      </c>
      <c r="Q20" s="41">
        <v>0</v>
      </c>
      <c r="R20" s="42"/>
      <c r="S20" s="41"/>
      <c r="T20" s="41"/>
      <c r="U20" s="41"/>
      <c r="V20" s="41"/>
      <c r="W20" s="41"/>
      <c r="X20" s="41"/>
      <c r="Y20" s="53"/>
      <c r="Z20" s="42"/>
      <c r="AA20" s="47">
        <f>SUM(AA21:AA23)</f>
        <v>0</v>
      </c>
      <c r="AB20" s="41"/>
      <c r="AC20" s="43">
        <f>SUM(Q20:AB20)</f>
        <v>0</v>
      </c>
    </row>
    <row r="21" spans="1:29" s="12" customFormat="1" ht="13.5" hidden="1" thickBot="1">
      <c r="A21" s="15" t="s">
        <v>50</v>
      </c>
      <c r="B21" s="40" t="s">
        <v>49</v>
      </c>
      <c r="C21" s="41"/>
      <c r="D21" s="41"/>
      <c r="E21" s="45"/>
      <c r="F21" s="42"/>
      <c r="G21" s="41"/>
      <c r="H21" s="42"/>
      <c r="I21" s="41"/>
      <c r="J21" s="41"/>
      <c r="K21" s="41"/>
      <c r="L21" s="41"/>
      <c r="M21" s="41"/>
      <c r="N21" s="41"/>
      <c r="O21" s="41"/>
      <c r="P21" s="42">
        <f>SUM(D21:O21)</f>
        <v>0</v>
      </c>
      <c r="Q21" s="41">
        <v>0</v>
      </c>
      <c r="R21" s="42"/>
      <c r="S21" s="41"/>
      <c r="T21" s="41"/>
      <c r="U21" s="41"/>
      <c r="V21" s="41"/>
      <c r="W21" s="41"/>
      <c r="X21" s="41"/>
      <c r="Y21" s="53"/>
      <c r="Z21" s="42"/>
      <c r="AA21" s="41"/>
      <c r="AB21" s="41"/>
      <c r="AC21" s="43">
        <f>SUM(Q21:AB21)</f>
        <v>0</v>
      </c>
    </row>
    <row r="22" spans="1:29" s="12" customFormat="1" ht="13.5" hidden="1" thickBot="1">
      <c r="A22" s="15" t="s">
        <v>47</v>
      </c>
      <c r="B22" s="40" t="s">
        <v>48</v>
      </c>
      <c r="C22" s="50"/>
      <c r="D22" s="42"/>
      <c r="E22" s="56"/>
      <c r="F22" s="42"/>
      <c r="G22" s="44"/>
      <c r="H22" s="42"/>
      <c r="I22" s="57"/>
      <c r="J22" s="44"/>
      <c r="K22" s="44"/>
      <c r="L22" s="58"/>
      <c r="M22" s="44"/>
      <c r="N22" s="49"/>
      <c r="O22" s="41"/>
      <c r="P22" s="50">
        <f>SUM(D22:O22)</f>
        <v>0</v>
      </c>
      <c r="Q22" s="50">
        <v>0</v>
      </c>
      <c r="R22" s="56"/>
      <c r="S22" s="54"/>
      <c r="T22" s="54"/>
      <c r="U22" s="44"/>
      <c r="V22" s="57"/>
      <c r="W22" s="54"/>
      <c r="X22" s="44"/>
      <c r="Y22" s="55"/>
      <c r="Z22" s="44"/>
      <c r="AA22" s="41"/>
      <c r="AB22" s="41"/>
      <c r="AC22" s="43">
        <f>SUM(Q22:AB22)</f>
        <v>0</v>
      </c>
    </row>
    <row r="23" spans="1:29" s="14" customFormat="1" ht="18" customHeight="1" thickBot="1">
      <c r="A23" s="21"/>
      <c r="B23" s="46" t="s">
        <v>41</v>
      </c>
      <c r="C23" s="47">
        <f aca="true" t="shared" si="3" ref="C23:AC23">SUM(C24:C44)</f>
        <v>11325496752.96</v>
      </c>
      <c r="D23" s="47">
        <f t="shared" si="3"/>
        <v>74466647</v>
      </c>
      <c r="E23" s="47">
        <f t="shared" si="3"/>
        <v>2231638508.44</v>
      </c>
      <c r="F23" s="47">
        <f t="shared" si="3"/>
        <v>1739374666</v>
      </c>
      <c r="G23" s="47">
        <f t="shared" si="3"/>
        <v>1643279384.52</v>
      </c>
      <c r="H23" s="47">
        <f t="shared" si="3"/>
        <v>149047050.5</v>
      </c>
      <c r="I23" s="47">
        <f t="shared" si="3"/>
        <v>34120772</v>
      </c>
      <c r="J23" s="47">
        <f t="shared" si="3"/>
        <v>1386459978</v>
      </c>
      <c r="K23" s="47">
        <f t="shared" si="3"/>
        <v>473345018</v>
      </c>
      <c r="L23" s="47">
        <f t="shared" si="3"/>
        <v>2077880706</v>
      </c>
      <c r="M23" s="47">
        <f t="shared" si="3"/>
        <v>0</v>
      </c>
      <c r="N23" s="47">
        <f t="shared" si="3"/>
        <v>0</v>
      </c>
      <c r="O23" s="47">
        <f t="shared" si="3"/>
        <v>0</v>
      </c>
      <c r="P23" s="47">
        <f t="shared" si="3"/>
        <v>9809612730.460001</v>
      </c>
      <c r="Q23" s="47">
        <f t="shared" si="3"/>
        <v>0</v>
      </c>
      <c r="R23" s="47">
        <f t="shared" si="3"/>
        <v>402025621</v>
      </c>
      <c r="S23" s="47">
        <f t="shared" si="3"/>
        <v>1994861180.44</v>
      </c>
      <c r="T23" s="47">
        <f t="shared" si="3"/>
        <v>3254710234.52</v>
      </c>
      <c r="U23" s="47">
        <f t="shared" si="3"/>
        <v>37162170</v>
      </c>
      <c r="V23" s="47">
        <f t="shared" si="3"/>
        <v>149047050.5</v>
      </c>
      <c r="W23" s="47">
        <f t="shared" si="3"/>
        <v>34120772</v>
      </c>
      <c r="X23" s="47">
        <f t="shared" si="3"/>
        <v>1386459978</v>
      </c>
      <c r="Y23" s="47">
        <f t="shared" si="3"/>
        <v>1030284218</v>
      </c>
      <c r="Z23" s="47">
        <f t="shared" si="3"/>
        <v>0</v>
      </c>
      <c r="AA23" s="47">
        <f t="shared" si="3"/>
        <v>0</v>
      </c>
      <c r="AB23" s="47">
        <f t="shared" si="3"/>
        <v>0</v>
      </c>
      <c r="AC23" s="37">
        <f t="shared" si="3"/>
        <v>8288671224.460001</v>
      </c>
    </row>
    <row r="24" spans="1:29" s="10" customFormat="1" ht="12.75">
      <c r="A24" s="82" t="s">
        <v>180</v>
      </c>
      <c r="B24" s="13" t="s">
        <v>114</v>
      </c>
      <c r="C24" s="49">
        <f>762519604.52-5899200</f>
        <v>756620404.52</v>
      </c>
      <c r="D24" s="49">
        <v>0</v>
      </c>
      <c r="E24" s="49">
        <v>65770028</v>
      </c>
      <c r="F24" s="49">
        <v>161116677</v>
      </c>
      <c r="G24" s="49">
        <v>401639132.52</v>
      </c>
      <c r="H24" s="49">
        <v>2897197</v>
      </c>
      <c r="I24" s="49">
        <v>34120772</v>
      </c>
      <c r="J24" s="49">
        <v>27571711</v>
      </c>
      <c r="K24" s="49">
        <v>0</v>
      </c>
      <c r="L24" s="49">
        <v>30888812</v>
      </c>
      <c r="M24" s="49"/>
      <c r="N24" s="41"/>
      <c r="O24" s="49"/>
      <c r="P24" s="50">
        <f aca="true" t="shared" si="4" ref="P24:P43">SUM(D24:O24)</f>
        <v>724004329.52</v>
      </c>
      <c r="Q24" s="49">
        <v>0</v>
      </c>
      <c r="R24" s="50">
        <v>65770028</v>
      </c>
      <c r="S24" s="49">
        <v>3887502</v>
      </c>
      <c r="T24" s="49">
        <v>558868307.52</v>
      </c>
      <c r="U24" s="49">
        <v>0</v>
      </c>
      <c r="V24" s="49">
        <v>2897197</v>
      </c>
      <c r="W24" s="49">
        <v>34120772</v>
      </c>
      <c r="X24" s="49">
        <v>27571711</v>
      </c>
      <c r="Y24" s="49">
        <v>0</v>
      </c>
      <c r="Z24" s="49"/>
      <c r="AA24" s="41"/>
      <c r="AB24" s="49"/>
      <c r="AC24" s="43">
        <f aca="true" t="shared" si="5" ref="AC24:AC44">SUM(Q24:AB24)</f>
        <v>693115517.52</v>
      </c>
    </row>
    <row r="25" spans="1:29" s="10" customFormat="1" ht="12.75">
      <c r="A25" s="82" t="s">
        <v>181</v>
      </c>
      <c r="B25" s="13" t="s">
        <v>115</v>
      </c>
      <c r="C25" s="49">
        <v>254036275</v>
      </c>
      <c r="D25" s="49">
        <v>0</v>
      </c>
      <c r="E25" s="49">
        <v>41377385</v>
      </c>
      <c r="F25" s="49">
        <v>71490234</v>
      </c>
      <c r="G25" s="49">
        <v>21690500</v>
      </c>
      <c r="H25" s="49">
        <v>3797184</v>
      </c>
      <c r="I25" s="49">
        <v>0</v>
      </c>
      <c r="J25" s="49">
        <v>14172432</v>
      </c>
      <c r="K25" s="49">
        <v>32237386</v>
      </c>
      <c r="L25" s="49">
        <v>15877492</v>
      </c>
      <c r="M25" s="49"/>
      <c r="N25" s="41"/>
      <c r="O25" s="49"/>
      <c r="P25" s="50">
        <f t="shared" si="4"/>
        <v>200642613</v>
      </c>
      <c r="Q25" s="49">
        <v>0</v>
      </c>
      <c r="R25" s="49">
        <v>39878865</v>
      </c>
      <c r="S25" s="49">
        <v>21498520</v>
      </c>
      <c r="T25" s="49">
        <v>51490234</v>
      </c>
      <c r="U25" s="49">
        <v>21690500</v>
      </c>
      <c r="V25" s="49">
        <v>3797184</v>
      </c>
      <c r="W25" s="49">
        <v>0</v>
      </c>
      <c r="X25" s="49">
        <v>14172432</v>
      </c>
      <c r="Y25" s="49">
        <v>32237386</v>
      </c>
      <c r="Z25" s="49"/>
      <c r="AA25" s="41"/>
      <c r="AB25" s="49"/>
      <c r="AC25" s="43">
        <f t="shared" si="5"/>
        <v>184765121</v>
      </c>
    </row>
    <row r="26" spans="1:29" s="10" customFormat="1" ht="12.75">
      <c r="A26" s="82" t="s">
        <v>143</v>
      </c>
      <c r="B26" s="13" t="s">
        <v>115</v>
      </c>
      <c r="C26" s="49">
        <f>22938070-1325941</f>
        <v>21612129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/>
      <c r="N26" s="49"/>
      <c r="O26" s="49"/>
      <c r="P26" s="50">
        <f t="shared" si="4"/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/>
      <c r="AA26" s="41"/>
      <c r="AB26" s="49"/>
      <c r="AC26" s="43">
        <f t="shared" si="5"/>
        <v>0</v>
      </c>
    </row>
    <row r="27" spans="1:29" s="10" customFormat="1" ht="12.75">
      <c r="A27" s="82" t="s">
        <v>157</v>
      </c>
      <c r="B27" s="13" t="s">
        <v>116</v>
      </c>
      <c r="C27" s="49">
        <v>52969067</v>
      </c>
      <c r="D27" s="49">
        <v>0</v>
      </c>
      <c r="E27" s="49">
        <v>0</v>
      </c>
      <c r="F27" s="49">
        <v>662971</v>
      </c>
      <c r="G27" s="49">
        <v>0</v>
      </c>
      <c r="H27" s="49">
        <v>1414196</v>
      </c>
      <c r="I27" s="49">
        <v>0</v>
      </c>
      <c r="J27" s="49">
        <v>0</v>
      </c>
      <c r="K27" s="49">
        <v>0</v>
      </c>
      <c r="L27" s="49">
        <v>0</v>
      </c>
      <c r="M27" s="49"/>
      <c r="N27" s="49"/>
      <c r="O27" s="49"/>
      <c r="P27" s="50">
        <f t="shared" si="4"/>
        <v>2077167</v>
      </c>
      <c r="Q27" s="49">
        <v>0</v>
      </c>
      <c r="R27" s="50">
        <v>0</v>
      </c>
      <c r="S27" s="49">
        <v>0</v>
      </c>
      <c r="T27" s="49">
        <v>662971</v>
      </c>
      <c r="U27" s="49">
        <v>0</v>
      </c>
      <c r="V27" s="49">
        <v>1414196</v>
      </c>
      <c r="W27" s="49">
        <v>0</v>
      </c>
      <c r="X27" s="49">
        <v>0</v>
      </c>
      <c r="Y27" s="49">
        <v>0</v>
      </c>
      <c r="Z27" s="49"/>
      <c r="AA27" s="41"/>
      <c r="AB27" s="49"/>
      <c r="AC27" s="43">
        <f t="shared" si="5"/>
        <v>2077167</v>
      </c>
    </row>
    <row r="28" spans="1:29" s="10" customFormat="1" ht="12.75">
      <c r="A28" s="82" t="s">
        <v>183</v>
      </c>
      <c r="B28" s="13" t="s">
        <v>121</v>
      </c>
      <c r="C28" s="49">
        <v>34778652</v>
      </c>
      <c r="D28" s="49">
        <v>0</v>
      </c>
      <c r="E28" s="49">
        <v>3814840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7963700</v>
      </c>
      <c r="L28" s="49">
        <v>0</v>
      </c>
      <c r="M28" s="49"/>
      <c r="N28" s="49"/>
      <c r="O28" s="49"/>
      <c r="P28" s="50">
        <f t="shared" si="4"/>
        <v>11778540</v>
      </c>
      <c r="Q28" s="49">
        <v>0</v>
      </c>
      <c r="R28" s="49">
        <v>0</v>
      </c>
      <c r="S28" s="49">
        <v>3814840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7963700</v>
      </c>
      <c r="Z28" s="49"/>
      <c r="AA28" s="41"/>
      <c r="AB28" s="49"/>
      <c r="AC28" s="43">
        <f t="shared" si="5"/>
        <v>11778540</v>
      </c>
    </row>
    <row r="29" spans="1:29" s="10" customFormat="1" ht="12.75">
      <c r="A29" s="82" t="s">
        <v>184</v>
      </c>
      <c r="B29" s="13" t="s">
        <v>122</v>
      </c>
      <c r="C29" s="49">
        <v>13014870</v>
      </c>
      <c r="D29" s="49">
        <v>0</v>
      </c>
      <c r="E29" s="49">
        <v>6519876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/>
      <c r="N29" s="49"/>
      <c r="O29" s="49"/>
      <c r="P29" s="50">
        <f t="shared" si="4"/>
        <v>6519876</v>
      </c>
      <c r="Q29" s="49">
        <v>0</v>
      </c>
      <c r="R29" s="49">
        <v>6183000</v>
      </c>
      <c r="S29" s="49">
        <v>336876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/>
      <c r="AA29" s="41"/>
      <c r="AB29" s="49"/>
      <c r="AC29" s="43">
        <f t="shared" si="5"/>
        <v>6519876</v>
      </c>
    </row>
    <row r="30" spans="1:29" s="10" customFormat="1" ht="12.75">
      <c r="A30" s="82" t="s">
        <v>185</v>
      </c>
      <c r="B30" s="13" t="s">
        <v>123</v>
      </c>
      <c r="C30" s="49">
        <v>131156884</v>
      </c>
      <c r="D30" s="49">
        <v>0</v>
      </c>
      <c r="E30" s="49">
        <v>116000</v>
      </c>
      <c r="F30" s="49">
        <v>67669852</v>
      </c>
      <c r="G30" s="49">
        <v>0</v>
      </c>
      <c r="H30" s="49">
        <v>4857444</v>
      </c>
      <c r="I30" s="49">
        <v>0</v>
      </c>
      <c r="J30" s="49">
        <v>17944160</v>
      </c>
      <c r="K30" s="49">
        <v>2380900</v>
      </c>
      <c r="L30" s="49">
        <v>20102988</v>
      </c>
      <c r="M30" s="49"/>
      <c r="N30" s="49"/>
      <c r="O30" s="49"/>
      <c r="P30" s="50">
        <f t="shared" si="4"/>
        <v>113071344</v>
      </c>
      <c r="Q30" s="49">
        <v>0</v>
      </c>
      <c r="R30" s="49">
        <v>0</v>
      </c>
      <c r="S30" s="49">
        <v>1740927</v>
      </c>
      <c r="T30" s="49">
        <v>66044925</v>
      </c>
      <c r="U30" s="49">
        <v>0</v>
      </c>
      <c r="V30" s="49">
        <v>4857444</v>
      </c>
      <c r="W30" s="49">
        <v>0</v>
      </c>
      <c r="X30" s="49">
        <v>17944160</v>
      </c>
      <c r="Y30" s="49">
        <v>2380900</v>
      </c>
      <c r="Z30" s="49"/>
      <c r="AA30" s="41"/>
      <c r="AB30" s="49"/>
      <c r="AC30" s="43">
        <f t="shared" si="5"/>
        <v>92968356</v>
      </c>
    </row>
    <row r="31" spans="1:29" s="10" customFormat="1" ht="12.75">
      <c r="A31" s="82" t="s">
        <v>186</v>
      </c>
      <c r="B31" s="13" t="s">
        <v>124</v>
      </c>
      <c r="C31" s="49">
        <v>5010943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/>
      <c r="N31" s="49"/>
      <c r="O31" s="49"/>
      <c r="P31" s="50">
        <f t="shared" si="4"/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/>
      <c r="AA31" s="41"/>
      <c r="AB31" s="49"/>
      <c r="AC31" s="43">
        <f t="shared" si="5"/>
        <v>0</v>
      </c>
    </row>
    <row r="32" spans="1:29" s="10" customFormat="1" ht="12.75">
      <c r="A32" s="82" t="s">
        <v>187</v>
      </c>
      <c r="B32" s="13" t="s">
        <v>144</v>
      </c>
      <c r="C32" s="49">
        <v>143575161</v>
      </c>
      <c r="D32" s="49">
        <v>0</v>
      </c>
      <c r="E32" s="49">
        <v>77299885</v>
      </c>
      <c r="F32" s="49">
        <v>31747487</v>
      </c>
      <c r="G32" s="49">
        <v>0</v>
      </c>
      <c r="H32" s="49">
        <v>2691692</v>
      </c>
      <c r="I32" s="49">
        <v>0</v>
      </c>
      <c r="J32" s="49">
        <v>15014845</v>
      </c>
      <c r="K32" s="49">
        <v>0</v>
      </c>
      <c r="L32" s="49">
        <v>16821252</v>
      </c>
      <c r="M32" s="49"/>
      <c r="N32" s="49"/>
      <c r="O32" s="49"/>
      <c r="P32" s="50">
        <f t="shared" si="4"/>
        <v>143575161</v>
      </c>
      <c r="Q32" s="49">
        <v>0</v>
      </c>
      <c r="R32" s="49">
        <v>7322033</v>
      </c>
      <c r="S32" s="49">
        <v>69977852</v>
      </c>
      <c r="T32" s="49">
        <v>31747487</v>
      </c>
      <c r="U32" s="49">
        <v>0</v>
      </c>
      <c r="V32" s="49">
        <v>2691692</v>
      </c>
      <c r="W32" s="49">
        <v>0</v>
      </c>
      <c r="X32" s="49">
        <v>15014845</v>
      </c>
      <c r="Y32" s="49">
        <v>0</v>
      </c>
      <c r="Z32" s="49"/>
      <c r="AA32" s="41"/>
      <c r="AB32" s="49"/>
      <c r="AC32" s="43">
        <f t="shared" si="5"/>
        <v>126753909</v>
      </c>
    </row>
    <row r="33" spans="1:29" s="10" customFormat="1" ht="12.75">
      <c r="A33" s="82" t="s">
        <v>188</v>
      </c>
      <c r="B33" s="13" t="s">
        <v>125</v>
      </c>
      <c r="C33" s="49">
        <v>60095741</v>
      </c>
      <c r="D33" s="49">
        <v>0</v>
      </c>
      <c r="E33" s="49">
        <v>34511590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/>
      <c r="N33" s="49"/>
      <c r="O33" s="49"/>
      <c r="P33" s="50">
        <f t="shared" si="4"/>
        <v>34511590</v>
      </c>
      <c r="Q33" s="49">
        <v>0</v>
      </c>
      <c r="R33" s="49">
        <v>34511590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/>
      <c r="AA33" s="41"/>
      <c r="AB33" s="49"/>
      <c r="AC33" s="43">
        <f t="shared" si="5"/>
        <v>34511590</v>
      </c>
    </row>
    <row r="34" spans="1:29" s="10" customFormat="1" ht="12.75">
      <c r="A34" s="82" t="s">
        <v>189</v>
      </c>
      <c r="B34" s="13" t="s">
        <v>126</v>
      </c>
      <c r="C34" s="49">
        <v>464079</v>
      </c>
      <c r="D34" s="49">
        <v>464079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/>
      <c r="N34" s="49"/>
      <c r="O34" s="49"/>
      <c r="P34" s="50">
        <f t="shared" si="4"/>
        <v>464079</v>
      </c>
      <c r="Q34" s="49">
        <v>0</v>
      </c>
      <c r="R34" s="49">
        <v>464079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/>
      <c r="AA34" s="41"/>
      <c r="AB34" s="49"/>
      <c r="AC34" s="43">
        <f t="shared" si="5"/>
        <v>464079</v>
      </c>
    </row>
    <row r="35" spans="1:29" s="10" customFormat="1" ht="12.75">
      <c r="A35" s="82" t="s">
        <v>190</v>
      </c>
      <c r="B35" s="13" t="s">
        <v>127</v>
      </c>
      <c r="C35" s="49">
        <v>75726668</v>
      </c>
      <c r="D35" s="49">
        <v>769000</v>
      </c>
      <c r="E35" s="49">
        <v>30978148</v>
      </c>
      <c r="F35" s="49">
        <v>5271768</v>
      </c>
      <c r="G35" s="49">
        <v>4400000</v>
      </c>
      <c r="H35" s="49">
        <v>962030</v>
      </c>
      <c r="I35" s="49">
        <v>0</v>
      </c>
      <c r="J35" s="49">
        <v>11717977</v>
      </c>
      <c r="K35" s="49">
        <v>0</v>
      </c>
      <c r="L35" s="49">
        <v>13127745</v>
      </c>
      <c r="M35" s="49"/>
      <c r="N35" s="49"/>
      <c r="O35" s="49"/>
      <c r="P35" s="50">
        <f t="shared" si="4"/>
        <v>67226668</v>
      </c>
      <c r="Q35" s="49">
        <v>0</v>
      </c>
      <c r="R35" s="49">
        <v>25969000</v>
      </c>
      <c r="S35" s="49">
        <v>5778148</v>
      </c>
      <c r="T35" s="49">
        <v>9671768</v>
      </c>
      <c r="U35" s="49">
        <v>0</v>
      </c>
      <c r="V35" s="49">
        <v>962030</v>
      </c>
      <c r="W35" s="49">
        <v>0</v>
      </c>
      <c r="X35" s="49">
        <v>11717977</v>
      </c>
      <c r="Y35" s="49">
        <v>0</v>
      </c>
      <c r="Z35" s="49"/>
      <c r="AA35" s="41"/>
      <c r="AB35" s="49"/>
      <c r="AC35" s="43">
        <f t="shared" si="5"/>
        <v>54098923</v>
      </c>
    </row>
    <row r="36" spans="1:29" s="10" customFormat="1" ht="12.75">
      <c r="A36" s="82" t="s">
        <v>191</v>
      </c>
      <c r="B36" s="13" t="s">
        <v>192</v>
      </c>
      <c r="C36" s="49">
        <v>1745666325</v>
      </c>
      <c r="D36" s="49">
        <v>0</v>
      </c>
      <c r="E36" s="49">
        <v>15681146</v>
      </c>
      <c r="F36" s="49">
        <v>120004900</v>
      </c>
      <c r="G36" s="49">
        <v>47145874</v>
      </c>
      <c r="H36" s="49">
        <v>42087272</v>
      </c>
      <c r="I36" s="49">
        <v>0</v>
      </c>
      <c r="J36" s="49">
        <v>99797210</v>
      </c>
      <c r="K36" s="49">
        <v>208852200</v>
      </c>
      <c r="L36" s="49">
        <v>636421938</v>
      </c>
      <c r="M36" s="49"/>
      <c r="N36" s="49"/>
      <c r="O36" s="49"/>
      <c r="P36" s="50">
        <f t="shared" si="4"/>
        <v>1169990540</v>
      </c>
      <c r="Q36" s="49">
        <v>0</v>
      </c>
      <c r="R36" s="49">
        <v>15681146</v>
      </c>
      <c r="S36" s="49">
        <v>0</v>
      </c>
      <c r="T36" s="49">
        <v>153285604</v>
      </c>
      <c r="U36" s="49">
        <v>13865170</v>
      </c>
      <c r="V36" s="49">
        <v>42087272</v>
      </c>
      <c r="W36" s="49">
        <v>0</v>
      </c>
      <c r="X36" s="49">
        <v>99797210</v>
      </c>
      <c r="Y36" s="49">
        <v>765791400</v>
      </c>
      <c r="Z36" s="49"/>
      <c r="AA36" s="41"/>
      <c r="AB36" s="49"/>
      <c r="AC36" s="43">
        <f t="shared" si="5"/>
        <v>1090507802</v>
      </c>
    </row>
    <row r="37" spans="1:29" s="10" customFormat="1" ht="12.75">
      <c r="A37" s="82" t="s">
        <v>193</v>
      </c>
      <c r="B37" s="13" t="s">
        <v>194</v>
      </c>
      <c r="C37" s="49">
        <v>537133792</v>
      </c>
      <c r="D37" s="49">
        <v>0</v>
      </c>
      <c r="E37" s="49">
        <v>592760</v>
      </c>
      <c r="F37" s="49">
        <v>153413996</v>
      </c>
      <c r="G37" s="49">
        <v>0</v>
      </c>
      <c r="H37" s="49">
        <v>16156244</v>
      </c>
      <c r="I37" s="49">
        <v>0</v>
      </c>
      <c r="J37" s="49">
        <v>128956731</v>
      </c>
      <c r="K37" s="49">
        <v>0</v>
      </c>
      <c r="L37" s="49">
        <v>144471276</v>
      </c>
      <c r="M37" s="49"/>
      <c r="N37" s="49"/>
      <c r="O37" s="49"/>
      <c r="P37" s="50">
        <f t="shared" si="4"/>
        <v>443591007</v>
      </c>
      <c r="Q37" s="49">
        <v>0</v>
      </c>
      <c r="R37" s="50">
        <v>0</v>
      </c>
      <c r="S37" s="49">
        <v>592760</v>
      </c>
      <c r="T37" s="49">
        <v>153413996</v>
      </c>
      <c r="U37" s="49">
        <v>0</v>
      </c>
      <c r="V37" s="49">
        <v>16156244</v>
      </c>
      <c r="W37" s="49">
        <v>0</v>
      </c>
      <c r="X37" s="49">
        <v>128956731</v>
      </c>
      <c r="Y37" s="49">
        <v>0</v>
      </c>
      <c r="Z37" s="49"/>
      <c r="AA37" s="41"/>
      <c r="AB37" s="49"/>
      <c r="AC37" s="43">
        <f t="shared" si="5"/>
        <v>299119731</v>
      </c>
    </row>
    <row r="38" spans="1:29" s="10" customFormat="1" ht="12.75">
      <c r="A38" s="82" t="s">
        <v>195</v>
      </c>
      <c r="B38" s="13" t="s">
        <v>145</v>
      </c>
      <c r="C38" s="49">
        <v>30702618</v>
      </c>
      <c r="D38" s="49">
        <v>0</v>
      </c>
      <c r="E38" s="49">
        <v>0</v>
      </c>
      <c r="F38" s="49">
        <v>8575820</v>
      </c>
      <c r="G38" s="49">
        <v>0</v>
      </c>
      <c r="H38" s="49">
        <v>1055516</v>
      </c>
      <c r="I38" s="49">
        <v>0</v>
      </c>
      <c r="J38" s="49">
        <v>9937839</v>
      </c>
      <c r="K38" s="49">
        <v>0</v>
      </c>
      <c r="L38" s="49">
        <v>11133443</v>
      </c>
      <c r="M38" s="49"/>
      <c r="N38" s="49"/>
      <c r="O38" s="49"/>
      <c r="P38" s="50">
        <f t="shared" si="4"/>
        <v>30702618</v>
      </c>
      <c r="Q38" s="49">
        <v>0</v>
      </c>
      <c r="R38" s="50">
        <v>0</v>
      </c>
      <c r="S38" s="49">
        <v>0</v>
      </c>
      <c r="T38" s="49">
        <v>8575820</v>
      </c>
      <c r="U38" s="49">
        <v>0</v>
      </c>
      <c r="V38" s="49">
        <v>1055516</v>
      </c>
      <c r="W38" s="49">
        <v>0</v>
      </c>
      <c r="X38" s="49">
        <v>9937839</v>
      </c>
      <c r="Y38" s="49">
        <v>0</v>
      </c>
      <c r="Z38" s="49"/>
      <c r="AA38" s="41"/>
      <c r="AB38" s="49"/>
      <c r="AC38" s="43">
        <f t="shared" si="5"/>
        <v>19569175</v>
      </c>
    </row>
    <row r="39" spans="1:29" s="10" customFormat="1" ht="12.75">
      <c r="A39" s="82" t="s">
        <v>196</v>
      </c>
      <c r="B39" s="13" t="s">
        <v>197</v>
      </c>
      <c r="C39" s="49">
        <f>538530425-3657052-2653091-304900-1323985-280028-1736668</f>
        <v>528574701</v>
      </c>
      <c r="D39" s="49">
        <v>73233568</v>
      </c>
      <c r="E39" s="49">
        <v>197569974</v>
      </c>
      <c r="F39" s="49">
        <v>163051098</v>
      </c>
      <c r="G39" s="49">
        <v>93817324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/>
      <c r="N39" s="49"/>
      <c r="O39" s="49"/>
      <c r="P39" s="50">
        <f t="shared" si="4"/>
        <v>527671964</v>
      </c>
      <c r="Q39" s="49">
        <v>0</v>
      </c>
      <c r="R39" s="49">
        <v>167471487</v>
      </c>
      <c r="S39" s="49">
        <v>168601272</v>
      </c>
      <c r="T39" s="49">
        <v>189992705</v>
      </c>
      <c r="U39" s="49">
        <v>1606500</v>
      </c>
      <c r="V39" s="49">
        <v>0</v>
      </c>
      <c r="W39" s="49">
        <v>0</v>
      </c>
      <c r="X39" s="49">
        <v>0</v>
      </c>
      <c r="Y39" s="49">
        <v>0</v>
      </c>
      <c r="Z39" s="49"/>
      <c r="AA39" s="41"/>
      <c r="AB39" s="49"/>
      <c r="AC39" s="43">
        <f t="shared" si="5"/>
        <v>527671964</v>
      </c>
    </row>
    <row r="40" spans="1:29" s="10" customFormat="1" ht="12.75">
      <c r="A40" s="82" t="s">
        <v>198</v>
      </c>
      <c r="B40" s="13" t="s">
        <v>199</v>
      </c>
      <c r="C40" s="49">
        <v>1021184928</v>
      </c>
      <c r="D40" s="49">
        <v>0</v>
      </c>
      <c r="E40" s="49">
        <v>31590393</v>
      </c>
      <c r="F40" s="49">
        <v>0</v>
      </c>
      <c r="G40" s="49">
        <v>7782600</v>
      </c>
      <c r="H40" s="49">
        <v>21843718</v>
      </c>
      <c r="I40" s="49">
        <v>0</v>
      </c>
      <c r="J40" s="49">
        <v>391216445</v>
      </c>
      <c r="K40" s="49">
        <v>0</v>
      </c>
      <c r="L40" s="49">
        <v>438282967</v>
      </c>
      <c r="M40" s="49"/>
      <c r="N40" s="49"/>
      <c r="O40" s="49"/>
      <c r="P40" s="50">
        <f t="shared" si="4"/>
        <v>890716123</v>
      </c>
      <c r="Q40" s="49">
        <v>0</v>
      </c>
      <c r="R40" s="50">
        <v>31590393</v>
      </c>
      <c r="S40" s="49">
        <v>0</v>
      </c>
      <c r="T40" s="49">
        <v>7782600</v>
      </c>
      <c r="U40" s="49">
        <v>0</v>
      </c>
      <c r="V40" s="49">
        <v>21843718</v>
      </c>
      <c r="W40" s="49">
        <v>0</v>
      </c>
      <c r="X40" s="49">
        <v>391216445</v>
      </c>
      <c r="Y40" s="49">
        <v>0</v>
      </c>
      <c r="Z40" s="49"/>
      <c r="AA40" s="41"/>
      <c r="AB40" s="49"/>
      <c r="AC40" s="43">
        <f t="shared" si="5"/>
        <v>452433156</v>
      </c>
    </row>
    <row r="41" spans="1:29" s="10" customFormat="1" ht="12.75">
      <c r="A41" s="82" t="s">
        <v>151</v>
      </c>
      <c r="B41" s="13" t="s">
        <v>200</v>
      </c>
      <c r="C41" s="49">
        <v>55580384</v>
      </c>
      <c r="D41" s="49">
        <v>0</v>
      </c>
      <c r="E41" s="49">
        <v>4752000</v>
      </c>
      <c r="F41" s="49">
        <v>26617162</v>
      </c>
      <c r="G41" s="49">
        <v>0</v>
      </c>
      <c r="H41" s="49">
        <v>1553838</v>
      </c>
      <c r="I41" s="49">
        <v>0</v>
      </c>
      <c r="J41" s="49">
        <v>0</v>
      </c>
      <c r="K41" s="49">
        <v>21910832</v>
      </c>
      <c r="L41" s="49">
        <v>0</v>
      </c>
      <c r="M41" s="49"/>
      <c r="N41" s="49"/>
      <c r="O41" s="49"/>
      <c r="P41" s="43">
        <f t="shared" si="4"/>
        <v>54833832</v>
      </c>
      <c r="Q41" s="49">
        <v>0</v>
      </c>
      <c r="R41" s="50">
        <v>3684000</v>
      </c>
      <c r="S41" s="49">
        <v>1068000</v>
      </c>
      <c r="T41" s="49">
        <v>26617162</v>
      </c>
      <c r="U41" s="49">
        <v>0</v>
      </c>
      <c r="V41" s="49">
        <v>1553838</v>
      </c>
      <c r="W41" s="49">
        <v>0</v>
      </c>
      <c r="X41" s="49">
        <v>0</v>
      </c>
      <c r="Y41" s="49">
        <v>21910832</v>
      </c>
      <c r="Z41" s="49"/>
      <c r="AA41" s="41"/>
      <c r="AB41" s="49"/>
      <c r="AC41" s="43">
        <f t="shared" si="5"/>
        <v>54833832</v>
      </c>
    </row>
    <row r="42" spans="1:29" s="10" customFormat="1" ht="12.75">
      <c r="A42" s="82" t="s">
        <v>201</v>
      </c>
      <c r="B42" s="13" t="s">
        <v>202</v>
      </c>
      <c r="C42" s="49">
        <v>82285611</v>
      </c>
      <c r="D42" s="49">
        <v>0</v>
      </c>
      <c r="E42" s="49">
        <v>0</v>
      </c>
      <c r="F42" s="49">
        <v>0</v>
      </c>
      <c r="G42" s="49">
        <v>0</v>
      </c>
      <c r="H42" s="49">
        <v>2111280</v>
      </c>
      <c r="I42" s="49">
        <v>0</v>
      </c>
      <c r="J42" s="49">
        <v>37812585</v>
      </c>
      <c r="K42" s="49">
        <v>0</v>
      </c>
      <c r="L42" s="49">
        <v>42361746</v>
      </c>
      <c r="M42" s="49"/>
      <c r="N42" s="49"/>
      <c r="O42" s="49"/>
      <c r="P42" s="50">
        <f>SUM(D42:O42)</f>
        <v>82285611</v>
      </c>
      <c r="Q42" s="49">
        <v>0</v>
      </c>
      <c r="R42" s="50">
        <v>0</v>
      </c>
      <c r="S42" s="49">
        <v>0</v>
      </c>
      <c r="T42" s="49">
        <v>0</v>
      </c>
      <c r="U42" s="49">
        <v>0</v>
      </c>
      <c r="V42" s="49">
        <v>2111280</v>
      </c>
      <c r="W42" s="49">
        <v>0</v>
      </c>
      <c r="X42" s="49">
        <v>37812585</v>
      </c>
      <c r="Y42" s="49">
        <v>0</v>
      </c>
      <c r="Z42" s="49"/>
      <c r="AA42" s="41"/>
      <c r="AB42" s="49"/>
      <c r="AC42" s="43">
        <f>SUM(Q42:AB42)</f>
        <v>39923865</v>
      </c>
    </row>
    <row r="43" spans="1:29" s="10" customFormat="1" ht="12.75">
      <c r="A43" s="82" t="s">
        <v>203</v>
      </c>
      <c r="B43" s="13" t="s">
        <v>207</v>
      </c>
      <c r="C43" s="49">
        <v>5372185346.44</v>
      </c>
      <c r="D43" s="49">
        <v>0</v>
      </c>
      <c r="E43" s="49">
        <v>1721064483.44</v>
      </c>
      <c r="F43" s="49">
        <v>929752701</v>
      </c>
      <c r="G43" s="49">
        <v>1066803954</v>
      </c>
      <c r="H43" s="49">
        <v>43219608.5</v>
      </c>
      <c r="I43" s="49">
        <v>0</v>
      </c>
      <c r="J43" s="49">
        <v>553573123</v>
      </c>
      <c r="K43" s="49">
        <v>200000000</v>
      </c>
      <c r="L43" s="49">
        <v>620172472</v>
      </c>
      <c r="M43" s="49"/>
      <c r="N43" s="49"/>
      <c r="O43" s="49"/>
      <c r="P43" s="43">
        <f t="shared" si="4"/>
        <v>5134586341.940001</v>
      </c>
      <c r="Q43" s="49">
        <v>0</v>
      </c>
      <c r="R43" s="50">
        <v>3500000</v>
      </c>
      <c r="S43" s="49">
        <v>1717564483.44</v>
      </c>
      <c r="T43" s="49">
        <v>1996556655</v>
      </c>
      <c r="U43" s="49">
        <v>0</v>
      </c>
      <c r="V43" s="49">
        <v>43219608.5</v>
      </c>
      <c r="W43" s="49">
        <v>0</v>
      </c>
      <c r="X43" s="49">
        <v>553573123</v>
      </c>
      <c r="Y43" s="49">
        <v>200000000</v>
      </c>
      <c r="Z43" s="49"/>
      <c r="AA43" s="41"/>
      <c r="AB43" s="49"/>
      <c r="AC43" s="43">
        <f>SUM(Q43:AB43)</f>
        <v>4514413869.940001</v>
      </c>
    </row>
    <row r="44" spans="1:29" s="10" customFormat="1" ht="13.5" thickBot="1">
      <c r="A44" s="82" t="s">
        <v>205</v>
      </c>
      <c r="B44" s="13" t="s">
        <v>208</v>
      </c>
      <c r="C44" s="49">
        <v>403122174</v>
      </c>
      <c r="D44" s="49">
        <v>0</v>
      </c>
      <c r="E44" s="49">
        <v>0</v>
      </c>
      <c r="F44" s="49">
        <v>0</v>
      </c>
      <c r="G44" s="49">
        <v>0</v>
      </c>
      <c r="H44" s="49">
        <v>4399831</v>
      </c>
      <c r="I44" s="49">
        <v>0</v>
      </c>
      <c r="J44" s="49">
        <v>78744920</v>
      </c>
      <c r="K44" s="49">
        <v>0</v>
      </c>
      <c r="L44" s="49">
        <v>88218575</v>
      </c>
      <c r="M44" s="49"/>
      <c r="N44" s="49"/>
      <c r="O44" s="49"/>
      <c r="P44" s="50">
        <f>SUM(D44:O44)</f>
        <v>171363326</v>
      </c>
      <c r="Q44" s="49">
        <v>0</v>
      </c>
      <c r="R44" s="50">
        <v>0</v>
      </c>
      <c r="S44" s="49">
        <v>0</v>
      </c>
      <c r="T44" s="49">
        <v>0</v>
      </c>
      <c r="U44" s="49">
        <v>0</v>
      </c>
      <c r="V44" s="49">
        <v>4399831</v>
      </c>
      <c r="W44" s="49">
        <v>0</v>
      </c>
      <c r="X44" s="49">
        <v>78744920</v>
      </c>
      <c r="Y44" s="49">
        <v>0</v>
      </c>
      <c r="Z44" s="49"/>
      <c r="AA44" s="41"/>
      <c r="AB44" s="49"/>
      <c r="AC44" s="43">
        <f t="shared" si="5"/>
        <v>83144751</v>
      </c>
    </row>
    <row r="45" spans="1:29" s="11" customFormat="1" ht="13.5" thickBot="1">
      <c r="A45" s="138" t="s">
        <v>33</v>
      </c>
      <c r="B45" s="139"/>
      <c r="C45" s="47">
        <f aca="true" t="shared" si="6" ref="C45:AC45">SUM(C14+C23)</f>
        <v>11915642089.16</v>
      </c>
      <c r="D45" s="47">
        <f t="shared" si="6"/>
        <v>220555493</v>
      </c>
      <c r="E45" s="47">
        <f t="shared" si="6"/>
        <v>2538473438.44</v>
      </c>
      <c r="F45" s="47">
        <f t="shared" si="6"/>
        <v>1755263041</v>
      </c>
      <c r="G45" s="47">
        <f t="shared" si="6"/>
        <v>1669625434.72</v>
      </c>
      <c r="H45" s="47">
        <f t="shared" si="6"/>
        <v>149047050.5</v>
      </c>
      <c r="I45" s="47">
        <f t="shared" si="6"/>
        <v>36899932</v>
      </c>
      <c r="J45" s="47">
        <f t="shared" si="6"/>
        <v>1387409978</v>
      </c>
      <c r="K45" s="47">
        <f t="shared" si="6"/>
        <v>482108645</v>
      </c>
      <c r="L45" s="47">
        <f t="shared" si="6"/>
        <v>2077880706</v>
      </c>
      <c r="M45" s="47">
        <f t="shared" si="6"/>
        <v>0</v>
      </c>
      <c r="N45" s="47">
        <f t="shared" si="6"/>
        <v>0</v>
      </c>
      <c r="O45" s="47">
        <f t="shared" si="6"/>
        <v>0</v>
      </c>
      <c r="P45" s="47">
        <f t="shared" si="6"/>
        <v>10317263718.660002</v>
      </c>
      <c r="Q45" s="47">
        <f t="shared" si="6"/>
        <v>0</v>
      </c>
      <c r="R45" s="47">
        <f t="shared" si="6"/>
        <v>778977989</v>
      </c>
      <c r="S45" s="47">
        <f t="shared" si="6"/>
        <v>2076050574.44</v>
      </c>
      <c r="T45" s="47">
        <f t="shared" si="6"/>
        <v>3273698085.52</v>
      </c>
      <c r="U45" s="47">
        <f t="shared" si="6"/>
        <v>55190758.2</v>
      </c>
      <c r="V45" s="47">
        <f t="shared" si="6"/>
        <v>149047050.5</v>
      </c>
      <c r="W45" s="47">
        <f t="shared" si="6"/>
        <v>37849932</v>
      </c>
      <c r="X45" s="47">
        <f t="shared" si="6"/>
        <v>1386459978</v>
      </c>
      <c r="Y45" s="47">
        <f t="shared" si="6"/>
        <v>1039047845</v>
      </c>
      <c r="Z45" s="47">
        <f t="shared" si="6"/>
        <v>0</v>
      </c>
      <c r="AA45" s="47">
        <f t="shared" si="6"/>
        <v>0</v>
      </c>
      <c r="AB45" s="47">
        <f t="shared" si="6"/>
        <v>0</v>
      </c>
      <c r="AC45" s="47">
        <f t="shared" si="6"/>
        <v>8796322212.660002</v>
      </c>
    </row>
    <row r="46" spans="1:29" ht="12.75">
      <c r="A46" s="69" t="s">
        <v>138</v>
      </c>
      <c r="B46" s="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9"/>
    </row>
    <row r="47" spans="1:29" ht="12.75">
      <c r="A47" s="130">
        <f ca="1">TODAY()</f>
        <v>41563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5"/>
    </row>
    <row r="48" spans="1:29" ht="13.5" thickBot="1">
      <c r="A48" s="60"/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5"/>
    </row>
    <row r="49" spans="1:29" ht="13.5">
      <c r="A49" s="60"/>
      <c r="B49" s="97" t="s">
        <v>221</v>
      </c>
      <c r="C49" s="4"/>
      <c r="D49" s="4"/>
      <c r="E49" s="4"/>
      <c r="F49" s="4"/>
      <c r="G49" s="4"/>
      <c r="H49" s="4"/>
      <c r="I49" s="4"/>
      <c r="J49" s="12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5"/>
    </row>
    <row r="50" spans="1:29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5"/>
    </row>
    <row r="51" spans="1:29" ht="24.75" customHeight="1">
      <c r="A51" s="153"/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5"/>
    </row>
    <row r="52" spans="1:29" ht="21" customHeight="1" hidden="1" thickBo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8"/>
    </row>
    <row r="53" spans="1:29" ht="10.5" customHeight="1" hidden="1">
      <c r="A53" s="9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5"/>
    </row>
    <row r="54" spans="1:29" ht="0.75" customHeight="1" hidden="1" thickBot="1">
      <c r="A54" s="9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5"/>
    </row>
    <row r="55" spans="1:29" ht="0.75" customHeight="1" hidden="1" thickBot="1">
      <c r="A55" s="4"/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</row>
    <row r="56" spans="1:29" ht="8.25" customHeight="1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9" ht="12.75">
      <c r="P59" s="10"/>
    </row>
  </sheetData>
  <sheetProtection/>
  <mergeCells count="9">
    <mergeCell ref="A1:AC1"/>
    <mergeCell ref="A2:AC2"/>
    <mergeCell ref="A3:AC3"/>
    <mergeCell ref="A51:AC52"/>
    <mergeCell ref="A5:AC5"/>
    <mergeCell ref="A7:B7"/>
    <mergeCell ref="A8:B8"/>
    <mergeCell ref="A45:B45"/>
    <mergeCell ref="A4:AC4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msolerr</cp:lastModifiedBy>
  <cp:lastPrinted>2013-10-04T23:07:49Z</cp:lastPrinted>
  <dcterms:created xsi:type="dcterms:W3CDTF">1999-04-05T19:37:02Z</dcterms:created>
  <dcterms:modified xsi:type="dcterms:W3CDTF">2013-10-16T16:33:30Z</dcterms:modified>
  <cp:category/>
  <cp:version/>
  <cp:contentType/>
  <cp:contentStatus/>
</cp:coreProperties>
</file>