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0"/>
  </bookViews>
  <sheets>
    <sheet name="Gastos Dane " sheetId="1" r:id="rId1"/>
    <sheet name="Gastos Fond" sheetId="2" r:id="rId2"/>
  </sheets>
  <definedNames>
    <definedName name="_xlnm.Print_Area" localSheetId="0">'Gastos Dane '!$A$1:$AP$64</definedName>
    <definedName name="_xlnm.Print_Area" localSheetId="1">'Gastos Fond'!$A$1:$AP$45</definedName>
  </definedNames>
  <calcPr fullCalcOnLoad="1"/>
</workbook>
</file>

<file path=xl/sharedStrings.xml><?xml version="1.0" encoding="utf-8"?>
<sst xmlns="http://schemas.openxmlformats.org/spreadsheetml/2006/main" count="312" uniqueCount="154">
  <si>
    <t>MINISTERIO DE HACIENDA Y CREDITO PUBLICO</t>
  </si>
  <si>
    <t>DIRECCION GENERAL DEL PRESUPUESTO NACIONAL</t>
  </si>
  <si>
    <t>FONDO ROTATORIO DEL DANE - FONDANE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</si>
  <si>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</si>
  <si>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</si>
  <si>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</si>
  <si>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</si>
  <si>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</si>
  <si>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</si>
  <si>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</si>
  <si>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</si>
  <si>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</si>
  <si>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</si>
  <si>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</si>
  <si>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</si>
  <si>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</si>
  <si>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</si>
  <si>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</si>
  <si>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</si>
  <si>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</si>
  <si>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</si>
  <si>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</si>
  <si>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</si>
  <si>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</si>
  <si>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</si>
  <si>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</si>
  <si>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</si>
  <si>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</si>
  <si>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</si>
  <si>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</si>
  <si>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</si>
  <si>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</si>
  <si>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</si>
  <si>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</si>
  <si>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</si>
  <si>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</si>
  <si>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</si>
  <si>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</si>
  <si>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</t>
  </si>
  <si>
    <t xml:space="preserve">    '00</t>
  </si>
  <si>
    <t>DEPARTAMENTO ADMINISTRATIVO NACIONAL DE ESTADISTICA - DANE</t>
  </si>
  <si>
    <t>04|01</t>
  </si>
  <si>
    <t>A|2|0|1|0|20</t>
  </si>
  <si>
    <t>ADQUISICIONES DE BIENES</t>
  </si>
  <si>
    <t>ADQUISICION DE SERVICIOS</t>
  </si>
  <si>
    <t>A|2|0|2|0|21</t>
  </si>
  <si>
    <t>A|2|0|3|0|20</t>
  </si>
  <si>
    <t>IMPUESTOS Y MULTAS</t>
  </si>
  <si>
    <t>A|3|2|1|1|10</t>
  </si>
  <si>
    <t>A|3|2|1|1|20</t>
  </si>
  <si>
    <t>ACT. ESTUD. Y ENCUEST. PROPOSITOS MULTIPLES</t>
  </si>
  <si>
    <t>LEV. DE INFORM.PARA ESTADISTICAS DEMOGRAFICAS</t>
  </si>
  <si>
    <t>LEV. DE LA ENC. PARA INDICES, PRECIOS Y COSTOS</t>
  </si>
  <si>
    <t>A|1|0|2|8|20</t>
  </si>
  <si>
    <t>A|1|0|1|1|10</t>
  </si>
  <si>
    <t>SUELDOS PERSONAL DE NOMINA</t>
  </si>
  <si>
    <t>A|1|0|1|2|10</t>
  </si>
  <si>
    <t>HORAS EXTRAS Y DIAS FESTIVOS</t>
  </si>
  <si>
    <t>A|1|0|1|4|10</t>
  </si>
  <si>
    <t>PRIMA TECNICA</t>
  </si>
  <si>
    <t>A|1|0|1|5|10</t>
  </si>
  <si>
    <t>A|1|0|3|0|10</t>
  </si>
  <si>
    <t>CONT. INHERENTES A LA NOMINA SECTOR PRIVADO</t>
  </si>
  <si>
    <t>A|1|0|4|0|10</t>
  </si>
  <si>
    <t>CONT. INHERENTES A LA NOMINA SECTOR PUBLICO</t>
  </si>
  <si>
    <t>A|2|0|1|0|10</t>
  </si>
  <si>
    <t>ADQUISICION DE BIENES</t>
  </si>
  <si>
    <t>A|2|0|2|0|10</t>
  </si>
  <si>
    <t>A|1|0|2|8|10</t>
  </si>
  <si>
    <t>GASTOS DE FUNCIONAMIENTO R. P.</t>
  </si>
  <si>
    <t>GASTOS DE INVERSION R. P.</t>
  </si>
  <si>
    <t>GASTOS DE INVERSION A.P.N.</t>
  </si>
  <si>
    <t>GASTOS DE PERSONAL</t>
  </si>
  <si>
    <t>GASTOS GENERALES</t>
  </si>
  <si>
    <t>saldo apropiac</t>
  </si>
  <si>
    <t>saldo de aprop.</t>
  </si>
  <si>
    <t>reservas</t>
  </si>
  <si>
    <t>cuentasxpagar</t>
  </si>
  <si>
    <t>TRANSFERENCIAS</t>
  </si>
  <si>
    <t>C|310|1000|1|20</t>
  </si>
  <si>
    <t>OTROS GASTOS DE PERSONAL</t>
  </si>
  <si>
    <t>GASTOS DE FUNCIONAMIENTO</t>
  </si>
  <si>
    <t xml:space="preserve">MES 4 </t>
  </si>
  <si>
    <t>CUOTA DE AUDITAJE CONTRANAL</t>
  </si>
  <si>
    <t>CUOTA DE AUDITAJE - CONTRALORIA - RP</t>
  </si>
  <si>
    <t>TRANSFERENCIAS CORRIENTES</t>
  </si>
  <si>
    <t xml:space="preserve">                       </t>
  </si>
  <si>
    <t>A|3|6|1|2|10</t>
  </si>
  <si>
    <t>CONCILIACION</t>
  </si>
  <si>
    <t>C|430|1000|1|11</t>
  </si>
  <si>
    <t>C|430|1000|2|11</t>
  </si>
  <si>
    <t>C|440|1000|3|11</t>
  </si>
  <si>
    <t>CONSTRUCCION NUEVA BASE DE CUENTAS NACIONALES</t>
  </si>
  <si>
    <t>C|440|1000|6|11</t>
  </si>
  <si>
    <t>IMPLANTACION DE UN SISTEMA ESTADISTICO NACIONAL- SEN</t>
  </si>
  <si>
    <t xml:space="preserve">                          </t>
  </si>
  <si>
    <t>SENTENCIAS</t>
  </si>
  <si>
    <t>A|3|6|1|1|10</t>
  </si>
  <si>
    <t>CXP</t>
  </si>
  <si>
    <t>C|410|200|1|11</t>
  </si>
  <si>
    <t>C|430|1000|3|11</t>
  </si>
  <si>
    <t>C|430|1300|1|11</t>
  </si>
  <si>
    <t>LEV.DE LA ENCUESTA CONTINUA DE HOGARES</t>
  </si>
  <si>
    <t xml:space="preserve">COORDINADOR DE PRESUPUESTO </t>
  </si>
  <si>
    <t>C|430|1000|14|11</t>
  </si>
  <si>
    <t>SUMINISTRO PUBLICACION INFORMACION ESTADISTICA</t>
  </si>
  <si>
    <t>MANTENIMIENTO ADECUACION SISTEMA COMPUTACIONAL</t>
  </si>
  <si>
    <t>C|410|200|2|11</t>
  </si>
  <si>
    <t>LEV. DE INV.PARA EL SEGUIM. DE LA ACTIV. DE CIO. Y DE SEVICIOS.</t>
  </si>
  <si>
    <t>C|430|1000|13|11</t>
  </si>
  <si>
    <t>ACTUALIZACION Y MANTEN SIST INFOR GEOESTADISTICA REPUBLICA COL.</t>
  </si>
  <si>
    <t>LEV. DE INVESTIG.PARA EL SEGUIM. DE LA ACTIV. IND Y DE LA CONS.</t>
  </si>
  <si>
    <t>C|440|1000|14|11</t>
  </si>
  <si>
    <t>ACTUALIZACION COYUNTURA ECONOMICA Y CUENTAS</t>
  </si>
  <si>
    <t>ACTUALIZACION DE INDICADORES SOCIALES DE POBREZA</t>
  </si>
  <si>
    <t>C|221|1000|1|11</t>
  </si>
  <si>
    <t>C|222|1000|1|11</t>
  </si>
  <si>
    <t xml:space="preserve">Preparó : O.L.A.G. </t>
  </si>
  <si>
    <t>Elaboró : O.L.A.G.</t>
  </si>
  <si>
    <t>A|2|0|1|0|21</t>
  </si>
  <si>
    <t>A|1|0|1|3|10</t>
  </si>
  <si>
    <t>INDEMNIZACION POR VACACIONES</t>
  </si>
  <si>
    <t>C|410|1000|9|20</t>
  </si>
  <si>
    <t>LEVANTAMIENTO DEL XVII CENSO NACIONAL DE POBLACION Y VI DE VIVIENDA 2005</t>
  </si>
  <si>
    <t>LEVANTAMIENTO DEL XVII CENSO NACIONAL DE POBLACION Y VI DE VIVIENDA</t>
  </si>
  <si>
    <t>C|410|1000|4|11</t>
  </si>
  <si>
    <t xml:space="preserve">LEVANTAMIENTO DEL CENSO GENERAL NACIONAL </t>
  </si>
  <si>
    <t>C|410|1000|10|13</t>
  </si>
  <si>
    <t>C|410|1000|3|11</t>
  </si>
  <si>
    <t>LVANTAMIENTO DE INFORM ESTD SOBRE DISCAPACIDAD</t>
  </si>
  <si>
    <t>ANALISIS Y EVALUACION DEMOGRAFICA Y PROY DE POBLACION</t>
  </si>
  <si>
    <t>C|430|1000|15|11</t>
  </si>
  <si>
    <t>LEV MONTAJE Y OPERACIÓNES DE LOS SISTEMAS DE INF AGROP NACIONAL</t>
  </si>
  <si>
    <t>C|430|1000|16|11</t>
  </si>
  <si>
    <t>EST FACTORES DE RIESGO SOCIAL, INDIV Y FLIAR QUE PROP EXPLOTA SEXUAL</t>
  </si>
  <si>
    <t>C|430|1000|4|11</t>
  </si>
  <si>
    <t>LEV ENC NACIONAL DE ENCUESTA NAC URBANO RURAL INGRESOS Y GASTOS</t>
  </si>
  <si>
    <t>C|440|1000|18|11</t>
  </si>
  <si>
    <t>CONSTRUCCION CUENTAS DEPARTAMENTALES</t>
  </si>
  <si>
    <t>DISEÑO SUMINISTRO SEGUM Y EVAL METOD DE ESTRATIFI SOCIOECONOM</t>
  </si>
  <si>
    <t>A|2|0|3|0|21</t>
  </si>
  <si>
    <t>C|410|1000|12|20</t>
  </si>
  <si>
    <t>C|540|1000|3|19</t>
  </si>
  <si>
    <t>MEJORAMIENTO DE LAS ENCUESTAS DE HOGARES Y MEDICION DE LAS CONDI</t>
  </si>
  <si>
    <t>A|3|6|1|2|21</t>
  </si>
  <si>
    <t>CONCILIACIONES</t>
  </si>
  <si>
    <t>C|510|1000|1|11</t>
  </si>
  <si>
    <t>COORDINADOR AREA FINANCIERA</t>
  </si>
  <si>
    <t xml:space="preserve">COORDINADOR AREA  FINANCIERA </t>
  </si>
  <si>
    <t>A DICIEMBRE</t>
  </si>
  <si>
    <t>NOTA: SE REALIZO UNA ADICION PRESUPUESTAL EN INVERSION RP POR VALOR DE $446.531.520 MEDIANTE RESOL N°232 DEL 20 DIC/05 Y APROB POR MINHACIENDA EL 28 DIC/05.</t>
  </si>
  <si>
    <t>NOTA: SE REALIZO UN TRASLADO PRESUPUESTAL DE SUELDOS POR $10.000.000.oo Y OTROS POR $3.800.000.oo  A HORAS EXTRAS $3.800.000.oo E INDEMNIZACION POR VACACIONES $10.000.000.oo, MEDIANTE RESOL 910 DE DIC 21/05, Y APROBADA POR MINHACIENDA EL 28 DE DIC/05.</t>
  </si>
  <si>
    <t xml:space="preserve">SE REALIZO UNA ADICION PRESUPUESTAL EN SUELDOS POR $345.000.000.oo, OTROS POR $180.000.000.oo, CONTRIBUCIONES SECTOR PRIVADO POR $50.000.000.oo Y CONTRIBUCIONES SECOR PUBLICO POR $106.588.000.oo , TOTAL DE LA ADICION $681.588.000.oo, </t>
  </si>
  <si>
    <t>MEDIANTE RESL N°2951 DEL 21 NOV/05 DEL MINHACIENDA Y RESL 846 DEL 28 DIC/05 DEL DANE, Y APROBADA POR MINHACIENDA EL 7 DIC/05.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</si>
</sst>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8" fillId="0" borderId="8" xfId="0" applyNumberFormat="1" applyFont="1" applyBorder="1" applyAlignment="1" applyProtection="1">
      <alignment horizontal="left"/>
      <protection locked="0"/>
    </xf>
    <xf numFmtId="4" fontId="9" fillId="0" borderId="8" xfId="0" applyNumberFormat="1" applyFont="1" applyBorder="1" applyAlignment="1" applyProtection="1">
      <alignment horizontal="right"/>
      <protection locked="0"/>
    </xf>
    <xf numFmtId="4" fontId="9" fillId="0" borderId="8" xfId="0" applyNumberFormat="1" applyFont="1" applyFill="1" applyBorder="1" applyAlignment="1" applyProtection="1">
      <alignment horizontal="right"/>
      <protection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left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8" fillId="0" borderId="17" xfId="0" applyNumberFormat="1" applyFont="1" applyBorder="1" applyAlignment="1" applyProtection="1">
      <alignment horizontal="left"/>
      <protection locked="0"/>
    </xf>
    <xf numFmtId="4" fontId="9" fillId="0" borderId="8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2" fillId="0" borderId="15" xfId="0" applyNumberFormat="1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4" fontId="0" fillId="0" borderId="23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0" xfId="0" applyNumberFormat="1" applyFont="1" applyAlignment="1" applyProtection="1">
      <alignment/>
      <protection/>
    </xf>
    <xf numFmtId="40" fontId="9" fillId="0" borderId="1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13" fillId="2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3" fillId="2" borderId="0" xfId="0" applyFont="1" applyFill="1" applyBorder="1" applyAlignment="1" quotePrefix="1">
      <alignment horizontal="left"/>
    </xf>
    <xf numFmtId="0" fontId="14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lef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8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lef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Fill="1" applyBorder="1" applyAlignment="1" applyProtection="1">
      <alignment horizontal="right"/>
      <protection/>
    </xf>
    <xf numFmtId="40" fontId="0" fillId="0" borderId="33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Border="1" applyAlignment="1">
      <alignment horizontal="right"/>
    </xf>
    <xf numFmtId="4" fontId="0" fillId="0" borderId="36" xfId="0" applyNumberFormat="1" applyFont="1" applyBorder="1" applyAlignment="1" applyProtection="1">
      <alignment horizontal="center"/>
      <protection locked="0"/>
    </xf>
    <xf numFmtId="40" fontId="0" fillId="0" borderId="8" xfId="0" applyNumberFormat="1" applyFont="1" applyBorder="1" applyAlignment="1" applyProtection="1">
      <alignment horizontal="right"/>
      <protection locked="0"/>
    </xf>
    <xf numFmtId="4" fontId="0" fillId="0" borderId="37" xfId="0" applyNumberFormat="1" applyFont="1" applyBorder="1" applyAlignment="1" applyProtection="1">
      <alignment horizontal="center"/>
      <protection locked="0"/>
    </xf>
    <xf numFmtId="4" fontId="1" fillId="0" borderId="26" xfId="0" applyNumberFormat="1" applyFont="1" applyBorder="1" applyAlignment="1">
      <alignment horizontal="center"/>
    </xf>
    <xf numFmtId="40" fontId="9" fillId="0" borderId="8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/>
    </xf>
    <xf numFmtId="4" fontId="0" fillId="0" borderId="38" xfId="0" applyNumberFormat="1" applyFont="1" applyFill="1" applyBorder="1" applyAlignment="1" applyProtection="1">
      <alignment horizontal="right"/>
      <protection/>
    </xf>
    <xf numFmtId="0" fontId="13" fillId="2" borderId="39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" fontId="0" fillId="0" borderId="13" xfId="0" applyNumberFormat="1" applyFont="1" applyBorder="1" applyAlignment="1" applyProtection="1">
      <alignment horizontal="center"/>
      <protection locked="0"/>
    </xf>
    <xf numFmtId="40" fontId="0" fillId="0" borderId="20" xfId="0" applyNumberFormat="1" applyFont="1" applyBorder="1" applyAlignment="1" applyProtection="1">
      <alignment horizontal="right"/>
      <protection locked="0"/>
    </xf>
    <xf numFmtId="40" fontId="0" fillId="0" borderId="17" xfId="0" applyNumberFormat="1" applyFont="1" applyBorder="1" applyAlignment="1" applyProtection="1">
      <alignment horizontal="right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" fontId="2" fillId="0" borderId="46" xfId="0" applyNumberFormat="1" applyFont="1" applyBorder="1" applyAlignment="1">
      <alignment horizontal="right"/>
    </xf>
    <xf numFmtId="40" fontId="0" fillId="0" borderId="10" xfId="0" applyNumberFormat="1" applyFont="1" applyBorder="1" applyAlignment="1" applyProtection="1">
      <alignment horizontal="right"/>
      <protection locked="0"/>
    </xf>
    <xf numFmtId="40" fontId="2" fillId="0" borderId="12" xfId="0" applyNumberFormat="1" applyFont="1" applyBorder="1" applyAlignment="1">
      <alignment horizontal="right"/>
    </xf>
    <xf numFmtId="4" fontId="8" fillId="0" borderId="10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4" fontId="8" fillId="0" borderId="47" xfId="0" applyNumberFormat="1" applyFont="1" applyBorder="1" applyAlignment="1">
      <alignment/>
    </xf>
    <xf numFmtId="38" fontId="0" fillId="0" borderId="8" xfId="0" applyNumberFormat="1" applyFont="1" applyBorder="1" applyAlignment="1" applyProtection="1">
      <alignment horizontal="right"/>
      <protection locked="0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3" fillId="2" borderId="4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6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workbookViewId="0" topLeftCell="A1">
      <selection activeCell="A1" sqref="A1:AP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customWidth="1"/>
    <col min="16" max="16" width="20.57421875" style="1" customWidth="1"/>
    <col min="17" max="17" width="20.0039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19.140625" style="1" customWidth="1"/>
    <col min="29" max="29" width="21.140625" style="1" customWidth="1"/>
    <col min="30" max="30" width="20.003906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19.00390625" style="1" customWidth="1"/>
    <col min="42" max="42" width="22.7109375" style="1" customWidth="1"/>
    <col min="43" max="43" width="20.00390625" style="1" customWidth="1"/>
    <col min="44" max="44" width="19.8515625" style="1" customWidth="1"/>
    <col min="45" max="45" width="18.00390625" style="1" customWidth="1"/>
    <col min="46" max="16384" width="11.421875" style="1" customWidth="1"/>
  </cols>
  <sheetData>
    <row r="1" spans="1:42" s="80" customFormat="1" ht="1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70"/>
    </row>
    <row r="2" spans="1:42" s="80" customFormat="1" ht="1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s="80" customFormat="1" ht="15">
      <c r="A3" s="165" t="s">
        <v>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7"/>
    </row>
    <row r="4" spans="1:42" s="80" customFormat="1" ht="15">
      <c r="A4" s="165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s="80" customFormat="1" ht="15">
      <c r="A5" s="165" t="s">
        <v>40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7"/>
    </row>
    <row r="6" spans="1:42" s="80" customFormat="1" ht="14.2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4"/>
    </row>
    <row r="7" spans="1:42" s="80" customFormat="1" ht="15">
      <c r="A7" s="172" t="s">
        <v>3</v>
      </c>
      <c r="B7" s="173"/>
      <c r="C7" s="85" t="s">
        <v>41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6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7" t="s">
        <v>5</v>
      </c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8" t="s">
        <v>149</v>
      </c>
    </row>
    <row r="8" spans="1:42" s="80" customFormat="1" ht="15" customHeight="1" thickBot="1">
      <c r="A8" s="172" t="s">
        <v>4</v>
      </c>
      <c r="B8" s="173"/>
      <c r="C8" s="81" t="s">
        <v>39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6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7" t="s">
        <v>6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9">
        <v>2005</v>
      </c>
    </row>
    <row r="9" spans="1:42" s="80" customFormat="1" ht="15" hidden="1" thickBo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2"/>
    </row>
    <row r="10" spans="1:42" s="80" customFormat="1" ht="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</row>
    <row r="11" spans="1:42" s="80" customFormat="1" ht="15">
      <c r="A11" s="137" t="s">
        <v>25</v>
      </c>
      <c r="B11" s="137" t="s">
        <v>27</v>
      </c>
      <c r="C11" s="137" t="s">
        <v>28</v>
      </c>
      <c r="D11" s="137" t="s">
        <v>29</v>
      </c>
      <c r="E11" s="137" t="s">
        <v>29</v>
      </c>
      <c r="F11" s="137" t="s">
        <v>29</v>
      </c>
      <c r="G11" s="137" t="s">
        <v>29</v>
      </c>
      <c r="H11" s="137" t="s">
        <v>29</v>
      </c>
      <c r="I11" s="137" t="s">
        <v>29</v>
      </c>
      <c r="J11" s="137" t="s">
        <v>29</v>
      </c>
      <c r="K11" s="137" t="s">
        <v>29</v>
      </c>
      <c r="L11" s="137" t="s">
        <v>29</v>
      </c>
      <c r="M11" s="137" t="s">
        <v>29</v>
      </c>
      <c r="N11" s="137" t="s">
        <v>29</v>
      </c>
      <c r="O11" s="137" t="s">
        <v>29</v>
      </c>
      <c r="P11" s="137" t="s">
        <v>29</v>
      </c>
      <c r="Q11" s="137" t="s">
        <v>30</v>
      </c>
      <c r="R11" s="137" t="s">
        <v>30</v>
      </c>
      <c r="S11" s="137" t="s">
        <v>30</v>
      </c>
      <c r="T11" s="137" t="s">
        <v>30</v>
      </c>
      <c r="U11" s="137" t="s">
        <v>30</v>
      </c>
      <c r="V11" s="137" t="s">
        <v>30</v>
      </c>
      <c r="W11" s="137" t="s">
        <v>30</v>
      </c>
      <c r="X11" s="137" t="s">
        <v>30</v>
      </c>
      <c r="Y11" s="137" t="s">
        <v>30</v>
      </c>
      <c r="Z11" s="137" t="s">
        <v>30</v>
      </c>
      <c r="AA11" s="137" t="s">
        <v>30</v>
      </c>
      <c r="AB11" s="137" t="s">
        <v>30</v>
      </c>
      <c r="AC11" s="137" t="s">
        <v>30</v>
      </c>
      <c r="AD11" s="137" t="s">
        <v>31</v>
      </c>
      <c r="AE11" s="137" t="s">
        <v>31</v>
      </c>
      <c r="AF11" s="137" t="s">
        <v>31</v>
      </c>
      <c r="AG11" s="137" t="s">
        <v>31</v>
      </c>
      <c r="AH11" s="137" t="s">
        <v>31</v>
      </c>
      <c r="AI11" s="137" t="s">
        <v>31</v>
      </c>
      <c r="AJ11" s="137" t="s">
        <v>31</v>
      </c>
      <c r="AK11" s="137" t="s">
        <v>31</v>
      </c>
      <c r="AL11" s="137" t="s">
        <v>31</v>
      </c>
      <c r="AM11" s="137" t="s">
        <v>31</v>
      </c>
      <c r="AN11" s="137" t="s">
        <v>31</v>
      </c>
      <c r="AO11" s="137" t="s">
        <v>31</v>
      </c>
      <c r="AP11" s="137" t="s">
        <v>31</v>
      </c>
    </row>
    <row r="12" spans="1:42" s="80" customFormat="1" ht="15.75" thickBot="1">
      <c r="A12" s="138" t="s">
        <v>26</v>
      </c>
      <c r="B12" s="138"/>
      <c r="C12" s="138" t="s">
        <v>7</v>
      </c>
      <c r="D12" s="138" t="s">
        <v>8</v>
      </c>
      <c r="E12" s="138" t="s">
        <v>9</v>
      </c>
      <c r="F12" s="138" t="s">
        <v>10</v>
      </c>
      <c r="G12" s="138" t="s">
        <v>11</v>
      </c>
      <c r="H12" s="138" t="s">
        <v>12</v>
      </c>
      <c r="I12" s="138" t="s">
        <v>13</v>
      </c>
      <c r="J12" s="138" t="s">
        <v>14</v>
      </c>
      <c r="K12" s="138" t="s">
        <v>15</v>
      </c>
      <c r="L12" s="138" t="s">
        <v>16</v>
      </c>
      <c r="M12" s="138" t="s">
        <v>17</v>
      </c>
      <c r="N12" s="138" t="s">
        <v>18</v>
      </c>
      <c r="O12" s="138" t="s">
        <v>19</v>
      </c>
      <c r="P12" s="138" t="s">
        <v>20</v>
      </c>
      <c r="Q12" s="138" t="s">
        <v>8</v>
      </c>
      <c r="R12" s="138" t="s">
        <v>9</v>
      </c>
      <c r="S12" s="138" t="s">
        <v>10</v>
      </c>
      <c r="T12" s="138" t="s">
        <v>11</v>
      </c>
      <c r="U12" s="138" t="s">
        <v>21</v>
      </c>
      <c r="V12" s="138" t="s">
        <v>22</v>
      </c>
      <c r="W12" s="138" t="s">
        <v>23</v>
      </c>
      <c r="X12" s="138" t="s">
        <v>15</v>
      </c>
      <c r="Y12" s="138" t="s">
        <v>16</v>
      </c>
      <c r="Z12" s="138" t="s">
        <v>24</v>
      </c>
      <c r="AA12" s="138" t="s">
        <v>18</v>
      </c>
      <c r="AB12" s="138" t="s">
        <v>19</v>
      </c>
      <c r="AC12" s="138" t="s">
        <v>32</v>
      </c>
      <c r="AD12" s="138" t="s">
        <v>8</v>
      </c>
      <c r="AE12" s="138" t="s">
        <v>9</v>
      </c>
      <c r="AF12" s="138" t="s">
        <v>10</v>
      </c>
      <c r="AG12" s="138" t="s">
        <v>11</v>
      </c>
      <c r="AH12" s="138" t="s">
        <v>21</v>
      </c>
      <c r="AI12" s="138" t="s">
        <v>22</v>
      </c>
      <c r="AJ12" s="138" t="s">
        <v>23</v>
      </c>
      <c r="AK12" s="138" t="s">
        <v>15</v>
      </c>
      <c r="AL12" s="138" t="s">
        <v>16</v>
      </c>
      <c r="AM12" s="138" t="s">
        <v>24</v>
      </c>
      <c r="AN12" s="138" t="s">
        <v>18</v>
      </c>
      <c r="AO12" s="138" t="s">
        <v>19</v>
      </c>
      <c r="AP12" s="138" t="s">
        <v>20</v>
      </c>
    </row>
    <row r="13" spans="1:45" s="80" customFormat="1" ht="15.75" thickBot="1">
      <c r="A13" s="139">
        <v>1</v>
      </c>
      <c r="B13" s="139">
        <v>2</v>
      </c>
      <c r="C13" s="139"/>
      <c r="D13" s="139">
        <v>3</v>
      </c>
      <c r="E13" s="139">
        <v>3</v>
      </c>
      <c r="F13" s="139">
        <v>3</v>
      </c>
      <c r="G13" s="139">
        <v>3</v>
      </c>
      <c r="H13" s="139">
        <v>3</v>
      </c>
      <c r="I13" s="139">
        <v>3</v>
      </c>
      <c r="J13" s="139">
        <v>3</v>
      </c>
      <c r="K13" s="139">
        <v>3</v>
      </c>
      <c r="L13" s="139">
        <v>3</v>
      </c>
      <c r="M13" s="139">
        <v>3</v>
      </c>
      <c r="N13" s="139">
        <v>3</v>
      </c>
      <c r="O13" s="139">
        <v>3</v>
      </c>
      <c r="P13" s="139">
        <v>4</v>
      </c>
      <c r="Q13" s="139">
        <v>5</v>
      </c>
      <c r="R13" s="139">
        <v>5</v>
      </c>
      <c r="S13" s="139">
        <v>5</v>
      </c>
      <c r="T13" s="139">
        <v>5</v>
      </c>
      <c r="U13" s="139">
        <v>5</v>
      </c>
      <c r="V13" s="139">
        <v>5</v>
      </c>
      <c r="W13" s="139">
        <v>5</v>
      </c>
      <c r="X13" s="139">
        <v>5</v>
      </c>
      <c r="Y13" s="139">
        <v>5</v>
      </c>
      <c r="Z13" s="139">
        <v>5</v>
      </c>
      <c r="AA13" s="139">
        <v>5</v>
      </c>
      <c r="AB13" s="139">
        <v>5</v>
      </c>
      <c r="AC13" s="139">
        <v>6</v>
      </c>
      <c r="AD13" s="139">
        <v>7</v>
      </c>
      <c r="AE13" s="139">
        <v>7</v>
      </c>
      <c r="AF13" s="139">
        <v>7</v>
      </c>
      <c r="AG13" s="139">
        <v>7</v>
      </c>
      <c r="AH13" s="139">
        <v>7</v>
      </c>
      <c r="AI13" s="139">
        <v>7</v>
      </c>
      <c r="AJ13" s="139">
        <v>7</v>
      </c>
      <c r="AK13" s="139">
        <v>7</v>
      </c>
      <c r="AL13" s="139">
        <v>7</v>
      </c>
      <c r="AM13" s="139">
        <v>7</v>
      </c>
      <c r="AN13" s="139">
        <v>7</v>
      </c>
      <c r="AO13" s="139">
        <v>7</v>
      </c>
      <c r="AP13" s="139">
        <v>8</v>
      </c>
      <c r="AQ13" s="93" t="s">
        <v>75</v>
      </c>
      <c r="AR13" s="93" t="s">
        <v>76</v>
      </c>
      <c r="AS13" s="93" t="s">
        <v>77</v>
      </c>
    </row>
    <row r="14" spans="1:46" s="26" customFormat="1" ht="13.5" thickBot="1">
      <c r="A14" s="94"/>
      <c r="B14" s="95" t="s">
        <v>81</v>
      </c>
      <c r="C14" s="96">
        <f aca="true" t="shared" si="0" ref="C14:AS14">SUM(C15,C24,C27)</f>
        <v>16962430218</v>
      </c>
      <c r="D14" s="96">
        <f t="shared" si="0"/>
        <v>1135764035</v>
      </c>
      <c r="E14" s="96">
        <f t="shared" si="0"/>
        <v>1167357540</v>
      </c>
      <c r="F14" s="96">
        <f t="shared" si="0"/>
        <v>1374619715</v>
      </c>
      <c r="G14" s="96">
        <f t="shared" si="0"/>
        <v>1298578007</v>
      </c>
      <c r="H14" s="96">
        <f t="shared" si="0"/>
        <v>1359435682</v>
      </c>
      <c r="I14" s="96">
        <f t="shared" si="0"/>
        <v>1619166098</v>
      </c>
      <c r="J14" s="96">
        <f t="shared" si="0"/>
        <v>1056872632</v>
      </c>
      <c r="K14" s="96">
        <f t="shared" si="0"/>
        <v>1270639312</v>
      </c>
      <c r="L14" s="96">
        <f t="shared" si="0"/>
        <v>969412223</v>
      </c>
      <c r="M14" s="96">
        <f t="shared" si="0"/>
        <v>1255111451</v>
      </c>
      <c r="N14" s="96">
        <f t="shared" si="0"/>
        <v>2278953614</v>
      </c>
      <c r="O14" s="96">
        <f t="shared" si="0"/>
        <v>1917528620</v>
      </c>
      <c r="P14" s="96">
        <f t="shared" si="0"/>
        <v>16703438929</v>
      </c>
      <c r="Q14" s="96">
        <f t="shared" si="0"/>
        <v>723218374</v>
      </c>
      <c r="R14" s="96">
        <f t="shared" si="0"/>
        <v>1065406047</v>
      </c>
      <c r="S14" s="96">
        <f t="shared" si="0"/>
        <v>1380052926</v>
      </c>
      <c r="T14" s="96">
        <f t="shared" si="0"/>
        <v>1157943509</v>
      </c>
      <c r="U14" s="96">
        <f t="shared" si="0"/>
        <v>1212823053</v>
      </c>
      <c r="V14" s="96">
        <f t="shared" si="0"/>
        <v>1859552561</v>
      </c>
      <c r="W14" s="96">
        <f t="shared" si="0"/>
        <v>1128516439</v>
      </c>
      <c r="X14" s="96">
        <f t="shared" si="0"/>
        <v>1233212812</v>
      </c>
      <c r="Y14" s="96">
        <f t="shared" si="0"/>
        <v>1108214253</v>
      </c>
      <c r="Z14" s="96">
        <f t="shared" si="0"/>
        <v>1372304851</v>
      </c>
      <c r="AA14" s="96">
        <f t="shared" si="0"/>
        <v>1653853590</v>
      </c>
      <c r="AB14" s="96">
        <f t="shared" si="0"/>
        <v>2415443459</v>
      </c>
      <c r="AC14" s="96">
        <f t="shared" si="0"/>
        <v>16310541874</v>
      </c>
      <c r="AD14" s="96">
        <f t="shared" si="0"/>
        <v>722813434</v>
      </c>
      <c r="AE14" s="96">
        <f t="shared" si="0"/>
        <v>1046927699</v>
      </c>
      <c r="AF14" s="96">
        <f t="shared" si="0"/>
        <v>1175118401</v>
      </c>
      <c r="AG14" s="96">
        <f t="shared" si="0"/>
        <v>1354891471</v>
      </c>
      <c r="AH14" s="96">
        <f t="shared" si="0"/>
        <v>1227636194</v>
      </c>
      <c r="AI14" s="96">
        <f t="shared" si="0"/>
        <v>1349961006</v>
      </c>
      <c r="AJ14" s="96">
        <f t="shared" si="0"/>
        <v>1602654870</v>
      </c>
      <c r="AK14" s="96">
        <f t="shared" si="0"/>
        <v>1099685040</v>
      </c>
      <c r="AL14" s="96">
        <f t="shared" si="0"/>
        <v>1268822564</v>
      </c>
      <c r="AM14" s="96">
        <f t="shared" si="0"/>
        <v>1370523654</v>
      </c>
      <c r="AN14" s="96">
        <f t="shared" si="0"/>
        <v>1114423423</v>
      </c>
      <c r="AO14" s="96">
        <f t="shared" si="0"/>
        <v>2797933187</v>
      </c>
      <c r="AP14" s="96">
        <f t="shared" si="0"/>
        <v>16131390943</v>
      </c>
      <c r="AQ14" s="96">
        <f t="shared" si="0"/>
        <v>258991289</v>
      </c>
      <c r="AR14" s="96">
        <f t="shared" si="0"/>
        <v>392897055</v>
      </c>
      <c r="AS14" s="96">
        <f t="shared" si="0"/>
        <v>179150931</v>
      </c>
      <c r="AT14" s="162">
        <f>P14/C14</f>
        <v>0.984731475049774</v>
      </c>
    </row>
    <row r="15" spans="1:46" s="26" customFormat="1" ht="13.5" thickBot="1">
      <c r="A15" s="94"/>
      <c r="B15" s="95" t="s">
        <v>72</v>
      </c>
      <c r="C15" s="96">
        <f aca="true" t="shared" si="1" ref="C15:AS15">SUM(C16:C23)</f>
        <v>15127559227</v>
      </c>
      <c r="D15" s="96">
        <f t="shared" si="1"/>
        <v>721139577</v>
      </c>
      <c r="E15" s="96">
        <f t="shared" si="1"/>
        <v>1123772502</v>
      </c>
      <c r="F15" s="96">
        <f t="shared" si="1"/>
        <v>1302267762</v>
      </c>
      <c r="G15" s="96">
        <f t="shared" si="1"/>
        <v>1081838779</v>
      </c>
      <c r="H15" s="96">
        <f t="shared" si="1"/>
        <v>1306898626</v>
      </c>
      <c r="I15" s="96">
        <f t="shared" si="1"/>
        <v>1556123852</v>
      </c>
      <c r="J15" s="96">
        <f t="shared" si="1"/>
        <v>1005439161</v>
      </c>
      <c r="K15" s="96">
        <f t="shared" si="1"/>
        <v>1189054908</v>
      </c>
      <c r="L15" s="96">
        <f t="shared" si="1"/>
        <v>930941903</v>
      </c>
      <c r="M15" s="96">
        <f t="shared" si="1"/>
        <v>1156490920</v>
      </c>
      <c r="N15" s="96">
        <f t="shared" si="1"/>
        <v>2022048736</v>
      </c>
      <c r="O15" s="96">
        <f t="shared" si="1"/>
        <v>1541457618</v>
      </c>
      <c r="P15" s="96">
        <f t="shared" si="1"/>
        <v>14937474344</v>
      </c>
      <c r="Q15" s="96">
        <f t="shared" si="1"/>
        <v>718814577</v>
      </c>
      <c r="R15" s="96">
        <f t="shared" si="1"/>
        <v>1045478556</v>
      </c>
      <c r="S15" s="96">
        <f t="shared" si="1"/>
        <v>1290369863</v>
      </c>
      <c r="T15" s="96">
        <f t="shared" si="1"/>
        <v>1087210655</v>
      </c>
      <c r="U15" s="96">
        <f t="shared" si="1"/>
        <v>1154924729</v>
      </c>
      <c r="V15" s="96">
        <f t="shared" si="1"/>
        <v>1714321876</v>
      </c>
      <c r="W15" s="96">
        <f t="shared" si="1"/>
        <v>1024801176</v>
      </c>
      <c r="X15" s="96">
        <f t="shared" si="1"/>
        <v>1183283622</v>
      </c>
      <c r="Y15" s="96">
        <f t="shared" si="1"/>
        <v>929801850</v>
      </c>
      <c r="Z15" s="96">
        <f t="shared" si="1"/>
        <v>1176838401</v>
      </c>
      <c r="AA15" s="96">
        <f t="shared" si="1"/>
        <v>1546182091</v>
      </c>
      <c r="AB15" s="96">
        <f t="shared" si="1"/>
        <v>2011263357</v>
      </c>
      <c r="AC15" s="96">
        <f t="shared" si="1"/>
        <v>14883290753</v>
      </c>
      <c r="AD15" s="96">
        <f t="shared" si="1"/>
        <v>718814577</v>
      </c>
      <c r="AE15" s="96">
        <f t="shared" si="1"/>
        <v>1026595268</v>
      </c>
      <c r="AF15" s="96">
        <f t="shared" si="1"/>
        <v>1103359056</v>
      </c>
      <c r="AG15" s="96">
        <f t="shared" si="1"/>
        <v>1268130597</v>
      </c>
      <c r="AH15" s="96">
        <f t="shared" si="1"/>
        <v>1169542172</v>
      </c>
      <c r="AI15" s="96">
        <f t="shared" si="1"/>
        <v>1221978967</v>
      </c>
      <c r="AJ15" s="96">
        <f t="shared" si="1"/>
        <v>1515478693</v>
      </c>
      <c r="AK15" s="96">
        <f t="shared" si="1"/>
        <v>1021301099</v>
      </c>
      <c r="AL15" s="96">
        <f t="shared" si="1"/>
        <v>1102123535</v>
      </c>
      <c r="AM15" s="96">
        <f t="shared" si="1"/>
        <v>1156310849</v>
      </c>
      <c r="AN15" s="96">
        <f t="shared" si="1"/>
        <v>1008442424</v>
      </c>
      <c r="AO15" s="96">
        <f t="shared" si="1"/>
        <v>2454945059</v>
      </c>
      <c r="AP15" s="97">
        <f t="shared" si="1"/>
        <v>14767022296</v>
      </c>
      <c r="AQ15" s="98">
        <f t="shared" si="1"/>
        <v>190084883</v>
      </c>
      <c r="AR15" s="98">
        <f t="shared" si="1"/>
        <v>54183591</v>
      </c>
      <c r="AS15" s="98">
        <f t="shared" si="1"/>
        <v>116268457</v>
      </c>
      <c r="AT15" s="162">
        <f aca="true" t="shared" si="2" ref="AT15:AT54">P15/C15</f>
        <v>0.987434530571149</v>
      </c>
    </row>
    <row r="16" spans="1:46" s="19" customFormat="1" ht="12.75">
      <c r="A16" s="99" t="s">
        <v>54</v>
      </c>
      <c r="B16" s="100" t="s">
        <v>55</v>
      </c>
      <c r="C16" s="101">
        <f>8104522226+345000000-10000000</f>
        <v>8439522226</v>
      </c>
      <c r="D16" s="101">
        <v>525437227</v>
      </c>
      <c r="E16" s="101">
        <v>663788117</v>
      </c>
      <c r="F16" s="101">
        <v>682997573</v>
      </c>
      <c r="G16" s="101">
        <v>807577524</v>
      </c>
      <c r="H16" s="101">
        <v>717406774</v>
      </c>
      <c r="I16" s="101">
        <v>777523603</v>
      </c>
      <c r="J16" s="101">
        <v>635071717</v>
      </c>
      <c r="K16" s="101">
        <v>695692863</v>
      </c>
      <c r="L16" s="101">
        <v>699775117</v>
      </c>
      <c r="M16" s="101">
        <v>702992231</v>
      </c>
      <c r="N16" s="101">
        <v>687554818</v>
      </c>
      <c r="O16" s="101">
        <v>831131669</v>
      </c>
      <c r="P16" s="102">
        <f>SUM(D16:O16)</f>
        <v>8426949233</v>
      </c>
      <c r="Q16" s="101">
        <v>525437227</v>
      </c>
      <c r="R16" s="102">
        <v>663788117</v>
      </c>
      <c r="S16" s="101">
        <v>682997573</v>
      </c>
      <c r="T16" s="101">
        <v>807577524</v>
      </c>
      <c r="U16" s="101">
        <v>717406774</v>
      </c>
      <c r="V16" s="101">
        <v>760091993</v>
      </c>
      <c r="W16" s="101">
        <v>652503327</v>
      </c>
      <c r="X16" s="101">
        <v>695692863</v>
      </c>
      <c r="Y16" s="101">
        <v>699775117</v>
      </c>
      <c r="Z16" s="101">
        <v>702992231</v>
      </c>
      <c r="AA16" s="101">
        <v>687522278</v>
      </c>
      <c r="AB16" s="101">
        <v>831164209</v>
      </c>
      <c r="AC16" s="102">
        <f aca="true" t="shared" si="3" ref="AC16:AC23">SUM(Q16:AB16)</f>
        <v>8426949233</v>
      </c>
      <c r="AD16" s="101">
        <v>525437227</v>
      </c>
      <c r="AE16" s="102">
        <v>663788117</v>
      </c>
      <c r="AF16" s="101">
        <v>682997573</v>
      </c>
      <c r="AG16" s="101">
        <v>804832988</v>
      </c>
      <c r="AH16" s="101">
        <v>720151310</v>
      </c>
      <c r="AI16" s="101">
        <v>760091993</v>
      </c>
      <c r="AJ16" s="101">
        <v>652503327</v>
      </c>
      <c r="AK16" s="101">
        <v>695692863</v>
      </c>
      <c r="AL16" s="101">
        <v>699775117</v>
      </c>
      <c r="AM16" s="101">
        <v>702992231</v>
      </c>
      <c r="AN16" s="101">
        <v>687522278</v>
      </c>
      <c r="AO16" s="101">
        <v>831164209</v>
      </c>
      <c r="AP16" s="103">
        <f aca="true" t="shared" si="4" ref="AP16:AP23">SUM(AD16:AO16)</f>
        <v>8426949233</v>
      </c>
      <c r="AQ16" s="19">
        <f aca="true" t="shared" si="5" ref="AQ16:AQ23">SUM(C16-P16)</f>
        <v>12572993</v>
      </c>
      <c r="AR16" s="19">
        <f aca="true" t="shared" si="6" ref="AR16:AR23">SUM(P16-AC16)</f>
        <v>0</v>
      </c>
      <c r="AS16" s="19">
        <f aca="true" t="shared" si="7" ref="AS16:AS23">SUM(AC16-AP16)</f>
        <v>0</v>
      </c>
      <c r="AT16" s="162">
        <f t="shared" si="2"/>
        <v>0.9985102245526096</v>
      </c>
    </row>
    <row r="17" spans="1:46" s="19" customFormat="1" ht="12.75">
      <c r="A17" s="41" t="s">
        <v>56</v>
      </c>
      <c r="B17" s="104" t="s">
        <v>57</v>
      </c>
      <c r="C17" s="105">
        <f>32218153+3800000</f>
        <v>36018153</v>
      </c>
      <c r="D17" s="105">
        <v>0</v>
      </c>
      <c r="E17" s="105">
        <v>1891662</v>
      </c>
      <c r="F17" s="105">
        <v>2146895</v>
      </c>
      <c r="G17" s="105">
        <v>2229728</v>
      </c>
      <c r="H17" s="105">
        <v>2161869</v>
      </c>
      <c r="I17" s="105">
        <v>2238800</v>
      </c>
      <c r="J17" s="105">
        <v>2287941</v>
      </c>
      <c r="K17" s="105">
        <v>2032848</v>
      </c>
      <c r="L17" s="105">
        <v>2441207</v>
      </c>
      <c r="M17" s="105">
        <v>2853905</v>
      </c>
      <c r="N17" s="105">
        <v>4010040</v>
      </c>
      <c r="O17" s="105">
        <v>11621270</v>
      </c>
      <c r="P17" s="106">
        <f aca="true" t="shared" si="8" ref="P17:P23">SUM(D17:O17)</f>
        <v>35916165</v>
      </c>
      <c r="Q17" s="105">
        <v>0</v>
      </c>
      <c r="R17" s="106">
        <v>1891662</v>
      </c>
      <c r="S17" s="105">
        <v>2146895</v>
      </c>
      <c r="T17" s="105">
        <v>2229728</v>
      </c>
      <c r="U17" s="105">
        <v>2161869</v>
      </c>
      <c r="V17" s="105">
        <v>2238800</v>
      </c>
      <c r="W17" s="105">
        <v>2287941</v>
      </c>
      <c r="X17" s="105">
        <v>2032848</v>
      </c>
      <c r="Y17" s="105">
        <v>2441207</v>
      </c>
      <c r="Z17" s="105">
        <v>2853905</v>
      </c>
      <c r="AA17" s="105">
        <v>4010040</v>
      </c>
      <c r="AB17" s="105">
        <v>11621270</v>
      </c>
      <c r="AC17" s="106">
        <f t="shared" si="3"/>
        <v>35916165</v>
      </c>
      <c r="AD17" s="105">
        <v>0</v>
      </c>
      <c r="AE17" s="106">
        <v>1891662</v>
      </c>
      <c r="AF17" s="105">
        <v>2146895</v>
      </c>
      <c r="AG17" s="105">
        <v>2229728</v>
      </c>
      <c r="AH17" s="105">
        <v>2161869</v>
      </c>
      <c r="AI17" s="105">
        <v>2238800</v>
      </c>
      <c r="AJ17" s="105">
        <v>2287941</v>
      </c>
      <c r="AK17" s="105">
        <v>2032848</v>
      </c>
      <c r="AL17" s="105">
        <v>2441207</v>
      </c>
      <c r="AM17" s="105">
        <v>2853905</v>
      </c>
      <c r="AN17" s="105">
        <v>4010040</v>
      </c>
      <c r="AO17" s="105">
        <v>5667647</v>
      </c>
      <c r="AP17" s="107">
        <f t="shared" si="4"/>
        <v>29962542</v>
      </c>
      <c r="AQ17" s="19">
        <f t="shared" si="5"/>
        <v>101988</v>
      </c>
      <c r="AR17" s="19">
        <f t="shared" si="6"/>
        <v>0</v>
      </c>
      <c r="AS17" s="19">
        <f t="shared" si="7"/>
        <v>5953623</v>
      </c>
      <c r="AT17" s="162">
        <f t="shared" si="2"/>
        <v>0.9971684278202716</v>
      </c>
    </row>
    <row r="18" spans="1:46" s="19" customFormat="1" ht="12.75">
      <c r="A18" s="41" t="s">
        <v>120</v>
      </c>
      <c r="B18" s="104" t="s">
        <v>121</v>
      </c>
      <c r="C18" s="105">
        <f>50000000+10000000</f>
        <v>60000000</v>
      </c>
      <c r="D18" s="105">
        <v>0</v>
      </c>
      <c r="E18" s="105">
        <v>11051549</v>
      </c>
      <c r="F18" s="105">
        <v>14419278</v>
      </c>
      <c r="G18" s="105">
        <v>3265478</v>
      </c>
      <c r="H18" s="105">
        <v>0</v>
      </c>
      <c r="I18" s="105">
        <v>2961266</v>
      </c>
      <c r="J18" s="105">
        <v>0</v>
      </c>
      <c r="K18" s="105">
        <v>0</v>
      </c>
      <c r="L18" s="105">
        <v>0</v>
      </c>
      <c r="M18" s="105">
        <v>9459843</v>
      </c>
      <c r="N18" s="105">
        <v>6670520</v>
      </c>
      <c r="O18" s="105">
        <v>8450016</v>
      </c>
      <c r="P18" s="106">
        <f t="shared" si="8"/>
        <v>56277950</v>
      </c>
      <c r="Q18" s="105">
        <v>0</v>
      </c>
      <c r="R18" s="106">
        <v>9833674</v>
      </c>
      <c r="S18" s="105">
        <v>15637153</v>
      </c>
      <c r="T18" s="105">
        <v>3265478</v>
      </c>
      <c r="U18" s="105">
        <v>0</v>
      </c>
      <c r="V18" s="105">
        <v>2961266</v>
      </c>
      <c r="W18" s="105">
        <v>0</v>
      </c>
      <c r="X18" s="105">
        <v>0</v>
      </c>
      <c r="Y18" s="105">
        <v>0</v>
      </c>
      <c r="Z18" s="105">
        <v>9459843</v>
      </c>
      <c r="AA18" s="105">
        <v>6670520</v>
      </c>
      <c r="AB18" s="105">
        <v>8450016</v>
      </c>
      <c r="AC18" s="106">
        <f t="shared" si="3"/>
        <v>56277950</v>
      </c>
      <c r="AD18" s="105">
        <v>0</v>
      </c>
      <c r="AE18" s="106">
        <v>9833674</v>
      </c>
      <c r="AF18" s="105">
        <v>12630540</v>
      </c>
      <c r="AG18" s="105">
        <v>3006613</v>
      </c>
      <c r="AH18" s="105">
        <v>3265478</v>
      </c>
      <c r="AI18" s="105">
        <v>2961266</v>
      </c>
      <c r="AJ18" s="105">
        <v>0</v>
      </c>
      <c r="AK18" s="105">
        <v>0</v>
      </c>
      <c r="AL18" s="105">
        <v>0</v>
      </c>
      <c r="AM18" s="105">
        <v>9459843</v>
      </c>
      <c r="AN18" s="105">
        <v>6670520</v>
      </c>
      <c r="AO18" s="105">
        <v>456427</v>
      </c>
      <c r="AP18" s="107">
        <f t="shared" si="4"/>
        <v>48284361</v>
      </c>
      <c r="AQ18" s="19">
        <f t="shared" si="5"/>
        <v>3722050</v>
      </c>
      <c r="AR18" s="19">
        <f t="shared" si="6"/>
        <v>0</v>
      </c>
      <c r="AS18" s="19">
        <f t="shared" si="7"/>
        <v>7993589</v>
      </c>
      <c r="AT18" s="162"/>
    </row>
    <row r="19" spans="1:46" s="19" customFormat="1" ht="12.75">
      <c r="A19" s="41" t="s">
        <v>58</v>
      </c>
      <c r="B19" s="104" t="s">
        <v>59</v>
      </c>
      <c r="C19" s="105">
        <v>432809756</v>
      </c>
      <c r="D19" s="105">
        <v>26252445</v>
      </c>
      <c r="E19" s="105">
        <v>29861169</v>
      </c>
      <c r="F19" s="105">
        <v>29110313</v>
      </c>
      <c r="G19" s="105">
        <v>42164683</v>
      </c>
      <c r="H19" s="105">
        <v>36531064</v>
      </c>
      <c r="I19" s="105">
        <v>37966497</v>
      </c>
      <c r="J19" s="105">
        <v>33791408</v>
      </c>
      <c r="K19" s="105">
        <v>37005072</v>
      </c>
      <c r="L19" s="105">
        <v>36103343</v>
      </c>
      <c r="M19" s="105">
        <v>36549373</v>
      </c>
      <c r="N19" s="105">
        <v>37061639</v>
      </c>
      <c r="O19" s="105">
        <v>37102698</v>
      </c>
      <c r="P19" s="106">
        <f t="shared" si="8"/>
        <v>419499704</v>
      </c>
      <c r="Q19" s="105">
        <v>26252445</v>
      </c>
      <c r="R19" s="106">
        <v>29861169</v>
      </c>
      <c r="S19" s="105">
        <v>29110313</v>
      </c>
      <c r="T19" s="105">
        <v>42164683</v>
      </c>
      <c r="U19" s="105">
        <v>36531064</v>
      </c>
      <c r="V19" s="105">
        <v>37679461</v>
      </c>
      <c r="W19" s="105">
        <v>34078444</v>
      </c>
      <c r="X19" s="105">
        <v>37005072</v>
      </c>
      <c r="Y19" s="105">
        <v>36103343</v>
      </c>
      <c r="Z19" s="105">
        <v>36549373</v>
      </c>
      <c r="AA19" s="105">
        <v>37061639</v>
      </c>
      <c r="AB19" s="105">
        <v>37102698</v>
      </c>
      <c r="AC19" s="106">
        <f t="shared" si="3"/>
        <v>419499704</v>
      </c>
      <c r="AD19" s="105">
        <v>26252445</v>
      </c>
      <c r="AE19" s="106">
        <v>29861169</v>
      </c>
      <c r="AF19" s="105">
        <v>29110313</v>
      </c>
      <c r="AG19" s="105">
        <v>41972669</v>
      </c>
      <c r="AH19" s="105">
        <v>36723078</v>
      </c>
      <c r="AI19" s="105">
        <v>36990575</v>
      </c>
      <c r="AJ19" s="105">
        <v>34767330</v>
      </c>
      <c r="AK19" s="105">
        <v>37005072</v>
      </c>
      <c r="AL19" s="105">
        <v>36103343</v>
      </c>
      <c r="AM19" s="105">
        <v>36549373</v>
      </c>
      <c r="AN19" s="105">
        <v>37061639</v>
      </c>
      <c r="AO19" s="105">
        <v>37102698</v>
      </c>
      <c r="AP19" s="107">
        <f t="shared" si="4"/>
        <v>419499704</v>
      </c>
      <c r="AQ19" s="19">
        <f t="shared" si="5"/>
        <v>13310052</v>
      </c>
      <c r="AR19" s="19">
        <f t="shared" si="6"/>
        <v>0</v>
      </c>
      <c r="AS19" s="19">
        <f t="shared" si="7"/>
        <v>0</v>
      </c>
      <c r="AT19" s="162">
        <f t="shared" si="2"/>
        <v>0.9692473383155439</v>
      </c>
    </row>
    <row r="20" spans="1:46" s="19" customFormat="1" ht="12.75">
      <c r="A20" s="41" t="s">
        <v>60</v>
      </c>
      <c r="B20" s="104" t="s">
        <v>80</v>
      </c>
      <c r="C20" s="105">
        <f>2163133711+180000000-3800000</f>
        <v>2339333711</v>
      </c>
      <c r="D20" s="105">
        <v>62855269</v>
      </c>
      <c r="E20" s="105">
        <v>77302390</v>
      </c>
      <c r="F20" s="105">
        <v>84741599</v>
      </c>
      <c r="G20" s="105">
        <v>108101486</v>
      </c>
      <c r="H20" s="105">
        <v>66390888</v>
      </c>
      <c r="I20" s="105">
        <v>420518416</v>
      </c>
      <c r="J20" s="105">
        <v>126801929</v>
      </c>
      <c r="K20" s="105">
        <v>60281663</v>
      </c>
      <c r="L20" s="105">
        <v>81439562</v>
      </c>
      <c r="M20" s="105">
        <v>79401722</v>
      </c>
      <c r="N20" s="105">
        <v>790821281</v>
      </c>
      <c r="O20" s="105">
        <v>320633795</v>
      </c>
      <c r="P20" s="106">
        <f t="shared" si="8"/>
        <v>2279290000</v>
      </c>
      <c r="Q20" s="105">
        <v>62855269</v>
      </c>
      <c r="R20" s="106">
        <v>75971163</v>
      </c>
      <c r="S20" s="105">
        <v>86072826</v>
      </c>
      <c r="T20" s="105">
        <v>108101486</v>
      </c>
      <c r="U20" s="105">
        <v>66390888</v>
      </c>
      <c r="V20" s="105">
        <v>417872861</v>
      </c>
      <c r="W20" s="105">
        <v>129447484</v>
      </c>
      <c r="X20" s="105">
        <v>60281663</v>
      </c>
      <c r="Y20" s="105">
        <v>81439562</v>
      </c>
      <c r="Z20" s="105">
        <v>79401722</v>
      </c>
      <c r="AA20" s="105">
        <v>615773521</v>
      </c>
      <c r="AB20" s="105">
        <v>495681555</v>
      </c>
      <c r="AC20" s="106">
        <f t="shared" si="3"/>
        <v>2279290000</v>
      </c>
      <c r="AD20" s="105">
        <v>62855269</v>
      </c>
      <c r="AE20" s="106">
        <v>75971163</v>
      </c>
      <c r="AF20" s="105">
        <v>84060262</v>
      </c>
      <c r="AG20" s="105">
        <v>106108142</v>
      </c>
      <c r="AH20" s="105">
        <v>70396796</v>
      </c>
      <c r="AI20" s="105">
        <v>156658709</v>
      </c>
      <c r="AJ20" s="105">
        <v>390661636</v>
      </c>
      <c r="AK20" s="105">
        <v>60281663</v>
      </c>
      <c r="AL20" s="105">
        <v>81439562</v>
      </c>
      <c r="AM20" s="105">
        <v>79401722</v>
      </c>
      <c r="AN20" s="105">
        <v>67015179</v>
      </c>
      <c r="AO20" s="105">
        <v>1044439897</v>
      </c>
      <c r="AP20" s="107">
        <f t="shared" si="4"/>
        <v>2279290000</v>
      </c>
      <c r="AQ20" s="19">
        <f t="shared" si="5"/>
        <v>60043711</v>
      </c>
      <c r="AR20" s="19">
        <f t="shared" si="6"/>
        <v>0</v>
      </c>
      <c r="AS20" s="19">
        <f t="shared" si="7"/>
        <v>0</v>
      </c>
      <c r="AT20" s="162">
        <f t="shared" si="2"/>
        <v>0.9743329860474105</v>
      </c>
    </row>
    <row r="21" spans="1:46" s="19" customFormat="1" ht="12.75">
      <c r="A21" s="41" t="s">
        <v>68</v>
      </c>
      <c r="B21" s="104" t="s">
        <v>34</v>
      </c>
      <c r="C21" s="105">
        <v>205200000</v>
      </c>
      <c r="D21" s="105">
        <v>2325000</v>
      </c>
      <c r="E21" s="105">
        <v>65100124</v>
      </c>
      <c r="F21" s="105">
        <v>21977743</v>
      </c>
      <c r="G21" s="105">
        <v>13500000</v>
      </c>
      <c r="H21" s="105">
        <v>0</v>
      </c>
      <c r="I21" s="105">
        <v>0</v>
      </c>
      <c r="J21" s="105">
        <v>11200000</v>
      </c>
      <c r="K21" s="105">
        <v>19000000</v>
      </c>
      <c r="L21" s="105">
        <v>3900000</v>
      </c>
      <c r="M21" s="105">
        <v>3400000</v>
      </c>
      <c r="N21" s="105">
        <v>64589191</v>
      </c>
      <c r="O21" s="129">
        <v>-640874</v>
      </c>
      <c r="P21" s="106">
        <f t="shared" si="8"/>
        <v>204351184</v>
      </c>
      <c r="Q21" s="105">
        <v>0</v>
      </c>
      <c r="R21" s="106">
        <v>0</v>
      </c>
      <c r="S21" s="105">
        <v>4929184</v>
      </c>
      <c r="T21" s="105">
        <v>10828714</v>
      </c>
      <c r="U21" s="105">
        <v>12328714</v>
      </c>
      <c r="V21" s="105">
        <v>15728714</v>
      </c>
      <c r="W21" s="105">
        <v>8728714</v>
      </c>
      <c r="X21" s="105">
        <v>13228714</v>
      </c>
      <c r="Y21" s="105">
        <v>11228714</v>
      </c>
      <c r="Z21" s="105">
        <v>15278714</v>
      </c>
      <c r="AA21" s="105">
        <v>22256294</v>
      </c>
      <c r="AB21" s="105">
        <v>35631117</v>
      </c>
      <c r="AC21" s="106">
        <f t="shared" si="3"/>
        <v>150167593</v>
      </c>
      <c r="AD21" s="105">
        <v>0</v>
      </c>
      <c r="AE21" s="106">
        <v>0</v>
      </c>
      <c r="AF21" s="105">
        <v>4929184</v>
      </c>
      <c r="AG21" s="105">
        <v>8528714</v>
      </c>
      <c r="AH21" s="105">
        <v>14628714</v>
      </c>
      <c r="AI21" s="105">
        <v>14428714</v>
      </c>
      <c r="AJ21" s="105">
        <v>10028714</v>
      </c>
      <c r="AK21" s="105">
        <v>13228714</v>
      </c>
      <c r="AL21" s="105">
        <v>11228714</v>
      </c>
      <c r="AM21" s="105">
        <v>15278714</v>
      </c>
      <c r="AN21" s="105">
        <v>22256294</v>
      </c>
      <c r="AO21" s="105">
        <v>35631117</v>
      </c>
      <c r="AP21" s="107">
        <f t="shared" si="4"/>
        <v>150167593</v>
      </c>
      <c r="AQ21" s="19">
        <f t="shared" si="5"/>
        <v>848816</v>
      </c>
      <c r="AR21" s="19">
        <f t="shared" si="6"/>
        <v>54183591</v>
      </c>
      <c r="AS21" s="19">
        <f t="shared" si="7"/>
        <v>0</v>
      </c>
      <c r="AT21" s="162">
        <f t="shared" si="2"/>
        <v>0.995863469785575</v>
      </c>
    </row>
    <row r="22" spans="1:46" s="19" customFormat="1" ht="12.75">
      <c r="A22" s="41" t="s">
        <v>61</v>
      </c>
      <c r="B22" s="104" t="s">
        <v>62</v>
      </c>
      <c r="C22" s="105">
        <f>1529526098+50000000</f>
        <v>1579526098</v>
      </c>
      <c r="D22" s="105">
        <v>14891913</v>
      </c>
      <c r="E22" s="105">
        <v>148680195</v>
      </c>
      <c r="F22" s="105">
        <v>213666686</v>
      </c>
      <c r="G22" s="105">
        <v>61490712</v>
      </c>
      <c r="H22" s="105">
        <v>223638363</v>
      </c>
      <c r="I22" s="105">
        <v>127449212</v>
      </c>
      <c r="J22" s="105">
        <v>65524941</v>
      </c>
      <c r="K22" s="105">
        <v>200143996</v>
      </c>
      <c r="L22" s="105">
        <v>55063242</v>
      </c>
      <c r="M22" s="105">
        <v>125799182</v>
      </c>
      <c r="N22" s="105">
        <v>190283959</v>
      </c>
      <c r="O22" s="105">
        <v>131511764</v>
      </c>
      <c r="P22" s="106">
        <f t="shared" si="8"/>
        <v>1558144165</v>
      </c>
      <c r="Q22" s="105">
        <v>14891913</v>
      </c>
      <c r="R22" s="106">
        <v>142908551</v>
      </c>
      <c r="S22" s="105">
        <v>214888610</v>
      </c>
      <c r="T22" s="105">
        <v>66040432</v>
      </c>
      <c r="U22" s="105">
        <v>153376714</v>
      </c>
      <c r="V22" s="105">
        <v>196241761</v>
      </c>
      <c r="W22" s="105">
        <v>66994041</v>
      </c>
      <c r="X22" s="105">
        <v>200143996</v>
      </c>
      <c r="Y22" s="105">
        <v>51079660</v>
      </c>
      <c r="Z22" s="105">
        <v>129782764</v>
      </c>
      <c r="AA22" s="105">
        <v>95114662</v>
      </c>
      <c r="AB22" s="105">
        <v>226681061</v>
      </c>
      <c r="AC22" s="106">
        <f t="shared" si="3"/>
        <v>1558144165</v>
      </c>
      <c r="AD22" s="105">
        <v>14891913</v>
      </c>
      <c r="AE22" s="106">
        <v>131028342</v>
      </c>
      <c r="AF22" s="105">
        <v>145659197</v>
      </c>
      <c r="AG22" s="105">
        <v>140331408</v>
      </c>
      <c r="AH22" s="105">
        <v>154415238</v>
      </c>
      <c r="AI22" s="105">
        <v>110270185</v>
      </c>
      <c r="AJ22" s="105">
        <v>152122747</v>
      </c>
      <c r="AK22" s="105">
        <v>132991534</v>
      </c>
      <c r="AL22" s="105">
        <v>123172174</v>
      </c>
      <c r="AM22" s="105">
        <v>119215864</v>
      </c>
      <c r="AN22" s="105">
        <v>101274060</v>
      </c>
      <c r="AO22" s="105">
        <v>203522265</v>
      </c>
      <c r="AP22" s="107">
        <f t="shared" si="4"/>
        <v>1528894927</v>
      </c>
      <c r="AQ22" s="19">
        <f t="shared" si="5"/>
        <v>21381933</v>
      </c>
      <c r="AR22" s="19">
        <f t="shared" si="6"/>
        <v>0</v>
      </c>
      <c r="AS22" s="19">
        <f t="shared" si="7"/>
        <v>29249238</v>
      </c>
      <c r="AT22" s="162">
        <f t="shared" si="2"/>
        <v>0.9864630707735226</v>
      </c>
    </row>
    <row r="23" spans="1:46" s="19" customFormat="1" ht="13.5" thickBot="1">
      <c r="A23" s="41" t="s">
        <v>63</v>
      </c>
      <c r="B23" s="104" t="s">
        <v>64</v>
      </c>
      <c r="C23" s="105">
        <f>1978561283-50000000+106588000</f>
        <v>2035149283</v>
      </c>
      <c r="D23" s="105">
        <v>89377723</v>
      </c>
      <c r="E23" s="105">
        <v>126097296</v>
      </c>
      <c r="F23" s="105">
        <v>253207675</v>
      </c>
      <c r="G23" s="108">
        <v>43509168</v>
      </c>
      <c r="H23" s="105">
        <v>260769668</v>
      </c>
      <c r="I23" s="105">
        <v>187466058</v>
      </c>
      <c r="J23" s="105">
        <v>130761225</v>
      </c>
      <c r="K23" s="105">
        <v>174898466</v>
      </c>
      <c r="L23" s="105">
        <v>52219432</v>
      </c>
      <c r="M23" s="105">
        <v>196034664</v>
      </c>
      <c r="N23" s="105">
        <v>241057288</v>
      </c>
      <c r="O23" s="105">
        <v>201647280</v>
      </c>
      <c r="P23" s="106">
        <f t="shared" si="8"/>
        <v>1957045943</v>
      </c>
      <c r="Q23" s="105">
        <v>89377723</v>
      </c>
      <c r="R23" s="106">
        <v>121224220</v>
      </c>
      <c r="S23" s="105">
        <v>254587309</v>
      </c>
      <c r="T23" s="105">
        <v>47002610</v>
      </c>
      <c r="U23" s="105">
        <v>166728706</v>
      </c>
      <c r="V23" s="105">
        <v>281507020</v>
      </c>
      <c r="W23" s="105">
        <v>130761225</v>
      </c>
      <c r="X23" s="105">
        <v>174898466</v>
      </c>
      <c r="Y23" s="105">
        <v>47734247</v>
      </c>
      <c r="Z23" s="105">
        <v>200519849</v>
      </c>
      <c r="AA23" s="105">
        <v>77773137</v>
      </c>
      <c r="AB23" s="105">
        <v>364931431</v>
      </c>
      <c r="AC23" s="106">
        <f t="shared" si="3"/>
        <v>1957045943</v>
      </c>
      <c r="AD23" s="105">
        <v>89377723</v>
      </c>
      <c r="AE23" s="106">
        <v>114221141</v>
      </c>
      <c r="AF23" s="105">
        <v>141825092</v>
      </c>
      <c r="AG23" s="105">
        <v>161120335</v>
      </c>
      <c r="AH23" s="105">
        <v>167799689</v>
      </c>
      <c r="AI23" s="105">
        <v>138338725</v>
      </c>
      <c r="AJ23" s="105">
        <v>273106998</v>
      </c>
      <c r="AK23" s="105">
        <v>80068405</v>
      </c>
      <c r="AL23" s="105">
        <v>147963418</v>
      </c>
      <c r="AM23" s="105">
        <v>190559197</v>
      </c>
      <c r="AN23" s="105">
        <v>82632414</v>
      </c>
      <c r="AO23" s="105">
        <v>296960799</v>
      </c>
      <c r="AP23" s="107">
        <f t="shared" si="4"/>
        <v>1883973936</v>
      </c>
      <c r="AQ23" s="19">
        <f t="shared" si="5"/>
        <v>78103340</v>
      </c>
      <c r="AR23" s="19">
        <f t="shared" si="6"/>
        <v>0</v>
      </c>
      <c r="AS23" s="19">
        <f t="shared" si="7"/>
        <v>73072007</v>
      </c>
      <c r="AT23" s="162">
        <f t="shared" si="2"/>
        <v>0.961622795608945</v>
      </c>
    </row>
    <row r="24" spans="1:46" s="26" customFormat="1" ht="13.5" thickBot="1">
      <c r="A24" s="73"/>
      <c r="B24" s="111" t="s">
        <v>73</v>
      </c>
      <c r="C24" s="112">
        <f aca="true" t="shared" si="9" ref="C24:AS24">SUM(C25:C26)</f>
        <v>1685324149</v>
      </c>
      <c r="D24" s="112">
        <f t="shared" si="9"/>
        <v>414624458</v>
      </c>
      <c r="E24" s="112">
        <f t="shared" si="9"/>
        <v>43585038</v>
      </c>
      <c r="F24" s="112">
        <f t="shared" si="9"/>
        <v>72351953</v>
      </c>
      <c r="G24" s="112">
        <f t="shared" si="9"/>
        <v>216739228</v>
      </c>
      <c r="H24" s="112">
        <f t="shared" si="9"/>
        <v>52193288</v>
      </c>
      <c r="I24" s="112">
        <f t="shared" si="9"/>
        <v>62289566</v>
      </c>
      <c r="J24" s="112">
        <f t="shared" si="9"/>
        <v>51433471</v>
      </c>
      <c r="K24" s="112">
        <f t="shared" si="9"/>
        <v>81584404</v>
      </c>
      <c r="L24" s="112">
        <f t="shared" si="9"/>
        <v>38470320</v>
      </c>
      <c r="M24" s="112">
        <f t="shared" si="9"/>
        <v>29957626</v>
      </c>
      <c r="N24" s="112">
        <f t="shared" si="9"/>
        <v>256904878</v>
      </c>
      <c r="O24" s="112">
        <f t="shared" si="9"/>
        <v>324387065</v>
      </c>
      <c r="P24" s="112">
        <f t="shared" si="9"/>
        <v>1644521295</v>
      </c>
      <c r="Q24" s="112">
        <f t="shared" si="9"/>
        <v>4403797</v>
      </c>
      <c r="R24" s="112">
        <f t="shared" si="9"/>
        <v>19927491</v>
      </c>
      <c r="S24" s="112">
        <f t="shared" si="9"/>
        <v>89683063</v>
      </c>
      <c r="T24" s="112">
        <f t="shared" si="9"/>
        <v>70732854</v>
      </c>
      <c r="U24" s="112">
        <f t="shared" si="9"/>
        <v>57898324</v>
      </c>
      <c r="V24" s="112">
        <f t="shared" si="9"/>
        <v>144134237</v>
      </c>
      <c r="W24" s="112">
        <f t="shared" si="9"/>
        <v>103715263</v>
      </c>
      <c r="X24" s="112">
        <f t="shared" si="9"/>
        <v>49929190</v>
      </c>
      <c r="Y24" s="112">
        <f t="shared" si="9"/>
        <v>178412403</v>
      </c>
      <c r="Z24" s="112">
        <f t="shared" si="9"/>
        <v>126803545</v>
      </c>
      <c r="AA24" s="112">
        <f t="shared" si="9"/>
        <v>107671499</v>
      </c>
      <c r="AB24" s="112">
        <f t="shared" si="9"/>
        <v>352496165</v>
      </c>
      <c r="AC24" s="112">
        <f t="shared" si="9"/>
        <v>1305807831</v>
      </c>
      <c r="AD24" s="112">
        <f t="shared" si="9"/>
        <v>3998857</v>
      </c>
      <c r="AE24" s="112">
        <f t="shared" si="9"/>
        <v>20332431</v>
      </c>
      <c r="AF24" s="112">
        <f t="shared" si="9"/>
        <v>71759345</v>
      </c>
      <c r="AG24" s="112">
        <f t="shared" si="9"/>
        <v>86760874</v>
      </c>
      <c r="AH24" s="112">
        <f t="shared" si="9"/>
        <v>58094022</v>
      </c>
      <c r="AI24" s="112">
        <f t="shared" si="9"/>
        <v>127982039</v>
      </c>
      <c r="AJ24" s="112">
        <f t="shared" si="9"/>
        <v>86079729</v>
      </c>
      <c r="AK24" s="112">
        <f t="shared" si="9"/>
        <v>78383941</v>
      </c>
      <c r="AL24" s="112">
        <f t="shared" si="9"/>
        <v>166699029</v>
      </c>
      <c r="AM24" s="112">
        <f t="shared" si="9"/>
        <v>145549900</v>
      </c>
      <c r="AN24" s="112">
        <f t="shared" si="9"/>
        <v>105980999</v>
      </c>
      <c r="AO24" s="112">
        <f t="shared" si="9"/>
        <v>291304191</v>
      </c>
      <c r="AP24" s="97">
        <f t="shared" si="9"/>
        <v>1242925357</v>
      </c>
      <c r="AQ24" s="113">
        <f t="shared" si="9"/>
        <v>40802854</v>
      </c>
      <c r="AR24" s="113">
        <f t="shared" si="9"/>
        <v>338713464</v>
      </c>
      <c r="AS24" s="113">
        <f t="shared" si="9"/>
        <v>62882474</v>
      </c>
      <c r="AT24" s="162">
        <f t="shared" si="2"/>
        <v>0.9757893138692574</v>
      </c>
    </row>
    <row r="25" spans="1:46" s="19" customFormat="1" ht="12.75">
      <c r="A25" s="43" t="s">
        <v>65</v>
      </c>
      <c r="B25" s="114" t="s">
        <v>66</v>
      </c>
      <c r="C25" s="115">
        <f>77539000+61800000</f>
        <v>139339000</v>
      </c>
      <c r="D25" s="115">
        <v>0</v>
      </c>
      <c r="E25" s="105">
        <v>0</v>
      </c>
      <c r="F25" s="115">
        <v>0</v>
      </c>
      <c r="G25" s="115">
        <v>0</v>
      </c>
      <c r="H25" s="115">
        <v>1821200</v>
      </c>
      <c r="I25" s="115">
        <v>5521999</v>
      </c>
      <c r="J25" s="115">
        <v>21679100</v>
      </c>
      <c r="K25" s="115">
        <v>0</v>
      </c>
      <c r="L25" s="115">
        <v>25417836</v>
      </c>
      <c r="M25" s="115">
        <v>3382096</v>
      </c>
      <c r="N25" s="115">
        <v>3787194</v>
      </c>
      <c r="O25" s="115">
        <v>70626320</v>
      </c>
      <c r="P25" s="116">
        <f>SUM(D25:O25)</f>
        <v>132235745</v>
      </c>
      <c r="Q25" s="115">
        <v>0</v>
      </c>
      <c r="R25" s="106">
        <v>0</v>
      </c>
      <c r="S25" s="115">
        <v>0</v>
      </c>
      <c r="T25" s="115">
        <v>0</v>
      </c>
      <c r="U25" s="115">
        <v>0</v>
      </c>
      <c r="V25" s="115">
        <v>7343199</v>
      </c>
      <c r="W25" s="115">
        <v>8000000</v>
      </c>
      <c r="X25" s="115">
        <v>0</v>
      </c>
      <c r="Y25" s="115">
        <v>256200</v>
      </c>
      <c r="Z25" s="115">
        <v>18916392</v>
      </c>
      <c r="AA25" s="115">
        <v>1624000</v>
      </c>
      <c r="AB25" s="115">
        <v>62446701</v>
      </c>
      <c r="AC25" s="116">
        <f>SUM(Q25:AB25)</f>
        <v>98586492</v>
      </c>
      <c r="AD25" s="115">
        <v>0</v>
      </c>
      <c r="AE25" s="106">
        <v>0</v>
      </c>
      <c r="AF25" s="115">
        <v>0</v>
      </c>
      <c r="AG25" s="115">
        <v>0</v>
      </c>
      <c r="AH25" s="115">
        <v>0</v>
      </c>
      <c r="AI25" s="115">
        <v>7343199</v>
      </c>
      <c r="AJ25" s="115">
        <v>8000000</v>
      </c>
      <c r="AK25" s="115">
        <v>0</v>
      </c>
      <c r="AL25" s="115">
        <v>256200</v>
      </c>
      <c r="AM25" s="115">
        <v>18916392</v>
      </c>
      <c r="AN25" s="115">
        <v>1624000</v>
      </c>
      <c r="AO25" s="115">
        <v>36880321</v>
      </c>
      <c r="AP25" s="117">
        <f>SUM(AD25:AO25)</f>
        <v>73020112</v>
      </c>
      <c r="AQ25" s="19">
        <f>SUM(C25-P25)</f>
        <v>7103255</v>
      </c>
      <c r="AR25" s="19">
        <f>SUM(P25-AC25)</f>
        <v>33649253</v>
      </c>
      <c r="AS25" s="19">
        <f>SUM(AC25-AP25)</f>
        <v>25566380</v>
      </c>
      <c r="AT25" s="162">
        <f t="shared" si="2"/>
        <v>0.9490217742340622</v>
      </c>
    </row>
    <row r="26" spans="1:46" s="19" customFormat="1" ht="13.5" thickBot="1">
      <c r="A26" s="41" t="s">
        <v>67</v>
      </c>
      <c r="B26" s="104" t="s">
        <v>44</v>
      </c>
      <c r="C26" s="118">
        <f>1184869086+190000000+171116063</f>
        <v>1545985149</v>
      </c>
      <c r="D26" s="105">
        <v>414624458</v>
      </c>
      <c r="E26" s="105">
        <v>43585038</v>
      </c>
      <c r="F26" s="105">
        <v>72351953</v>
      </c>
      <c r="G26" s="105">
        <v>216739228</v>
      </c>
      <c r="H26" s="105">
        <v>50372088</v>
      </c>
      <c r="I26" s="105">
        <v>56767567</v>
      </c>
      <c r="J26" s="105">
        <v>29754371</v>
      </c>
      <c r="K26" s="105">
        <v>81584404</v>
      </c>
      <c r="L26" s="105">
        <v>13052484</v>
      </c>
      <c r="M26" s="105">
        <v>26575530</v>
      </c>
      <c r="N26" s="105">
        <v>253117684</v>
      </c>
      <c r="O26" s="105">
        <v>253760745</v>
      </c>
      <c r="P26" s="106">
        <f>SUM(D26:O26)</f>
        <v>1512285550</v>
      </c>
      <c r="Q26" s="105">
        <v>4403797</v>
      </c>
      <c r="R26" s="106">
        <v>19927491</v>
      </c>
      <c r="S26" s="105">
        <v>89683063</v>
      </c>
      <c r="T26" s="105">
        <v>70732854</v>
      </c>
      <c r="U26" s="105">
        <v>57898324</v>
      </c>
      <c r="V26" s="105">
        <v>136791038</v>
      </c>
      <c r="W26" s="105">
        <v>95715263</v>
      </c>
      <c r="X26" s="105">
        <v>49929190</v>
      </c>
      <c r="Y26" s="105">
        <v>178156203</v>
      </c>
      <c r="Z26" s="105">
        <v>107887153</v>
      </c>
      <c r="AA26" s="105">
        <v>106047499</v>
      </c>
      <c r="AB26" s="105">
        <v>290049464</v>
      </c>
      <c r="AC26" s="116">
        <f>SUM(Q26:AB26)</f>
        <v>1207221339</v>
      </c>
      <c r="AD26" s="105">
        <v>3998857</v>
      </c>
      <c r="AE26" s="106">
        <v>20332431</v>
      </c>
      <c r="AF26" s="105">
        <v>71759345</v>
      </c>
      <c r="AG26" s="105">
        <v>86760874</v>
      </c>
      <c r="AH26" s="105">
        <v>58094022</v>
      </c>
      <c r="AI26" s="105">
        <v>120638840</v>
      </c>
      <c r="AJ26" s="105">
        <v>78079729</v>
      </c>
      <c r="AK26" s="105">
        <v>78383941</v>
      </c>
      <c r="AL26" s="105">
        <v>166442829</v>
      </c>
      <c r="AM26" s="105">
        <v>126633508</v>
      </c>
      <c r="AN26" s="105">
        <v>104356999</v>
      </c>
      <c r="AO26" s="105">
        <v>254423870</v>
      </c>
      <c r="AP26" s="117">
        <f>SUM(AD26:AO26)</f>
        <v>1169905245</v>
      </c>
      <c r="AQ26" s="19">
        <f>SUM(C26-P26)</f>
        <v>33699599</v>
      </c>
      <c r="AR26" s="19">
        <f>SUM(P26-AC26)</f>
        <v>305064211</v>
      </c>
      <c r="AS26" s="19">
        <f>SUM(AC26-AP26)</f>
        <v>37316094</v>
      </c>
      <c r="AT26" s="162">
        <f t="shared" si="2"/>
        <v>0.9782018611098573</v>
      </c>
    </row>
    <row r="27" spans="1:46" s="26" customFormat="1" ht="13.5" thickBot="1">
      <c r="A27" s="73"/>
      <c r="B27" s="111" t="s">
        <v>78</v>
      </c>
      <c r="C27" s="112">
        <f aca="true" t="shared" si="10" ref="C27:AS27">SUM(C28:C30)</f>
        <v>149546842</v>
      </c>
      <c r="D27" s="112">
        <f t="shared" si="10"/>
        <v>0</v>
      </c>
      <c r="E27" s="112">
        <f t="shared" si="10"/>
        <v>0</v>
      </c>
      <c r="F27" s="112">
        <f t="shared" si="10"/>
        <v>0</v>
      </c>
      <c r="G27" s="112">
        <f t="shared" si="10"/>
        <v>0</v>
      </c>
      <c r="H27" s="112">
        <f t="shared" si="10"/>
        <v>343768</v>
      </c>
      <c r="I27" s="112">
        <f t="shared" si="10"/>
        <v>752680</v>
      </c>
      <c r="J27" s="112">
        <f t="shared" si="10"/>
        <v>0</v>
      </c>
      <c r="K27" s="112">
        <f t="shared" si="10"/>
        <v>0</v>
      </c>
      <c r="L27" s="112">
        <f t="shared" si="10"/>
        <v>0</v>
      </c>
      <c r="M27" s="112">
        <f t="shared" si="10"/>
        <v>68662905</v>
      </c>
      <c r="N27" s="112">
        <f t="shared" si="10"/>
        <v>0</v>
      </c>
      <c r="O27" s="112">
        <f t="shared" si="10"/>
        <v>51683937</v>
      </c>
      <c r="P27" s="112">
        <f t="shared" si="10"/>
        <v>121443290</v>
      </c>
      <c r="Q27" s="112">
        <f t="shared" si="10"/>
        <v>0</v>
      </c>
      <c r="R27" s="112">
        <f t="shared" si="10"/>
        <v>0</v>
      </c>
      <c r="S27" s="112">
        <f t="shared" si="10"/>
        <v>0</v>
      </c>
      <c r="T27" s="112">
        <f t="shared" si="10"/>
        <v>0</v>
      </c>
      <c r="U27" s="112">
        <f t="shared" si="10"/>
        <v>0</v>
      </c>
      <c r="V27" s="112">
        <f t="shared" si="10"/>
        <v>1096448</v>
      </c>
      <c r="W27" s="112">
        <f t="shared" si="10"/>
        <v>0</v>
      </c>
      <c r="X27" s="112">
        <f t="shared" si="10"/>
        <v>0</v>
      </c>
      <c r="Y27" s="112">
        <f t="shared" si="10"/>
        <v>0</v>
      </c>
      <c r="Z27" s="112">
        <f t="shared" si="10"/>
        <v>68662905</v>
      </c>
      <c r="AA27" s="112">
        <f t="shared" si="10"/>
        <v>0</v>
      </c>
      <c r="AB27" s="112">
        <f t="shared" si="10"/>
        <v>51683937</v>
      </c>
      <c r="AC27" s="112">
        <f t="shared" si="10"/>
        <v>121443290</v>
      </c>
      <c r="AD27" s="112">
        <f t="shared" si="10"/>
        <v>0</v>
      </c>
      <c r="AE27" s="112">
        <f t="shared" si="10"/>
        <v>0</v>
      </c>
      <c r="AF27" s="112">
        <f t="shared" si="10"/>
        <v>0</v>
      </c>
      <c r="AG27" s="112">
        <f t="shared" si="10"/>
        <v>0</v>
      </c>
      <c r="AH27" s="112">
        <f t="shared" si="10"/>
        <v>0</v>
      </c>
      <c r="AI27" s="112">
        <f t="shared" si="10"/>
        <v>0</v>
      </c>
      <c r="AJ27" s="112">
        <f t="shared" si="10"/>
        <v>1096448</v>
      </c>
      <c r="AK27" s="112">
        <f t="shared" si="10"/>
        <v>0</v>
      </c>
      <c r="AL27" s="112">
        <f t="shared" si="10"/>
        <v>0</v>
      </c>
      <c r="AM27" s="112">
        <f t="shared" si="10"/>
        <v>68662905</v>
      </c>
      <c r="AN27" s="112">
        <f t="shared" si="10"/>
        <v>0</v>
      </c>
      <c r="AO27" s="112">
        <f t="shared" si="10"/>
        <v>51683937</v>
      </c>
      <c r="AP27" s="97">
        <f t="shared" si="10"/>
        <v>121443290</v>
      </c>
      <c r="AQ27" s="113">
        <f t="shared" si="10"/>
        <v>28103552</v>
      </c>
      <c r="AR27" s="112">
        <f t="shared" si="10"/>
        <v>0</v>
      </c>
      <c r="AS27" s="112">
        <f t="shared" si="10"/>
        <v>0</v>
      </c>
      <c r="AT27" s="162">
        <f t="shared" si="2"/>
        <v>0.8120752559923666</v>
      </c>
    </row>
    <row r="28" spans="1:46" s="19" customFormat="1" ht="12.75">
      <c r="A28" s="147" t="s">
        <v>48</v>
      </c>
      <c r="B28" s="120" t="s">
        <v>83</v>
      </c>
      <c r="C28" s="121">
        <f>68662905+51683937</f>
        <v>120346842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05">
        <v>0</v>
      </c>
      <c r="K28" s="121">
        <v>0</v>
      </c>
      <c r="L28" s="121">
        <v>0</v>
      </c>
      <c r="M28" s="121">
        <v>68662905</v>
      </c>
      <c r="N28" s="105">
        <v>0</v>
      </c>
      <c r="O28" s="105">
        <v>51683937</v>
      </c>
      <c r="P28" s="106">
        <f>SUM(D28:O28)</f>
        <v>120346842</v>
      </c>
      <c r="Q28" s="105">
        <v>0</v>
      </c>
      <c r="R28" s="110">
        <v>0</v>
      </c>
      <c r="S28" s="106">
        <v>0</v>
      </c>
      <c r="T28" s="121">
        <v>0</v>
      </c>
      <c r="U28" s="106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68662905</v>
      </c>
      <c r="AA28" s="105">
        <v>0</v>
      </c>
      <c r="AB28" s="105">
        <v>51683937</v>
      </c>
      <c r="AC28" s="106">
        <f>SUM(Q28:AB28)</f>
        <v>120346842</v>
      </c>
      <c r="AD28" s="105">
        <v>0</v>
      </c>
      <c r="AE28" s="106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21">
        <v>0</v>
      </c>
      <c r="AM28" s="106">
        <v>68662905</v>
      </c>
      <c r="AN28" s="105">
        <v>0</v>
      </c>
      <c r="AO28" s="105">
        <v>51683937</v>
      </c>
      <c r="AP28" s="107">
        <f>SUM(AD28:AO28)</f>
        <v>120346842</v>
      </c>
      <c r="AQ28" s="19">
        <f>SUM(C28-P28)</f>
        <v>0</v>
      </c>
      <c r="AR28" s="19">
        <f>SUM(P28-AC28)</f>
        <v>0</v>
      </c>
      <c r="AS28" s="19">
        <f>SUM(AC28-AP28)</f>
        <v>0</v>
      </c>
      <c r="AT28" s="162">
        <f t="shared" si="2"/>
        <v>1</v>
      </c>
    </row>
    <row r="29" spans="1:46" s="19" customFormat="1" ht="12.75">
      <c r="A29" s="41" t="s">
        <v>97</v>
      </c>
      <c r="B29" s="104" t="s">
        <v>96</v>
      </c>
      <c r="C29" s="105">
        <f>285000000-284600000</f>
        <v>400000</v>
      </c>
      <c r="D29" s="105">
        <v>0</v>
      </c>
      <c r="E29" s="105">
        <v>0</v>
      </c>
      <c r="F29" s="105">
        <v>0</v>
      </c>
      <c r="G29" s="105">
        <v>0</v>
      </c>
      <c r="H29" s="105">
        <v>343768</v>
      </c>
      <c r="I29" s="105">
        <v>52680</v>
      </c>
      <c r="J29" s="105">
        <v>0</v>
      </c>
      <c r="K29" s="121">
        <v>0</v>
      </c>
      <c r="L29" s="121">
        <v>0</v>
      </c>
      <c r="M29" s="121">
        <v>0</v>
      </c>
      <c r="N29" s="105">
        <v>0</v>
      </c>
      <c r="O29" s="105">
        <v>0</v>
      </c>
      <c r="P29" s="106">
        <f>SUM(D29:O29)</f>
        <v>396448</v>
      </c>
      <c r="Q29" s="105">
        <v>0</v>
      </c>
      <c r="R29" s="110">
        <v>0</v>
      </c>
      <c r="S29" s="106">
        <v>0</v>
      </c>
      <c r="T29" s="105">
        <v>0</v>
      </c>
      <c r="U29" s="106">
        <v>0</v>
      </c>
      <c r="V29" s="105">
        <v>396448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6">
        <f>SUM(Q29:AB29)</f>
        <v>396448</v>
      </c>
      <c r="AD29" s="105">
        <v>0</v>
      </c>
      <c r="AE29" s="106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396448</v>
      </c>
      <c r="AK29" s="105">
        <v>0</v>
      </c>
      <c r="AL29" s="121">
        <v>0</v>
      </c>
      <c r="AM29" s="106">
        <v>0</v>
      </c>
      <c r="AN29" s="105">
        <v>0</v>
      </c>
      <c r="AO29" s="105">
        <v>0</v>
      </c>
      <c r="AP29" s="107">
        <f>SUM(AD29:AO29)</f>
        <v>396448</v>
      </c>
      <c r="AQ29" s="19">
        <f>SUM(C29-P29)</f>
        <v>3552</v>
      </c>
      <c r="AR29" s="19">
        <f>SUM(P29-AC29)</f>
        <v>0</v>
      </c>
      <c r="AS29" s="19">
        <f>SUM(AC29-AP29)</f>
        <v>0</v>
      </c>
      <c r="AT29" s="162">
        <f t="shared" si="2"/>
        <v>0.99112</v>
      </c>
    </row>
    <row r="30" spans="1:46" s="19" customFormat="1" ht="13.5" thickBot="1">
      <c r="A30" s="41" t="s">
        <v>87</v>
      </c>
      <c r="B30" s="104" t="s">
        <v>88</v>
      </c>
      <c r="C30" s="116">
        <f>218800000-190000000</f>
        <v>28800000</v>
      </c>
      <c r="D30" s="116">
        <v>0</v>
      </c>
      <c r="E30" s="109">
        <v>0</v>
      </c>
      <c r="F30" s="109">
        <v>0</v>
      </c>
      <c r="G30" s="109">
        <v>0</v>
      </c>
      <c r="H30" s="109">
        <v>0</v>
      </c>
      <c r="I30" s="122">
        <v>700000</v>
      </c>
      <c r="J30" s="109">
        <v>0</v>
      </c>
      <c r="K30" s="123">
        <v>0</v>
      </c>
      <c r="L30" s="123">
        <v>0</v>
      </c>
      <c r="M30" s="135">
        <v>0</v>
      </c>
      <c r="N30" s="105">
        <v>0</v>
      </c>
      <c r="O30" s="105">
        <v>0</v>
      </c>
      <c r="P30" s="106">
        <f>SUM(D30:O30)</f>
        <v>700000</v>
      </c>
      <c r="Q30" s="106">
        <v>0</v>
      </c>
      <c r="R30" s="124">
        <v>0</v>
      </c>
      <c r="S30" s="106">
        <v>0</v>
      </c>
      <c r="T30" s="109">
        <v>0</v>
      </c>
      <c r="U30" s="106">
        <v>0</v>
      </c>
      <c r="V30" s="125">
        <v>700000</v>
      </c>
      <c r="W30" s="109">
        <v>0</v>
      </c>
      <c r="X30" s="109">
        <v>0</v>
      </c>
      <c r="Y30" s="126">
        <v>0</v>
      </c>
      <c r="Z30" s="109">
        <v>0</v>
      </c>
      <c r="AA30" s="115">
        <v>0</v>
      </c>
      <c r="AB30" s="105">
        <v>0</v>
      </c>
      <c r="AC30" s="116">
        <f>SUM(Q30:AB30)</f>
        <v>700000</v>
      </c>
      <c r="AD30" s="116">
        <v>0</v>
      </c>
      <c r="AE30" s="124">
        <v>0</v>
      </c>
      <c r="AF30" s="122">
        <v>0</v>
      </c>
      <c r="AG30" s="122">
        <v>0</v>
      </c>
      <c r="AH30" s="109">
        <v>0</v>
      </c>
      <c r="AI30" s="125">
        <v>0</v>
      </c>
      <c r="AJ30" s="122">
        <v>700000</v>
      </c>
      <c r="AK30" s="109">
        <v>0</v>
      </c>
      <c r="AL30" s="123">
        <v>0</v>
      </c>
      <c r="AM30" s="109">
        <v>0</v>
      </c>
      <c r="AN30" s="105">
        <v>0</v>
      </c>
      <c r="AO30" s="105">
        <v>0</v>
      </c>
      <c r="AP30" s="107">
        <f>SUM(AD30:AO30)</f>
        <v>700000</v>
      </c>
      <c r="AQ30" s="19">
        <f>SUM(C30-P30)</f>
        <v>28100000</v>
      </c>
      <c r="AR30" s="19">
        <f>SUM(P30-AC30)</f>
        <v>0</v>
      </c>
      <c r="AS30" s="19">
        <f>SUM(AC30-AP30)</f>
        <v>0</v>
      </c>
      <c r="AT30" s="162">
        <f t="shared" si="2"/>
        <v>0.024305555555555556</v>
      </c>
    </row>
    <row r="31" spans="1:46" s="26" customFormat="1" ht="18" customHeight="1" thickBot="1">
      <c r="A31" s="73"/>
      <c r="B31" s="111" t="s">
        <v>71</v>
      </c>
      <c r="C31" s="112">
        <f aca="true" t="shared" si="11" ref="C31:AR31">SUM(C32:C53)</f>
        <v>130547318155</v>
      </c>
      <c r="D31" s="112">
        <f t="shared" si="11"/>
        <v>794706103</v>
      </c>
      <c r="E31" s="112">
        <f t="shared" si="11"/>
        <v>3220834929</v>
      </c>
      <c r="F31" s="112">
        <f t="shared" si="11"/>
        <v>2740372511</v>
      </c>
      <c r="G31" s="112">
        <f t="shared" si="11"/>
        <v>4862975051</v>
      </c>
      <c r="H31" s="112">
        <f t="shared" si="11"/>
        <v>41634578363</v>
      </c>
      <c r="I31" s="112">
        <f t="shared" si="11"/>
        <v>9467187744</v>
      </c>
      <c r="J31" s="112">
        <f t="shared" si="11"/>
        <v>1709555380</v>
      </c>
      <c r="K31" s="112">
        <f t="shared" si="11"/>
        <v>2723214954</v>
      </c>
      <c r="L31" s="112">
        <f t="shared" si="11"/>
        <v>28972238074.239998</v>
      </c>
      <c r="M31" s="112">
        <f t="shared" si="11"/>
        <v>25444224061.579998</v>
      </c>
      <c r="N31" s="112">
        <f t="shared" si="11"/>
        <v>1453113176.4299998</v>
      </c>
      <c r="O31" s="112">
        <f t="shared" si="11"/>
        <v>7431878155.749999</v>
      </c>
      <c r="P31" s="112">
        <f t="shared" si="11"/>
        <v>130454878503</v>
      </c>
      <c r="Q31" s="112">
        <f t="shared" si="11"/>
        <v>0</v>
      </c>
      <c r="R31" s="112">
        <f t="shared" si="11"/>
        <v>298080648</v>
      </c>
      <c r="S31" s="112">
        <f t="shared" si="11"/>
        <v>592308900</v>
      </c>
      <c r="T31" s="112">
        <f t="shared" si="11"/>
        <v>1132876574</v>
      </c>
      <c r="U31" s="112">
        <f t="shared" si="11"/>
        <v>3691721304</v>
      </c>
      <c r="V31" s="112">
        <f t="shared" si="11"/>
        <v>11913559308</v>
      </c>
      <c r="W31" s="112">
        <f t="shared" si="11"/>
        <v>1619012602</v>
      </c>
      <c r="X31" s="112">
        <f t="shared" si="11"/>
        <v>14876363837</v>
      </c>
      <c r="Y31" s="112">
        <f t="shared" si="11"/>
        <v>16798969009.24</v>
      </c>
      <c r="Z31" s="112">
        <f t="shared" si="11"/>
        <v>19191602955.46</v>
      </c>
      <c r="AA31" s="112">
        <f t="shared" si="11"/>
        <v>15198734998.07</v>
      </c>
      <c r="AB31" s="112">
        <f t="shared" si="11"/>
        <v>21514299799.230003</v>
      </c>
      <c r="AC31" s="112">
        <f t="shared" si="11"/>
        <v>106827529935</v>
      </c>
      <c r="AD31" s="112">
        <f t="shared" si="11"/>
        <v>0</v>
      </c>
      <c r="AE31" s="112">
        <f t="shared" si="11"/>
        <v>296885192</v>
      </c>
      <c r="AF31" s="112">
        <f t="shared" si="11"/>
        <v>540730690</v>
      </c>
      <c r="AG31" s="112">
        <f t="shared" si="11"/>
        <v>1129409941</v>
      </c>
      <c r="AH31" s="112">
        <f t="shared" si="11"/>
        <v>3703975460</v>
      </c>
      <c r="AI31" s="112">
        <f t="shared" si="11"/>
        <v>11901756530</v>
      </c>
      <c r="AJ31" s="112">
        <f t="shared" si="11"/>
        <v>1637899856</v>
      </c>
      <c r="AK31" s="112">
        <f t="shared" si="11"/>
        <v>3251268524</v>
      </c>
      <c r="AL31" s="112">
        <f t="shared" si="11"/>
        <v>28440303739.239998</v>
      </c>
      <c r="AM31" s="112">
        <f t="shared" si="11"/>
        <v>19133685096.46</v>
      </c>
      <c r="AN31" s="112">
        <f t="shared" si="11"/>
        <v>15041817561.07</v>
      </c>
      <c r="AO31" s="112">
        <f t="shared" si="11"/>
        <v>20289827551.230003</v>
      </c>
      <c r="AP31" s="97">
        <f t="shared" si="11"/>
        <v>105367560141</v>
      </c>
      <c r="AQ31" s="113">
        <f t="shared" si="11"/>
        <v>92439651.99999952</v>
      </c>
      <c r="AR31" s="112">
        <f t="shared" si="11"/>
        <v>23627348568</v>
      </c>
      <c r="AS31" s="127">
        <f>SUM(AS32:AS52)</f>
        <v>1459969794</v>
      </c>
      <c r="AT31" s="162">
        <f t="shared" si="2"/>
        <v>0.9992919069245816</v>
      </c>
    </row>
    <row r="32" spans="1:46" s="12" customFormat="1" ht="12.75">
      <c r="A32" s="119" t="s">
        <v>115</v>
      </c>
      <c r="B32" s="163" t="s">
        <v>105</v>
      </c>
      <c r="C32" s="115">
        <f>800000000</f>
        <v>800000000</v>
      </c>
      <c r="D32" s="115">
        <v>0</v>
      </c>
      <c r="E32" s="115">
        <v>11451158</v>
      </c>
      <c r="F32" s="115">
        <v>103323824</v>
      </c>
      <c r="G32" s="115">
        <v>94771329</v>
      </c>
      <c r="H32" s="115">
        <v>32822494</v>
      </c>
      <c r="I32" s="115">
        <v>3339334</v>
      </c>
      <c r="J32" s="115">
        <v>80678722</v>
      </c>
      <c r="K32" s="115">
        <v>26833643</v>
      </c>
      <c r="L32" s="115">
        <v>151377999</v>
      </c>
      <c r="M32" s="115">
        <v>5596490</v>
      </c>
      <c r="N32" s="115">
        <v>115165906</v>
      </c>
      <c r="O32" s="159">
        <v>171537012</v>
      </c>
      <c r="P32" s="116">
        <f aca="true" t="shared" si="12" ref="P32:P53">SUM(D32:O32)</f>
        <v>796897911</v>
      </c>
      <c r="Q32" s="115">
        <v>0</v>
      </c>
      <c r="R32" s="115">
        <v>0</v>
      </c>
      <c r="S32" s="115">
        <v>3652610</v>
      </c>
      <c r="T32" s="115">
        <v>18431234</v>
      </c>
      <c r="U32" s="115">
        <v>25640834</v>
      </c>
      <c r="V32" s="115">
        <v>29652529</v>
      </c>
      <c r="W32" s="115">
        <v>32879976</v>
      </c>
      <c r="X32" s="115">
        <v>42774801</v>
      </c>
      <c r="Y32" s="115">
        <v>61189672</v>
      </c>
      <c r="Z32" s="115">
        <v>48394874</v>
      </c>
      <c r="AA32" s="105">
        <v>117470613</v>
      </c>
      <c r="AB32" s="115">
        <v>140661163</v>
      </c>
      <c r="AC32" s="116">
        <f aca="true" t="shared" si="13" ref="AC32:AC53">SUM(Q32:AB32)</f>
        <v>520748306</v>
      </c>
      <c r="AD32" s="115">
        <v>0</v>
      </c>
      <c r="AE32" s="115">
        <v>0</v>
      </c>
      <c r="AF32" s="115">
        <v>0</v>
      </c>
      <c r="AG32" s="115">
        <v>20940034</v>
      </c>
      <c r="AH32" s="115">
        <v>26784644</v>
      </c>
      <c r="AI32" s="115">
        <v>28802279</v>
      </c>
      <c r="AJ32" s="115">
        <v>32616278</v>
      </c>
      <c r="AK32" s="115">
        <v>42578749</v>
      </c>
      <c r="AL32" s="115">
        <v>61164422</v>
      </c>
      <c r="AM32" s="115">
        <v>49730124</v>
      </c>
      <c r="AN32" s="115">
        <v>117470613</v>
      </c>
      <c r="AO32" s="115">
        <v>137947925</v>
      </c>
      <c r="AP32" s="107">
        <f aca="true" t="shared" si="14" ref="AP32:AP53">SUM(AD32:AO32)</f>
        <v>518035068</v>
      </c>
      <c r="AQ32" s="12">
        <f aca="true" t="shared" si="15" ref="AQ32:AQ52">SUM(C32-P32)</f>
        <v>3102089</v>
      </c>
      <c r="AR32" s="12">
        <f aca="true" t="shared" si="16" ref="AR32:AR52">SUM(P32-AC32)</f>
        <v>276149605</v>
      </c>
      <c r="AS32" s="12">
        <f aca="true" t="shared" si="17" ref="AS32:AS40">SUM(AC32-AP32)</f>
        <v>2713238</v>
      </c>
      <c r="AT32" s="162">
        <f t="shared" si="2"/>
        <v>0.99612238875</v>
      </c>
    </row>
    <row r="33" spans="1:46" s="12" customFormat="1" ht="12.75">
      <c r="A33" s="128" t="s">
        <v>116</v>
      </c>
      <c r="B33" s="21" t="s">
        <v>106</v>
      </c>
      <c r="C33" s="115">
        <f>700000000</f>
        <v>700000000</v>
      </c>
      <c r="D33" s="115">
        <v>0</v>
      </c>
      <c r="E33" s="115">
        <v>69465870</v>
      </c>
      <c r="F33" s="115">
        <v>50681231</v>
      </c>
      <c r="G33" s="115">
        <v>9346936</v>
      </c>
      <c r="H33" s="115">
        <v>126029360</v>
      </c>
      <c r="I33" s="115">
        <v>0</v>
      </c>
      <c r="J33" s="115">
        <v>92800000</v>
      </c>
      <c r="K33" s="115">
        <v>37685258</v>
      </c>
      <c r="L33" s="115">
        <v>35300400</v>
      </c>
      <c r="M33" s="159">
        <v>0</v>
      </c>
      <c r="N33" s="115">
        <v>121191492</v>
      </c>
      <c r="O33" s="115">
        <v>157111863</v>
      </c>
      <c r="P33" s="116">
        <f t="shared" si="12"/>
        <v>699612410</v>
      </c>
      <c r="Q33" s="115">
        <v>0</v>
      </c>
      <c r="R33" s="115">
        <v>0</v>
      </c>
      <c r="S33" s="115">
        <v>850000</v>
      </c>
      <c r="T33" s="115">
        <v>11447018</v>
      </c>
      <c r="U33" s="115">
        <v>30200947</v>
      </c>
      <c r="V33" s="115">
        <v>45202834</v>
      </c>
      <c r="W33" s="115">
        <v>6954882</v>
      </c>
      <c r="X33" s="115">
        <v>25723670</v>
      </c>
      <c r="Y33" s="115">
        <v>67834294</v>
      </c>
      <c r="Z33" s="115">
        <v>39173670</v>
      </c>
      <c r="AA33" s="105">
        <v>50759958.6</v>
      </c>
      <c r="AB33" s="115">
        <v>131416006.4</v>
      </c>
      <c r="AC33" s="116">
        <f t="shared" si="13"/>
        <v>409563280</v>
      </c>
      <c r="AD33" s="115">
        <v>0</v>
      </c>
      <c r="AE33" s="115">
        <v>0</v>
      </c>
      <c r="AF33" s="115">
        <v>0</v>
      </c>
      <c r="AG33" s="115">
        <v>12297018</v>
      </c>
      <c r="AH33" s="115">
        <v>29150947</v>
      </c>
      <c r="AI33" s="115">
        <v>46252834</v>
      </c>
      <c r="AJ33" s="115">
        <v>6954882</v>
      </c>
      <c r="AK33" s="115">
        <v>25723670</v>
      </c>
      <c r="AL33" s="115">
        <v>67834294</v>
      </c>
      <c r="AM33" s="115">
        <v>23420000</v>
      </c>
      <c r="AN33" s="115">
        <v>60913628.6</v>
      </c>
      <c r="AO33" s="115">
        <v>117153968.4</v>
      </c>
      <c r="AP33" s="107">
        <f t="shared" si="14"/>
        <v>389701242</v>
      </c>
      <c r="AQ33" s="12">
        <f t="shared" si="15"/>
        <v>387590</v>
      </c>
      <c r="AR33" s="12">
        <f t="shared" si="16"/>
        <v>290049130</v>
      </c>
      <c r="AS33" s="12">
        <f t="shared" si="17"/>
        <v>19862038</v>
      </c>
      <c r="AT33" s="162">
        <f t="shared" si="2"/>
        <v>0.9994463</v>
      </c>
    </row>
    <row r="34" spans="1:46" s="12" customFormat="1" ht="12.75">
      <c r="A34" s="128" t="s">
        <v>127</v>
      </c>
      <c r="B34" s="21" t="s">
        <v>126</v>
      </c>
      <c r="C34" s="115">
        <v>113000000000</v>
      </c>
      <c r="D34" s="115">
        <v>0</v>
      </c>
      <c r="E34" s="115">
        <v>51612000</v>
      </c>
      <c r="F34" s="115">
        <v>276058643</v>
      </c>
      <c r="G34" s="115">
        <v>2989228167</v>
      </c>
      <c r="H34" s="115">
        <v>41235445138</v>
      </c>
      <c r="I34" s="115">
        <v>8629883494</v>
      </c>
      <c r="J34" s="159">
        <v>-79669646</v>
      </c>
      <c r="K34" s="115">
        <v>1428786299</v>
      </c>
      <c r="L34" s="115">
        <v>28394914640.92</v>
      </c>
      <c r="M34" s="159">
        <v>24920601448.26</v>
      </c>
      <c r="N34" s="115">
        <v>288377126.08</v>
      </c>
      <c r="O34" s="115">
        <v>4851268440.74</v>
      </c>
      <c r="P34" s="116">
        <f t="shared" si="12"/>
        <v>112986505751</v>
      </c>
      <c r="Q34" s="115">
        <v>0</v>
      </c>
      <c r="R34" s="115">
        <v>0</v>
      </c>
      <c r="S34" s="115">
        <v>14258723</v>
      </c>
      <c r="T34" s="115">
        <v>162012962</v>
      </c>
      <c r="U34" s="115">
        <v>2610163863</v>
      </c>
      <c r="V34" s="115">
        <v>10866632839</v>
      </c>
      <c r="W34" s="115">
        <v>539743011</v>
      </c>
      <c r="X34" s="115">
        <v>13409641800</v>
      </c>
      <c r="Y34" s="115">
        <v>15533132105.92</v>
      </c>
      <c r="Z34" s="115">
        <v>17825473825.46</v>
      </c>
      <c r="AA34" s="115">
        <v>13747228787.8</v>
      </c>
      <c r="AB34" s="115">
        <v>19124178087.82</v>
      </c>
      <c r="AC34" s="116">
        <f t="shared" si="13"/>
        <v>93832466005</v>
      </c>
      <c r="AD34" s="115">
        <v>0</v>
      </c>
      <c r="AE34" s="115">
        <v>0</v>
      </c>
      <c r="AF34" s="115">
        <v>9758723</v>
      </c>
      <c r="AG34" s="115">
        <v>160762962</v>
      </c>
      <c r="AH34" s="115">
        <v>2609746863</v>
      </c>
      <c r="AI34" s="115">
        <v>10871206047</v>
      </c>
      <c r="AJ34" s="115">
        <v>538159009</v>
      </c>
      <c r="AK34" s="115">
        <v>1766445194</v>
      </c>
      <c r="AL34" s="115">
        <v>27179506505.92</v>
      </c>
      <c r="AM34" s="115">
        <v>17817024089.46</v>
      </c>
      <c r="AN34" s="115">
        <v>13576566135.8</v>
      </c>
      <c r="AO34" s="115">
        <v>17974327556.82</v>
      </c>
      <c r="AP34" s="107">
        <f t="shared" si="14"/>
        <v>92503503086</v>
      </c>
      <c r="AQ34" s="12">
        <f t="shared" si="15"/>
        <v>13494249</v>
      </c>
      <c r="AR34" s="12">
        <f t="shared" si="16"/>
        <v>19154039746</v>
      </c>
      <c r="AS34" s="12">
        <f t="shared" si="17"/>
        <v>1328962919</v>
      </c>
      <c r="AT34" s="162"/>
    </row>
    <row r="35" spans="1:46" s="12" customFormat="1" ht="12.75">
      <c r="A35" s="128" t="s">
        <v>128</v>
      </c>
      <c r="B35" s="21" t="s">
        <v>129</v>
      </c>
      <c r="C35" s="115">
        <f>300000000</f>
        <v>300000000</v>
      </c>
      <c r="D35" s="115">
        <v>0</v>
      </c>
      <c r="E35" s="115">
        <v>109196921</v>
      </c>
      <c r="F35" s="115">
        <v>79152329</v>
      </c>
      <c r="G35" s="115">
        <v>13068145</v>
      </c>
      <c r="H35" s="115">
        <v>3484453</v>
      </c>
      <c r="I35" s="115">
        <v>18073334</v>
      </c>
      <c r="J35" s="115">
        <v>28393430</v>
      </c>
      <c r="K35" s="115">
        <v>17540194</v>
      </c>
      <c r="L35" s="115">
        <v>1442165</v>
      </c>
      <c r="M35" s="159">
        <v>71608</v>
      </c>
      <c r="N35" s="115">
        <v>4663735</v>
      </c>
      <c r="O35" s="115">
        <v>24913686</v>
      </c>
      <c r="P35" s="116">
        <f t="shared" si="12"/>
        <v>300000000</v>
      </c>
      <c r="Q35" s="115">
        <v>0</v>
      </c>
      <c r="R35" s="115">
        <v>500000</v>
      </c>
      <c r="S35" s="115">
        <v>7005246</v>
      </c>
      <c r="T35" s="115">
        <v>23365737</v>
      </c>
      <c r="U35" s="115">
        <v>22845782</v>
      </c>
      <c r="V35" s="115">
        <v>29516996</v>
      </c>
      <c r="W35" s="115">
        <v>21470678</v>
      </c>
      <c r="X35" s="115">
        <v>30668611</v>
      </c>
      <c r="Y35" s="115">
        <v>25873341</v>
      </c>
      <c r="Z35" s="115">
        <v>27640440</v>
      </c>
      <c r="AA35" s="115">
        <v>27659505</v>
      </c>
      <c r="AB35" s="115">
        <v>37222205</v>
      </c>
      <c r="AC35" s="116">
        <f t="shared" si="13"/>
        <v>253768541</v>
      </c>
      <c r="AD35" s="115">
        <v>0</v>
      </c>
      <c r="AE35" s="115">
        <v>500000</v>
      </c>
      <c r="AF35" s="115">
        <v>2650000</v>
      </c>
      <c r="AG35" s="115">
        <v>26794725</v>
      </c>
      <c r="AH35" s="115">
        <v>23772040</v>
      </c>
      <c r="AI35" s="115">
        <v>27550996</v>
      </c>
      <c r="AJ35" s="115">
        <v>21564221</v>
      </c>
      <c r="AK35" s="115">
        <v>32541068</v>
      </c>
      <c r="AL35" s="115">
        <v>24073341</v>
      </c>
      <c r="AM35" s="115">
        <v>28540440</v>
      </c>
      <c r="AN35" s="115">
        <v>28559505</v>
      </c>
      <c r="AO35" s="115">
        <v>34508967</v>
      </c>
      <c r="AP35" s="107">
        <f t="shared" si="14"/>
        <v>251055303</v>
      </c>
      <c r="AQ35" s="12">
        <f t="shared" si="15"/>
        <v>0</v>
      </c>
      <c r="AR35" s="12">
        <f t="shared" si="16"/>
        <v>46231459</v>
      </c>
      <c r="AS35" s="12">
        <f t="shared" si="17"/>
        <v>2713238</v>
      </c>
      <c r="AT35" s="162">
        <f t="shared" si="2"/>
        <v>1</v>
      </c>
    </row>
    <row r="36" spans="1:46" s="12" customFormat="1" ht="12.75">
      <c r="A36" s="128" t="s">
        <v>125</v>
      </c>
      <c r="B36" s="21" t="s">
        <v>124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59">
        <v>0</v>
      </c>
      <c r="N36" s="115">
        <v>0</v>
      </c>
      <c r="O36" s="115">
        <v>0</v>
      </c>
      <c r="P36" s="116">
        <f t="shared" si="12"/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/>
      <c r="AC36" s="116">
        <f t="shared" si="13"/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2">
        <v>0</v>
      </c>
      <c r="AP36" s="107">
        <f t="shared" si="14"/>
        <v>0</v>
      </c>
      <c r="AQ36" s="12">
        <f t="shared" si="15"/>
        <v>0</v>
      </c>
      <c r="AR36" s="12">
        <f t="shared" si="16"/>
        <v>0</v>
      </c>
      <c r="AS36" s="12">
        <f t="shared" si="17"/>
        <v>0</v>
      </c>
      <c r="AT36" s="162" t="e">
        <f t="shared" si="2"/>
        <v>#DIV/0!</v>
      </c>
    </row>
    <row r="37" spans="1:46" s="12" customFormat="1" ht="12.75">
      <c r="A37" s="128" t="s">
        <v>99</v>
      </c>
      <c r="B37" s="21" t="s">
        <v>111</v>
      </c>
      <c r="C37" s="115">
        <f>2150000000</f>
        <v>2150000000</v>
      </c>
      <c r="D37" s="115">
        <v>181047635</v>
      </c>
      <c r="E37" s="115">
        <v>310561686</v>
      </c>
      <c r="F37" s="115">
        <v>446399332.8</v>
      </c>
      <c r="G37" s="115">
        <v>200428240</v>
      </c>
      <c r="H37" s="115">
        <v>24150995</v>
      </c>
      <c r="I37" s="115">
        <v>310905733</v>
      </c>
      <c r="J37" s="115">
        <v>279346566</v>
      </c>
      <c r="K37" s="115">
        <v>28532978</v>
      </c>
      <c r="L37" s="115">
        <v>61501299</v>
      </c>
      <c r="M37" s="115">
        <v>77631121</v>
      </c>
      <c r="N37" s="115">
        <v>63688796</v>
      </c>
      <c r="O37" s="115">
        <v>159115563.2</v>
      </c>
      <c r="P37" s="116">
        <f t="shared" si="12"/>
        <v>2143309945</v>
      </c>
      <c r="Q37" s="115">
        <v>0</v>
      </c>
      <c r="R37" s="115">
        <v>101058739.3</v>
      </c>
      <c r="S37" s="115">
        <v>77580516</v>
      </c>
      <c r="T37" s="115">
        <v>131619687</v>
      </c>
      <c r="U37" s="115">
        <v>172045247</v>
      </c>
      <c r="V37" s="115">
        <v>131247192.33</v>
      </c>
      <c r="W37" s="115">
        <v>143671104.33</v>
      </c>
      <c r="X37" s="115">
        <v>306116012</v>
      </c>
      <c r="Y37" s="115">
        <v>186896864</v>
      </c>
      <c r="Z37" s="115">
        <v>222393148.5</v>
      </c>
      <c r="AA37" s="115">
        <v>210688447.83</v>
      </c>
      <c r="AB37" s="115">
        <v>289612955.71</v>
      </c>
      <c r="AC37" s="116">
        <f t="shared" si="13"/>
        <v>1972929914</v>
      </c>
      <c r="AD37" s="115">
        <v>0</v>
      </c>
      <c r="AE37" s="115">
        <v>101058739.3</v>
      </c>
      <c r="AF37" s="115">
        <v>66242216</v>
      </c>
      <c r="AG37" s="115">
        <v>133024000</v>
      </c>
      <c r="AH37" s="115">
        <v>175669684</v>
      </c>
      <c r="AI37" s="115">
        <v>131340784.33</v>
      </c>
      <c r="AJ37" s="115">
        <v>141417271.33</v>
      </c>
      <c r="AK37" s="115">
        <v>312453803</v>
      </c>
      <c r="AL37" s="115">
        <v>185475864</v>
      </c>
      <c r="AM37" s="115">
        <v>212311511.5</v>
      </c>
      <c r="AN37" s="115">
        <v>217690420.83</v>
      </c>
      <c r="AO37" s="115">
        <v>288437040.71</v>
      </c>
      <c r="AP37" s="107">
        <f t="shared" si="14"/>
        <v>1965121335</v>
      </c>
      <c r="AQ37" s="12">
        <f t="shared" si="15"/>
        <v>6690055</v>
      </c>
      <c r="AR37" s="12">
        <f t="shared" si="16"/>
        <v>170380031</v>
      </c>
      <c r="AS37" s="12">
        <f t="shared" si="17"/>
        <v>7808579</v>
      </c>
      <c r="AT37" s="162">
        <f t="shared" si="2"/>
        <v>0.9968883465116279</v>
      </c>
    </row>
    <row r="38" spans="1:46" s="12" customFormat="1" ht="12.75">
      <c r="A38" s="128" t="s">
        <v>107</v>
      </c>
      <c r="B38" s="20" t="s">
        <v>108</v>
      </c>
      <c r="C38" s="105">
        <f>1800000000</f>
        <v>1800000000</v>
      </c>
      <c r="D38" s="105">
        <v>84350796</v>
      </c>
      <c r="E38" s="105">
        <v>232077971</v>
      </c>
      <c r="F38" s="105">
        <v>373051292.8</v>
      </c>
      <c r="G38" s="115">
        <v>136564846</v>
      </c>
      <c r="H38" s="115">
        <v>14519044</v>
      </c>
      <c r="I38" s="115">
        <v>337351348</v>
      </c>
      <c r="J38" s="115">
        <v>256242947</v>
      </c>
      <c r="K38" s="105">
        <v>33268500</v>
      </c>
      <c r="L38" s="105">
        <v>40704785</v>
      </c>
      <c r="M38" s="105">
        <v>24932910</v>
      </c>
      <c r="N38" s="105">
        <v>42024879.4</v>
      </c>
      <c r="O38" s="105">
        <v>222461170.8</v>
      </c>
      <c r="P38" s="106">
        <f t="shared" si="12"/>
        <v>1797550490</v>
      </c>
      <c r="Q38" s="115">
        <v>0</v>
      </c>
      <c r="R38" s="105">
        <v>28328447.3</v>
      </c>
      <c r="S38" s="105">
        <v>47814864</v>
      </c>
      <c r="T38" s="115">
        <v>82457610</v>
      </c>
      <c r="U38" s="115">
        <v>81563521</v>
      </c>
      <c r="V38" s="115">
        <v>112240185.33</v>
      </c>
      <c r="W38" s="115">
        <v>147127008.33</v>
      </c>
      <c r="X38" s="105">
        <v>240429817</v>
      </c>
      <c r="Y38" s="105">
        <v>211948148</v>
      </c>
      <c r="Z38" s="105">
        <v>213447361.5</v>
      </c>
      <c r="AA38" s="105">
        <v>172312351.83</v>
      </c>
      <c r="AB38" s="105">
        <v>219922602.71</v>
      </c>
      <c r="AC38" s="116">
        <f t="shared" si="13"/>
        <v>1557591917</v>
      </c>
      <c r="AD38" s="115">
        <v>0</v>
      </c>
      <c r="AE38" s="105">
        <v>28172991.3</v>
      </c>
      <c r="AF38" s="105">
        <v>40970316</v>
      </c>
      <c r="AG38" s="115">
        <v>84842942</v>
      </c>
      <c r="AH38" s="115">
        <v>84479853</v>
      </c>
      <c r="AI38" s="115">
        <v>108504846.33</v>
      </c>
      <c r="AJ38" s="115">
        <v>150992413.33</v>
      </c>
      <c r="AK38" s="105">
        <v>239997591</v>
      </c>
      <c r="AL38" s="105">
        <v>209238648</v>
      </c>
      <c r="AM38" s="105">
        <v>210923744.5</v>
      </c>
      <c r="AN38" s="105">
        <v>170094153.83</v>
      </c>
      <c r="AO38" s="115">
        <v>219549805.71</v>
      </c>
      <c r="AP38" s="107">
        <f t="shared" si="14"/>
        <v>1547767305</v>
      </c>
      <c r="AQ38" s="12">
        <f t="shared" si="15"/>
        <v>2449510</v>
      </c>
      <c r="AR38" s="12">
        <f t="shared" si="16"/>
        <v>239958573</v>
      </c>
      <c r="AS38" s="12">
        <f t="shared" si="17"/>
        <v>9824612</v>
      </c>
      <c r="AT38" s="162">
        <f t="shared" si="2"/>
        <v>0.9986391611111111</v>
      </c>
    </row>
    <row r="39" spans="1:46" s="12" customFormat="1" ht="12.75">
      <c r="A39" s="128" t="s">
        <v>89</v>
      </c>
      <c r="B39" s="20" t="s">
        <v>94</v>
      </c>
      <c r="C39" s="105">
        <f>700000000</f>
        <v>700000000</v>
      </c>
      <c r="D39" s="105">
        <v>410876</v>
      </c>
      <c r="E39" s="105">
        <v>18797063</v>
      </c>
      <c r="F39" s="105">
        <v>379694153</v>
      </c>
      <c r="G39" s="115">
        <v>86053632</v>
      </c>
      <c r="H39" s="115">
        <v>11864179</v>
      </c>
      <c r="I39" s="115">
        <v>3977650</v>
      </c>
      <c r="J39" s="115">
        <v>4515270</v>
      </c>
      <c r="K39" s="105">
        <v>12890280</v>
      </c>
      <c r="L39" s="129">
        <v>74216853</v>
      </c>
      <c r="M39" s="164">
        <v>-5995298.68</v>
      </c>
      <c r="N39" s="105">
        <v>29466098.67</v>
      </c>
      <c r="O39" s="105">
        <v>81702373.01</v>
      </c>
      <c r="P39" s="106">
        <f t="shared" si="12"/>
        <v>697593129</v>
      </c>
      <c r="Q39" s="115">
        <v>0</v>
      </c>
      <c r="R39" s="105">
        <v>410876</v>
      </c>
      <c r="S39" s="105">
        <v>1330000</v>
      </c>
      <c r="T39" s="115">
        <v>28101549</v>
      </c>
      <c r="U39" s="115">
        <v>61399762</v>
      </c>
      <c r="V39" s="115">
        <v>67825196</v>
      </c>
      <c r="W39" s="115">
        <v>58247304</v>
      </c>
      <c r="X39" s="105">
        <v>55788607</v>
      </c>
      <c r="Y39" s="105">
        <v>51103941</v>
      </c>
      <c r="Z39" s="105">
        <v>82880821</v>
      </c>
      <c r="AA39" s="105">
        <v>75036605.67</v>
      </c>
      <c r="AB39" s="105">
        <v>96928218.33</v>
      </c>
      <c r="AC39" s="116">
        <f t="shared" si="13"/>
        <v>579052880</v>
      </c>
      <c r="AD39" s="115">
        <v>0</v>
      </c>
      <c r="AE39" s="105">
        <v>410876</v>
      </c>
      <c r="AF39" s="105">
        <v>0</v>
      </c>
      <c r="AG39" s="115">
        <v>29431549</v>
      </c>
      <c r="AH39" s="115">
        <v>60069762</v>
      </c>
      <c r="AI39" s="115">
        <v>67855196</v>
      </c>
      <c r="AJ39" s="115">
        <v>59547304</v>
      </c>
      <c r="AK39" s="105">
        <v>55498327</v>
      </c>
      <c r="AL39" s="105">
        <v>51394221</v>
      </c>
      <c r="AM39" s="105">
        <v>78960321</v>
      </c>
      <c r="AN39" s="105">
        <v>78957105.67</v>
      </c>
      <c r="AO39" s="105">
        <v>91400900.33</v>
      </c>
      <c r="AP39" s="107">
        <f t="shared" si="14"/>
        <v>573525562</v>
      </c>
      <c r="AQ39" s="12">
        <f t="shared" si="15"/>
        <v>2406871</v>
      </c>
      <c r="AR39" s="12">
        <f t="shared" si="16"/>
        <v>118540249</v>
      </c>
      <c r="AS39" s="12">
        <f t="shared" si="17"/>
        <v>5527318</v>
      </c>
      <c r="AT39" s="162">
        <f t="shared" si="2"/>
        <v>0.9965616128571428</v>
      </c>
    </row>
    <row r="40" spans="1:46" s="12" customFormat="1" ht="12.75">
      <c r="A40" s="128" t="s">
        <v>109</v>
      </c>
      <c r="B40" s="21" t="s">
        <v>110</v>
      </c>
      <c r="C40" s="105">
        <f>200000000</f>
        <v>200000000</v>
      </c>
      <c r="D40" s="105">
        <v>0</v>
      </c>
      <c r="E40" s="105">
        <v>155829746</v>
      </c>
      <c r="F40" s="105">
        <v>12820420</v>
      </c>
      <c r="G40" s="115">
        <v>7703982</v>
      </c>
      <c r="H40" s="115">
        <v>0</v>
      </c>
      <c r="I40" s="115">
        <v>0</v>
      </c>
      <c r="J40" s="115">
        <v>0</v>
      </c>
      <c r="K40" s="105">
        <v>7645752</v>
      </c>
      <c r="L40" s="129">
        <v>0</v>
      </c>
      <c r="M40" s="105">
        <v>0</v>
      </c>
      <c r="N40" s="129">
        <v>0</v>
      </c>
      <c r="O40" s="105">
        <v>16000100</v>
      </c>
      <c r="P40" s="106">
        <f t="shared" si="12"/>
        <v>200000000</v>
      </c>
      <c r="Q40" s="115">
        <v>0</v>
      </c>
      <c r="R40" s="105">
        <v>0</v>
      </c>
      <c r="S40" s="105">
        <v>12424936</v>
      </c>
      <c r="T40" s="115">
        <v>29562464</v>
      </c>
      <c r="U40" s="115">
        <v>30306214</v>
      </c>
      <c r="V40" s="115">
        <v>29927108</v>
      </c>
      <c r="W40" s="115">
        <v>28691383</v>
      </c>
      <c r="X40" s="105">
        <v>21071403</v>
      </c>
      <c r="Y40" s="105">
        <v>14098928</v>
      </c>
      <c r="Z40" s="105">
        <v>4849168</v>
      </c>
      <c r="AA40" s="129">
        <v>2567928</v>
      </c>
      <c r="AB40" s="105">
        <v>5651200</v>
      </c>
      <c r="AC40" s="116">
        <f t="shared" si="13"/>
        <v>179150732</v>
      </c>
      <c r="AD40" s="115">
        <v>0</v>
      </c>
      <c r="AE40" s="105">
        <v>0</v>
      </c>
      <c r="AF40" s="105">
        <v>12424936</v>
      </c>
      <c r="AG40" s="115">
        <v>27569064</v>
      </c>
      <c r="AH40" s="115">
        <v>32299614</v>
      </c>
      <c r="AI40" s="115">
        <v>26027108</v>
      </c>
      <c r="AJ40" s="115">
        <v>28691383</v>
      </c>
      <c r="AK40" s="105">
        <v>24971403</v>
      </c>
      <c r="AL40" s="105">
        <v>14098928</v>
      </c>
      <c r="AM40" s="105">
        <v>4849168</v>
      </c>
      <c r="AN40" s="129">
        <v>2567928</v>
      </c>
      <c r="AO40" s="105">
        <v>5651200</v>
      </c>
      <c r="AP40" s="107">
        <f t="shared" si="14"/>
        <v>179150732</v>
      </c>
      <c r="AQ40" s="12">
        <f t="shared" si="15"/>
        <v>0</v>
      </c>
      <c r="AR40" s="12">
        <f t="shared" si="16"/>
        <v>20849268</v>
      </c>
      <c r="AS40" s="12">
        <f t="shared" si="17"/>
        <v>0</v>
      </c>
      <c r="AT40" s="162">
        <f t="shared" si="2"/>
        <v>1</v>
      </c>
    </row>
    <row r="41" spans="1:46" s="12" customFormat="1" ht="12.75">
      <c r="A41" s="128" t="s">
        <v>104</v>
      </c>
      <c r="B41" s="20" t="s">
        <v>130</v>
      </c>
      <c r="C41" s="105">
        <f>200000000</f>
        <v>200000000</v>
      </c>
      <c r="D41" s="105">
        <v>0</v>
      </c>
      <c r="E41" s="105">
        <v>56734882</v>
      </c>
      <c r="F41" s="105">
        <v>65355317</v>
      </c>
      <c r="G41" s="115">
        <v>11900000</v>
      </c>
      <c r="H41" s="115">
        <v>14456745</v>
      </c>
      <c r="I41" s="115">
        <v>17895949</v>
      </c>
      <c r="J41" s="115">
        <v>-3834372</v>
      </c>
      <c r="K41" s="105">
        <v>0</v>
      </c>
      <c r="L41" s="129">
        <v>4647415</v>
      </c>
      <c r="M41" s="105">
        <v>3889650</v>
      </c>
      <c r="N41" s="129">
        <v>8820960</v>
      </c>
      <c r="O41" s="105">
        <v>15693454</v>
      </c>
      <c r="P41" s="106">
        <f t="shared" si="12"/>
        <v>195560000</v>
      </c>
      <c r="Q41" s="115">
        <v>0</v>
      </c>
      <c r="R41" s="105">
        <v>0</v>
      </c>
      <c r="S41" s="105">
        <v>1746500</v>
      </c>
      <c r="T41" s="115">
        <v>11573960</v>
      </c>
      <c r="U41" s="115">
        <v>14119008</v>
      </c>
      <c r="V41" s="115">
        <v>20224946</v>
      </c>
      <c r="W41" s="115">
        <v>15188120</v>
      </c>
      <c r="X41" s="105">
        <v>18835102</v>
      </c>
      <c r="Y41" s="105">
        <v>9015000</v>
      </c>
      <c r="Z41" s="105">
        <v>10061070</v>
      </c>
      <c r="AA41" s="129">
        <v>16219309</v>
      </c>
      <c r="AB41" s="105">
        <v>49713744</v>
      </c>
      <c r="AC41" s="116">
        <f t="shared" si="13"/>
        <v>166696759</v>
      </c>
      <c r="AD41" s="115">
        <v>0</v>
      </c>
      <c r="AE41" s="105">
        <v>0</v>
      </c>
      <c r="AF41" s="105">
        <v>246500</v>
      </c>
      <c r="AG41" s="115">
        <v>12173960</v>
      </c>
      <c r="AH41" s="115">
        <v>15019008</v>
      </c>
      <c r="AI41" s="115">
        <v>20224946</v>
      </c>
      <c r="AJ41" s="115">
        <v>13288077</v>
      </c>
      <c r="AK41" s="105">
        <v>20735145</v>
      </c>
      <c r="AL41" s="105">
        <v>9015000</v>
      </c>
      <c r="AM41" s="105">
        <v>10061070</v>
      </c>
      <c r="AN41" s="129">
        <v>16219309</v>
      </c>
      <c r="AO41" s="105">
        <v>47000506</v>
      </c>
      <c r="AP41" s="107">
        <f>SUM(AD41:AO41)</f>
        <v>163983521</v>
      </c>
      <c r="AQ41" s="12">
        <f t="shared" si="15"/>
        <v>4440000</v>
      </c>
      <c r="AR41" s="12">
        <f aca="true" t="shared" si="18" ref="AR41:AR51">SUM(P41-AC41)</f>
        <v>28863241</v>
      </c>
      <c r="AS41" s="12">
        <f aca="true" t="shared" si="19" ref="AS41:AS51">SUM(AC41-AP41)</f>
        <v>2713238</v>
      </c>
      <c r="AT41" s="162">
        <f t="shared" si="2"/>
        <v>0.9778</v>
      </c>
    </row>
    <row r="42" spans="1:46" s="12" customFormat="1" ht="12.75">
      <c r="A42" s="128" t="s">
        <v>131</v>
      </c>
      <c r="B42" s="20" t="s">
        <v>132</v>
      </c>
      <c r="C42" s="105">
        <f>500000000</f>
        <v>500000000</v>
      </c>
      <c r="D42" s="105">
        <v>0</v>
      </c>
      <c r="E42" s="105">
        <v>0</v>
      </c>
      <c r="F42" s="105">
        <v>0</v>
      </c>
      <c r="G42" s="115">
        <v>0</v>
      </c>
      <c r="H42" s="115">
        <v>0</v>
      </c>
      <c r="I42" s="115">
        <v>0</v>
      </c>
      <c r="J42" s="115">
        <v>0</v>
      </c>
      <c r="K42" s="105">
        <v>0</v>
      </c>
      <c r="L42" s="129">
        <v>0</v>
      </c>
      <c r="M42" s="105">
        <v>0</v>
      </c>
      <c r="N42" s="129">
        <v>0</v>
      </c>
      <c r="O42" s="105">
        <v>500000000</v>
      </c>
      <c r="P42" s="106">
        <f t="shared" si="12"/>
        <v>500000000</v>
      </c>
      <c r="Q42" s="115">
        <v>0</v>
      </c>
      <c r="R42" s="105">
        <v>0</v>
      </c>
      <c r="S42" s="105">
        <v>0</v>
      </c>
      <c r="T42" s="115">
        <v>0</v>
      </c>
      <c r="U42" s="115">
        <v>0</v>
      </c>
      <c r="V42" s="115">
        <v>0</v>
      </c>
      <c r="W42" s="115">
        <v>0</v>
      </c>
      <c r="X42" s="105">
        <v>0</v>
      </c>
      <c r="Y42" s="105">
        <v>0</v>
      </c>
      <c r="Z42" s="105">
        <v>0</v>
      </c>
      <c r="AA42" s="129">
        <v>0</v>
      </c>
      <c r="AB42" s="105">
        <v>0</v>
      </c>
      <c r="AC42" s="116">
        <f t="shared" si="13"/>
        <v>0</v>
      </c>
      <c r="AD42" s="115">
        <v>0</v>
      </c>
      <c r="AE42" s="105">
        <v>0</v>
      </c>
      <c r="AF42" s="105">
        <v>0</v>
      </c>
      <c r="AG42" s="115">
        <v>0</v>
      </c>
      <c r="AH42" s="115">
        <v>0</v>
      </c>
      <c r="AI42" s="115">
        <v>0</v>
      </c>
      <c r="AJ42" s="115">
        <v>0</v>
      </c>
      <c r="AK42" s="105">
        <v>0</v>
      </c>
      <c r="AL42" s="105">
        <v>0</v>
      </c>
      <c r="AM42" s="105">
        <v>0</v>
      </c>
      <c r="AN42" s="129">
        <v>0</v>
      </c>
      <c r="AO42" s="105">
        <v>0</v>
      </c>
      <c r="AP42" s="107">
        <f t="shared" si="14"/>
        <v>0</v>
      </c>
      <c r="AQ42" s="12">
        <f t="shared" si="15"/>
        <v>0</v>
      </c>
      <c r="AR42" s="12">
        <f t="shared" si="18"/>
        <v>500000000</v>
      </c>
      <c r="AS42" s="12">
        <f t="shared" si="19"/>
        <v>0</v>
      </c>
      <c r="AT42" s="162">
        <f t="shared" si="2"/>
        <v>1</v>
      </c>
    </row>
    <row r="43" spans="1:46" s="12" customFormat="1" ht="12.75">
      <c r="A43" s="128" t="s">
        <v>133</v>
      </c>
      <c r="B43" s="20" t="s">
        <v>134</v>
      </c>
      <c r="C43" s="105">
        <f>298832155</f>
        <v>298832155</v>
      </c>
      <c r="D43" s="105">
        <v>0</v>
      </c>
      <c r="E43" s="105">
        <v>3134882</v>
      </c>
      <c r="F43" s="105">
        <v>74562670</v>
      </c>
      <c r="G43" s="115">
        <v>19776164</v>
      </c>
      <c r="H43" s="115">
        <v>0</v>
      </c>
      <c r="I43" s="115">
        <v>25058176</v>
      </c>
      <c r="J43" s="115">
        <v>1960000</v>
      </c>
      <c r="K43" s="105">
        <v>9199353</v>
      </c>
      <c r="L43" s="129">
        <v>15870933</v>
      </c>
      <c r="M43" s="105">
        <v>105459831</v>
      </c>
      <c r="N43" s="129">
        <v>526000</v>
      </c>
      <c r="O43" s="105">
        <v>40149264</v>
      </c>
      <c r="P43" s="106">
        <f t="shared" si="12"/>
        <v>295697273</v>
      </c>
      <c r="Q43" s="115">
        <v>0</v>
      </c>
      <c r="R43" s="105">
        <v>0</v>
      </c>
      <c r="S43" s="105">
        <v>0</v>
      </c>
      <c r="T43" s="115">
        <v>5149249</v>
      </c>
      <c r="U43" s="115">
        <v>5810569</v>
      </c>
      <c r="V43" s="115">
        <v>8217062</v>
      </c>
      <c r="W43" s="115">
        <v>12541434</v>
      </c>
      <c r="X43" s="105">
        <v>25314619</v>
      </c>
      <c r="Y43" s="105">
        <v>4220000</v>
      </c>
      <c r="Z43" s="105">
        <v>21199933</v>
      </c>
      <c r="AA43" s="129">
        <v>5545000</v>
      </c>
      <c r="AB43" s="105">
        <v>100822678</v>
      </c>
      <c r="AC43" s="116">
        <f t="shared" si="13"/>
        <v>188820544</v>
      </c>
      <c r="AD43" s="115">
        <v>0</v>
      </c>
      <c r="AE43" s="105">
        <v>0</v>
      </c>
      <c r="AF43" s="105">
        <v>0</v>
      </c>
      <c r="AG43" s="115">
        <v>2868249</v>
      </c>
      <c r="AH43" s="115">
        <v>8091569</v>
      </c>
      <c r="AI43" s="115">
        <v>8217062</v>
      </c>
      <c r="AJ43" s="115">
        <v>12541434</v>
      </c>
      <c r="AK43" s="105">
        <v>24364619</v>
      </c>
      <c r="AL43" s="105">
        <v>5170000</v>
      </c>
      <c r="AM43" s="105">
        <v>15089933</v>
      </c>
      <c r="AN43" s="129">
        <v>11655000</v>
      </c>
      <c r="AO43" s="105">
        <v>84543248</v>
      </c>
      <c r="AP43" s="107">
        <f t="shared" si="14"/>
        <v>172541114</v>
      </c>
      <c r="AQ43" s="12">
        <f t="shared" si="15"/>
        <v>3134882</v>
      </c>
      <c r="AR43" s="12">
        <f t="shared" si="18"/>
        <v>106876729</v>
      </c>
      <c r="AS43" s="12">
        <f t="shared" si="19"/>
        <v>16279430</v>
      </c>
      <c r="AT43" s="162">
        <f t="shared" si="2"/>
        <v>0.9895095559579256</v>
      </c>
    </row>
    <row r="44" spans="1:46" s="12" customFormat="1" ht="12.75">
      <c r="A44" s="128" t="s">
        <v>90</v>
      </c>
      <c r="B44" s="20" t="s">
        <v>51</v>
      </c>
      <c r="C44" s="105">
        <f>200000000</f>
        <v>200000000</v>
      </c>
      <c r="D44" s="105">
        <v>0</v>
      </c>
      <c r="E44" s="105">
        <v>143015928</v>
      </c>
      <c r="F44" s="105">
        <v>29931851</v>
      </c>
      <c r="G44" s="115">
        <v>1500000</v>
      </c>
      <c r="H44" s="115">
        <v>484095</v>
      </c>
      <c r="I44" s="115">
        <v>1645746</v>
      </c>
      <c r="J44" s="115">
        <v>2441600</v>
      </c>
      <c r="K44" s="105">
        <v>2411800</v>
      </c>
      <c r="L44" s="129">
        <v>438220</v>
      </c>
      <c r="M44" s="105">
        <v>0</v>
      </c>
      <c r="N44" s="105">
        <v>1382230</v>
      </c>
      <c r="O44" s="105">
        <v>15037712</v>
      </c>
      <c r="P44" s="106">
        <f t="shared" si="12"/>
        <v>198289182</v>
      </c>
      <c r="Q44" s="115">
        <v>0</v>
      </c>
      <c r="R44" s="105">
        <v>0</v>
      </c>
      <c r="S44" s="105">
        <v>37415889</v>
      </c>
      <c r="T44" s="115">
        <v>54097163</v>
      </c>
      <c r="U44" s="115">
        <v>54261356</v>
      </c>
      <c r="V44" s="115">
        <v>21064607</v>
      </c>
      <c r="W44" s="115">
        <v>1628598</v>
      </c>
      <c r="X44" s="105">
        <v>3250041</v>
      </c>
      <c r="Y44" s="105">
        <v>2220800</v>
      </c>
      <c r="Z44" s="105">
        <v>3425466</v>
      </c>
      <c r="AA44" s="105">
        <v>2558230</v>
      </c>
      <c r="AB44" s="105">
        <v>1099785</v>
      </c>
      <c r="AC44" s="116">
        <f t="shared" si="13"/>
        <v>181021935</v>
      </c>
      <c r="AD44" s="115">
        <v>0</v>
      </c>
      <c r="AE44" s="105">
        <v>0</v>
      </c>
      <c r="AF44" s="105">
        <v>36503393</v>
      </c>
      <c r="AG44" s="115">
        <v>55009659</v>
      </c>
      <c r="AH44" s="115">
        <v>54261356</v>
      </c>
      <c r="AI44" s="115">
        <v>21064607</v>
      </c>
      <c r="AJ44" s="115">
        <v>1628598</v>
      </c>
      <c r="AK44" s="105">
        <v>2798241</v>
      </c>
      <c r="AL44" s="105">
        <v>2672600</v>
      </c>
      <c r="AM44" s="105">
        <v>2359466</v>
      </c>
      <c r="AN44" s="105">
        <v>3624230</v>
      </c>
      <c r="AO44" s="105">
        <v>915722</v>
      </c>
      <c r="AP44" s="107">
        <f t="shared" si="14"/>
        <v>180837872</v>
      </c>
      <c r="AQ44" s="12">
        <f t="shared" si="15"/>
        <v>1710818</v>
      </c>
      <c r="AR44" s="12">
        <f t="shared" si="18"/>
        <v>17267247</v>
      </c>
      <c r="AS44" s="12">
        <f t="shared" si="19"/>
        <v>184063</v>
      </c>
      <c r="AT44" s="162">
        <f t="shared" si="2"/>
        <v>0.99144591</v>
      </c>
    </row>
    <row r="45" spans="1:46" s="12" customFormat="1" ht="12.75">
      <c r="A45" s="128" t="s">
        <v>100</v>
      </c>
      <c r="B45" s="20" t="s">
        <v>52</v>
      </c>
      <c r="C45" s="105">
        <f>2400000000</f>
        <v>2400000000</v>
      </c>
      <c r="D45" s="105">
        <v>110595496</v>
      </c>
      <c r="E45" s="105">
        <v>1118433968</v>
      </c>
      <c r="F45" s="105">
        <v>316774317.8</v>
      </c>
      <c r="G45" s="115">
        <v>233009284</v>
      </c>
      <c r="H45" s="115">
        <v>23671620</v>
      </c>
      <c r="I45" s="115">
        <v>14874399</v>
      </c>
      <c r="J45" s="115">
        <v>41271859</v>
      </c>
      <c r="K45" s="105">
        <v>65244275</v>
      </c>
      <c r="L45" s="129">
        <v>30498117</v>
      </c>
      <c r="M45" s="105">
        <v>44840704</v>
      </c>
      <c r="N45" s="105">
        <v>129021058</v>
      </c>
      <c r="O45" s="105">
        <v>262172693.2</v>
      </c>
      <c r="P45" s="106">
        <f t="shared" si="12"/>
        <v>2390407791</v>
      </c>
      <c r="Q45" s="115">
        <v>0</v>
      </c>
      <c r="R45" s="105">
        <v>43367982.3</v>
      </c>
      <c r="S45" s="105">
        <v>143657102</v>
      </c>
      <c r="T45" s="115">
        <v>147736788</v>
      </c>
      <c r="U45" s="115">
        <v>185146628</v>
      </c>
      <c r="V45" s="115">
        <v>149790333</v>
      </c>
      <c r="W45" s="115">
        <v>155801340</v>
      </c>
      <c r="X45" s="105">
        <v>181184109</v>
      </c>
      <c r="Y45" s="105">
        <v>159284572</v>
      </c>
      <c r="Z45" s="105">
        <v>204665072.5</v>
      </c>
      <c r="AA45" s="105">
        <v>208096086.5</v>
      </c>
      <c r="AB45" s="105">
        <v>332355335.7</v>
      </c>
      <c r="AC45" s="116">
        <f t="shared" si="13"/>
        <v>1911085349</v>
      </c>
      <c r="AD45" s="115">
        <v>0</v>
      </c>
      <c r="AE45" s="105">
        <v>43367982.3</v>
      </c>
      <c r="AF45" s="105">
        <v>136003512</v>
      </c>
      <c r="AG45" s="115">
        <v>138858608</v>
      </c>
      <c r="AH45" s="115">
        <v>186603703</v>
      </c>
      <c r="AI45" s="115">
        <v>148782568</v>
      </c>
      <c r="AJ45" s="115">
        <v>171626715</v>
      </c>
      <c r="AK45" s="105">
        <v>181111194</v>
      </c>
      <c r="AL45" s="105">
        <v>158768572</v>
      </c>
      <c r="AM45" s="105">
        <v>198249822.5</v>
      </c>
      <c r="AN45" s="105">
        <v>195733776.5</v>
      </c>
      <c r="AO45" s="105">
        <v>345658840.7</v>
      </c>
      <c r="AP45" s="107">
        <f t="shared" si="14"/>
        <v>1904765294</v>
      </c>
      <c r="AQ45" s="12">
        <f t="shared" si="15"/>
        <v>9592209</v>
      </c>
      <c r="AR45" s="12">
        <f t="shared" si="18"/>
        <v>479322442</v>
      </c>
      <c r="AS45" s="12">
        <f t="shared" si="19"/>
        <v>6320055</v>
      </c>
      <c r="AT45" s="162">
        <f t="shared" si="2"/>
        <v>0.99600324625</v>
      </c>
    </row>
    <row r="46" spans="1:46" s="12" customFormat="1" ht="12.75">
      <c r="A46" s="128" t="s">
        <v>135</v>
      </c>
      <c r="B46" s="20" t="s">
        <v>136</v>
      </c>
      <c r="C46" s="105">
        <f>200000000</f>
        <v>200000000</v>
      </c>
      <c r="D46" s="105">
        <v>5136000</v>
      </c>
      <c r="E46" s="105">
        <v>3134882</v>
      </c>
      <c r="F46" s="105">
        <v>4338238</v>
      </c>
      <c r="G46" s="115">
        <v>290000</v>
      </c>
      <c r="H46" s="115">
        <v>0</v>
      </c>
      <c r="I46" s="115">
        <v>2339333</v>
      </c>
      <c r="J46" s="115">
        <v>0</v>
      </c>
      <c r="K46" s="105">
        <v>6000000</v>
      </c>
      <c r="L46" s="129">
        <v>18840843</v>
      </c>
      <c r="M46" s="105">
        <v>36561020</v>
      </c>
      <c r="N46" s="105">
        <v>14549519</v>
      </c>
      <c r="O46" s="105">
        <v>99774750</v>
      </c>
      <c r="P46" s="106">
        <f t="shared" si="12"/>
        <v>190964585</v>
      </c>
      <c r="Q46" s="115">
        <v>0</v>
      </c>
      <c r="R46" s="105">
        <v>0</v>
      </c>
      <c r="S46" s="105">
        <v>2568000</v>
      </c>
      <c r="T46" s="115">
        <v>2568000</v>
      </c>
      <c r="U46" s="115">
        <v>290000</v>
      </c>
      <c r="V46" s="115">
        <v>875000</v>
      </c>
      <c r="W46" s="115">
        <v>0</v>
      </c>
      <c r="X46" s="105">
        <v>2339333</v>
      </c>
      <c r="Y46" s="105">
        <v>1278635</v>
      </c>
      <c r="Z46" s="105">
        <v>8988428</v>
      </c>
      <c r="AA46" s="105">
        <v>29054319</v>
      </c>
      <c r="AB46" s="105">
        <v>19306105</v>
      </c>
      <c r="AC46" s="116">
        <f t="shared" si="13"/>
        <v>67267820</v>
      </c>
      <c r="AD46" s="115">
        <v>0</v>
      </c>
      <c r="AE46" s="105">
        <v>0</v>
      </c>
      <c r="AF46" s="105">
        <v>2568000</v>
      </c>
      <c r="AG46" s="115">
        <v>2568000</v>
      </c>
      <c r="AH46" s="115">
        <v>290000</v>
      </c>
      <c r="AI46" s="115">
        <v>875000</v>
      </c>
      <c r="AJ46" s="115">
        <v>0</v>
      </c>
      <c r="AK46" s="105">
        <v>2339333</v>
      </c>
      <c r="AL46" s="105">
        <v>1278635</v>
      </c>
      <c r="AM46" s="105">
        <v>8988428</v>
      </c>
      <c r="AN46" s="105">
        <v>29054319</v>
      </c>
      <c r="AO46" s="105">
        <v>15779000</v>
      </c>
      <c r="AP46" s="107">
        <f t="shared" si="14"/>
        <v>63740715</v>
      </c>
      <c r="AQ46" s="12">
        <f t="shared" si="15"/>
        <v>9035415</v>
      </c>
      <c r="AR46" s="12">
        <f t="shared" si="18"/>
        <v>123696765</v>
      </c>
      <c r="AS46" s="12">
        <f t="shared" si="19"/>
        <v>3527105</v>
      </c>
      <c r="AT46" s="162">
        <f t="shared" si="2"/>
        <v>0.954822925</v>
      </c>
    </row>
    <row r="47" spans="1:46" s="12" customFormat="1" ht="12.75">
      <c r="A47" s="128" t="s">
        <v>101</v>
      </c>
      <c r="B47" s="20" t="s">
        <v>102</v>
      </c>
      <c r="C47" s="105">
        <f>3700000000</f>
        <v>3700000000</v>
      </c>
      <c r="D47" s="105">
        <v>370971237</v>
      </c>
      <c r="E47" s="105">
        <v>80857383</v>
      </c>
      <c r="F47" s="105">
        <v>398720376</v>
      </c>
      <c r="G47" s="115">
        <v>724733861</v>
      </c>
      <c r="H47" s="115">
        <v>22892579</v>
      </c>
      <c r="I47" s="115">
        <v>29303699</v>
      </c>
      <c r="J47" s="115">
        <v>962603703</v>
      </c>
      <c r="K47" s="105">
        <v>147129505</v>
      </c>
      <c r="L47" s="129">
        <v>80061745.32</v>
      </c>
      <c r="M47" s="105">
        <v>151315272</v>
      </c>
      <c r="N47" s="105">
        <v>315584679.28</v>
      </c>
      <c r="O47" s="118">
        <v>411148593.4</v>
      </c>
      <c r="P47" s="106">
        <f t="shared" si="12"/>
        <v>3695322633.0000005</v>
      </c>
      <c r="Q47" s="115">
        <v>0</v>
      </c>
      <c r="R47" s="105">
        <v>120843630</v>
      </c>
      <c r="S47" s="105">
        <v>167206968</v>
      </c>
      <c r="T47" s="115">
        <v>306264653</v>
      </c>
      <c r="U47" s="115">
        <v>272066083</v>
      </c>
      <c r="V47" s="115">
        <v>233180653</v>
      </c>
      <c r="W47" s="115">
        <v>293644149</v>
      </c>
      <c r="X47" s="105">
        <v>279779749</v>
      </c>
      <c r="Y47" s="105">
        <v>268459941.32</v>
      </c>
      <c r="Z47" s="105">
        <v>280057233</v>
      </c>
      <c r="AA47" s="105">
        <v>296544199</v>
      </c>
      <c r="AB47" s="105">
        <v>600962240.68</v>
      </c>
      <c r="AC47" s="116">
        <f t="shared" si="13"/>
        <v>3119009498.9999995</v>
      </c>
      <c r="AD47" s="115">
        <v>0</v>
      </c>
      <c r="AE47" s="105">
        <v>119803630</v>
      </c>
      <c r="AF47" s="105">
        <v>166567868</v>
      </c>
      <c r="AG47" s="115">
        <v>303779351</v>
      </c>
      <c r="AH47" s="115">
        <v>266121055</v>
      </c>
      <c r="AI47" s="115">
        <v>231023811</v>
      </c>
      <c r="AJ47" s="115">
        <v>302578421</v>
      </c>
      <c r="AK47" s="105">
        <v>283111749</v>
      </c>
      <c r="AL47" s="105">
        <v>264572941.32</v>
      </c>
      <c r="AM47" s="105">
        <v>278342284</v>
      </c>
      <c r="AN47" s="105">
        <v>296303448</v>
      </c>
      <c r="AO47" s="105">
        <v>584317434.68</v>
      </c>
      <c r="AP47" s="107">
        <f t="shared" si="14"/>
        <v>3096521992.9999995</v>
      </c>
      <c r="AQ47" s="12">
        <f t="shared" si="15"/>
        <v>4677366.999999523</v>
      </c>
      <c r="AR47" s="12">
        <f t="shared" si="18"/>
        <v>576313134.000001</v>
      </c>
      <c r="AS47" s="12">
        <f t="shared" si="19"/>
        <v>22487506</v>
      </c>
      <c r="AT47" s="162">
        <f t="shared" si="2"/>
        <v>0.9987358467567569</v>
      </c>
    </row>
    <row r="48" spans="1:46" s="12" customFormat="1" ht="12.75">
      <c r="A48" s="130" t="s">
        <v>112</v>
      </c>
      <c r="B48" s="70" t="s">
        <v>113</v>
      </c>
      <c r="C48" s="105">
        <f>600000000</f>
        <v>600000000</v>
      </c>
      <c r="D48" s="121">
        <v>0</v>
      </c>
      <c r="E48" s="105">
        <v>327359572</v>
      </c>
      <c r="F48" s="121">
        <v>47863370</v>
      </c>
      <c r="G48" s="115">
        <v>20071420</v>
      </c>
      <c r="H48" s="109">
        <v>51605370</v>
      </c>
      <c r="I48" s="115">
        <v>10780644</v>
      </c>
      <c r="J48" s="115">
        <v>1960000</v>
      </c>
      <c r="K48" s="105">
        <v>11043671</v>
      </c>
      <c r="L48" s="105">
        <v>17671080</v>
      </c>
      <c r="M48" s="105">
        <v>11391970</v>
      </c>
      <c r="N48" s="105">
        <v>27828663</v>
      </c>
      <c r="O48" s="121">
        <v>62665617</v>
      </c>
      <c r="P48" s="106">
        <f t="shared" si="12"/>
        <v>590241377</v>
      </c>
      <c r="Q48" s="115">
        <v>0</v>
      </c>
      <c r="R48" s="105">
        <v>147163</v>
      </c>
      <c r="S48" s="121">
        <v>26798696</v>
      </c>
      <c r="T48" s="115">
        <v>26062957</v>
      </c>
      <c r="U48" s="115">
        <v>20986202</v>
      </c>
      <c r="V48" s="109">
        <v>28089939</v>
      </c>
      <c r="W48" s="115">
        <v>23385772</v>
      </c>
      <c r="X48" s="106">
        <v>58755490</v>
      </c>
      <c r="Y48" s="105">
        <v>46418559</v>
      </c>
      <c r="Z48" s="105">
        <v>71450006</v>
      </c>
      <c r="AA48" s="105">
        <v>74598776</v>
      </c>
      <c r="AB48" s="121">
        <v>96864404</v>
      </c>
      <c r="AC48" s="116">
        <f t="shared" si="13"/>
        <v>473557964</v>
      </c>
      <c r="AD48" s="115">
        <v>0</v>
      </c>
      <c r="AE48" s="105">
        <v>147163</v>
      </c>
      <c r="AF48" s="121">
        <v>25577696</v>
      </c>
      <c r="AG48" s="115">
        <v>26062957</v>
      </c>
      <c r="AH48" s="115">
        <v>22207202</v>
      </c>
      <c r="AI48" s="109">
        <v>25086939</v>
      </c>
      <c r="AJ48" s="115">
        <v>26388772</v>
      </c>
      <c r="AK48" s="106">
        <v>52173490</v>
      </c>
      <c r="AL48" s="105">
        <v>49995445</v>
      </c>
      <c r="AM48" s="105">
        <v>69825120</v>
      </c>
      <c r="AN48" s="105">
        <v>75071357</v>
      </c>
      <c r="AO48" s="121">
        <v>100604223</v>
      </c>
      <c r="AP48" s="107">
        <f t="shared" si="14"/>
        <v>473140364</v>
      </c>
      <c r="AQ48" s="12">
        <f t="shared" si="15"/>
        <v>9758623</v>
      </c>
      <c r="AR48" s="12">
        <f t="shared" si="18"/>
        <v>116683413</v>
      </c>
      <c r="AS48" s="12">
        <f t="shared" si="19"/>
        <v>417600</v>
      </c>
      <c r="AT48" s="162">
        <f t="shared" si="2"/>
        <v>0.9837356283333333</v>
      </c>
    </row>
    <row r="49" spans="1:46" s="12" customFormat="1" ht="12.75">
      <c r="A49" s="130" t="s">
        <v>137</v>
      </c>
      <c r="B49" s="70" t="s">
        <v>138</v>
      </c>
      <c r="C49" s="105">
        <f>200000000</f>
        <v>200000000</v>
      </c>
      <c r="D49" s="109">
        <v>0</v>
      </c>
      <c r="E49" s="105">
        <v>52676415</v>
      </c>
      <c r="F49" s="109">
        <v>3302585</v>
      </c>
      <c r="G49" s="115">
        <v>5752585</v>
      </c>
      <c r="H49" s="109">
        <v>1684220</v>
      </c>
      <c r="I49" s="115">
        <v>5720580</v>
      </c>
      <c r="J49" s="115">
        <v>3180800</v>
      </c>
      <c r="K49" s="105">
        <v>7535280</v>
      </c>
      <c r="L49" s="105">
        <v>3118620</v>
      </c>
      <c r="M49" s="105">
        <v>3851040</v>
      </c>
      <c r="N49" s="105">
        <v>35741572</v>
      </c>
      <c r="O49" s="121">
        <v>71963517</v>
      </c>
      <c r="P49" s="106">
        <f t="shared" si="12"/>
        <v>194527214</v>
      </c>
      <c r="Q49" s="115">
        <v>0</v>
      </c>
      <c r="R49" s="105">
        <v>0</v>
      </c>
      <c r="S49" s="109">
        <v>5193320</v>
      </c>
      <c r="T49" s="115">
        <v>6341932</v>
      </c>
      <c r="U49" s="115">
        <v>10818640</v>
      </c>
      <c r="V49" s="109">
        <v>10688600</v>
      </c>
      <c r="W49" s="115">
        <v>6310840</v>
      </c>
      <c r="X49" s="106">
        <v>12305160</v>
      </c>
      <c r="Y49" s="105">
        <v>6827764</v>
      </c>
      <c r="Z49" s="105">
        <v>9531150</v>
      </c>
      <c r="AA49" s="105">
        <v>10470952</v>
      </c>
      <c r="AB49" s="109">
        <v>19141918</v>
      </c>
      <c r="AC49" s="116">
        <f t="shared" si="13"/>
        <v>97630276</v>
      </c>
      <c r="AD49" s="115">
        <v>0</v>
      </c>
      <c r="AE49" s="105">
        <v>0</v>
      </c>
      <c r="AF49" s="109">
        <v>0</v>
      </c>
      <c r="AG49" s="115">
        <v>11535252</v>
      </c>
      <c r="AH49" s="115">
        <v>10818640</v>
      </c>
      <c r="AI49" s="109">
        <v>10688600</v>
      </c>
      <c r="AJ49" s="115">
        <v>6310840</v>
      </c>
      <c r="AK49" s="106">
        <v>11945160</v>
      </c>
      <c r="AL49" s="105">
        <v>7187764</v>
      </c>
      <c r="AM49" s="105">
        <v>8310350</v>
      </c>
      <c r="AN49" s="105">
        <v>9860552</v>
      </c>
      <c r="AO49" s="109">
        <v>18259880</v>
      </c>
      <c r="AP49" s="107">
        <f t="shared" si="14"/>
        <v>94917038</v>
      </c>
      <c r="AQ49" s="12">
        <f t="shared" si="15"/>
        <v>5472786</v>
      </c>
      <c r="AR49" s="12">
        <f t="shared" si="18"/>
        <v>96896938</v>
      </c>
      <c r="AS49" s="12">
        <f t="shared" si="19"/>
        <v>2713238</v>
      </c>
      <c r="AT49" s="162">
        <f t="shared" si="2"/>
        <v>0.97263607</v>
      </c>
    </row>
    <row r="50" spans="1:46" s="12" customFormat="1" ht="12.75">
      <c r="A50" s="150" t="s">
        <v>91</v>
      </c>
      <c r="B50" s="70" t="s">
        <v>92</v>
      </c>
      <c r="C50" s="105">
        <f>700000000</f>
        <v>700000000</v>
      </c>
      <c r="D50" s="151">
        <v>0</v>
      </c>
      <c r="E50" s="105">
        <v>371435485</v>
      </c>
      <c r="F50" s="151">
        <v>20753303</v>
      </c>
      <c r="G50" s="115">
        <v>86183138</v>
      </c>
      <c r="H50" s="115">
        <v>22800000</v>
      </c>
      <c r="I50" s="115">
        <v>10000000</v>
      </c>
      <c r="J50" s="115">
        <v>1055600</v>
      </c>
      <c r="K50" s="105">
        <v>905113</v>
      </c>
      <c r="L50" s="105">
        <v>5035000</v>
      </c>
      <c r="M50" s="105">
        <v>31543220</v>
      </c>
      <c r="N50" s="105">
        <v>40253324</v>
      </c>
      <c r="O50" s="121">
        <v>108961728</v>
      </c>
      <c r="P50" s="106">
        <f t="shared" si="12"/>
        <v>698925911</v>
      </c>
      <c r="Q50" s="115">
        <v>0</v>
      </c>
      <c r="R50" s="105">
        <v>0</v>
      </c>
      <c r="S50" s="151">
        <v>26436000</v>
      </c>
      <c r="T50" s="115">
        <v>61756339</v>
      </c>
      <c r="U50" s="115">
        <v>45975000</v>
      </c>
      <c r="V50" s="151">
        <v>77160535</v>
      </c>
      <c r="W50" s="115">
        <v>60791679</v>
      </c>
      <c r="X50" s="106">
        <v>67093485</v>
      </c>
      <c r="Y50" s="106">
        <v>59465511</v>
      </c>
      <c r="Z50" s="105">
        <v>22626691</v>
      </c>
      <c r="AA50" s="105">
        <v>38845598</v>
      </c>
      <c r="AB50" s="151">
        <v>103886283</v>
      </c>
      <c r="AC50" s="116">
        <f t="shared" si="13"/>
        <v>564037121</v>
      </c>
      <c r="AD50" s="115">
        <v>0</v>
      </c>
      <c r="AE50" s="105">
        <v>0</v>
      </c>
      <c r="AF50" s="151">
        <v>26436000</v>
      </c>
      <c r="AG50" s="115">
        <v>54976339</v>
      </c>
      <c r="AH50" s="115">
        <v>52755000</v>
      </c>
      <c r="AI50" s="151">
        <v>77160535</v>
      </c>
      <c r="AJ50" s="115">
        <v>51426679</v>
      </c>
      <c r="AK50" s="106">
        <v>76458485</v>
      </c>
      <c r="AL50" s="106">
        <v>58031398</v>
      </c>
      <c r="AM50" s="105">
        <v>24060804</v>
      </c>
      <c r="AN50" s="105">
        <v>37545598</v>
      </c>
      <c r="AO50" s="151">
        <v>93337123</v>
      </c>
      <c r="AP50" s="107">
        <f t="shared" si="14"/>
        <v>552187961</v>
      </c>
      <c r="AQ50" s="12">
        <f t="shared" si="15"/>
        <v>1074089</v>
      </c>
      <c r="AR50" s="12">
        <f t="shared" si="18"/>
        <v>134888790</v>
      </c>
      <c r="AS50" s="12">
        <f t="shared" si="19"/>
        <v>11849160</v>
      </c>
      <c r="AT50" s="162">
        <f t="shared" si="2"/>
        <v>0.9984655871428572</v>
      </c>
    </row>
    <row r="51" spans="1:46" s="12" customFormat="1" ht="15" customHeight="1">
      <c r="A51" s="150" t="s">
        <v>93</v>
      </c>
      <c r="B51" s="20" t="s">
        <v>114</v>
      </c>
      <c r="C51" s="105">
        <f>600000000</f>
        <v>600000000</v>
      </c>
      <c r="D51" s="151">
        <v>42194063</v>
      </c>
      <c r="E51" s="105">
        <v>48348403</v>
      </c>
      <c r="F51" s="151">
        <v>54217543.6</v>
      </c>
      <c r="G51" s="115">
        <v>69939222</v>
      </c>
      <c r="H51" s="115">
        <v>43076385</v>
      </c>
      <c r="I51" s="115">
        <v>45658325</v>
      </c>
      <c r="J51" s="115">
        <v>32607264</v>
      </c>
      <c r="K51" s="105">
        <v>52184358</v>
      </c>
      <c r="L51" s="105">
        <v>19677316</v>
      </c>
      <c r="M51" s="105">
        <v>31191991</v>
      </c>
      <c r="N51" s="105">
        <v>70689952</v>
      </c>
      <c r="O51" s="149">
        <v>85355003.4</v>
      </c>
      <c r="P51" s="106">
        <f t="shared" si="12"/>
        <v>595139826</v>
      </c>
      <c r="Q51" s="115">
        <v>0</v>
      </c>
      <c r="R51" s="105">
        <v>3103530.1</v>
      </c>
      <c r="S51" s="151">
        <v>12289570</v>
      </c>
      <c r="T51" s="115">
        <v>18581418</v>
      </c>
      <c r="U51" s="115">
        <v>26574848</v>
      </c>
      <c r="V51" s="151">
        <v>30217933.34</v>
      </c>
      <c r="W51" s="115">
        <v>45846132.34</v>
      </c>
      <c r="X51" s="106">
        <v>51008599</v>
      </c>
      <c r="Y51" s="106">
        <v>67332120</v>
      </c>
      <c r="Z51" s="105">
        <v>58590172.5</v>
      </c>
      <c r="AA51" s="105">
        <v>57676146.84</v>
      </c>
      <c r="AB51" s="149">
        <v>98386693.88</v>
      </c>
      <c r="AC51" s="116">
        <f t="shared" si="13"/>
        <v>469607164</v>
      </c>
      <c r="AD51" s="115">
        <v>0</v>
      </c>
      <c r="AE51" s="105">
        <v>3103530.1</v>
      </c>
      <c r="AF51" s="151">
        <v>10701570</v>
      </c>
      <c r="AG51" s="115">
        <v>20169418</v>
      </c>
      <c r="AH51" s="115">
        <v>24327720</v>
      </c>
      <c r="AI51" s="151">
        <v>29287551.34</v>
      </c>
      <c r="AJ51" s="115">
        <v>48778367.34</v>
      </c>
      <c r="AK51" s="106">
        <v>51253874</v>
      </c>
      <c r="AL51" s="106">
        <v>67332120</v>
      </c>
      <c r="AM51" s="105">
        <v>55792222.5</v>
      </c>
      <c r="AN51" s="105">
        <v>58528296.84</v>
      </c>
      <c r="AO51" s="149">
        <v>84266036.88</v>
      </c>
      <c r="AP51" s="107">
        <f t="shared" si="14"/>
        <v>453540707</v>
      </c>
      <c r="AQ51" s="12">
        <f t="shared" si="15"/>
        <v>4860174</v>
      </c>
      <c r="AR51" s="12">
        <f t="shared" si="18"/>
        <v>125532662</v>
      </c>
      <c r="AS51" s="12">
        <f t="shared" si="19"/>
        <v>16066457</v>
      </c>
      <c r="AT51" s="162">
        <f t="shared" si="2"/>
        <v>0.99189971</v>
      </c>
    </row>
    <row r="52" spans="1:46" s="12" customFormat="1" ht="15" customHeight="1">
      <c r="A52" s="150" t="s">
        <v>146</v>
      </c>
      <c r="B52" s="21" t="s">
        <v>139</v>
      </c>
      <c r="C52" s="105">
        <f>500000000</f>
        <v>500000000</v>
      </c>
      <c r="D52" s="109">
        <v>0</v>
      </c>
      <c r="E52" s="109">
        <v>56710714</v>
      </c>
      <c r="F52" s="109">
        <v>3371714</v>
      </c>
      <c r="G52" s="115">
        <v>152654100</v>
      </c>
      <c r="H52" s="115">
        <v>5591686</v>
      </c>
      <c r="I52" s="115">
        <v>380000</v>
      </c>
      <c r="J52" s="115">
        <v>4001637</v>
      </c>
      <c r="K52" s="105">
        <v>29892695</v>
      </c>
      <c r="L52" s="129">
        <v>16920643</v>
      </c>
      <c r="M52" s="105">
        <v>1341085</v>
      </c>
      <c r="N52" s="105">
        <v>144137186</v>
      </c>
      <c r="O52" s="106">
        <v>74845615</v>
      </c>
      <c r="P52" s="106">
        <f t="shared" si="12"/>
        <v>489847075</v>
      </c>
      <c r="Q52" s="109">
        <v>0</v>
      </c>
      <c r="R52" s="109">
        <v>320280</v>
      </c>
      <c r="S52" s="109">
        <v>4079960</v>
      </c>
      <c r="T52" s="115">
        <v>5745854</v>
      </c>
      <c r="U52" s="115">
        <v>21506800</v>
      </c>
      <c r="V52" s="109">
        <v>21804820</v>
      </c>
      <c r="W52" s="115">
        <v>25089191</v>
      </c>
      <c r="X52" s="106">
        <v>44283429</v>
      </c>
      <c r="Y52" s="129">
        <v>22368813</v>
      </c>
      <c r="Z52" s="105">
        <v>36754425</v>
      </c>
      <c r="AA52" s="105">
        <v>55402184</v>
      </c>
      <c r="AB52" s="106">
        <v>46168173</v>
      </c>
      <c r="AC52" s="106">
        <f t="shared" si="13"/>
        <v>283523929</v>
      </c>
      <c r="AD52" s="109">
        <v>0</v>
      </c>
      <c r="AE52" s="109">
        <v>320280</v>
      </c>
      <c r="AF52" s="109">
        <v>4079960</v>
      </c>
      <c r="AG52" s="109">
        <v>5745854</v>
      </c>
      <c r="AH52" s="115">
        <v>21506800</v>
      </c>
      <c r="AI52" s="109">
        <v>21804820</v>
      </c>
      <c r="AJ52" s="115">
        <v>23389191</v>
      </c>
      <c r="AK52" s="106">
        <v>44767429</v>
      </c>
      <c r="AL52" s="129">
        <v>23493040</v>
      </c>
      <c r="AM52" s="105">
        <v>36846198</v>
      </c>
      <c r="AN52" s="105">
        <v>55402184</v>
      </c>
      <c r="AO52" s="106">
        <v>46168173</v>
      </c>
      <c r="AP52" s="107">
        <f t="shared" si="14"/>
        <v>283523929</v>
      </c>
      <c r="AQ52" s="12">
        <f t="shared" si="15"/>
        <v>10152925</v>
      </c>
      <c r="AR52" s="12">
        <f t="shared" si="16"/>
        <v>206323146</v>
      </c>
      <c r="AS52" s="12">
        <f>SUM(AC52-AP52)</f>
        <v>0</v>
      </c>
      <c r="AT52" s="162">
        <f t="shared" si="2"/>
        <v>0.97969415</v>
      </c>
    </row>
    <row r="53" spans="1:46" s="12" customFormat="1" ht="15" customHeight="1" thickBot="1">
      <c r="A53" s="150" t="s">
        <v>142</v>
      </c>
      <c r="B53" s="21" t="s">
        <v>143</v>
      </c>
      <c r="C53" s="109">
        <v>798486000</v>
      </c>
      <c r="D53" s="109"/>
      <c r="E53" s="109"/>
      <c r="F53" s="109"/>
      <c r="G53" s="109">
        <v>0</v>
      </c>
      <c r="H53" s="109">
        <v>0</v>
      </c>
      <c r="I53" s="109">
        <v>0</v>
      </c>
      <c r="J53" s="109">
        <v>0</v>
      </c>
      <c r="K53" s="109">
        <v>798486000</v>
      </c>
      <c r="L53" s="129">
        <v>0</v>
      </c>
      <c r="M53" s="109">
        <v>0</v>
      </c>
      <c r="N53" s="109">
        <v>0</v>
      </c>
      <c r="O53" s="106">
        <v>0</v>
      </c>
      <c r="P53" s="106">
        <f t="shared" si="12"/>
        <v>798486000</v>
      </c>
      <c r="Q53" s="109"/>
      <c r="R53" s="109"/>
      <c r="S53" s="109"/>
      <c r="T53" s="109">
        <v>0</v>
      </c>
      <c r="U53" s="109">
        <v>0</v>
      </c>
      <c r="V53" s="109">
        <v>0</v>
      </c>
      <c r="W53" s="109">
        <v>0</v>
      </c>
      <c r="X53" s="110">
        <v>0</v>
      </c>
      <c r="Y53" s="129">
        <v>0</v>
      </c>
      <c r="Z53" s="109">
        <v>0</v>
      </c>
      <c r="AA53" s="109">
        <v>0</v>
      </c>
      <c r="AB53" s="106">
        <v>0</v>
      </c>
      <c r="AC53" s="106">
        <f t="shared" si="13"/>
        <v>0</v>
      </c>
      <c r="AD53" s="109"/>
      <c r="AE53" s="109"/>
      <c r="AF53" s="109"/>
      <c r="AG53" s="109">
        <v>0</v>
      </c>
      <c r="AH53" s="109">
        <v>0</v>
      </c>
      <c r="AI53" s="109">
        <v>0</v>
      </c>
      <c r="AJ53" s="109">
        <v>0</v>
      </c>
      <c r="AK53" s="110">
        <v>0</v>
      </c>
      <c r="AL53" s="129">
        <v>0</v>
      </c>
      <c r="AM53" s="109">
        <v>0</v>
      </c>
      <c r="AN53" s="109">
        <v>0</v>
      </c>
      <c r="AO53" s="148">
        <v>0</v>
      </c>
      <c r="AP53" s="107">
        <f t="shared" si="14"/>
        <v>0</v>
      </c>
      <c r="AQ53" s="12">
        <f>SUM(C53-P53)</f>
        <v>0</v>
      </c>
      <c r="AR53" s="12">
        <f>SUM(P53-AC53)</f>
        <v>798486000</v>
      </c>
      <c r="AT53" s="162"/>
    </row>
    <row r="54" spans="1:46" s="13" customFormat="1" ht="13.5" thickBot="1">
      <c r="A54" s="174" t="s">
        <v>35</v>
      </c>
      <c r="B54" s="175"/>
      <c r="C54" s="112">
        <f aca="true" t="shared" si="20" ref="C54:AS54">SUM(C15+C24+C27+C31)</f>
        <v>147509748373</v>
      </c>
      <c r="D54" s="112">
        <f t="shared" si="20"/>
        <v>1930470138</v>
      </c>
      <c r="E54" s="112">
        <f t="shared" si="20"/>
        <v>4388192469</v>
      </c>
      <c r="F54" s="112">
        <f t="shared" si="20"/>
        <v>4114992226</v>
      </c>
      <c r="G54" s="112">
        <f t="shared" si="20"/>
        <v>6161553058</v>
      </c>
      <c r="H54" s="112">
        <f t="shared" si="20"/>
        <v>42994014045</v>
      </c>
      <c r="I54" s="112">
        <f t="shared" si="20"/>
        <v>11086353842</v>
      </c>
      <c r="J54" s="112">
        <f t="shared" si="20"/>
        <v>2766428012</v>
      </c>
      <c r="K54" s="112">
        <f t="shared" si="20"/>
        <v>3993854266</v>
      </c>
      <c r="L54" s="112">
        <f t="shared" si="20"/>
        <v>29941650297.239998</v>
      </c>
      <c r="M54" s="112">
        <f t="shared" si="20"/>
        <v>26699335512.579998</v>
      </c>
      <c r="N54" s="112">
        <f t="shared" si="20"/>
        <v>3732066790.43</v>
      </c>
      <c r="O54" s="112">
        <f t="shared" si="20"/>
        <v>9349406775.75</v>
      </c>
      <c r="P54" s="112">
        <f t="shared" si="20"/>
        <v>147158317432</v>
      </c>
      <c r="Q54" s="112">
        <f t="shared" si="20"/>
        <v>723218374</v>
      </c>
      <c r="R54" s="112">
        <f t="shared" si="20"/>
        <v>1363486695</v>
      </c>
      <c r="S54" s="112">
        <f t="shared" si="20"/>
        <v>1972361826</v>
      </c>
      <c r="T54" s="112">
        <f t="shared" si="20"/>
        <v>2290820083</v>
      </c>
      <c r="U54" s="112">
        <f t="shared" si="20"/>
        <v>4904544357</v>
      </c>
      <c r="V54" s="112">
        <f t="shared" si="20"/>
        <v>13773111869</v>
      </c>
      <c r="W54" s="112">
        <f t="shared" si="20"/>
        <v>2747529041</v>
      </c>
      <c r="X54" s="112">
        <f t="shared" si="20"/>
        <v>16109576649</v>
      </c>
      <c r="Y54" s="112">
        <f t="shared" si="20"/>
        <v>17907183262.239998</v>
      </c>
      <c r="Z54" s="112">
        <f t="shared" si="20"/>
        <v>20563907806.46</v>
      </c>
      <c r="AA54" s="112">
        <f t="shared" si="20"/>
        <v>16852588588.07</v>
      </c>
      <c r="AB54" s="112">
        <f t="shared" si="20"/>
        <v>23929743258.230003</v>
      </c>
      <c r="AC54" s="112">
        <f t="shared" si="20"/>
        <v>123138071809</v>
      </c>
      <c r="AD54" s="112">
        <f t="shared" si="20"/>
        <v>722813434</v>
      </c>
      <c r="AE54" s="112">
        <f t="shared" si="20"/>
        <v>1343812891</v>
      </c>
      <c r="AF54" s="112">
        <f t="shared" si="20"/>
        <v>1715849091</v>
      </c>
      <c r="AG54" s="112">
        <f t="shared" si="20"/>
        <v>2484301412</v>
      </c>
      <c r="AH54" s="112">
        <f t="shared" si="20"/>
        <v>4931611654</v>
      </c>
      <c r="AI54" s="112">
        <f t="shared" si="20"/>
        <v>13251717536</v>
      </c>
      <c r="AJ54" s="112">
        <f t="shared" si="20"/>
        <v>3240554726</v>
      </c>
      <c r="AK54" s="112">
        <f t="shared" si="20"/>
        <v>4350953564</v>
      </c>
      <c r="AL54" s="112">
        <f t="shared" si="20"/>
        <v>29709126303.239998</v>
      </c>
      <c r="AM54" s="112">
        <f t="shared" si="20"/>
        <v>20504208750.46</v>
      </c>
      <c r="AN54" s="112">
        <f t="shared" si="20"/>
        <v>16156240984.07</v>
      </c>
      <c r="AO54" s="112">
        <f t="shared" si="20"/>
        <v>23087760738.230003</v>
      </c>
      <c r="AP54" s="97">
        <f t="shared" si="20"/>
        <v>121498951084</v>
      </c>
      <c r="AQ54" s="131">
        <f t="shared" si="20"/>
        <v>351430940.9999995</v>
      </c>
      <c r="AR54" s="131">
        <f t="shared" si="20"/>
        <v>24020245623</v>
      </c>
      <c r="AS54" s="131">
        <f t="shared" si="20"/>
        <v>1639120725</v>
      </c>
      <c r="AT54" s="162">
        <f t="shared" si="2"/>
        <v>0.9976175748052165</v>
      </c>
    </row>
    <row r="55" spans="1:42" ht="12.75">
      <c r="A55" s="153" t="s">
        <v>117</v>
      </c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11"/>
    </row>
    <row r="56" spans="1:42" ht="12.75">
      <c r="A56" s="134" t="s">
        <v>151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6"/>
    </row>
    <row r="57" spans="1:42" ht="12.75">
      <c r="A57" s="134" t="s">
        <v>152</v>
      </c>
      <c r="B57" s="13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6"/>
    </row>
    <row r="58" spans="1:42" ht="12.75">
      <c r="A58" s="4" t="s">
        <v>153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6"/>
    </row>
    <row r="59" spans="1:4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6"/>
    </row>
    <row r="60" spans="1:4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6"/>
    </row>
    <row r="61" spans="1:42" ht="15.75" thickBot="1">
      <c r="A61" s="4"/>
      <c r="B61" s="8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8"/>
      <c r="AL61" s="5"/>
      <c r="AM61" s="5"/>
      <c r="AN61" s="5"/>
      <c r="AO61" s="5"/>
      <c r="AP61" s="6"/>
    </row>
    <row r="62" spans="1:42" ht="15" customHeight="1">
      <c r="A62" s="4"/>
      <c r="B62" s="64" t="s">
        <v>147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71" t="s">
        <v>103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5"/>
      <c r="AM62" s="5"/>
      <c r="AN62" s="5"/>
      <c r="AO62" s="5"/>
      <c r="AP62" s="6"/>
    </row>
    <row r="63" spans="1:42" ht="0.75" customHeight="1" thickBot="1">
      <c r="A63" s="7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/>
    </row>
  </sheetData>
  <mergeCells count="10">
    <mergeCell ref="X62:AK62"/>
    <mergeCell ref="A7:B7"/>
    <mergeCell ref="A8:B8"/>
    <mergeCell ref="A54:B54"/>
    <mergeCell ref="X61:AJ61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44"/>
  <sheetViews>
    <sheetView workbookViewId="0" topLeftCell="A1">
      <selection activeCell="A1" sqref="A1:AP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0.8515625" style="1" customWidth="1"/>
    <col min="17" max="17" width="18.57421875" style="1" hidden="1" customWidth="1"/>
    <col min="18" max="18" width="17.8515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00390625" style="1" customWidth="1"/>
    <col min="29" max="29" width="21.71093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19.57421875" style="1" customWidth="1"/>
    <col min="43" max="43" width="21.28125" style="154" bestFit="1" customWidth="1"/>
    <col min="44" max="44" width="19.57421875" style="154" bestFit="1" customWidth="1"/>
    <col min="45" max="45" width="21.28125" style="154" customWidth="1"/>
    <col min="46" max="16384" width="11.421875" style="1" customWidth="1"/>
  </cols>
  <sheetData>
    <row r="1" spans="1:42" ht="18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</row>
    <row r="2" spans="1:42" ht="15.75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2"/>
    </row>
    <row r="3" spans="1:42" ht="18">
      <c r="A3" s="183" t="s">
        <v>36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5"/>
    </row>
    <row r="4" spans="1:42" ht="15.75">
      <c r="A4" s="180" t="s">
        <v>37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</row>
    <row r="5" spans="1:42" ht="20.25">
      <c r="A5" s="186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8"/>
    </row>
    <row r="6" spans="1:43" ht="1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52"/>
      <c r="AI6" s="47"/>
      <c r="AJ6" s="47"/>
      <c r="AK6" s="47"/>
      <c r="AL6" s="47"/>
      <c r="AM6" s="47"/>
      <c r="AN6" s="47"/>
      <c r="AO6" s="47"/>
      <c r="AP6" s="48"/>
      <c r="AQ6" s="155"/>
    </row>
    <row r="7" spans="1:43" ht="15.75">
      <c r="A7" s="189" t="s">
        <v>3</v>
      </c>
      <c r="B7" s="190"/>
      <c r="C7" s="57" t="s">
        <v>33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58" t="s">
        <v>5</v>
      </c>
      <c r="AD7" s="60"/>
      <c r="AE7" s="60"/>
      <c r="AF7" s="60"/>
      <c r="AG7" s="60"/>
      <c r="AH7" s="52"/>
      <c r="AI7" s="60"/>
      <c r="AJ7" s="60"/>
      <c r="AK7" s="60"/>
      <c r="AL7" s="60"/>
      <c r="AM7" s="60"/>
      <c r="AN7" s="60"/>
      <c r="AO7" s="60"/>
      <c r="AP7" s="63" t="s">
        <v>149</v>
      </c>
      <c r="AQ7" s="156"/>
    </row>
    <row r="8" spans="1:43" ht="20.25">
      <c r="A8" s="189" t="s">
        <v>4</v>
      </c>
      <c r="B8" s="190"/>
      <c r="C8" s="56" t="s">
        <v>39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3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58" t="s">
        <v>6</v>
      </c>
      <c r="AD8" s="60"/>
      <c r="AE8" s="60"/>
      <c r="AF8" s="60"/>
      <c r="AG8" s="60"/>
      <c r="AH8" s="52"/>
      <c r="AI8" s="60"/>
      <c r="AJ8" s="60"/>
      <c r="AK8" s="60"/>
      <c r="AL8" s="60"/>
      <c r="AM8" s="60"/>
      <c r="AN8" s="60"/>
      <c r="AO8" s="60"/>
      <c r="AP8" s="59">
        <v>2005</v>
      </c>
      <c r="AQ8" s="36"/>
    </row>
    <row r="9" spans="1:42" ht="15.75" thickBo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</row>
    <row r="10" spans="1:42" ht="15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</row>
    <row r="11" spans="1:42" ht="15">
      <c r="A11" s="142" t="s">
        <v>25</v>
      </c>
      <c r="B11" s="142" t="s">
        <v>27</v>
      </c>
      <c r="C11" s="142" t="s">
        <v>28</v>
      </c>
      <c r="D11" s="142" t="s">
        <v>29</v>
      </c>
      <c r="E11" s="142" t="s">
        <v>29</v>
      </c>
      <c r="F11" s="142" t="s">
        <v>29</v>
      </c>
      <c r="G11" s="142" t="s">
        <v>29</v>
      </c>
      <c r="H11" s="142" t="s">
        <v>29</v>
      </c>
      <c r="I11" s="142" t="s">
        <v>29</v>
      </c>
      <c r="J11" s="142" t="s">
        <v>29</v>
      </c>
      <c r="K11" s="142" t="s">
        <v>29</v>
      </c>
      <c r="L11" s="142" t="s">
        <v>29</v>
      </c>
      <c r="M11" s="142" t="s">
        <v>29</v>
      </c>
      <c r="N11" s="142" t="s">
        <v>29</v>
      </c>
      <c r="O11" s="142" t="s">
        <v>29</v>
      </c>
      <c r="P11" s="142" t="s">
        <v>29</v>
      </c>
      <c r="Q11" s="142" t="s">
        <v>30</v>
      </c>
      <c r="R11" s="142" t="s">
        <v>30</v>
      </c>
      <c r="S11" s="142" t="s">
        <v>30</v>
      </c>
      <c r="T11" s="142" t="s">
        <v>30</v>
      </c>
      <c r="U11" s="142" t="s">
        <v>30</v>
      </c>
      <c r="V11" s="142" t="s">
        <v>30</v>
      </c>
      <c r="W11" s="142" t="s">
        <v>30</v>
      </c>
      <c r="X11" s="142" t="s">
        <v>30</v>
      </c>
      <c r="Y11" s="142" t="s">
        <v>30</v>
      </c>
      <c r="Z11" s="142" t="s">
        <v>30</v>
      </c>
      <c r="AA11" s="142" t="s">
        <v>30</v>
      </c>
      <c r="AB11" s="142" t="s">
        <v>30</v>
      </c>
      <c r="AC11" s="142" t="s">
        <v>30</v>
      </c>
      <c r="AD11" s="142" t="s">
        <v>31</v>
      </c>
      <c r="AE11" s="142" t="s">
        <v>31</v>
      </c>
      <c r="AF11" s="142" t="s">
        <v>31</v>
      </c>
      <c r="AG11" s="142" t="s">
        <v>31</v>
      </c>
      <c r="AH11" s="142" t="s">
        <v>31</v>
      </c>
      <c r="AI11" s="142" t="s">
        <v>31</v>
      </c>
      <c r="AJ11" s="142" t="s">
        <v>31</v>
      </c>
      <c r="AK11" s="142" t="s">
        <v>31</v>
      </c>
      <c r="AL11" s="142" t="s">
        <v>31</v>
      </c>
      <c r="AM11" s="142" t="s">
        <v>31</v>
      </c>
      <c r="AN11" s="142" t="s">
        <v>31</v>
      </c>
      <c r="AO11" s="142" t="s">
        <v>31</v>
      </c>
      <c r="AP11" s="142" t="s">
        <v>31</v>
      </c>
    </row>
    <row r="12" spans="1:45" ht="15.75" thickBot="1">
      <c r="A12" s="143" t="s">
        <v>26</v>
      </c>
      <c r="B12" s="143"/>
      <c r="C12" s="143" t="s">
        <v>7</v>
      </c>
      <c r="D12" s="143" t="s">
        <v>8</v>
      </c>
      <c r="E12" s="143" t="s">
        <v>9</v>
      </c>
      <c r="F12" s="143" t="s">
        <v>10</v>
      </c>
      <c r="G12" s="143" t="s">
        <v>82</v>
      </c>
      <c r="H12" s="143" t="s">
        <v>12</v>
      </c>
      <c r="I12" s="143" t="s">
        <v>13</v>
      </c>
      <c r="J12" s="143" t="s">
        <v>14</v>
      </c>
      <c r="K12" s="143" t="s">
        <v>15</v>
      </c>
      <c r="L12" s="143" t="s">
        <v>16</v>
      </c>
      <c r="M12" s="143" t="s">
        <v>17</v>
      </c>
      <c r="N12" s="143" t="s">
        <v>18</v>
      </c>
      <c r="O12" s="143" t="s">
        <v>19</v>
      </c>
      <c r="P12" s="143" t="s">
        <v>20</v>
      </c>
      <c r="Q12" s="143" t="s">
        <v>8</v>
      </c>
      <c r="R12" s="143" t="s">
        <v>9</v>
      </c>
      <c r="S12" s="143" t="s">
        <v>10</v>
      </c>
      <c r="T12" s="143" t="s">
        <v>11</v>
      </c>
      <c r="U12" s="143" t="s">
        <v>21</v>
      </c>
      <c r="V12" s="143" t="s">
        <v>22</v>
      </c>
      <c r="W12" s="143" t="s">
        <v>23</v>
      </c>
      <c r="X12" s="143" t="s">
        <v>15</v>
      </c>
      <c r="Y12" s="143" t="s">
        <v>16</v>
      </c>
      <c r="Z12" s="143" t="s">
        <v>24</v>
      </c>
      <c r="AA12" s="143" t="s">
        <v>18</v>
      </c>
      <c r="AB12" s="143" t="s">
        <v>19</v>
      </c>
      <c r="AC12" s="143" t="s">
        <v>32</v>
      </c>
      <c r="AD12" s="143" t="s">
        <v>8</v>
      </c>
      <c r="AE12" s="143" t="s">
        <v>9</v>
      </c>
      <c r="AF12" s="143" t="s">
        <v>10</v>
      </c>
      <c r="AG12" s="143" t="s">
        <v>11</v>
      </c>
      <c r="AH12" s="143" t="s">
        <v>21</v>
      </c>
      <c r="AI12" s="143" t="s">
        <v>22</v>
      </c>
      <c r="AJ12" s="143" t="s">
        <v>23</v>
      </c>
      <c r="AK12" s="143" t="s">
        <v>15</v>
      </c>
      <c r="AL12" s="143" t="s">
        <v>16</v>
      </c>
      <c r="AM12" s="143" t="s">
        <v>24</v>
      </c>
      <c r="AN12" s="143" t="s">
        <v>18</v>
      </c>
      <c r="AO12" s="143" t="s">
        <v>19</v>
      </c>
      <c r="AP12" s="143" t="s">
        <v>20</v>
      </c>
      <c r="AQ12" s="157" t="s">
        <v>74</v>
      </c>
      <c r="AR12" s="157" t="s">
        <v>38</v>
      </c>
      <c r="AS12" s="157" t="s">
        <v>98</v>
      </c>
    </row>
    <row r="13" spans="1:42" ht="15.75" thickBot="1">
      <c r="A13" s="144">
        <v>1</v>
      </c>
      <c r="B13" s="145">
        <v>2</v>
      </c>
      <c r="C13" s="145"/>
      <c r="D13" s="145"/>
      <c r="E13" s="145"/>
      <c r="F13" s="145">
        <v>3</v>
      </c>
      <c r="G13" s="145">
        <v>3</v>
      </c>
      <c r="H13" s="145">
        <v>3</v>
      </c>
      <c r="I13" s="145">
        <v>3</v>
      </c>
      <c r="J13" s="145">
        <v>3</v>
      </c>
      <c r="K13" s="145">
        <v>3</v>
      </c>
      <c r="L13" s="145">
        <v>3</v>
      </c>
      <c r="M13" s="145">
        <v>3</v>
      </c>
      <c r="N13" s="145">
        <v>3</v>
      </c>
      <c r="O13" s="145">
        <v>3</v>
      </c>
      <c r="P13" s="145">
        <v>4</v>
      </c>
      <c r="Q13" s="145"/>
      <c r="R13" s="145"/>
      <c r="S13" s="145">
        <v>5</v>
      </c>
      <c r="T13" s="145">
        <v>5</v>
      </c>
      <c r="U13" s="145">
        <v>5</v>
      </c>
      <c r="V13" s="145">
        <v>5</v>
      </c>
      <c r="W13" s="145">
        <v>5</v>
      </c>
      <c r="X13" s="145">
        <v>5</v>
      </c>
      <c r="Y13" s="145">
        <v>5</v>
      </c>
      <c r="Z13" s="145">
        <v>5</v>
      </c>
      <c r="AA13" s="145">
        <v>5</v>
      </c>
      <c r="AB13" s="145">
        <v>5</v>
      </c>
      <c r="AC13" s="145">
        <v>6</v>
      </c>
      <c r="AD13" s="145"/>
      <c r="AE13" s="145"/>
      <c r="AF13" s="145">
        <v>7</v>
      </c>
      <c r="AG13" s="145">
        <v>7</v>
      </c>
      <c r="AH13" s="145">
        <v>7</v>
      </c>
      <c r="AI13" s="145">
        <v>7</v>
      </c>
      <c r="AJ13" s="145">
        <v>7</v>
      </c>
      <c r="AK13" s="145">
        <v>7</v>
      </c>
      <c r="AL13" s="145">
        <v>7</v>
      </c>
      <c r="AM13" s="145">
        <v>7</v>
      </c>
      <c r="AN13" s="145">
        <v>7</v>
      </c>
      <c r="AO13" s="145">
        <v>7</v>
      </c>
      <c r="AP13" s="146">
        <v>8</v>
      </c>
    </row>
    <row r="14" spans="1:46" s="26" customFormat="1" ht="16.5" thickBot="1">
      <c r="A14" s="28"/>
      <c r="B14" s="61" t="s">
        <v>69</v>
      </c>
      <c r="C14" s="29">
        <f aca="true" t="shared" si="0" ref="C14:AS14">SUM(C15+C17+C23)</f>
        <v>817236395</v>
      </c>
      <c r="D14" s="29">
        <f t="shared" si="0"/>
        <v>42392071.03</v>
      </c>
      <c r="E14" s="29">
        <f t="shared" si="0"/>
        <v>49094322.7</v>
      </c>
      <c r="F14" s="29">
        <f t="shared" si="0"/>
        <v>96833030.55</v>
      </c>
      <c r="G14" s="29">
        <f t="shared" si="0"/>
        <v>111574811.27</v>
      </c>
      <c r="H14" s="29">
        <f t="shared" si="0"/>
        <v>78887804.77</v>
      </c>
      <c r="I14" s="29">
        <f t="shared" si="0"/>
        <v>43936613.45</v>
      </c>
      <c r="J14" s="29">
        <f t="shared" si="0"/>
        <v>61018688.19</v>
      </c>
      <c r="K14" s="29">
        <f t="shared" si="0"/>
        <v>61358808.79</v>
      </c>
      <c r="L14" s="29">
        <f t="shared" si="0"/>
        <v>61696687.080000006</v>
      </c>
      <c r="M14" s="29">
        <f t="shared" si="0"/>
        <v>36896049.69</v>
      </c>
      <c r="N14" s="29">
        <f t="shared" si="0"/>
        <v>53217362.49</v>
      </c>
      <c r="O14" s="29">
        <f t="shared" si="0"/>
        <v>70787867.91</v>
      </c>
      <c r="P14" s="29">
        <f t="shared" si="0"/>
        <v>767694117.9200001</v>
      </c>
      <c r="Q14" s="29">
        <f t="shared" si="0"/>
        <v>19607487.03</v>
      </c>
      <c r="R14" s="29">
        <f t="shared" si="0"/>
        <v>49944381.39</v>
      </c>
      <c r="S14" s="29">
        <f t="shared" si="0"/>
        <v>67614911.42999999</v>
      </c>
      <c r="T14" s="29">
        <f t="shared" si="0"/>
        <v>60442193.06999999</v>
      </c>
      <c r="U14" s="29">
        <f t="shared" si="0"/>
        <v>82492219.45</v>
      </c>
      <c r="V14" s="29">
        <f t="shared" si="0"/>
        <v>48124148.3</v>
      </c>
      <c r="W14" s="29">
        <f t="shared" si="0"/>
        <v>75047839.88</v>
      </c>
      <c r="X14" s="29">
        <f t="shared" si="0"/>
        <v>73895489.62</v>
      </c>
      <c r="Y14" s="29">
        <f t="shared" si="0"/>
        <v>67796539.15</v>
      </c>
      <c r="Z14" s="29">
        <f t="shared" si="0"/>
        <v>53300721</v>
      </c>
      <c r="AA14" s="29">
        <f t="shared" si="0"/>
        <v>34982103.34</v>
      </c>
      <c r="AB14" s="29">
        <f t="shared" si="0"/>
        <v>107368338.31</v>
      </c>
      <c r="AC14" s="29">
        <f t="shared" si="0"/>
        <v>740616371.9700001</v>
      </c>
      <c r="AD14" s="29">
        <f t="shared" si="0"/>
        <v>18629907.89</v>
      </c>
      <c r="AE14" s="29">
        <f t="shared" si="0"/>
        <v>47697286.21</v>
      </c>
      <c r="AF14" s="29">
        <f t="shared" si="0"/>
        <v>67942632.75</v>
      </c>
      <c r="AG14" s="29">
        <f t="shared" si="0"/>
        <v>57601193.06999999</v>
      </c>
      <c r="AH14" s="29">
        <f t="shared" si="0"/>
        <v>84496980.45</v>
      </c>
      <c r="AI14" s="29">
        <f t="shared" si="0"/>
        <v>50739403.3</v>
      </c>
      <c r="AJ14" s="29">
        <f t="shared" si="0"/>
        <v>74895124.88</v>
      </c>
      <c r="AK14" s="29">
        <f t="shared" si="0"/>
        <v>74040204.62</v>
      </c>
      <c r="AL14" s="29">
        <f t="shared" si="0"/>
        <v>65008805.150000006</v>
      </c>
      <c r="AM14" s="29">
        <f t="shared" si="0"/>
        <v>54400575</v>
      </c>
      <c r="AN14" s="29">
        <f t="shared" si="0"/>
        <v>35183566.34</v>
      </c>
      <c r="AO14" s="29">
        <f t="shared" si="0"/>
        <v>108016605.25999999</v>
      </c>
      <c r="AP14" s="31">
        <f t="shared" si="0"/>
        <v>738652284.9200001</v>
      </c>
      <c r="AQ14" s="76">
        <f t="shared" si="0"/>
        <v>49542277.07999998</v>
      </c>
      <c r="AR14" s="76">
        <f t="shared" si="0"/>
        <v>27077745.9499999</v>
      </c>
      <c r="AS14" s="76">
        <f t="shared" si="0"/>
        <v>1964087.0500000715</v>
      </c>
      <c r="AT14" s="162">
        <f>P14/C14</f>
        <v>0.9393782785701805</v>
      </c>
    </row>
    <row r="15" spans="1:46" s="26" customFormat="1" ht="16.5" thickBot="1">
      <c r="A15" s="65"/>
      <c r="B15" s="62" t="s">
        <v>72</v>
      </c>
      <c r="C15" s="30">
        <f>SUM(C16)</f>
        <v>10212300</v>
      </c>
      <c r="D15" s="30">
        <f>SUM(D16)</f>
        <v>0</v>
      </c>
      <c r="E15" s="30">
        <f aca="true" t="shared" si="1" ref="E15:AP15">SUM(E16)</f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7347200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30">
        <f t="shared" si="1"/>
        <v>0</v>
      </c>
      <c r="P15" s="30">
        <f t="shared" si="1"/>
        <v>7347200</v>
      </c>
      <c r="Q15" s="30">
        <f t="shared" si="1"/>
        <v>0</v>
      </c>
      <c r="R15" s="30">
        <f t="shared" si="1"/>
        <v>0</v>
      </c>
      <c r="S15" s="30">
        <f t="shared" si="1"/>
        <v>0</v>
      </c>
      <c r="T15" s="30">
        <f t="shared" si="1"/>
        <v>0</v>
      </c>
      <c r="U15" s="30">
        <f t="shared" si="1"/>
        <v>0</v>
      </c>
      <c r="V15" s="30">
        <f t="shared" si="1"/>
        <v>0</v>
      </c>
      <c r="W15" s="30">
        <f t="shared" si="1"/>
        <v>5880000</v>
      </c>
      <c r="X15" s="30">
        <f t="shared" si="1"/>
        <v>1467200</v>
      </c>
      <c r="Y15" s="30">
        <f t="shared" si="1"/>
        <v>0</v>
      </c>
      <c r="Z15" s="30">
        <f t="shared" si="1"/>
        <v>0</v>
      </c>
      <c r="AA15" s="30">
        <f t="shared" si="1"/>
        <v>0</v>
      </c>
      <c r="AB15" s="30">
        <f t="shared" si="1"/>
        <v>0</v>
      </c>
      <c r="AC15" s="30">
        <f t="shared" si="1"/>
        <v>7347200</v>
      </c>
      <c r="AD15" s="30">
        <f>SUM(AD16)</f>
        <v>0</v>
      </c>
      <c r="AE15" s="30">
        <f t="shared" si="1"/>
        <v>0</v>
      </c>
      <c r="AF15" s="30">
        <f t="shared" si="1"/>
        <v>0</v>
      </c>
      <c r="AG15" s="30">
        <f t="shared" si="1"/>
        <v>0</v>
      </c>
      <c r="AH15" s="30">
        <f t="shared" si="1"/>
        <v>0</v>
      </c>
      <c r="AI15" s="30">
        <f t="shared" si="1"/>
        <v>0</v>
      </c>
      <c r="AJ15" s="30">
        <f t="shared" si="1"/>
        <v>5880000</v>
      </c>
      <c r="AK15" s="30">
        <f t="shared" si="1"/>
        <v>1467200</v>
      </c>
      <c r="AL15" s="30">
        <f t="shared" si="1"/>
        <v>0</v>
      </c>
      <c r="AM15" s="30">
        <f t="shared" si="1"/>
        <v>0</v>
      </c>
      <c r="AN15" s="30">
        <f t="shared" si="1"/>
        <v>0</v>
      </c>
      <c r="AO15" s="30">
        <f t="shared" si="1"/>
        <v>0</v>
      </c>
      <c r="AP15" s="31">
        <f t="shared" si="1"/>
        <v>7347200</v>
      </c>
      <c r="AQ15" s="75">
        <f>SUM(AQ16)</f>
        <v>2865100</v>
      </c>
      <c r="AR15" s="75">
        <f>SUM(AR16)</f>
        <v>0</v>
      </c>
      <c r="AS15" s="75">
        <f>SUM(AS16)</f>
        <v>0</v>
      </c>
      <c r="AT15" s="162">
        <f aca="true" t="shared" si="2" ref="AT15:AT30">P15/C15</f>
        <v>0.719446158064295</v>
      </c>
    </row>
    <row r="16" spans="1:46" s="12" customFormat="1" ht="15.75" thickBot="1">
      <c r="A16" s="74" t="s">
        <v>53</v>
      </c>
      <c r="B16" s="34" t="s">
        <v>34</v>
      </c>
      <c r="C16" s="44">
        <v>10212300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7347200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24">
        <f aca="true" t="shared" si="3" ref="P16:P25">SUM(D16:O16)</f>
        <v>7347200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5880000</v>
      </c>
      <c r="X16" s="44">
        <v>1467200</v>
      </c>
      <c r="Y16" s="44">
        <v>0</v>
      </c>
      <c r="Z16" s="44">
        <v>0</v>
      </c>
      <c r="AA16" s="44">
        <v>0</v>
      </c>
      <c r="AB16" s="44">
        <v>0</v>
      </c>
      <c r="AC16" s="45">
        <f aca="true" t="shared" si="4" ref="AC16:AC29">SUM(Q16:AB16)</f>
        <v>7347200</v>
      </c>
      <c r="AD16" s="44">
        <v>0</v>
      </c>
      <c r="AE16" s="44">
        <v>0</v>
      </c>
      <c r="AF16" s="44"/>
      <c r="AG16" s="44">
        <v>0</v>
      </c>
      <c r="AH16" s="44">
        <v>0</v>
      </c>
      <c r="AI16" s="44">
        <v>0</v>
      </c>
      <c r="AJ16" s="44">
        <v>5880000</v>
      </c>
      <c r="AK16" s="44">
        <v>1467200</v>
      </c>
      <c r="AL16" s="44">
        <v>0</v>
      </c>
      <c r="AM16" s="44">
        <v>0</v>
      </c>
      <c r="AN16" s="44">
        <v>0</v>
      </c>
      <c r="AO16" s="44">
        <v>0</v>
      </c>
      <c r="AP16" s="66">
        <f>SUM(AD16:AO16)</f>
        <v>7347200</v>
      </c>
      <c r="AQ16" s="37">
        <f aca="true" t="shared" si="5" ref="AQ16:AQ25">SUM(C16-P16)</f>
        <v>2865100</v>
      </c>
      <c r="AR16" s="37">
        <f>P16-AC16</f>
        <v>0</v>
      </c>
      <c r="AS16" s="37">
        <f>AC16-AP16</f>
        <v>0</v>
      </c>
      <c r="AT16" s="162">
        <f t="shared" si="2"/>
        <v>0.719446158064295</v>
      </c>
    </row>
    <row r="17" spans="1:46" s="12" customFormat="1" ht="16.5" thickBot="1">
      <c r="A17" s="65"/>
      <c r="B17" s="62" t="s">
        <v>73</v>
      </c>
      <c r="C17" s="39">
        <f aca="true" t="shared" si="6" ref="C17:AS17">SUM(C18:C22)</f>
        <v>781818254</v>
      </c>
      <c r="D17" s="39">
        <f t="shared" si="6"/>
        <v>42392071.03</v>
      </c>
      <c r="E17" s="39">
        <f t="shared" si="6"/>
        <v>49094322.7</v>
      </c>
      <c r="F17" s="39">
        <f t="shared" si="6"/>
        <v>96833030.55</v>
      </c>
      <c r="G17" s="39">
        <f t="shared" si="6"/>
        <v>111574811.27</v>
      </c>
      <c r="H17" s="39">
        <f t="shared" si="6"/>
        <v>78887804.77</v>
      </c>
      <c r="I17" s="39">
        <f t="shared" si="6"/>
        <v>43936613.45</v>
      </c>
      <c r="J17" s="39">
        <f t="shared" si="6"/>
        <v>53671488.19</v>
      </c>
      <c r="K17" s="39">
        <f t="shared" si="6"/>
        <v>50702861.82</v>
      </c>
      <c r="L17" s="39">
        <f t="shared" si="6"/>
        <v>61696687.080000006</v>
      </c>
      <c r="M17" s="39">
        <f t="shared" si="6"/>
        <v>23690208.78</v>
      </c>
      <c r="N17" s="39">
        <f t="shared" si="6"/>
        <v>53217362.49</v>
      </c>
      <c r="O17" s="39">
        <f t="shared" si="6"/>
        <v>70787867.91</v>
      </c>
      <c r="P17" s="39">
        <f t="shared" si="6"/>
        <v>736485130.0400001</v>
      </c>
      <c r="Q17" s="39">
        <f t="shared" si="6"/>
        <v>19607487.03</v>
      </c>
      <c r="R17" s="39">
        <f t="shared" si="6"/>
        <v>49944381.39</v>
      </c>
      <c r="S17" s="39">
        <f t="shared" si="6"/>
        <v>67614911.42999999</v>
      </c>
      <c r="T17" s="39">
        <f t="shared" si="6"/>
        <v>60442193.06999999</v>
      </c>
      <c r="U17" s="39">
        <f t="shared" si="6"/>
        <v>82492219.45</v>
      </c>
      <c r="V17" s="39">
        <f t="shared" si="6"/>
        <v>48124148.3</v>
      </c>
      <c r="W17" s="39">
        <f t="shared" si="6"/>
        <v>69167839.88</v>
      </c>
      <c r="X17" s="39">
        <f t="shared" si="6"/>
        <v>61772342.65</v>
      </c>
      <c r="Y17" s="39">
        <f t="shared" si="6"/>
        <v>67796539.15</v>
      </c>
      <c r="Z17" s="39">
        <f t="shared" si="6"/>
        <v>40094880.089999996</v>
      </c>
      <c r="AA17" s="39">
        <f t="shared" si="6"/>
        <v>34982103.34</v>
      </c>
      <c r="AB17" s="39">
        <f t="shared" si="6"/>
        <v>107368338.31</v>
      </c>
      <c r="AC17" s="39">
        <f t="shared" si="6"/>
        <v>709407384.0900002</v>
      </c>
      <c r="AD17" s="39">
        <f t="shared" si="6"/>
        <v>18629907.89</v>
      </c>
      <c r="AE17" s="39">
        <f t="shared" si="6"/>
        <v>47697286.21</v>
      </c>
      <c r="AF17" s="39">
        <f t="shared" si="6"/>
        <v>67942632.75</v>
      </c>
      <c r="AG17" s="39">
        <f t="shared" si="6"/>
        <v>57601193.06999999</v>
      </c>
      <c r="AH17" s="39">
        <f t="shared" si="6"/>
        <v>84496980.45</v>
      </c>
      <c r="AI17" s="39">
        <f t="shared" si="6"/>
        <v>50739403.3</v>
      </c>
      <c r="AJ17" s="39">
        <f t="shared" si="6"/>
        <v>69015124.88</v>
      </c>
      <c r="AK17" s="39">
        <f t="shared" si="6"/>
        <v>61917057.65</v>
      </c>
      <c r="AL17" s="39">
        <f t="shared" si="6"/>
        <v>65008805.150000006</v>
      </c>
      <c r="AM17" s="39">
        <f t="shared" si="6"/>
        <v>41194734.089999996</v>
      </c>
      <c r="AN17" s="39">
        <f t="shared" si="6"/>
        <v>35183566.34</v>
      </c>
      <c r="AO17" s="39">
        <f t="shared" si="6"/>
        <v>108016605.25999999</v>
      </c>
      <c r="AP17" s="40">
        <f t="shared" si="6"/>
        <v>707443297.0400001</v>
      </c>
      <c r="AQ17" s="75">
        <f t="shared" si="6"/>
        <v>45333123.959999986</v>
      </c>
      <c r="AR17" s="158">
        <f t="shared" si="6"/>
        <v>27077745.9499999</v>
      </c>
      <c r="AS17" s="158">
        <f t="shared" si="6"/>
        <v>1964087.0500000715</v>
      </c>
      <c r="AT17" s="162">
        <f t="shared" si="2"/>
        <v>0.942015777032497</v>
      </c>
    </row>
    <row r="18" spans="1:46" s="12" customFormat="1" ht="15">
      <c r="A18" s="41" t="s">
        <v>119</v>
      </c>
      <c r="B18" s="22" t="s">
        <v>43</v>
      </c>
      <c r="C18" s="23">
        <v>88616000</v>
      </c>
      <c r="D18" s="23">
        <v>5971040</v>
      </c>
      <c r="E18" s="23">
        <v>8217984.91</v>
      </c>
      <c r="F18" s="23">
        <v>4799200</v>
      </c>
      <c r="G18" s="23">
        <v>9670911</v>
      </c>
      <c r="H18" s="23">
        <v>8144508.4</v>
      </c>
      <c r="I18" s="23">
        <v>6849377.23</v>
      </c>
      <c r="J18" s="23">
        <v>1381315</v>
      </c>
      <c r="K18" s="79">
        <v>11459159.4</v>
      </c>
      <c r="L18" s="23">
        <v>5962922.38</v>
      </c>
      <c r="M18" s="23">
        <v>4573144.65</v>
      </c>
      <c r="N18" s="23">
        <v>12067960.15</v>
      </c>
      <c r="O18" s="23">
        <v>6255574.22</v>
      </c>
      <c r="P18" s="24">
        <f t="shared" si="3"/>
        <v>85353097.34</v>
      </c>
      <c r="Q18" s="23">
        <v>3000000</v>
      </c>
      <c r="R18" s="23">
        <v>6489671.2</v>
      </c>
      <c r="S18" s="23">
        <v>5159840</v>
      </c>
      <c r="T18" s="23">
        <v>8044714.4</v>
      </c>
      <c r="U18" s="23">
        <v>7359378.6</v>
      </c>
      <c r="V18" s="23">
        <v>4684180.35</v>
      </c>
      <c r="W18" s="23">
        <v>2913079</v>
      </c>
      <c r="X18" s="23">
        <v>9471890.4</v>
      </c>
      <c r="Y18" s="23">
        <v>6437129.88</v>
      </c>
      <c r="Z18" s="23">
        <v>7225840.57</v>
      </c>
      <c r="AA18" s="23">
        <v>2753468.38</v>
      </c>
      <c r="AB18" s="23">
        <v>20105703.57</v>
      </c>
      <c r="AC18" s="24">
        <f t="shared" si="4"/>
        <v>83644896.35000001</v>
      </c>
      <c r="AD18" s="23">
        <v>3000000</v>
      </c>
      <c r="AE18" s="23">
        <v>6091271.2</v>
      </c>
      <c r="AF18" s="23">
        <v>5359040</v>
      </c>
      <c r="AG18" s="23">
        <v>6657514.4</v>
      </c>
      <c r="AH18" s="23">
        <v>7369163.6</v>
      </c>
      <c r="AI18" s="23">
        <v>6061595.35</v>
      </c>
      <c r="AJ18" s="23">
        <v>2900964</v>
      </c>
      <c r="AK18" s="23">
        <v>9484005.4</v>
      </c>
      <c r="AL18" s="23">
        <v>5037156.88</v>
      </c>
      <c r="AM18" s="23">
        <v>7249407.57</v>
      </c>
      <c r="AN18" s="23">
        <v>2637431.38</v>
      </c>
      <c r="AO18" s="23">
        <v>21797346.57</v>
      </c>
      <c r="AP18" s="25">
        <f>SUM(AD18:AO18)</f>
        <v>83644896.35000001</v>
      </c>
      <c r="AQ18" s="37">
        <f t="shared" si="5"/>
        <v>3262902.6599999964</v>
      </c>
      <c r="AR18" s="37">
        <f>P18-AC18</f>
        <v>1708200.9899999946</v>
      </c>
      <c r="AS18" s="37">
        <f>AC18-AP18</f>
        <v>0</v>
      </c>
      <c r="AT18" s="162">
        <f t="shared" si="2"/>
        <v>0.9631793055430171</v>
      </c>
    </row>
    <row r="19" spans="1:46" s="12" customFormat="1" ht="15">
      <c r="A19" s="41" t="s">
        <v>42</v>
      </c>
      <c r="B19" s="22" t="s">
        <v>43</v>
      </c>
      <c r="C19" s="23">
        <v>19823340</v>
      </c>
      <c r="D19" s="23"/>
      <c r="E19" s="23"/>
      <c r="F19" s="23"/>
      <c r="G19" s="23"/>
      <c r="H19" s="23"/>
      <c r="I19" s="23"/>
      <c r="J19" s="23"/>
      <c r="K19" s="79"/>
      <c r="L19" s="23"/>
      <c r="M19" s="23"/>
      <c r="N19" s="23">
        <v>0</v>
      </c>
      <c r="O19" s="23">
        <v>15716644.11</v>
      </c>
      <c r="P19" s="24">
        <f t="shared" si="3"/>
        <v>15716644.11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0</v>
      </c>
      <c r="AB19" s="23">
        <v>0</v>
      </c>
      <c r="AC19" s="24">
        <f t="shared" si="4"/>
        <v>0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>
        <v>0</v>
      </c>
      <c r="AO19" s="23">
        <v>0</v>
      </c>
      <c r="AP19" s="25">
        <f>SUM(AD19:AO19)</f>
        <v>0</v>
      </c>
      <c r="AQ19" s="37">
        <f t="shared" si="5"/>
        <v>4106695.8900000006</v>
      </c>
      <c r="AR19" s="37">
        <f>P19-AC19</f>
        <v>15716644.11</v>
      </c>
      <c r="AS19" s="37"/>
      <c r="AT19" s="162"/>
    </row>
    <row r="20" spans="1:46" s="12" customFormat="1" ht="15">
      <c r="A20" s="41" t="s">
        <v>45</v>
      </c>
      <c r="B20" s="14" t="s">
        <v>44</v>
      </c>
      <c r="C20" s="15">
        <f>589110953-12000000</f>
        <v>577110953</v>
      </c>
      <c r="D20" s="15">
        <v>34503375.03</v>
      </c>
      <c r="E20" s="15">
        <v>29850919.79</v>
      </c>
      <c r="F20" s="15">
        <f>71483067.55+5999904</f>
        <v>77482971.55</v>
      </c>
      <c r="G20" s="15">
        <v>87771578.07</v>
      </c>
      <c r="H20" s="15">
        <v>44391725.37</v>
      </c>
      <c r="I20" s="35">
        <v>36811420.22</v>
      </c>
      <c r="J20" s="15">
        <v>46453924.03</v>
      </c>
      <c r="K20" s="15">
        <v>39224095.42</v>
      </c>
      <c r="L20" s="15">
        <v>46435593.7</v>
      </c>
      <c r="M20" s="15">
        <v>19093019.13</v>
      </c>
      <c r="N20" s="15">
        <v>36339795.34</v>
      </c>
      <c r="O20" s="15">
        <v>50390081.59</v>
      </c>
      <c r="P20" s="24">
        <f t="shared" si="3"/>
        <v>548748499.24</v>
      </c>
      <c r="Q20" s="23">
        <v>14689831.03</v>
      </c>
      <c r="R20" s="15">
        <v>34641282.41</v>
      </c>
      <c r="S20" s="15">
        <v>47698218.87</v>
      </c>
      <c r="T20" s="15">
        <v>38409571.67</v>
      </c>
      <c r="U20" s="15">
        <v>48781269.85</v>
      </c>
      <c r="V20" s="15">
        <v>42810860.04</v>
      </c>
      <c r="W20" s="15">
        <v>60418511.72</v>
      </c>
      <c r="X20" s="15">
        <v>52050782.84</v>
      </c>
      <c r="Y20" s="15">
        <v>51949459.42</v>
      </c>
      <c r="Z20" s="15">
        <v>32720730.04</v>
      </c>
      <c r="AA20" s="15">
        <v>27419027.96</v>
      </c>
      <c r="AB20" s="15">
        <v>87506052.54</v>
      </c>
      <c r="AC20" s="24">
        <f t="shared" si="4"/>
        <v>539095598.3900001</v>
      </c>
      <c r="AD20" s="15">
        <v>13712251.89</v>
      </c>
      <c r="AE20" s="15">
        <v>32792587.23</v>
      </c>
      <c r="AF20" s="15">
        <v>47826740.19</v>
      </c>
      <c r="AG20" s="15">
        <v>36955771.67</v>
      </c>
      <c r="AH20" s="35">
        <v>50776245.85</v>
      </c>
      <c r="AI20" s="15">
        <v>44048700.04</v>
      </c>
      <c r="AJ20" s="15">
        <v>60277911.72</v>
      </c>
      <c r="AK20" s="15">
        <v>52183382.84</v>
      </c>
      <c r="AL20" s="15">
        <v>50561698.42</v>
      </c>
      <c r="AM20" s="15">
        <v>33797017.04</v>
      </c>
      <c r="AN20" s="15">
        <v>27736527.96</v>
      </c>
      <c r="AO20" s="15">
        <v>86462676.49</v>
      </c>
      <c r="AP20" s="17">
        <f>SUM(AD20:AO20)</f>
        <v>537131511.34</v>
      </c>
      <c r="AQ20" s="37">
        <f t="shared" si="5"/>
        <v>28362453.75999999</v>
      </c>
      <c r="AR20" s="37">
        <f>P20-AC20</f>
        <v>9652900.849999905</v>
      </c>
      <c r="AS20" s="37">
        <f>AC20-AP20</f>
        <v>1964087.0500000715</v>
      </c>
      <c r="AT20" s="162">
        <f t="shared" si="2"/>
        <v>0.9508544178332378</v>
      </c>
    </row>
    <row r="21" spans="1:46" s="12" customFormat="1" ht="15">
      <c r="A21" s="41" t="s">
        <v>46</v>
      </c>
      <c r="B21" s="14" t="s">
        <v>47</v>
      </c>
      <c r="C21" s="15">
        <f>67494914+6500000</f>
        <v>73994914</v>
      </c>
      <c r="D21" s="15">
        <v>917656</v>
      </c>
      <c r="E21" s="15">
        <v>11025418</v>
      </c>
      <c r="F21" s="15">
        <v>14550859</v>
      </c>
      <c r="G21" s="132">
        <v>-2181553</v>
      </c>
      <c r="H21" s="15">
        <v>26351571</v>
      </c>
      <c r="I21" s="35">
        <v>275816</v>
      </c>
      <c r="J21" s="15">
        <v>4518459</v>
      </c>
      <c r="K21" s="15">
        <v>19607</v>
      </c>
      <c r="L21" s="15">
        <v>9298171</v>
      </c>
      <c r="M21" s="15">
        <v>24045</v>
      </c>
      <c r="N21" s="15">
        <v>1309607</v>
      </c>
      <c r="O21" s="15">
        <v>33907.99</v>
      </c>
      <c r="P21" s="24">
        <f t="shared" si="3"/>
        <v>66143563.99</v>
      </c>
      <c r="Q21" s="15">
        <v>917656</v>
      </c>
      <c r="R21" s="15">
        <v>8813427.78</v>
      </c>
      <c r="S21" s="15">
        <v>14756852.56</v>
      </c>
      <c r="T21" s="132">
        <v>-175556.34</v>
      </c>
      <c r="U21" s="15">
        <v>26351571</v>
      </c>
      <c r="V21" s="15">
        <v>275816</v>
      </c>
      <c r="W21" s="15">
        <v>4518459</v>
      </c>
      <c r="X21" s="15">
        <v>19607</v>
      </c>
      <c r="Y21" s="15">
        <v>9298171</v>
      </c>
      <c r="Z21" s="15">
        <v>24045</v>
      </c>
      <c r="AA21" s="15">
        <v>1309607</v>
      </c>
      <c r="AB21" s="15">
        <v>33907.99</v>
      </c>
      <c r="AC21" s="16">
        <f t="shared" si="4"/>
        <v>66143563.99</v>
      </c>
      <c r="AD21" s="15">
        <v>917656</v>
      </c>
      <c r="AE21" s="15">
        <v>8813427.78</v>
      </c>
      <c r="AF21" s="15">
        <v>14756852.56</v>
      </c>
      <c r="AG21" s="132">
        <v>-175556.34</v>
      </c>
      <c r="AH21" s="35">
        <v>26351571</v>
      </c>
      <c r="AI21" s="15">
        <v>275816</v>
      </c>
      <c r="AJ21" s="15">
        <v>4518459</v>
      </c>
      <c r="AK21" s="15">
        <v>19607</v>
      </c>
      <c r="AL21" s="15">
        <v>9298171</v>
      </c>
      <c r="AM21" s="15">
        <v>24045</v>
      </c>
      <c r="AN21" s="15">
        <v>1309607</v>
      </c>
      <c r="AO21" s="15">
        <v>33907.99</v>
      </c>
      <c r="AP21" s="17">
        <f>SUM(AD21:AO21)</f>
        <v>66143563.99</v>
      </c>
      <c r="AQ21" s="37">
        <f t="shared" si="5"/>
        <v>7851350.009999998</v>
      </c>
      <c r="AR21" s="37">
        <f>P21-AC21</f>
        <v>0</v>
      </c>
      <c r="AS21" s="37">
        <f>AC21-AP21</f>
        <v>0</v>
      </c>
      <c r="AT21" s="162">
        <f t="shared" si="2"/>
        <v>0.8938933828614221</v>
      </c>
    </row>
    <row r="22" spans="1:46" s="12" customFormat="1" ht="15.75" thickBot="1">
      <c r="A22" s="41" t="s">
        <v>140</v>
      </c>
      <c r="B22" s="14" t="s">
        <v>47</v>
      </c>
      <c r="C22" s="15">
        <v>22273047</v>
      </c>
      <c r="D22" s="15">
        <v>1000000</v>
      </c>
      <c r="E22" s="15">
        <v>0</v>
      </c>
      <c r="F22" s="15">
        <v>0</v>
      </c>
      <c r="G22" s="15">
        <v>16313875.2</v>
      </c>
      <c r="H22" s="15">
        <v>0</v>
      </c>
      <c r="I22" s="15">
        <v>0</v>
      </c>
      <c r="J22" s="15">
        <v>1317790.16</v>
      </c>
      <c r="K22" s="15">
        <v>0</v>
      </c>
      <c r="L22" s="15">
        <v>0</v>
      </c>
      <c r="M22" s="15">
        <v>0</v>
      </c>
      <c r="N22" s="15">
        <v>3500000</v>
      </c>
      <c r="O22" s="132">
        <v>-1608340</v>
      </c>
      <c r="P22" s="16">
        <f t="shared" si="3"/>
        <v>20523325.36</v>
      </c>
      <c r="Q22" s="15">
        <v>1000000</v>
      </c>
      <c r="R22" s="15">
        <v>0</v>
      </c>
      <c r="S22" s="15">
        <v>0</v>
      </c>
      <c r="T22" s="15">
        <v>14163463.34</v>
      </c>
      <c r="U22" s="15">
        <v>0</v>
      </c>
      <c r="V22" s="15">
        <v>353291.91</v>
      </c>
      <c r="W22" s="15">
        <v>1317790.16</v>
      </c>
      <c r="X22" s="15">
        <v>230062.41</v>
      </c>
      <c r="Y22" s="15">
        <v>111778.85</v>
      </c>
      <c r="Z22" s="15">
        <v>124264.48</v>
      </c>
      <c r="AA22" s="15">
        <v>3500000</v>
      </c>
      <c r="AB22" s="132">
        <v>-277325.79</v>
      </c>
      <c r="AC22" s="16">
        <f t="shared" si="4"/>
        <v>20523325.360000003</v>
      </c>
      <c r="AD22" s="15">
        <v>1000000</v>
      </c>
      <c r="AE22" s="15">
        <v>0</v>
      </c>
      <c r="AF22" s="15">
        <v>0</v>
      </c>
      <c r="AG22" s="15">
        <v>14163463.34</v>
      </c>
      <c r="AH22" s="15">
        <v>0</v>
      </c>
      <c r="AI22" s="15">
        <v>353291.91</v>
      </c>
      <c r="AJ22" s="15">
        <v>1317790.16</v>
      </c>
      <c r="AK22" s="15">
        <v>230062.41</v>
      </c>
      <c r="AL22" s="15">
        <v>111778.85</v>
      </c>
      <c r="AM22" s="15">
        <v>124264.48</v>
      </c>
      <c r="AN22" s="15">
        <v>3500000</v>
      </c>
      <c r="AO22" s="132">
        <v>-277325.79</v>
      </c>
      <c r="AP22" s="17">
        <f>SUM(AD22:AO22)</f>
        <v>20523325.360000003</v>
      </c>
      <c r="AQ22" s="37">
        <f t="shared" si="5"/>
        <v>1749721.6400000006</v>
      </c>
      <c r="AR22" s="37">
        <f>P22-AC22</f>
        <v>0</v>
      </c>
      <c r="AS22" s="37">
        <f aca="true" t="shared" si="7" ref="AS22:AS29">AC22-AP22</f>
        <v>0</v>
      </c>
      <c r="AT22" s="162">
        <f t="shared" si="2"/>
        <v>0.9214421969297689</v>
      </c>
    </row>
    <row r="23" spans="1:46" s="42" customFormat="1" ht="16.5" thickBot="1">
      <c r="A23" s="33"/>
      <c r="B23" s="62" t="s">
        <v>85</v>
      </c>
      <c r="C23" s="30">
        <f>SUM(C24:C25)</f>
        <v>25205841</v>
      </c>
      <c r="D23" s="30">
        <f aca="true" t="shared" si="8" ref="D23:AO23">SUM(D24:D25)</f>
        <v>0</v>
      </c>
      <c r="E23" s="30">
        <f t="shared" si="8"/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10655946.97</v>
      </c>
      <c r="L23" s="30">
        <f t="shared" si="8"/>
        <v>0</v>
      </c>
      <c r="M23" s="30">
        <f t="shared" si="8"/>
        <v>13205840.91</v>
      </c>
      <c r="N23" s="30">
        <f t="shared" si="8"/>
        <v>0</v>
      </c>
      <c r="O23" s="30">
        <f t="shared" si="8"/>
        <v>0</v>
      </c>
      <c r="P23" s="30">
        <f t="shared" si="8"/>
        <v>23861787.880000003</v>
      </c>
      <c r="Q23" s="30">
        <f t="shared" si="8"/>
        <v>0</v>
      </c>
      <c r="R23" s="30">
        <f t="shared" si="8"/>
        <v>0</v>
      </c>
      <c r="S23" s="30">
        <f t="shared" si="8"/>
        <v>0</v>
      </c>
      <c r="T23" s="30">
        <f t="shared" si="8"/>
        <v>0</v>
      </c>
      <c r="U23" s="30">
        <f t="shared" si="8"/>
        <v>0</v>
      </c>
      <c r="V23" s="30">
        <f t="shared" si="8"/>
        <v>0</v>
      </c>
      <c r="W23" s="30">
        <f t="shared" si="8"/>
        <v>0</v>
      </c>
      <c r="X23" s="30">
        <f t="shared" si="8"/>
        <v>10655946.97</v>
      </c>
      <c r="Y23" s="30">
        <f t="shared" si="8"/>
        <v>0</v>
      </c>
      <c r="Z23" s="30">
        <f t="shared" si="8"/>
        <v>13205840.91</v>
      </c>
      <c r="AA23" s="30">
        <f t="shared" si="8"/>
        <v>0</v>
      </c>
      <c r="AB23" s="30">
        <f t="shared" si="8"/>
        <v>0</v>
      </c>
      <c r="AC23" s="30">
        <f t="shared" si="8"/>
        <v>23861787.880000003</v>
      </c>
      <c r="AD23" s="30">
        <f t="shared" si="8"/>
        <v>0</v>
      </c>
      <c r="AE23" s="30">
        <f t="shared" si="8"/>
        <v>0</v>
      </c>
      <c r="AF23" s="30">
        <f t="shared" si="8"/>
        <v>0</v>
      </c>
      <c r="AG23" s="30">
        <f t="shared" si="8"/>
        <v>0</v>
      </c>
      <c r="AH23" s="30">
        <f t="shared" si="8"/>
        <v>0</v>
      </c>
      <c r="AI23" s="30">
        <f t="shared" si="8"/>
        <v>0</v>
      </c>
      <c r="AJ23" s="30">
        <f t="shared" si="8"/>
        <v>0</v>
      </c>
      <c r="AK23" s="30">
        <f t="shared" si="8"/>
        <v>10655946.97</v>
      </c>
      <c r="AL23" s="30">
        <f t="shared" si="8"/>
        <v>0</v>
      </c>
      <c r="AM23" s="30">
        <f t="shared" si="8"/>
        <v>13205840.91</v>
      </c>
      <c r="AN23" s="30">
        <f t="shared" si="8"/>
        <v>0</v>
      </c>
      <c r="AO23" s="30">
        <f t="shared" si="8"/>
        <v>0</v>
      </c>
      <c r="AP23" s="30">
        <f>SUM(AP24:AP25)</f>
        <v>23861787.880000003</v>
      </c>
      <c r="AQ23" s="75">
        <f>SUM(AQ24:AQ25)</f>
        <v>1344053.1199999992</v>
      </c>
      <c r="AR23" s="75">
        <f>SUM(AR24:AR24)</f>
        <v>0</v>
      </c>
      <c r="AS23" s="75">
        <f>SUM(AS24:AS24)</f>
        <v>0</v>
      </c>
      <c r="AT23" s="162">
        <f t="shared" si="2"/>
        <v>0.9466769182587481</v>
      </c>
    </row>
    <row r="24" spans="1:46" s="12" customFormat="1" ht="15">
      <c r="A24" s="72" t="s">
        <v>49</v>
      </c>
      <c r="B24" s="14" t="s">
        <v>84</v>
      </c>
      <c r="C24" s="15">
        <f>39529181-26323340</f>
        <v>13205841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13205840.91</v>
      </c>
      <c r="N24" s="15">
        <v>0</v>
      </c>
      <c r="O24" s="15">
        <v>0</v>
      </c>
      <c r="P24" s="16">
        <f t="shared" si="3"/>
        <v>13205840.91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13205840.91</v>
      </c>
      <c r="AA24" s="15">
        <v>0</v>
      </c>
      <c r="AB24" s="15">
        <v>0</v>
      </c>
      <c r="AC24" s="16">
        <f t="shared" si="4"/>
        <v>13205840.91</v>
      </c>
      <c r="AD24" s="15">
        <v>0</v>
      </c>
      <c r="AE24" s="15">
        <v>0</v>
      </c>
      <c r="AF24" s="15">
        <v>0</v>
      </c>
      <c r="AG24" s="15"/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13205840.91</v>
      </c>
      <c r="AN24" s="15">
        <v>0</v>
      </c>
      <c r="AO24" s="15">
        <v>0</v>
      </c>
      <c r="AP24" s="17">
        <f>SUM(AD24:AO24)</f>
        <v>13205840.91</v>
      </c>
      <c r="AQ24" s="37">
        <f t="shared" si="5"/>
        <v>0.08999999985098839</v>
      </c>
      <c r="AR24" s="37">
        <f>P24-AC24</f>
        <v>0</v>
      </c>
      <c r="AS24" s="37">
        <f t="shared" si="7"/>
        <v>0</v>
      </c>
      <c r="AT24" s="162">
        <f t="shared" si="2"/>
        <v>0.9999999931848339</v>
      </c>
    </row>
    <row r="25" spans="1:46" s="12" customFormat="1" ht="15.75" thickBot="1">
      <c r="A25" s="72" t="s">
        <v>144</v>
      </c>
      <c r="B25" s="14" t="s">
        <v>145</v>
      </c>
      <c r="C25" s="44">
        <v>12000000</v>
      </c>
      <c r="D25" s="44"/>
      <c r="E25" s="44"/>
      <c r="F25" s="44"/>
      <c r="G25" s="44"/>
      <c r="H25" s="44"/>
      <c r="I25" s="44"/>
      <c r="J25" s="44">
        <v>0</v>
      </c>
      <c r="K25" s="44">
        <v>10655946.97</v>
      </c>
      <c r="L25" s="44">
        <v>0</v>
      </c>
      <c r="M25" s="44">
        <v>0</v>
      </c>
      <c r="N25" s="44">
        <v>0</v>
      </c>
      <c r="O25" s="44">
        <v>0</v>
      </c>
      <c r="P25" s="16">
        <f t="shared" si="3"/>
        <v>10655946.97</v>
      </c>
      <c r="Q25" s="44"/>
      <c r="R25" s="44"/>
      <c r="S25" s="44"/>
      <c r="T25" s="44"/>
      <c r="U25" s="44"/>
      <c r="V25" s="44"/>
      <c r="W25" s="44">
        <v>0</v>
      </c>
      <c r="X25" s="44">
        <v>10655946.97</v>
      </c>
      <c r="Y25" s="44">
        <v>0</v>
      </c>
      <c r="Z25" s="44">
        <v>0</v>
      </c>
      <c r="AA25" s="44">
        <v>0</v>
      </c>
      <c r="AB25" s="44">
        <v>0</v>
      </c>
      <c r="AC25" s="16">
        <f t="shared" si="4"/>
        <v>10655946.97</v>
      </c>
      <c r="AD25" s="44"/>
      <c r="AE25" s="44"/>
      <c r="AF25" s="44"/>
      <c r="AG25" s="44"/>
      <c r="AH25" s="44"/>
      <c r="AI25" s="44"/>
      <c r="AJ25" s="44">
        <v>0</v>
      </c>
      <c r="AK25" s="44">
        <v>10655946.97</v>
      </c>
      <c r="AL25" s="44">
        <v>0</v>
      </c>
      <c r="AM25" s="44">
        <v>0</v>
      </c>
      <c r="AN25" s="44">
        <v>0</v>
      </c>
      <c r="AO25" s="44">
        <v>0</v>
      </c>
      <c r="AP25" s="17">
        <f>SUM(AD25:AO25)</f>
        <v>10655946.97</v>
      </c>
      <c r="AQ25" s="37">
        <f t="shared" si="5"/>
        <v>1344053.0299999993</v>
      </c>
      <c r="AR25" s="37">
        <f>P25-AC25</f>
        <v>0</v>
      </c>
      <c r="AS25" s="37">
        <f t="shared" si="7"/>
        <v>0</v>
      </c>
      <c r="AT25" s="162"/>
    </row>
    <row r="26" spans="1:46" s="26" customFormat="1" ht="16.5" thickBot="1">
      <c r="A26" s="73"/>
      <c r="B26" s="62" t="s">
        <v>70</v>
      </c>
      <c r="C26" s="30">
        <f>SUM(C27:C29)</f>
        <v>30769905042</v>
      </c>
      <c r="D26" s="30">
        <f aca="true" t="shared" si="9" ref="D26:S26">SUM(D27:D29)</f>
        <v>2249091990.51</v>
      </c>
      <c r="E26" s="30">
        <f t="shared" si="9"/>
        <v>510245997.75</v>
      </c>
      <c r="F26" s="30">
        <f t="shared" si="9"/>
        <v>164420144.25</v>
      </c>
      <c r="G26" s="30">
        <f t="shared" si="9"/>
        <v>246946822.39</v>
      </c>
      <c r="H26" s="30">
        <f t="shared" si="9"/>
        <v>452945307.6</v>
      </c>
      <c r="I26" s="30">
        <f t="shared" si="9"/>
        <v>519362647.32</v>
      </c>
      <c r="J26" s="30">
        <f t="shared" si="9"/>
        <v>227327153.63</v>
      </c>
      <c r="K26" s="30">
        <f t="shared" si="9"/>
        <v>886971754.3</v>
      </c>
      <c r="L26" s="30">
        <f t="shared" si="9"/>
        <v>2784631221.59</v>
      </c>
      <c r="M26" s="30">
        <f t="shared" si="9"/>
        <v>748528841.64</v>
      </c>
      <c r="N26" s="30">
        <f t="shared" si="9"/>
        <v>863486347.71</v>
      </c>
      <c r="O26" s="30">
        <f t="shared" si="9"/>
        <v>3845955314.2</v>
      </c>
      <c r="P26" s="30">
        <f t="shared" si="9"/>
        <v>13499913542.89</v>
      </c>
      <c r="Q26" s="30">
        <f t="shared" si="9"/>
        <v>381693982.01</v>
      </c>
      <c r="R26" s="30">
        <f t="shared" si="9"/>
        <v>476447545.58</v>
      </c>
      <c r="S26" s="30">
        <f t="shared" si="9"/>
        <v>1003578223.94</v>
      </c>
      <c r="T26" s="30">
        <f aca="true" t="shared" si="10" ref="T26:AP26">SUM(T27:T29)</f>
        <v>626916359.38</v>
      </c>
      <c r="U26" s="30">
        <f t="shared" si="10"/>
        <v>337433892.88</v>
      </c>
      <c r="V26" s="30">
        <f t="shared" si="10"/>
        <v>295190974.44</v>
      </c>
      <c r="W26" s="30">
        <f t="shared" si="10"/>
        <v>295473534.59</v>
      </c>
      <c r="X26" s="30">
        <f t="shared" si="10"/>
        <v>548720688.49</v>
      </c>
      <c r="Y26" s="30">
        <f t="shared" si="10"/>
        <v>1096865294.9099998</v>
      </c>
      <c r="Z26" s="30">
        <f t="shared" si="10"/>
        <v>1020349932.8199999</v>
      </c>
      <c r="AA26" s="30">
        <f t="shared" si="10"/>
        <v>571994935.14</v>
      </c>
      <c r="AB26" s="30">
        <f t="shared" si="10"/>
        <v>3972694144.3199997</v>
      </c>
      <c r="AC26" s="30">
        <f t="shared" si="10"/>
        <v>10627359508.5</v>
      </c>
      <c r="AD26" s="30">
        <f t="shared" si="10"/>
        <v>381693982.01</v>
      </c>
      <c r="AE26" s="30">
        <f t="shared" si="10"/>
        <v>476447545.58</v>
      </c>
      <c r="AF26" s="30">
        <f t="shared" si="10"/>
        <v>1003578223.94</v>
      </c>
      <c r="AG26" s="30">
        <f t="shared" si="10"/>
        <v>626916359.38</v>
      </c>
      <c r="AH26" s="30">
        <f t="shared" si="10"/>
        <v>337433892.88</v>
      </c>
      <c r="AI26" s="30">
        <f t="shared" si="10"/>
        <v>295190974.44</v>
      </c>
      <c r="AJ26" s="30">
        <f t="shared" si="10"/>
        <v>295473534.59</v>
      </c>
      <c r="AK26" s="30">
        <f t="shared" si="10"/>
        <v>548720688.49</v>
      </c>
      <c r="AL26" s="30">
        <f t="shared" si="10"/>
        <v>1096865294.9099998</v>
      </c>
      <c r="AM26" s="30">
        <f t="shared" si="10"/>
        <v>1020349932.8199999</v>
      </c>
      <c r="AN26" s="30">
        <f t="shared" si="10"/>
        <v>571994935.14</v>
      </c>
      <c r="AO26" s="30">
        <f t="shared" si="10"/>
        <v>2621726014.23</v>
      </c>
      <c r="AP26" s="31">
        <f t="shared" si="10"/>
        <v>9276391378.41</v>
      </c>
      <c r="AQ26" s="77">
        <f>SUM(AQ27:AQ29)</f>
        <v>17269991499.11</v>
      </c>
      <c r="AR26" s="77">
        <f>SUM(AR27:AR29)</f>
        <v>2872554034.3899984</v>
      </c>
      <c r="AS26" s="77">
        <f>SUM(AS27:AS29)</f>
        <v>1350968130.0899992</v>
      </c>
      <c r="AT26" s="162">
        <f t="shared" si="2"/>
        <v>0.4387375757079205</v>
      </c>
    </row>
    <row r="27" spans="1:46" s="12" customFormat="1" ht="23.25" customHeight="1">
      <c r="A27" s="43" t="s">
        <v>79</v>
      </c>
      <c r="B27" s="22" t="s">
        <v>50</v>
      </c>
      <c r="C27" s="23">
        <f>5000000000+623373522+3000000000+446531520</f>
        <v>9069905042</v>
      </c>
      <c r="D27" s="23">
        <v>2249091990.51</v>
      </c>
      <c r="E27" s="23">
        <v>510245997.75</v>
      </c>
      <c r="F27" s="23">
        <v>164420144.25</v>
      </c>
      <c r="G27" s="23">
        <v>246946822.39</v>
      </c>
      <c r="H27" s="24">
        <v>452945307.6</v>
      </c>
      <c r="I27" s="23">
        <v>463260413.45</v>
      </c>
      <c r="J27" s="23">
        <v>200083105.47</v>
      </c>
      <c r="K27" s="23">
        <v>555117043.3</v>
      </c>
      <c r="L27" s="23">
        <v>771651035.59</v>
      </c>
      <c r="M27" s="23">
        <v>297932166.55</v>
      </c>
      <c r="N27" s="23">
        <v>643037782.32</v>
      </c>
      <c r="O27" s="24">
        <v>1900515885.66</v>
      </c>
      <c r="P27" s="24">
        <f>SUM(D27:O27)</f>
        <v>8455247694.839999</v>
      </c>
      <c r="Q27" s="23">
        <v>381693982.01</v>
      </c>
      <c r="R27" s="23">
        <v>476447545.58</v>
      </c>
      <c r="S27" s="23">
        <v>1003578223.94</v>
      </c>
      <c r="T27" s="23">
        <v>626916359.38</v>
      </c>
      <c r="U27" s="23">
        <v>337433892.88</v>
      </c>
      <c r="V27" s="23">
        <v>290897951.77</v>
      </c>
      <c r="W27" s="23">
        <v>281648250.65</v>
      </c>
      <c r="X27" s="23">
        <v>519447961.07</v>
      </c>
      <c r="Y27" s="23">
        <v>484420838.78</v>
      </c>
      <c r="Z27" s="23">
        <v>731413153.52</v>
      </c>
      <c r="AA27" s="23">
        <v>369796576.55</v>
      </c>
      <c r="AB27" s="23">
        <v>1515948863.32</v>
      </c>
      <c r="AC27" s="23">
        <f t="shared" si="4"/>
        <v>7019643599.45</v>
      </c>
      <c r="AD27" s="23">
        <v>381693982.01</v>
      </c>
      <c r="AE27" s="23">
        <v>476447545.58</v>
      </c>
      <c r="AF27" s="23">
        <v>1003578223.94</v>
      </c>
      <c r="AG27" s="23">
        <v>626916359.38</v>
      </c>
      <c r="AH27" s="23">
        <v>337433892.88</v>
      </c>
      <c r="AI27" s="23">
        <v>290897951.77</v>
      </c>
      <c r="AJ27" s="23">
        <v>281648250.65</v>
      </c>
      <c r="AK27" s="23">
        <v>519447961.07</v>
      </c>
      <c r="AL27" s="23">
        <v>484420838.78</v>
      </c>
      <c r="AM27" s="23">
        <v>731413153.52</v>
      </c>
      <c r="AN27" s="23">
        <v>369796576.55</v>
      </c>
      <c r="AO27" s="23">
        <v>1499175242.31</v>
      </c>
      <c r="AP27" s="25">
        <f>SUM(AD27:AO27)</f>
        <v>7002869978.440001</v>
      </c>
      <c r="AQ27" s="37">
        <f>SUM(C27-P27)</f>
        <v>614657347.1600008</v>
      </c>
      <c r="AR27" s="37">
        <f>SUM(P27-AC27)</f>
        <v>1435604095.3899994</v>
      </c>
      <c r="AS27" s="37">
        <f t="shared" si="7"/>
        <v>16773621.009999275</v>
      </c>
      <c r="AT27" s="162">
        <f t="shared" si="2"/>
        <v>0.9322311155063138</v>
      </c>
    </row>
    <row r="28" spans="1:46" s="12" customFormat="1" ht="31.5" customHeight="1">
      <c r="A28" s="43" t="s">
        <v>122</v>
      </c>
      <c r="B28" s="161" t="s">
        <v>123</v>
      </c>
      <c r="C28" s="24">
        <f>20000000000-12199000000</f>
        <v>7801000000</v>
      </c>
      <c r="D28" s="44">
        <v>0</v>
      </c>
      <c r="E28" s="4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>SUM(D28:O28)</f>
        <v>0</v>
      </c>
      <c r="Q28" s="44">
        <v>0</v>
      </c>
      <c r="R28" s="4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/>
      <c r="AA28" s="24">
        <v>0</v>
      </c>
      <c r="AB28" s="23">
        <v>0</v>
      </c>
      <c r="AC28" s="23">
        <f t="shared" si="4"/>
        <v>0</v>
      </c>
      <c r="AD28" s="44">
        <v>0</v>
      </c>
      <c r="AE28" s="4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/>
      <c r="AN28" s="24">
        <v>0</v>
      </c>
      <c r="AO28" s="23">
        <v>0</v>
      </c>
      <c r="AP28" s="25">
        <f>SUM(AD28:AO28)</f>
        <v>0</v>
      </c>
      <c r="AQ28" s="37">
        <f>SUM(C28-P28)</f>
        <v>7801000000</v>
      </c>
      <c r="AR28" s="37">
        <f>SUM(P28-AC28)</f>
        <v>0</v>
      </c>
      <c r="AS28" s="37">
        <f t="shared" si="7"/>
        <v>0</v>
      </c>
      <c r="AT28" s="162">
        <f t="shared" si="2"/>
        <v>0</v>
      </c>
    </row>
    <row r="29" spans="1:46" s="12" customFormat="1" ht="31.5" customHeight="1" thickBot="1">
      <c r="A29" s="43" t="s">
        <v>141</v>
      </c>
      <c r="B29" s="161" t="s">
        <v>126</v>
      </c>
      <c r="C29" s="44">
        <f>12199000000+1700000000</f>
        <v>13899000000</v>
      </c>
      <c r="D29" s="44"/>
      <c r="E29" s="44"/>
      <c r="F29" s="44">
        <v>0</v>
      </c>
      <c r="G29" s="44">
        <v>0</v>
      </c>
      <c r="H29" s="45">
        <v>0</v>
      </c>
      <c r="I29" s="44">
        <v>56102233.87</v>
      </c>
      <c r="J29" s="44">
        <v>27244048.16</v>
      </c>
      <c r="K29" s="44">
        <v>331854711</v>
      </c>
      <c r="L29" s="44">
        <v>2012980186</v>
      </c>
      <c r="M29" s="44">
        <v>450596675.09</v>
      </c>
      <c r="N29" s="44">
        <v>220448565.39</v>
      </c>
      <c r="O29" s="24">
        <v>1945439428.54</v>
      </c>
      <c r="P29" s="24">
        <f>SUM(D29:O29)</f>
        <v>5044665848.049999</v>
      </c>
      <c r="Q29" s="44"/>
      <c r="R29" s="44"/>
      <c r="S29" s="44">
        <v>0</v>
      </c>
      <c r="T29" s="44">
        <v>0</v>
      </c>
      <c r="U29" s="45">
        <v>0</v>
      </c>
      <c r="V29" s="44">
        <v>4293022.67</v>
      </c>
      <c r="W29" s="44">
        <v>13825283.94</v>
      </c>
      <c r="X29" s="44">
        <v>29272727.42</v>
      </c>
      <c r="Y29" s="44">
        <v>612444456.13</v>
      </c>
      <c r="Z29" s="44">
        <v>288936779.3</v>
      </c>
      <c r="AA29" s="44">
        <v>202198358.59</v>
      </c>
      <c r="AB29" s="44">
        <v>2456745281</v>
      </c>
      <c r="AC29" s="23">
        <f t="shared" si="4"/>
        <v>3607715909.05</v>
      </c>
      <c r="AD29" s="44"/>
      <c r="AE29" s="44"/>
      <c r="AF29" s="44">
        <v>0</v>
      </c>
      <c r="AG29" s="44">
        <v>0</v>
      </c>
      <c r="AH29" s="45">
        <v>0</v>
      </c>
      <c r="AI29" s="44">
        <v>4293022.67</v>
      </c>
      <c r="AJ29" s="44">
        <v>13825283.94</v>
      </c>
      <c r="AK29" s="44">
        <v>29272727.42</v>
      </c>
      <c r="AL29" s="44">
        <v>612444456.13</v>
      </c>
      <c r="AM29" s="44">
        <v>288936779.3</v>
      </c>
      <c r="AN29" s="44">
        <v>202198358.59</v>
      </c>
      <c r="AO29" s="44">
        <v>1122550771.92</v>
      </c>
      <c r="AP29" s="25">
        <f>SUM(AD29:AO29)</f>
        <v>2273521399.9700003</v>
      </c>
      <c r="AQ29" s="37">
        <f>SUM(C29-P29)</f>
        <v>8854334151.95</v>
      </c>
      <c r="AR29" s="37">
        <f>SUM(P29-AC29)</f>
        <v>1436949938.999999</v>
      </c>
      <c r="AS29" s="37">
        <f t="shared" si="7"/>
        <v>1334194509.08</v>
      </c>
      <c r="AT29" s="162">
        <f t="shared" si="2"/>
        <v>0.3629517122131088</v>
      </c>
    </row>
    <row r="30" spans="1:46" s="18" customFormat="1" ht="18.75" thickBot="1">
      <c r="A30" s="191" t="s">
        <v>35</v>
      </c>
      <c r="B30" s="192"/>
      <c r="C30" s="27">
        <f aca="true" t="shared" si="11" ref="C30:AP30">SUM(C14+C26)</f>
        <v>31587141437</v>
      </c>
      <c r="D30" s="27">
        <f t="shared" si="11"/>
        <v>2291484061.5400004</v>
      </c>
      <c r="E30" s="27">
        <f t="shared" si="11"/>
        <v>559340320.45</v>
      </c>
      <c r="F30" s="27">
        <f t="shared" si="11"/>
        <v>261253174.8</v>
      </c>
      <c r="G30" s="27">
        <f t="shared" si="11"/>
        <v>358521633.65999997</v>
      </c>
      <c r="H30" s="27">
        <f t="shared" si="11"/>
        <v>531833112.37</v>
      </c>
      <c r="I30" s="27">
        <f t="shared" si="11"/>
        <v>563299260.77</v>
      </c>
      <c r="J30" s="27">
        <f t="shared" si="11"/>
        <v>288345841.82</v>
      </c>
      <c r="K30" s="27">
        <f t="shared" si="11"/>
        <v>948330563.0899999</v>
      </c>
      <c r="L30" s="27">
        <f t="shared" si="11"/>
        <v>2846327908.67</v>
      </c>
      <c r="M30" s="27">
        <f t="shared" si="11"/>
        <v>785424891.3299999</v>
      </c>
      <c r="N30" s="27">
        <f t="shared" si="11"/>
        <v>916703710.2</v>
      </c>
      <c r="O30" s="160">
        <f t="shared" si="11"/>
        <v>3916743182.1099997</v>
      </c>
      <c r="P30" s="27">
        <f t="shared" si="11"/>
        <v>14267607660.81</v>
      </c>
      <c r="Q30" s="27">
        <f t="shared" si="11"/>
        <v>401301469.03999996</v>
      </c>
      <c r="R30" s="27">
        <f t="shared" si="11"/>
        <v>526391926.96999997</v>
      </c>
      <c r="S30" s="27">
        <f t="shared" si="11"/>
        <v>1071193135.37</v>
      </c>
      <c r="T30" s="27">
        <f t="shared" si="11"/>
        <v>687358552.45</v>
      </c>
      <c r="U30" s="27">
        <f t="shared" si="11"/>
        <v>419926112.33</v>
      </c>
      <c r="V30" s="27">
        <f t="shared" si="11"/>
        <v>343315122.74</v>
      </c>
      <c r="W30" s="27">
        <f t="shared" si="11"/>
        <v>370521374.46999997</v>
      </c>
      <c r="X30" s="27">
        <f t="shared" si="11"/>
        <v>622616178.11</v>
      </c>
      <c r="Y30" s="27">
        <f t="shared" si="11"/>
        <v>1164661834.06</v>
      </c>
      <c r="Z30" s="27">
        <f t="shared" si="11"/>
        <v>1073650653.8199999</v>
      </c>
      <c r="AA30" s="27">
        <f t="shared" si="11"/>
        <v>606977038.48</v>
      </c>
      <c r="AB30" s="27">
        <f t="shared" si="11"/>
        <v>4080062482.6299996</v>
      </c>
      <c r="AC30" s="27">
        <f t="shared" si="11"/>
        <v>11367975880.47</v>
      </c>
      <c r="AD30" s="27">
        <f t="shared" si="11"/>
        <v>400323889.9</v>
      </c>
      <c r="AE30" s="27">
        <f t="shared" si="11"/>
        <v>524144831.78999996</v>
      </c>
      <c r="AF30" s="27">
        <f t="shared" si="11"/>
        <v>1071520856.69</v>
      </c>
      <c r="AG30" s="27">
        <f t="shared" si="11"/>
        <v>684517552.45</v>
      </c>
      <c r="AH30" s="27">
        <f t="shared" si="11"/>
        <v>421930873.33</v>
      </c>
      <c r="AI30" s="27">
        <f t="shared" si="11"/>
        <v>345930377.74</v>
      </c>
      <c r="AJ30" s="27">
        <f t="shared" si="11"/>
        <v>370368659.46999997</v>
      </c>
      <c r="AK30" s="27">
        <f t="shared" si="11"/>
        <v>622760893.11</v>
      </c>
      <c r="AL30" s="27">
        <f t="shared" si="11"/>
        <v>1161874100.06</v>
      </c>
      <c r="AM30" s="27">
        <f t="shared" si="11"/>
        <v>1074750507.82</v>
      </c>
      <c r="AN30" s="27">
        <f t="shared" si="11"/>
        <v>607178501.48</v>
      </c>
      <c r="AO30" s="27">
        <f t="shared" si="11"/>
        <v>2729742619.49</v>
      </c>
      <c r="AP30" s="69">
        <f t="shared" si="11"/>
        <v>10015043663.33</v>
      </c>
      <c r="AQ30" s="78">
        <f>AQ14+AQ26</f>
        <v>17319533776.190002</v>
      </c>
      <c r="AR30" s="78">
        <f>AR14+AR26</f>
        <v>2899631780.3399982</v>
      </c>
      <c r="AS30" s="78">
        <f>AS14+AS26</f>
        <v>1352932217.1399994</v>
      </c>
      <c r="AT30" s="162">
        <f t="shared" si="2"/>
        <v>0.4516903718326805</v>
      </c>
    </row>
    <row r="31" spans="1:42" ht="15">
      <c r="A31" s="152" t="s">
        <v>118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1"/>
    </row>
    <row r="32" spans="1:42" ht="15">
      <c r="A32" s="134" t="s">
        <v>150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13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">
      <c r="A34" s="13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</row>
    <row r="35" spans="1:42" ht="15">
      <c r="A35" s="13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</row>
    <row r="36" spans="1:42" ht="15">
      <c r="A36" s="54">
        <f ca="1">TODAY()</f>
        <v>38785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</row>
    <row r="37" spans="1:42" ht="15">
      <c r="A37" s="5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</row>
    <row r="38" spans="1:42" ht="15">
      <c r="A38" s="5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</row>
    <row r="39" spans="1:42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.75" thickBot="1">
      <c r="A40" s="4"/>
      <c r="B40" s="67" t="s">
        <v>86</v>
      </c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8" t="s">
        <v>95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3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6"/>
    </row>
    <row r="41" spans="1:42" ht="15">
      <c r="A41" s="4"/>
      <c r="B41" s="68" t="s">
        <v>148</v>
      </c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5" t="s">
        <v>103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>
      <c r="A43" s="3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.75" thickBo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9"/>
    </row>
  </sheetData>
  <mergeCells count="8">
    <mergeCell ref="A5:AP5"/>
    <mergeCell ref="A7:B7"/>
    <mergeCell ref="A8:B8"/>
    <mergeCell ref="A30:B30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70" r:id="rId1"/>
  <headerFooter alignWithMargins="0">
    <oddFooter>&amp;CHACIENDA2005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paginaweb</cp:lastModifiedBy>
  <cp:lastPrinted>2006-02-08T21:02:20Z</cp:lastPrinted>
  <dcterms:created xsi:type="dcterms:W3CDTF">1999-04-05T19:37:02Z</dcterms:created>
  <dcterms:modified xsi:type="dcterms:W3CDTF">2006-03-09T20:07:36Z</dcterms:modified>
  <cp:category/>
  <cp:version/>
  <cp:contentType/>
  <cp:contentStatus/>
</cp:coreProperties>
</file>