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28800" windowHeight="17535" tabRatio="894" activeTab="1"/>
  </bookViews>
  <sheets>
    <sheet name="Indice" sheetId="1" r:id="rId1"/>
    <sheet name="ICC" sheetId="2" r:id="rId2"/>
    <sheet name="cc1" sheetId="3" r:id="rId3"/>
    <sheet name="cc2" sheetId="4" r:id="rId4"/>
    <sheet name="cc3" sheetId="5" r:id="rId5"/>
    <sheet name="cc4" sheetId="6" r:id="rId6"/>
    <sheet name="cc5" sheetId="7" r:id="rId7"/>
    <sheet name="cc6" sheetId="8" r:id="rId8"/>
    <sheet name="cc7" sheetId="9" r:id="rId9"/>
    <sheet name="cc8" sheetId="10" r:id="rId10"/>
    <sheet name="cc9" sheetId="11" r:id="rId11"/>
    <sheet name="cc10" sheetId="12" r:id="rId12"/>
    <sheet name="cc11" sheetId="13" r:id="rId13"/>
    <sheet name="cc12" sheetId="14" r:id="rId14"/>
    <sheet name="cc13" sheetId="15" r:id="rId15"/>
    <sheet name="bs1" sheetId="16" r:id="rId16"/>
    <sheet name="bs2" sheetId="17" r:id="rId17"/>
    <sheet name="bs4" sheetId="18" r:id="rId18"/>
    <sheet name="bs5" sheetId="19" r:id="rId19"/>
    <sheet name="bs6" sheetId="20" r:id="rId20"/>
    <sheet name="bs7" sheetId="21" r:id="rId21"/>
    <sheet name="bs8_a" sheetId="22" r:id="rId22"/>
    <sheet name="bs8_b" sheetId="23" r:id="rId23"/>
    <sheet name="bs8_c" sheetId="24" r:id="rId24"/>
    <sheet name="bs8_d" sheetId="25" r:id="rId25"/>
    <sheet name="bs8_e" sheetId="26" r:id="rId26"/>
    <sheet name="bs8_f" sheetId="27" r:id="rId27"/>
    <sheet name="bs10" sheetId="28" r:id="rId28"/>
    <sheet name="bs11" sheetId="29" r:id="rId29"/>
    <sheet name="bs12" sheetId="30" r:id="rId30"/>
    <sheet name="rc1" sheetId="31" r:id="rId31"/>
    <sheet name="rc3" sheetId="32" r:id="rId32"/>
    <sheet name="rc6" sheetId="33" r:id="rId33"/>
    <sheet name="rc7" sheetId="34" r:id="rId34"/>
    <sheet name="rc8" sheetId="35" r:id="rId35"/>
    <sheet name="rc10" sheetId="36" r:id="rId36"/>
    <sheet name="bna1" sheetId="37" r:id="rId37"/>
    <sheet name="bna2" sheetId="38" r:id="rId38"/>
    <sheet name="bna3" sheetId="39" r:id="rId39"/>
    <sheet name="bna4" sheetId="40" r:id="rId40"/>
    <sheet name="bna5" sheetId="41" r:id="rId41"/>
    <sheet name="bna6" sheetId="42" r:id="rId42"/>
  </sheets>
  <externalReferences>
    <externalReference r:id="rId45"/>
  </externalReferences>
  <definedNames>
    <definedName name="bn6_2">'[1]cc1'!#REF!</definedName>
    <definedName name="Ej" localSheetId="36">'bna1'!#REF!</definedName>
    <definedName name="Ej" localSheetId="37">'bna2'!#REF!</definedName>
    <definedName name="Ej" localSheetId="38">'bna3'!#REF!</definedName>
    <definedName name="Ej" localSheetId="39">'bna4'!#REF!</definedName>
    <definedName name="Ej" localSheetId="40">'bna5'!#REF!</definedName>
    <definedName name="Ej" localSheetId="41">'bna6'!#REF!</definedName>
    <definedName name="Ej" localSheetId="15">'bs1'!#REF!</definedName>
    <definedName name="Ej" localSheetId="27">'bs10'!#REF!</definedName>
    <definedName name="Ej" localSheetId="28">'bs11'!#REF!</definedName>
    <definedName name="Ej" localSheetId="29">'bs12'!#REF!</definedName>
    <definedName name="Ej" localSheetId="16">'bs2'!#REF!</definedName>
    <definedName name="Ej" localSheetId="17">'bs4'!#REF!</definedName>
    <definedName name="Ej" localSheetId="18">'bs5'!#REF!</definedName>
    <definedName name="Ej" localSheetId="19">'bs6'!#REF!</definedName>
    <definedName name="Ej" localSheetId="20">'bs7'!#REF!</definedName>
    <definedName name="Ej" localSheetId="21">'bs8_a'!#REF!</definedName>
    <definedName name="Ej" localSheetId="22">'bs8_b'!#REF!</definedName>
    <definedName name="Ej" localSheetId="23">'bs8_c'!#REF!</definedName>
    <definedName name="Ej" localSheetId="24">'bs8_d'!#REF!</definedName>
    <definedName name="Ej" localSheetId="25">'bs8_e'!#REF!</definedName>
    <definedName name="Ej" localSheetId="26">'bs8_f'!#REF!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'ICC'!#REF!</definedName>
    <definedName name="Ej" localSheetId="30">'rc1'!#REF!</definedName>
    <definedName name="Ej" localSheetId="31">'rc3'!#REF!</definedName>
    <definedName name="Ej" localSheetId="32">'rc6'!#REF!</definedName>
    <definedName name="Ej" localSheetId="33">'rc7'!#REF!</definedName>
    <definedName name="Ej">'cc1'!#REF!</definedName>
  </definedNames>
  <calcPr fullCalcOnLoad="1"/>
</workbook>
</file>

<file path=xl/sharedStrings.xml><?xml version="1.0" encoding="utf-8"?>
<sst xmlns="http://schemas.openxmlformats.org/spreadsheetml/2006/main" count="3550" uniqueCount="235">
  <si>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</si>
  <si>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</si>
  <si>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</si>
  <si>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</si>
  <si>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Julio de 2020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</si>
  <si>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</si>
  <si>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</si>
  <si>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</si>
  <si>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</si>
  <si>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</si>
  <si>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</si>
  <si>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</si>
  <si>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</si>
  <si>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</si>
  <si>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</si>
  <si>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</si>
  <si>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</si>
  <si>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</si>
  <si>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</si>
  <si>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</si>
  <si>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</si>
  <si>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</si>
  <si>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</si>
  <si>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</si>
  <si>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</si>
  <si>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</si>
  <si>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</si>
  <si>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</si>
  <si>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</si>
  <si>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</si>
  <si>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</si>
  <si>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</si>
  <si>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</si>
  <si>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Totales y porcentajes por sexo, edad, nivel educativo y tamaño del hogar de los jefes de hogar y sus cónyuges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</si>
  <si>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</si>
  <si>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</si>
  <si>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</si>
  <si>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</si>
  <si>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</si>
  <si>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</si>
  <si>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</si>
  <si>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</si>
  <si>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</si>
  <si>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</si>
  <si>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</si>
  <si>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</si>
  <si>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</si>
  <si>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</si>
  <si>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</si>
  <si>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</si>
  <si>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</si>
  <si>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</si>
  <si>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</si>
  <si>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</si>
  <si>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</si>
  <si>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</si>
  <si>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</si>
  <si>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</si>
  <si>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</si>
  <si>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</si>
  <si>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</si>
  <si>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</si>
  <si>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</si>
  <si>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</si>
  <si>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</si>
  <si>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</si>
  <si>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</si>
  <si>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</si>
  <si>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</si>
  <si>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</si>
  <si>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bs4. ¿Qué tan preocupado(a) se encuentra de contagiarse de coronavirus?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</si>
  <si>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</si>
  <si>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</si>
  <si>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</si>
  <si>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</si>
  <si>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</si>
  <si>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</si>
  <si>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</si>
  <si>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</si>
  <si>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</si>
  <si>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</si>
  <si>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</si>
  <si>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</si>
  <si>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</si>
  <si>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</si>
  <si>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</si>
  <si>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</si>
  <si>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</si>
  <si>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</si>
  <si>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</si>
  <si>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</si>
  <si>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</si>
  <si>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</si>
  <si>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</si>
  <si>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</si>
  <si>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</si>
  <si>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</si>
  <si>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</si>
  <si>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</si>
  <si>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</si>
  <si>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</si>
  <si>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</si>
  <si>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</si>
  <si>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</si>
  <si>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</si>
  <si>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</si>
  <si>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</si>
  <si>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</si>
  <si>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</si>
  <si>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</si>
  <si>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</si>
  <si>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</si>
  <si>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</si>
  <si>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</si>
  <si>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</si>
  <si>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</si>
  <si>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</si>
  <si>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</si>
  <si>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</si>
  <si>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</si>
  <si>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</si>
  <si>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</si>
  <si>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</si>
  <si>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</si>
  <si>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</si>
  <si>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Totales y porcentajes por sexo, edad, nivel educativo y tamaño del hogar de los jefes de hogar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</si>
  <si>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</si>
  <si>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</si>
  <si>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</si>
  <si>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</si>
  <si>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</si>
  <si>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</si>
  <si>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</si>
  <si>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</si>
  <si>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</si>
  <si>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</si>
  <si>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</si>
  <si>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</si>
  <si>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</si>
  <si>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</si>
  <si>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</si>
  <si>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</si>
  <si>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</si>
  <si>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</si>
  <si>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</si>
  <si>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</si>
  <si>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</si>
  <si>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</si>
  <si>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</si>
  <si>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</si>
  <si>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</si>
  <si>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</si>
  <si>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</si>
  <si>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</si>
  <si>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</si>
  <si>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</si>
  <si>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</si>
  <si>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</si>
  <si>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</si>
  <si>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</si>
  <si>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</si>
  <si>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</si>
  <si>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
Julio de 2020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</si>
  <si>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</si>
  <si>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</si>
  <si>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</si>
  <si>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</si>
  <si>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</si>
  <si>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</si>
  <si>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</si>
  <si>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</si>
  <si>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</si>
  <si>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cc11. Cree que el empleo en el país en los próximos 12 meses…</t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</si>
  <si>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</si>
  <si>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</si>
  <si>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</si>
  <si>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</si>
  <si>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</si>
  <si>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</si>
  <si>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</si>
  <si>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</si>
  <si>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</si>
  <si>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</si>
  <si>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</si>
  <si>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</si>
  <si>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</si>
  <si>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</si>
  <si>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</si>
  <si>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</si>
  <si>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</si>
  <si>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</si>
  <si>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</si>
  <si>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</si>
  <si>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</si>
  <si>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</si>
  <si>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</si>
  <si>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</si>
  <si>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</si>
  <si>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</si>
  <si>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</si>
  <si>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t>Hombre</t>
  </si>
  <si>
    <t>Mujer</t>
  </si>
  <si>
    <t>Agosto de 2020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</si>
  <si>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</si>
  <si>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</si>
  <si>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</si>
  <si>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</si>
  <si>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</si>
  <si>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</si>
  <si>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</si>
  <si>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</si>
  <si>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</si>
  <si>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t xml:space="preserve">  </t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</si>
  <si>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</si>
  <si>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</si>
  <si>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bs8_f. En una escala de 1 a 5, en donde 1 significa nada y 5 completamente, ¿cuánto confía usted en los siguientes grupos de personas? Medicos/as y enfermeros/as en este país</t>
  </si>
  <si>
    <t>-</t>
  </si>
  <si>
    <t xml:space="preserve">PULSO SOCIAL </t>
  </si>
  <si>
    <t>Indicador de Confianza del Consumidor - ICC</t>
  </si>
  <si>
    <t>Total 23 ciudades y áreas metropolitanas</t>
  </si>
  <si>
    <t>Según sexo</t>
  </si>
  <si>
    <t>Indicadores y componentes del ICC</t>
  </si>
  <si>
    <t>Periodo</t>
  </si>
  <si>
    <t>Indicador de confianza del consumidor</t>
  </si>
  <si>
    <t>P1. ¿Cómo considera usted la situación económica de su hogar comparada con la de hace 12 meses?</t>
  </si>
  <si>
    <t>P2. ¿Cómo cree usted que será la situación económica de su hogar dentro de 12 meses comparada con la actual?</t>
  </si>
  <si>
    <t>P3. ¿Cómo considera hoy la situación económica del país comparada con la de hace 12 meses?</t>
  </si>
  <si>
    <t>P4. ¿Cómo cree que será la situación económica del país dentro de 12 meses comparada con la situación actual?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</si>
  <si>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</si>
  <si>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Indicador</t>
  </si>
  <si>
    <t>Variación mensual</t>
  </si>
  <si>
    <t>Julio</t>
  </si>
  <si>
    <t>Fuente: DANE - PE</t>
  </si>
  <si>
    <t>Agosto</t>
  </si>
  <si>
    <t xml:space="preserve">Indicador de Confianza del consumidor - ICC
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</si>
</sst>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OP&quot;#,##0_);\(&quot;COP&quot;#,##0\)"/>
    <numFmt numFmtId="171" formatCode="&quot;COP&quot;#,##0_);[Red]\(&quot;COP&quot;#,##0\)"/>
    <numFmt numFmtId="172" formatCode="&quot;COP&quot;#,##0.00_);\(&quot;COP&quot;#,##0.00\)"/>
    <numFmt numFmtId="173" formatCode="&quot;COP&quot;#,##0.00_);[Red]\(&quot;COP&quot;#,##0.00\)"/>
    <numFmt numFmtId="174" formatCode="_(&quot;COP&quot;* #,##0_);_(&quot;COP&quot;* \(#,##0\);_(&quot;COP&quot;* &quot;-&quot;_);_(@_)"/>
    <numFmt numFmtId="175" formatCode="_(* #,##0_);_(* \(#,##0\);_(* &quot;-&quot;_);_(@_)"/>
    <numFmt numFmtId="176" formatCode="_(&quot;COP&quot;* #,##0.00_);_(&quot;COP&quot;* \(#,##0.00\);_(&quot;COP&quot;* &quot;-&quot;??_);_(@_)"/>
    <numFmt numFmtId="177" formatCode="_(* #,##0.00_);_(* \(#,##0.00\);_(* &quot;-&quot;??_);_(@_)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"/>
    <numFmt numFmtId="183" formatCode="_-* #,##0.00\ [$€]_-;\-* #,##0.00\ [$€]_-;_-* &quot;-&quot;??\ [$€]_-;_-@_-"/>
    <numFmt numFmtId="184" formatCode="#,##0.0"/>
    <numFmt numFmtId="185" formatCode="[$-240A]dddd\,\ d\ &quot;de&quot;\ mmmm\ &quot;de&quot;\ yyyy"/>
    <numFmt numFmtId="186" formatCode="[$-240A]h:mm:ss\ AM/PM"/>
    <numFmt numFmtId="187" formatCode="_ * #,##0.0_ ;_ * \-#,##0.0_ ;_ * &quot;-&quot;??_ ;_ @_ "/>
    <numFmt numFmtId="188" formatCode="_ * #,##0_ ;_ * \-#,##0_ ;_ * &quot;-&quot;??_ ;_ @_ "/>
    <numFmt numFmtId="189" formatCode="[$-80A]dddd\,\ d&quot; de &quot;mmmm&quot; de &quot;yyyy"/>
    <numFmt numFmtId="190" formatCode="[$-80A]hh:mm:ss\ AM/PM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%"/>
    <numFmt numFmtId="206" formatCode="[$]dddd\,\ d\ mmmm\ yyyy"/>
    <numFmt numFmtId="207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Calibri"/>
      <family val="2"/>
    </font>
    <font>
      <sz val="8"/>
      <name val="Segoe U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60"/>
      <name val="Segoe UI"/>
      <family val="2"/>
    </font>
    <font>
      <sz val="9"/>
      <color indexed="9"/>
      <name val="Segoe UI"/>
      <family val="2"/>
    </font>
    <font>
      <sz val="10"/>
      <color indexed="9"/>
      <name val="Arial"/>
      <family val="2"/>
    </font>
    <font>
      <b/>
      <sz val="9"/>
      <color indexed="63"/>
      <name val="Segoe UI"/>
      <family val="2"/>
    </font>
    <font>
      <b/>
      <sz val="14"/>
      <color indexed="9"/>
      <name val="Segoe UI"/>
      <family val="2"/>
    </font>
    <font>
      <b/>
      <sz val="10"/>
      <color indexed="9"/>
      <name val="Segoe UI"/>
      <family val="2"/>
    </font>
    <font>
      <b/>
      <sz val="11"/>
      <color indexed="9"/>
      <name val="Segoe U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C00000"/>
      <name val="Segoe UI"/>
      <family val="2"/>
    </font>
    <font>
      <sz val="9"/>
      <color theme="0"/>
      <name val="Segoe UI"/>
      <family val="2"/>
    </font>
    <font>
      <sz val="10"/>
      <color theme="0"/>
      <name val="Arial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rgb="FF000000"/>
      <name val="Segoe UI"/>
      <family val="2"/>
    </font>
    <font>
      <b/>
      <sz val="10"/>
      <color theme="0"/>
      <name val="Segoe UI"/>
      <family val="2"/>
    </font>
    <font>
      <b/>
      <sz val="11"/>
      <color theme="0"/>
      <name val="Segoe UI"/>
      <family val="2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11" fillId="3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7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2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8" fillId="0" borderId="10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182" fontId="23" fillId="0" borderId="0" xfId="0" applyNumberFormat="1" applyFont="1" applyFill="1" applyAlignment="1">
      <alignment horizontal="center"/>
    </xf>
    <xf numFmtId="0" fontId="24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 wrapText="1"/>
    </xf>
    <xf numFmtId="1" fontId="23" fillId="0" borderId="0" xfId="0" applyNumberFormat="1" applyFont="1" applyFill="1" applyAlignment="1">
      <alignment/>
    </xf>
    <xf numFmtId="0" fontId="41" fillId="19" borderId="12" xfId="0" applyFont="1" applyFill="1" applyBorder="1" applyAlignment="1">
      <alignment horizontal="center" vertical="center"/>
    </xf>
    <xf numFmtId="0" fontId="41" fillId="19" borderId="10" xfId="0" applyFont="1" applyFill="1" applyBorder="1" applyAlignment="1">
      <alignment horizontal="center" vertical="center"/>
    </xf>
    <xf numFmtId="0" fontId="41" fillId="19" borderId="13" xfId="0" applyFont="1" applyFill="1" applyBorder="1" applyAlignment="1">
      <alignment horizontal="center" vertical="center"/>
    </xf>
    <xf numFmtId="205" fontId="24" fillId="20" borderId="14" xfId="70" applyNumberFormat="1" applyFont="1" applyFill="1" applyBorder="1" applyAlignment="1" applyProtection="1">
      <alignment horizontal="center" vertical="center"/>
      <protection/>
    </xf>
    <xf numFmtId="205" fontId="23" fillId="0" borderId="15" xfId="70" applyNumberFormat="1" applyFont="1" applyFill="1" applyBorder="1" applyAlignment="1">
      <alignment horizontal="center"/>
    </xf>
    <xf numFmtId="205" fontId="23" fillId="20" borderId="16" xfId="70" applyNumberFormat="1" applyFont="1" applyFill="1" applyBorder="1" applyAlignment="1">
      <alignment horizontal="center"/>
    </xf>
    <xf numFmtId="0" fontId="24" fillId="2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1" fontId="23" fillId="20" borderId="19" xfId="0" applyNumberFormat="1" applyFont="1" applyFill="1" applyBorder="1" applyAlignment="1" applyProtection="1">
      <alignment horizontal="center"/>
      <protection/>
    </xf>
    <xf numFmtId="1" fontId="23" fillId="20" borderId="0" xfId="0" applyNumberFormat="1" applyFont="1" applyFill="1" applyBorder="1" applyAlignment="1" applyProtection="1">
      <alignment horizontal="center"/>
      <protection/>
    </xf>
    <xf numFmtId="205" fontId="23" fillId="20" borderId="15" xfId="70" applyNumberFormat="1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>
      <alignment horizontal="center"/>
    </xf>
    <xf numFmtId="205" fontId="23" fillId="0" borderId="16" xfId="70" applyNumberFormat="1" applyFont="1" applyFill="1" applyBorder="1" applyAlignment="1">
      <alignment horizontal="center"/>
    </xf>
    <xf numFmtId="3" fontId="24" fillId="20" borderId="20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>
      <alignment horizontal="center"/>
    </xf>
    <xf numFmtId="3" fontId="23" fillId="20" borderId="21" xfId="0" applyNumberFormat="1" applyFont="1" applyFill="1" applyBorder="1" applyAlignment="1" applyProtection="1">
      <alignment horizontal="center" vertical="center"/>
      <protection/>
    </xf>
    <xf numFmtId="3" fontId="24" fillId="20" borderId="17" xfId="0" applyNumberFormat="1" applyFont="1" applyFill="1" applyBorder="1" applyAlignment="1" applyProtection="1">
      <alignment horizontal="center" vertical="center"/>
      <protection/>
    </xf>
    <xf numFmtId="3" fontId="23" fillId="0" borderId="18" xfId="0" applyNumberFormat="1" applyFont="1" applyFill="1" applyBorder="1" applyAlignment="1">
      <alignment horizontal="center"/>
    </xf>
    <xf numFmtId="3" fontId="23" fillId="20" borderId="19" xfId="0" applyNumberFormat="1" applyFont="1" applyFill="1" applyBorder="1" applyAlignment="1" applyProtection="1">
      <alignment horizontal="center" vertical="center"/>
      <protection/>
    </xf>
    <xf numFmtId="3" fontId="23" fillId="0" borderId="19" xfId="0" applyNumberFormat="1" applyFont="1" applyFill="1" applyBorder="1" applyAlignment="1">
      <alignment horizontal="center"/>
    </xf>
    <xf numFmtId="3" fontId="23" fillId="20" borderId="22" xfId="0" applyNumberFormat="1" applyFont="1" applyFill="1" applyBorder="1" applyAlignment="1" applyProtection="1">
      <alignment horizontal="center"/>
      <protection/>
    </xf>
    <xf numFmtId="3" fontId="23" fillId="0" borderId="21" xfId="0" applyNumberFormat="1" applyFont="1" applyFill="1" applyBorder="1" applyAlignment="1">
      <alignment horizontal="center"/>
    </xf>
    <xf numFmtId="0" fontId="23" fillId="20" borderId="17" xfId="0" applyFont="1" applyFill="1" applyBorder="1" applyAlignment="1">
      <alignment horizontal="center" vertical="center" wrapText="1"/>
    </xf>
    <xf numFmtId="3" fontId="23" fillId="20" borderId="20" xfId="0" applyNumberFormat="1" applyFont="1" applyFill="1" applyBorder="1" applyAlignment="1" applyProtection="1">
      <alignment horizontal="center" vertical="center"/>
      <protection/>
    </xf>
    <xf numFmtId="205" fontId="23" fillId="20" borderId="14" xfId="70" applyNumberFormat="1" applyFont="1" applyFill="1" applyBorder="1" applyAlignment="1" applyProtection="1">
      <alignment horizontal="center" vertical="center"/>
      <protection/>
    </xf>
    <xf numFmtId="3" fontId="23" fillId="20" borderId="17" xfId="0" applyNumberFormat="1" applyFont="1" applyFill="1" applyBorder="1" applyAlignment="1" applyProtection="1">
      <alignment horizontal="center" vertical="center"/>
      <protection/>
    </xf>
    <xf numFmtId="3" fontId="23" fillId="0" borderId="23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top" wrapText="1"/>
    </xf>
    <xf numFmtId="4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3" fillId="20" borderId="18" xfId="0" applyNumberFormat="1" applyFont="1" applyFill="1" applyBorder="1" applyAlignment="1" applyProtection="1">
      <alignment horizontal="center"/>
      <protection/>
    </xf>
    <xf numFmtId="3" fontId="23" fillId="20" borderId="15" xfId="0" applyNumberFormat="1" applyFont="1" applyFill="1" applyBorder="1" applyAlignment="1" applyProtection="1">
      <alignment horizontal="center" vertical="center"/>
      <protection/>
    </xf>
    <xf numFmtId="3" fontId="23" fillId="0" borderId="15" xfId="0" applyNumberFormat="1" applyFont="1" applyFill="1" applyBorder="1" applyAlignment="1">
      <alignment horizontal="center"/>
    </xf>
    <xf numFmtId="11" fontId="23" fillId="0" borderId="0" xfId="0" applyNumberFormat="1" applyFont="1" applyFill="1" applyAlignment="1">
      <alignment/>
    </xf>
    <xf numFmtId="0" fontId="23" fillId="0" borderId="0" xfId="0" applyFont="1" applyFill="1" applyAlignment="1">
      <alignment wrapText="1"/>
    </xf>
    <xf numFmtId="4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0" fontId="25" fillId="0" borderId="0" xfId="65">
      <alignment/>
      <protection/>
    </xf>
    <xf numFmtId="43" fontId="0" fillId="0" borderId="0" xfId="56" applyFont="1" applyAlignment="1">
      <alignment/>
    </xf>
    <xf numFmtId="43" fontId="25" fillId="0" borderId="0" xfId="56" applyFont="1" applyBorder="1" applyAlignment="1" applyProtection="1">
      <alignment horizontal="center"/>
      <protection/>
    </xf>
    <xf numFmtId="43" fontId="0" fillId="0" borderId="0" xfId="56" applyFont="1" applyBorder="1" applyAlignment="1" applyProtection="1">
      <alignment horizontal="center"/>
      <protection/>
    </xf>
    <xf numFmtId="43" fontId="25" fillId="0" borderId="0" xfId="56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15" xfId="0" applyFont="1" applyFill="1" applyBorder="1" applyAlignment="1">
      <alignment horizontal="center" vertical="center"/>
    </xf>
    <xf numFmtId="0" fontId="39" fillId="0" borderId="0" xfId="61" applyFont="1">
      <alignment/>
      <protection/>
    </xf>
    <xf numFmtId="0" fontId="24" fillId="18" borderId="0" xfId="61" applyFont="1" applyFill="1" applyAlignment="1">
      <alignment vertical="center"/>
      <protection/>
    </xf>
    <xf numFmtId="0" fontId="23" fillId="0" borderId="0" xfId="61" applyFont="1">
      <alignment/>
      <protection/>
    </xf>
    <xf numFmtId="0" fontId="24" fillId="18" borderId="0" xfId="61" applyFont="1" applyFill="1" applyAlignment="1">
      <alignment vertical="center" wrapText="1"/>
      <protection/>
    </xf>
    <xf numFmtId="0" fontId="41" fillId="19" borderId="10" xfId="61" applyFont="1" applyFill="1" applyBorder="1" applyAlignment="1">
      <alignment horizontal="center" vertical="center"/>
      <protection/>
    </xf>
    <xf numFmtId="0" fontId="41" fillId="19" borderId="13" xfId="61" applyFont="1" applyFill="1" applyBorder="1" applyAlignment="1">
      <alignment horizontal="center" vertical="center"/>
      <protection/>
    </xf>
    <xf numFmtId="0" fontId="24" fillId="20" borderId="17" xfId="61" applyFont="1" applyFill="1" applyBorder="1" applyAlignment="1">
      <alignment horizontal="center" vertical="center" wrapText="1"/>
      <protection/>
    </xf>
    <xf numFmtId="3" fontId="24" fillId="20" borderId="20" xfId="61" applyNumberFormat="1" applyFont="1" applyFill="1" applyBorder="1" applyAlignment="1">
      <alignment horizontal="center" vertical="center"/>
      <protection/>
    </xf>
    <xf numFmtId="205" fontId="24" fillId="20" borderId="14" xfId="71" applyNumberFormat="1" applyFont="1" applyFill="1" applyBorder="1" applyAlignment="1" applyProtection="1">
      <alignment horizontal="center" vertical="center"/>
      <protection/>
    </xf>
    <xf numFmtId="182" fontId="24" fillId="20" borderId="14" xfId="61" applyNumberFormat="1" applyFont="1" applyFill="1" applyBorder="1" applyAlignment="1">
      <alignment horizontal="center" vertical="center"/>
      <protection/>
    </xf>
    <xf numFmtId="3" fontId="24" fillId="20" borderId="17" xfId="61" applyNumberFormat="1" applyFont="1" applyFill="1" applyBorder="1" applyAlignment="1">
      <alignment horizontal="center" vertical="center"/>
      <protection/>
    </xf>
    <xf numFmtId="0" fontId="23" fillId="0" borderId="18" xfId="61" applyFont="1" applyBorder="1" applyAlignment="1">
      <alignment horizontal="center"/>
      <protection/>
    </xf>
    <xf numFmtId="3" fontId="23" fillId="0" borderId="0" xfId="61" applyNumberFormat="1" applyFont="1" applyAlignment="1">
      <alignment horizontal="center"/>
      <protection/>
    </xf>
    <xf numFmtId="205" fontId="23" fillId="0" borderId="15" xfId="71" applyNumberFormat="1" applyFont="1" applyFill="1" applyBorder="1" applyAlignment="1">
      <alignment horizontal="center"/>
    </xf>
    <xf numFmtId="182" fontId="23" fillId="0" borderId="15" xfId="61" applyNumberFormat="1" applyFont="1" applyBorder="1" applyAlignment="1">
      <alignment horizontal="center"/>
      <protection/>
    </xf>
    <xf numFmtId="182" fontId="23" fillId="0" borderId="15" xfId="61" applyNumberFormat="1" applyFont="1" applyBorder="1" applyAlignment="1">
      <alignment horizontal="center" vertical="center"/>
      <protection/>
    </xf>
    <xf numFmtId="3" fontId="23" fillId="0" borderId="18" xfId="61" applyNumberFormat="1" applyFont="1" applyBorder="1" applyAlignment="1">
      <alignment horizontal="center"/>
      <protection/>
    </xf>
    <xf numFmtId="1" fontId="23" fillId="20" borderId="19" xfId="61" applyNumberFormat="1" applyFont="1" applyFill="1" applyBorder="1" applyAlignment="1">
      <alignment horizontal="center"/>
      <protection/>
    </xf>
    <xf numFmtId="3" fontId="23" fillId="20" borderId="21" xfId="61" applyNumberFormat="1" applyFont="1" applyFill="1" applyBorder="1" applyAlignment="1">
      <alignment horizontal="center" vertical="center"/>
      <protection/>
    </xf>
    <xf numFmtId="205" fontId="23" fillId="20" borderId="16" xfId="71" applyNumberFormat="1" applyFont="1" applyFill="1" applyBorder="1" applyAlignment="1">
      <alignment horizontal="center"/>
    </xf>
    <xf numFmtId="182" fontId="23" fillId="20" borderId="16" xfId="61" applyNumberFormat="1" applyFont="1" applyFill="1" applyBorder="1" applyAlignment="1">
      <alignment horizontal="center"/>
      <protection/>
    </xf>
    <xf numFmtId="182" fontId="23" fillId="20" borderId="16" xfId="61" applyNumberFormat="1" applyFont="1" applyFill="1" applyBorder="1" applyAlignment="1">
      <alignment horizontal="center" vertical="center"/>
      <protection/>
    </xf>
    <xf numFmtId="3" fontId="23" fillId="20" borderId="19" xfId="61" applyNumberFormat="1" applyFont="1" applyFill="1" applyBorder="1" applyAlignment="1">
      <alignment horizontal="center" vertical="center"/>
      <protection/>
    </xf>
    <xf numFmtId="1" fontId="23" fillId="0" borderId="0" xfId="61" applyNumberFormat="1" applyFont="1">
      <alignment/>
      <protection/>
    </xf>
    <xf numFmtId="182" fontId="23" fillId="0" borderId="0" xfId="61" applyNumberFormat="1" applyFont="1" applyAlignment="1">
      <alignment horizontal="center"/>
      <protection/>
    </xf>
    <xf numFmtId="0" fontId="23" fillId="20" borderId="17" xfId="61" applyFont="1" applyFill="1" applyBorder="1" applyAlignment="1">
      <alignment horizontal="center" vertical="center" wrapText="1"/>
      <protection/>
    </xf>
    <xf numFmtId="3" fontId="23" fillId="20" borderId="20" xfId="61" applyNumberFormat="1" applyFont="1" applyFill="1" applyBorder="1" applyAlignment="1">
      <alignment horizontal="center" vertical="center"/>
      <protection/>
    </xf>
    <xf numFmtId="205" fontId="23" fillId="20" borderId="14" xfId="71" applyNumberFormat="1" applyFont="1" applyFill="1" applyBorder="1" applyAlignment="1" applyProtection="1">
      <alignment horizontal="center" vertical="center"/>
      <protection/>
    </xf>
    <xf numFmtId="205" fontId="23" fillId="20" borderId="14" xfId="71" applyNumberFormat="1" applyFont="1" applyFill="1" applyBorder="1" applyAlignment="1">
      <alignment horizontal="center"/>
    </xf>
    <xf numFmtId="3" fontId="23" fillId="20" borderId="17" xfId="61" applyNumberFormat="1" applyFont="1" applyFill="1" applyBorder="1" applyAlignment="1">
      <alignment horizontal="center" vertical="center"/>
      <protection/>
    </xf>
    <xf numFmtId="1" fontId="23" fillId="20" borderId="0" xfId="61" applyNumberFormat="1" applyFont="1" applyFill="1" applyAlignment="1">
      <alignment horizontal="center"/>
      <protection/>
    </xf>
    <xf numFmtId="3" fontId="23" fillId="20" borderId="22" xfId="61" applyNumberFormat="1" applyFont="1" applyFill="1" applyBorder="1" applyAlignment="1">
      <alignment horizontal="center"/>
      <protection/>
    </xf>
    <xf numFmtId="205" fontId="23" fillId="20" borderId="15" xfId="71" applyNumberFormat="1" applyFont="1" applyFill="1" applyBorder="1" applyAlignment="1" applyProtection="1">
      <alignment horizontal="center"/>
      <protection/>
    </xf>
    <xf numFmtId="3" fontId="23" fillId="20" borderId="15" xfId="61" applyNumberFormat="1" applyFont="1" applyFill="1" applyBorder="1" applyAlignment="1">
      <alignment horizontal="center"/>
      <protection/>
    </xf>
    <xf numFmtId="0" fontId="23" fillId="0" borderId="19" xfId="61" applyFont="1" applyBorder="1" applyAlignment="1">
      <alignment horizontal="center"/>
      <protection/>
    </xf>
    <xf numFmtId="3" fontId="23" fillId="0" borderId="21" xfId="61" applyNumberFormat="1" applyFont="1" applyBorder="1" applyAlignment="1">
      <alignment horizontal="center"/>
      <protection/>
    </xf>
    <xf numFmtId="205" fontId="23" fillId="0" borderId="16" xfId="71" applyNumberFormat="1" applyFont="1" applyFill="1" applyBorder="1" applyAlignment="1">
      <alignment horizontal="center"/>
    </xf>
    <xf numFmtId="3" fontId="23" fillId="0" borderId="19" xfId="61" applyNumberFormat="1" applyFont="1" applyBorder="1" applyAlignment="1">
      <alignment horizontal="center"/>
      <protection/>
    </xf>
    <xf numFmtId="0" fontId="39" fillId="0" borderId="0" xfId="66" applyFont="1">
      <alignment/>
      <protection/>
    </xf>
    <xf numFmtId="0" fontId="24" fillId="18" borderId="0" xfId="66" applyFont="1" applyFill="1" applyAlignment="1">
      <alignment vertical="center"/>
      <protection/>
    </xf>
    <xf numFmtId="0" fontId="23" fillId="0" borderId="0" xfId="66" applyFont="1">
      <alignment/>
      <protection/>
    </xf>
    <xf numFmtId="0" fontId="24" fillId="18" borderId="0" xfId="66" applyFont="1" applyFill="1" applyAlignment="1">
      <alignment vertical="center" wrapText="1"/>
      <protection/>
    </xf>
    <xf numFmtId="0" fontId="41" fillId="19" borderId="10" xfId="66" applyFont="1" applyFill="1" applyBorder="1" applyAlignment="1">
      <alignment horizontal="center" vertical="center"/>
      <protection/>
    </xf>
    <xf numFmtId="0" fontId="41" fillId="19" borderId="13" xfId="66" applyFont="1" applyFill="1" applyBorder="1" applyAlignment="1">
      <alignment horizontal="center" vertical="center"/>
      <protection/>
    </xf>
    <xf numFmtId="0" fontId="24" fillId="20" borderId="17" xfId="66" applyFont="1" applyFill="1" applyBorder="1" applyAlignment="1">
      <alignment horizontal="center" vertical="center" wrapText="1"/>
      <protection/>
    </xf>
    <xf numFmtId="3" fontId="24" fillId="20" borderId="20" xfId="66" applyNumberFormat="1" applyFont="1" applyFill="1" applyBorder="1" applyAlignment="1">
      <alignment horizontal="center" vertical="center"/>
      <protection/>
    </xf>
    <xf numFmtId="205" fontId="24" fillId="20" borderId="14" xfId="69" applyNumberFormat="1" applyFont="1" applyFill="1" applyBorder="1" applyAlignment="1" applyProtection="1">
      <alignment horizontal="center" vertical="center"/>
      <protection/>
    </xf>
    <xf numFmtId="205" fontId="24" fillId="20" borderId="14" xfId="71" applyNumberFormat="1" applyFont="1" applyFill="1" applyBorder="1" applyAlignment="1">
      <alignment horizontal="center" vertical="center"/>
    </xf>
    <xf numFmtId="3" fontId="24" fillId="20" borderId="17" xfId="66" applyNumberFormat="1" applyFont="1" applyFill="1" applyBorder="1" applyAlignment="1">
      <alignment horizontal="center" vertical="center"/>
      <protection/>
    </xf>
    <xf numFmtId="0" fontId="23" fillId="0" borderId="18" xfId="66" applyFont="1" applyBorder="1" applyAlignment="1">
      <alignment horizontal="center"/>
      <protection/>
    </xf>
    <xf numFmtId="3" fontId="23" fillId="0" borderId="0" xfId="66" applyNumberFormat="1" applyFont="1" applyAlignment="1">
      <alignment horizontal="center"/>
      <protection/>
    </xf>
    <xf numFmtId="205" fontId="23" fillId="0" borderId="15" xfId="69" applyNumberFormat="1" applyFont="1" applyFill="1" applyBorder="1" applyAlignment="1">
      <alignment horizontal="center"/>
    </xf>
    <xf numFmtId="205" fontId="23" fillId="0" borderId="15" xfId="71" applyNumberFormat="1" applyFont="1" applyBorder="1" applyAlignment="1">
      <alignment horizontal="center"/>
    </xf>
    <xf numFmtId="205" fontId="23" fillId="0" borderId="15" xfId="71" applyNumberFormat="1" applyFont="1" applyBorder="1" applyAlignment="1">
      <alignment horizontal="center" vertical="center"/>
    </xf>
    <xf numFmtId="3" fontId="23" fillId="0" borderId="18" xfId="66" applyNumberFormat="1" applyFont="1" applyBorder="1" applyAlignment="1">
      <alignment horizontal="center"/>
      <protection/>
    </xf>
    <xf numFmtId="1" fontId="23" fillId="20" borderId="19" xfId="66" applyNumberFormat="1" applyFont="1" applyFill="1" applyBorder="1" applyAlignment="1">
      <alignment horizontal="center"/>
      <protection/>
    </xf>
    <xf numFmtId="3" fontId="23" fillId="20" borderId="21" xfId="66" applyNumberFormat="1" applyFont="1" applyFill="1" applyBorder="1" applyAlignment="1">
      <alignment horizontal="center" vertical="center"/>
      <protection/>
    </xf>
    <xf numFmtId="205" fontId="23" fillId="20" borderId="16" xfId="69" applyNumberFormat="1" applyFont="1" applyFill="1" applyBorder="1" applyAlignment="1">
      <alignment horizontal="center"/>
    </xf>
    <xf numFmtId="205" fontId="23" fillId="20" borderId="16" xfId="71" applyNumberFormat="1" applyFont="1" applyFill="1" applyBorder="1" applyAlignment="1">
      <alignment horizontal="center" vertical="center"/>
    </xf>
    <xf numFmtId="3" fontId="23" fillId="20" borderId="19" xfId="66" applyNumberFormat="1" applyFont="1" applyFill="1" applyBorder="1" applyAlignment="1">
      <alignment horizontal="center" vertical="center"/>
      <protection/>
    </xf>
    <xf numFmtId="1" fontId="23" fillId="0" borderId="0" xfId="66" applyNumberFormat="1" applyFont="1">
      <alignment/>
      <protection/>
    </xf>
    <xf numFmtId="182" fontId="23" fillId="0" borderId="0" xfId="66" applyNumberFormat="1" applyFont="1" applyAlignment="1">
      <alignment horizontal="center"/>
      <protection/>
    </xf>
    <xf numFmtId="0" fontId="23" fillId="20" borderId="17" xfId="66" applyFont="1" applyFill="1" applyBorder="1" applyAlignment="1">
      <alignment horizontal="center" vertical="center" wrapText="1"/>
      <protection/>
    </xf>
    <xf numFmtId="3" fontId="23" fillId="20" borderId="20" xfId="66" applyNumberFormat="1" applyFont="1" applyFill="1" applyBorder="1" applyAlignment="1">
      <alignment horizontal="center" vertical="center"/>
      <protection/>
    </xf>
    <xf numFmtId="205" fontId="23" fillId="20" borderId="14" xfId="69" applyNumberFormat="1" applyFont="1" applyFill="1" applyBorder="1" applyAlignment="1" applyProtection="1">
      <alignment horizontal="center" vertical="center"/>
      <protection/>
    </xf>
    <xf numFmtId="205" fontId="23" fillId="20" borderId="14" xfId="69" applyNumberFormat="1" applyFont="1" applyFill="1" applyBorder="1" applyAlignment="1">
      <alignment horizontal="center"/>
    </xf>
    <xf numFmtId="3" fontId="23" fillId="20" borderId="17" xfId="66" applyNumberFormat="1" applyFont="1" applyFill="1" applyBorder="1" applyAlignment="1">
      <alignment horizontal="center" vertical="center"/>
      <protection/>
    </xf>
    <xf numFmtId="1" fontId="23" fillId="20" borderId="0" xfId="66" applyNumberFormat="1" applyFont="1" applyFill="1" applyAlignment="1">
      <alignment horizontal="center"/>
      <protection/>
    </xf>
    <xf numFmtId="3" fontId="23" fillId="20" borderId="22" xfId="66" applyNumberFormat="1" applyFont="1" applyFill="1" applyBorder="1" applyAlignment="1">
      <alignment horizontal="center"/>
      <protection/>
    </xf>
    <xf numFmtId="205" fontId="23" fillId="20" borderId="15" xfId="69" applyNumberFormat="1" applyFont="1" applyFill="1" applyBorder="1" applyAlignment="1" applyProtection="1">
      <alignment horizontal="center"/>
      <protection/>
    </xf>
    <xf numFmtId="3" fontId="23" fillId="20" borderId="15" xfId="66" applyNumberFormat="1" applyFont="1" applyFill="1" applyBorder="1" applyAlignment="1">
      <alignment horizontal="center"/>
      <protection/>
    </xf>
    <xf numFmtId="0" fontId="23" fillId="0" borderId="19" xfId="66" applyFont="1" applyBorder="1" applyAlignment="1">
      <alignment horizontal="center"/>
      <protection/>
    </xf>
    <xf numFmtId="3" fontId="23" fillId="0" borderId="21" xfId="66" applyNumberFormat="1" applyFont="1" applyBorder="1" applyAlignment="1">
      <alignment horizontal="center"/>
      <protection/>
    </xf>
    <xf numFmtId="205" fontId="23" fillId="0" borderId="16" xfId="69" applyNumberFormat="1" applyFont="1" applyFill="1" applyBorder="1" applyAlignment="1">
      <alignment horizontal="center"/>
    </xf>
    <xf numFmtId="3" fontId="23" fillId="0" borderId="19" xfId="66" applyNumberFormat="1" applyFont="1" applyBorder="1" applyAlignment="1">
      <alignment horizontal="center"/>
      <protection/>
    </xf>
    <xf numFmtId="9" fontId="24" fillId="20" borderId="14" xfId="71" applyFont="1" applyFill="1" applyBorder="1" applyAlignment="1">
      <alignment horizontal="center" vertical="center"/>
    </xf>
    <xf numFmtId="181" fontId="26" fillId="0" borderId="0" xfId="54" applyFont="1" applyBorder="1" applyAlignment="1" applyProtection="1">
      <alignment horizontal="center"/>
      <protection/>
    </xf>
    <xf numFmtId="181" fontId="26" fillId="0" borderId="0" xfId="54" applyFont="1" applyAlignment="1">
      <alignment/>
    </xf>
    <xf numFmtId="9" fontId="23" fillId="0" borderId="15" xfId="71" applyFont="1" applyFill="1" applyBorder="1" applyAlignment="1">
      <alignment horizontal="center"/>
    </xf>
    <xf numFmtId="9" fontId="23" fillId="0" borderId="15" xfId="71" applyFont="1" applyFill="1" applyBorder="1" applyAlignment="1">
      <alignment horizontal="center" vertical="center"/>
    </xf>
    <xf numFmtId="181" fontId="26" fillId="0" borderId="0" xfId="54" applyFont="1" applyBorder="1" applyAlignment="1" applyProtection="1">
      <alignment/>
      <protection/>
    </xf>
    <xf numFmtId="9" fontId="23" fillId="20" borderId="16" xfId="71" applyFont="1" applyFill="1" applyBorder="1" applyAlignment="1">
      <alignment horizontal="center"/>
    </xf>
    <xf numFmtId="9" fontId="23" fillId="20" borderId="16" xfId="71" applyFont="1" applyFill="1" applyBorder="1" applyAlignment="1">
      <alignment horizontal="center" vertical="center"/>
    </xf>
    <xf numFmtId="4" fontId="23" fillId="0" borderId="0" xfId="61" applyNumberFormat="1" applyFont="1">
      <alignment/>
      <protection/>
    </xf>
    <xf numFmtId="3" fontId="23" fillId="0" borderId="0" xfId="61" applyNumberFormat="1" applyFont="1">
      <alignment/>
      <protection/>
    </xf>
    <xf numFmtId="205" fontId="23" fillId="20" borderId="15" xfId="71" applyNumberFormat="1" applyFont="1" applyFill="1" applyBorder="1" applyAlignment="1">
      <alignment horizontal="center"/>
    </xf>
    <xf numFmtId="3" fontId="23" fillId="20" borderId="0" xfId="61" applyNumberFormat="1" applyFont="1" applyFill="1" applyAlignment="1">
      <alignment horizontal="center"/>
      <protection/>
    </xf>
    <xf numFmtId="2" fontId="24" fillId="20" borderId="14" xfId="71" applyNumberFormat="1" applyFont="1" applyFill="1" applyBorder="1" applyAlignment="1" applyProtection="1">
      <alignment horizontal="center" vertical="center"/>
      <protection/>
    </xf>
    <xf numFmtId="2" fontId="23" fillId="0" borderId="15" xfId="71" applyNumberFormat="1" applyFont="1" applyFill="1" applyBorder="1" applyAlignment="1">
      <alignment horizontal="center"/>
    </xf>
    <xf numFmtId="2" fontId="23" fillId="20" borderId="16" xfId="71" applyNumberFormat="1" applyFont="1" applyFill="1" applyBorder="1" applyAlignment="1">
      <alignment horizontal="center"/>
    </xf>
    <xf numFmtId="2" fontId="23" fillId="20" borderId="14" xfId="71" applyNumberFormat="1" applyFont="1" applyFill="1" applyBorder="1" applyAlignment="1" applyProtection="1">
      <alignment horizontal="center" vertical="center"/>
      <protection/>
    </xf>
    <xf numFmtId="2" fontId="23" fillId="20" borderId="14" xfId="71" applyNumberFormat="1" applyFont="1" applyFill="1" applyBorder="1" applyAlignment="1">
      <alignment horizontal="center"/>
    </xf>
    <xf numFmtId="2" fontId="23" fillId="20" borderId="15" xfId="71" applyNumberFormat="1" applyFont="1" applyFill="1" applyBorder="1" applyAlignment="1" applyProtection="1">
      <alignment horizontal="center"/>
      <protection/>
    </xf>
    <xf numFmtId="1" fontId="23" fillId="20" borderId="21" xfId="61" applyNumberFormat="1" applyFont="1" applyFill="1" applyBorder="1" applyAlignment="1">
      <alignment horizontal="center"/>
      <protection/>
    </xf>
    <xf numFmtId="3" fontId="23" fillId="20" borderId="23" xfId="61" applyNumberFormat="1" applyFont="1" applyFill="1" applyBorder="1" applyAlignment="1">
      <alignment horizontal="center"/>
      <protection/>
    </xf>
    <xf numFmtId="205" fontId="23" fillId="20" borderId="16" xfId="71" applyNumberFormat="1" applyFont="1" applyFill="1" applyBorder="1" applyAlignment="1" applyProtection="1">
      <alignment horizontal="center"/>
      <protection/>
    </xf>
    <xf numFmtId="3" fontId="23" fillId="20" borderId="16" xfId="61" applyNumberFormat="1" applyFont="1" applyFill="1" applyBorder="1" applyAlignment="1">
      <alignment horizontal="center"/>
      <protection/>
    </xf>
    <xf numFmtId="2" fontId="23" fillId="0" borderId="15" xfId="61" applyNumberFormat="1" applyFont="1" applyBorder="1" applyAlignment="1">
      <alignment horizontal="center"/>
      <protection/>
    </xf>
    <xf numFmtId="2" fontId="23" fillId="0" borderId="15" xfId="61" applyNumberFormat="1" applyFont="1" applyBorder="1" applyAlignment="1">
      <alignment horizontal="center" vertical="center"/>
      <protection/>
    </xf>
    <xf numFmtId="2" fontId="23" fillId="20" borderId="16" xfId="61" applyNumberFormat="1" applyFont="1" applyFill="1" applyBorder="1" applyAlignment="1">
      <alignment horizontal="center"/>
      <protection/>
    </xf>
    <xf numFmtId="2" fontId="23" fillId="20" borderId="16" xfId="61" applyNumberFormat="1" applyFont="1" applyFill="1" applyBorder="1" applyAlignment="1">
      <alignment horizontal="center" vertical="center"/>
      <protection/>
    </xf>
    <xf numFmtId="2" fontId="23" fillId="20" borderId="16" xfId="71" applyNumberFormat="1" applyFont="1" applyFill="1" applyBorder="1" applyAlignment="1" applyProtection="1">
      <alignment horizontal="center"/>
      <protection/>
    </xf>
    <xf numFmtId="3" fontId="23" fillId="20" borderId="11" xfId="61" applyNumberFormat="1" applyFont="1" applyFill="1" applyBorder="1" applyAlignment="1">
      <alignment horizontal="center" vertical="center"/>
      <protection/>
    </xf>
    <xf numFmtId="3" fontId="23" fillId="19" borderId="22" xfId="61" applyNumberFormat="1" applyFont="1" applyFill="1" applyBorder="1" applyAlignment="1">
      <alignment horizontal="center" vertical="center"/>
      <protection/>
    </xf>
    <xf numFmtId="3" fontId="23" fillId="19" borderId="0" xfId="61" applyNumberFormat="1" applyFont="1" applyFill="1" applyAlignment="1">
      <alignment horizontal="center" vertical="center"/>
      <protection/>
    </xf>
    <xf numFmtId="3" fontId="23" fillId="0" borderId="22" xfId="61" applyNumberFormat="1" applyFont="1" applyBorder="1" applyAlignment="1">
      <alignment horizontal="center"/>
      <protection/>
    </xf>
    <xf numFmtId="3" fontId="23" fillId="19" borderId="22" xfId="61" applyNumberFormat="1" applyFont="1" applyFill="1" applyBorder="1" applyAlignment="1">
      <alignment horizontal="center"/>
      <protection/>
    </xf>
    <xf numFmtId="3" fontId="23" fillId="19" borderId="0" xfId="61" applyNumberFormat="1" applyFont="1" applyFill="1" applyAlignment="1">
      <alignment horizontal="center"/>
      <protection/>
    </xf>
    <xf numFmtId="3" fontId="23" fillId="0" borderId="23" xfId="61" applyNumberFormat="1" applyFont="1" applyBorder="1" applyAlignment="1">
      <alignment horizontal="center"/>
      <protection/>
    </xf>
    <xf numFmtId="0" fontId="24" fillId="18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horizontal="center" vertical="center" wrapText="1"/>
    </xf>
    <xf numFmtId="3" fontId="24" fillId="20" borderId="20" xfId="0" applyNumberFormat="1" applyFont="1" applyFill="1" applyBorder="1" applyAlignment="1" applyProtection="1">
      <alignment horizontal="center" vertical="center"/>
      <protection/>
    </xf>
    <xf numFmtId="205" fontId="24" fillId="20" borderId="14" xfId="72" applyNumberFormat="1" applyFont="1" applyFill="1" applyBorder="1" applyAlignment="1" applyProtection="1">
      <alignment horizontal="center" vertical="center"/>
      <protection/>
    </xf>
    <xf numFmtId="3" fontId="24" fillId="20" borderId="17" xfId="0" applyNumberFormat="1" applyFont="1" applyFill="1" applyBorder="1" applyAlignment="1" applyProtection="1">
      <alignment horizontal="center" vertical="center"/>
      <protection/>
    </xf>
    <xf numFmtId="205" fontId="23" fillId="0" borderId="15" xfId="72" applyNumberFormat="1" applyFont="1" applyFill="1" applyBorder="1" applyAlignment="1">
      <alignment horizontal="center"/>
    </xf>
    <xf numFmtId="1" fontId="23" fillId="20" borderId="19" xfId="0" applyNumberFormat="1" applyFont="1" applyFill="1" applyBorder="1" applyAlignment="1" applyProtection="1">
      <alignment horizontal="center"/>
      <protection/>
    </xf>
    <xf numFmtId="3" fontId="23" fillId="20" borderId="21" xfId="0" applyNumberFormat="1" applyFont="1" applyFill="1" applyBorder="1" applyAlignment="1" applyProtection="1">
      <alignment horizontal="center" vertical="center"/>
      <protection/>
    </xf>
    <xf numFmtId="205" fontId="23" fillId="20" borderId="16" xfId="72" applyNumberFormat="1" applyFont="1" applyFill="1" applyBorder="1" applyAlignment="1">
      <alignment horizontal="center"/>
    </xf>
    <xf numFmtId="3" fontId="23" fillId="20" borderId="19" xfId="0" applyNumberFormat="1" applyFont="1" applyFill="1" applyBorder="1" applyAlignment="1" applyProtection="1">
      <alignment horizontal="center" vertical="center"/>
      <protection/>
    </xf>
    <xf numFmtId="0" fontId="23" fillId="20" borderId="17" xfId="0" applyFont="1" applyFill="1" applyBorder="1" applyAlignment="1">
      <alignment horizontal="center" vertical="center" wrapText="1"/>
    </xf>
    <xf numFmtId="3" fontId="23" fillId="20" borderId="20" xfId="0" applyNumberFormat="1" applyFont="1" applyFill="1" applyBorder="1" applyAlignment="1" applyProtection="1">
      <alignment horizontal="center" vertical="center"/>
      <protection/>
    </xf>
    <xf numFmtId="3" fontId="23" fillId="20" borderId="17" xfId="0" applyNumberFormat="1" applyFont="1" applyFill="1" applyBorder="1" applyAlignment="1" applyProtection="1">
      <alignment horizontal="center" vertical="center"/>
      <protection/>
    </xf>
    <xf numFmtId="205" fontId="23" fillId="20" borderId="14" xfId="72" applyNumberFormat="1" applyFont="1" applyFill="1" applyBorder="1" applyAlignment="1" applyProtection="1">
      <alignment horizontal="center" vertical="center"/>
      <protection/>
    </xf>
    <xf numFmtId="3" fontId="23" fillId="20" borderId="15" xfId="0" applyNumberFormat="1" applyFont="1" applyFill="1" applyBorder="1" applyAlignment="1" applyProtection="1">
      <alignment horizontal="center" vertical="center"/>
      <protection/>
    </xf>
    <xf numFmtId="1" fontId="23" fillId="20" borderId="0" xfId="0" applyNumberFormat="1" applyFont="1" applyFill="1" applyBorder="1" applyAlignment="1" applyProtection="1">
      <alignment horizontal="center"/>
      <protection/>
    </xf>
    <xf numFmtId="3" fontId="23" fillId="20" borderId="22" xfId="0" applyNumberFormat="1" applyFont="1" applyFill="1" applyBorder="1" applyAlignment="1" applyProtection="1">
      <alignment horizontal="center"/>
      <protection/>
    </xf>
    <xf numFmtId="205" fontId="23" fillId="20" borderId="15" xfId="72" applyNumberFormat="1" applyFont="1" applyFill="1" applyBorder="1" applyAlignment="1" applyProtection="1">
      <alignment horizontal="center"/>
      <protection/>
    </xf>
    <xf numFmtId="3" fontId="23" fillId="19" borderId="22" xfId="0" applyNumberFormat="1" applyFont="1" applyFill="1" applyBorder="1" applyAlignment="1" applyProtection="1">
      <alignment horizontal="center" vertical="center"/>
      <protection/>
    </xf>
    <xf numFmtId="3" fontId="23" fillId="19" borderId="0" xfId="0" applyNumberFormat="1" applyFont="1" applyFill="1" applyBorder="1" applyAlignment="1" applyProtection="1">
      <alignment horizontal="center" vertical="center"/>
      <protection/>
    </xf>
    <xf numFmtId="3" fontId="23" fillId="19" borderId="22" xfId="0" applyNumberFormat="1" applyFont="1" applyFill="1" applyBorder="1" applyAlignment="1">
      <alignment horizontal="center"/>
    </xf>
    <xf numFmtId="3" fontId="23" fillId="19" borderId="0" xfId="0" applyNumberFormat="1" applyFont="1" applyFill="1" applyBorder="1" applyAlignment="1">
      <alignment horizontal="center"/>
    </xf>
    <xf numFmtId="3" fontId="23" fillId="19" borderId="22" xfId="0" applyNumberFormat="1" applyFont="1" applyFill="1" applyBorder="1" applyAlignment="1" applyProtection="1">
      <alignment horizontal="center"/>
      <protection/>
    </xf>
    <xf numFmtId="3" fontId="23" fillId="19" borderId="0" xfId="0" applyNumberFormat="1" applyFont="1" applyFill="1" applyBorder="1" applyAlignment="1" applyProtection="1">
      <alignment horizontal="center"/>
      <protection/>
    </xf>
    <xf numFmtId="205" fontId="23" fillId="0" borderId="16" xfId="72" applyNumberFormat="1" applyFont="1" applyFill="1" applyBorder="1" applyAlignment="1">
      <alignment horizontal="center"/>
    </xf>
    <xf numFmtId="205" fontId="24" fillId="20" borderId="14" xfId="70" applyNumberFormat="1" applyFont="1" applyFill="1" applyBorder="1" applyAlignment="1">
      <alignment horizontal="center" vertical="center"/>
    </xf>
    <xf numFmtId="205" fontId="23" fillId="0" borderId="15" xfId="70" applyNumberFormat="1" applyFont="1" applyBorder="1" applyAlignment="1">
      <alignment horizontal="center" vertical="center"/>
    </xf>
    <xf numFmtId="205" fontId="23" fillId="20" borderId="16" xfId="70" applyNumberFormat="1" applyFont="1" applyFill="1" applyBorder="1" applyAlignment="1">
      <alignment horizontal="center" vertical="center"/>
    </xf>
    <xf numFmtId="205" fontId="23" fillId="0" borderId="15" xfId="70" applyNumberFormat="1" applyFont="1" applyBorder="1" applyAlignment="1">
      <alignment horizontal="center"/>
    </xf>
    <xf numFmtId="205" fontId="23" fillId="0" borderId="15" xfId="71" applyNumberFormat="1" applyFont="1" applyFill="1" applyBorder="1" applyAlignment="1">
      <alignment horizontal="center" vertical="center"/>
    </xf>
    <xf numFmtId="205" fontId="23" fillId="0" borderId="15" xfId="70" applyNumberFormat="1" applyFont="1" applyFill="1" applyBorder="1" applyAlignment="1">
      <alignment horizontal="center" vertical="center"/>
    </xf>
    <xf numFmtId="205" fontId="23" fillId="20" borderId="14" xfId="70" applyNumberFormat="1" applyFont="1" applyFill="1" applyBorder="1" applyAlignment="1">
      <alignment horizontal="center"/>
    </xf>
    <xf numFmtId="0" fontId="1" fillId="0" borderId="12" xfId="48" applyBorder="1" applyAlignment="1" applyProtection="1">
      <alignment horizontal="left" vertical="center" wrapText="1"/>
      <protection/>
    </xf>
    <xf numFmtId="0" fontId="1" fillId="0" borderId="13" xfId="48" applyBorder="1" applyAlignment="1" applyProtection="1">
      <alignment horizontal="left" vertical="center" wrapText="1"/>
      <protection/>
    </xf>
    <xf numFmtId="0" fontId="1" fillId="0" borderId="12" xfId="48" applyBorder="1" applyAlignment="1" applyProtection="1">
      <alignment horizontal="left" vertical="center"/>
      <protection/>
    </xf>
    <xf numFmtId="0" fontId="1" fillId="0" borderId="13" xfId="48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2" fillId="21" borderId="11" xfId="0" applyFont="1" applyFill="1" applyBorder="1" applyAlignment="1">
      <alignment horizontal="center" vertical="center" wrapText="1"/>
    </xf>
    <xf numFmtId="0" fontId="42" fillId="21" borderId="20" xfId="0" applyFont="1" applyFill="1" applyBorder="1" applyAlignment="1">
      <alignment horizontal="center" vertical="center" wrapText="1"/>
    </xf>
    <xf numFmtId="0" fontId="42" fillId="21" borderId="14" xfId="0" applyFont="1" applyFill="1" applyBorder="1" applyAlignment="1">
      <alignment horizontal="center" vertical="center" wrapText="1"/>
    </xf>
    <xf numFmtId="0" fontId="42" fillId="21" borderId="23" xfId="0" applyFont="1" applyFill="1" applyBorder="1" applyAlignment="1">
      <alignment horizontal="center" vertical="center" wrapText="1"/>
    </xf>
    <xf numFmtId="0" fontId="42" fillId="21" borderId="21" xfId="0" applyFont="1" applyFill="1" applyBorder="1" applyAlignment="1">
      <alignment horizontal="center" vertical="center" wrapText="1"/>
    </xf>
    <xf numFmtId="0" fontId="42" fillId="21" borderId="16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44" fillId="21" borderId="0" xfId="0" applyFont="1" applyFill="1" applyBorder="1" applyAlignment="1">
      <alignment horizontal="center"/>
    </xf>
    <xf numFmtId="0" fontId="45" fillId="21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61" applyFont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/>
      <protection/>
    </xf>
    <xf numFmtId="0" fontId="23" fillId="0" borderId="24" xfId="61" applyFont="1" applyBorder="1" applyAlignment="1">
      <alignment horizontal="center" vertical="center"/>
      <protection/>
    </xf>
    <xf numFmtId="0" fontId="45" fillId="21" borderId="0" xfId="61" applyFont="1" applyFill="1" applyAlignment="1">
      <alignment horizontal="center" vertical="center"/>
      <protection/>
    </xf>
    <xf numFmtId="0" fontId="24" fillId="0" borderId="11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0" fontId="24" fillId="0" borderId="23" xfId="61" applyFont="1" applyBorder="1" applyAlignment="1">
      <alignment horizontal="center" vertical="center"/>
      <protection/>
    </xf>
    <xf numFmtId="0" fontId="44" fillId="21" borderId="0" xfId="61" applyFont="1" applyFill="1" applyAlignment="1">
      <alignment horizontal="center"/>
      <protection/>
    </xf>
    <xf numFmtId="0" fontId="23" fillId="0" borderId="15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43" fillId="0" borderId="10" xfId="66" applyFont="1" applyBorder="1" applyAlignment="1">
      <alignment horizontal="center" vertical="center"/>
      <protection/>
    </xf>
    <xf numFmtId="0" fontId="43" fillId="0" borderId="1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45" fillId="21" borderId="0" xfId="66" applyFont="1" applyFill="1" applyAlignment="1">
      <alignment horizontal="center" vertical="center"/>
      <protection/>
    </xf>
    <xf numFmtId="0" fontId="24" fillId="0" borderId="11" xfId="66" applyFont="1" applyBorder="1" applyAlignment="1">
      <alignment horizontal="center" vertical="center"/>
      <protection/>
    </xf>
    <xf numFmtId="0" fontId="24" fillId="0" borderId="22" xfId="66" applyFont="1" applyBorder="1" applyAlignment="1">
      <alignment horizontal="center" vertical="center"/>
      <protection/>
    </xf>
    <xf numFmtId="0" fontId="24" fillId="0" borderId="23" xfId="66" applyFont="1" applyBorder="1" applyAlignment="1">
      <alignment horizontal="center" vertical="center"/>
      <protection/>
    </xf>
    <xf numFmtId="0" fontId="44" fillId="21" borderId="0" xfId="66" applyFont="1" applyFill="1" applyAlignment="1">
      <alignment horizontal="center"/>
      <protection/>
    </xf>
    <xf numFmtId="0" fontId="23" fillId="0" borderId="15" xfId="66" applyFont="1" applyBorder="1" applyAlignment="1">
      <alignment horizontal="center" vertical="center"/>
      <protection/>
    </xf>
    <xf numFmtId="0" fontId="23" fillId="0" borderId="16" xfId="66" applyFont="1" applyBorder="1" applyAlignment="1">
      <alignment horizontal="center" vertical="center"/>
      <protection/>
    </xf>
    <xf numFmtId="0" fontId="24" fillId="0" borderId="24" xfId="66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 wrapText="1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23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9" borderId="22" xfId="61" applyFont="1" applyFill="1" applyBorder="1" applyAlignment="1">
      <alignment horizontal="center" vertical="center"/>
      <protection/>
    </xf>
    <xf numFmtId="0" fontId="23" fillId="19" borderId="0" xfId="61" applyFont="1" applyFill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19" borderId="22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45" fillId="21" borderId="0" xfId="67" applyFont="1" applyFill="1" applyBorder="1" applyAlignment="1">
      <alignment horizontal="center" vertical="center"/>
      <protection/>
    </xf>
    <xf numFmtId="0" fontId="39" fillId="0" borderId="0" xfId="67" applyFont="1" applyFill="1">
      <alignment/>
      <protection/>
    </xf>
    <xf numFmtId="0" fontId="24" fillId="18" borderId="0" xfId="67" applyFont="1" applyFill="1" applyBorder="1" applyAlignment="1">
      <alignment vertical="center"/>
      <protection/>
    </xf>
    <xf numFmtId="0" fontId="23" fillId="0" borderId="0" xfId="67" applyFont="1" applyFill="1">
      <alignment/>
      <protection/>
    </xf>
    <xf numFmtId="0" fontId="24" fillId="18" borderId="0" xfId="67" applyFont="1" applyFill="1" applyBorder="1" applyAlignment="1">
      <alignment vertical="center" wrapText="1"/>
      <protection/>
    </xf>
    <xf numFmtId="0" fontId="24" fillId="0" borderId="18" xfId="67" applyFont="1" applyFill="1" applyBorder="1" applyAlignment="1" applyProtection="1">
      <alignment horizontal="center" vertical="center"/>
      <protection/>
    </xf>
    <xf numFmtId="0" fontId="24" fillId="0" borderId="13" xfId="67" applyFont="1" applyFill="1" applyBorder="1" applyAlignment="1" applyProtection="1">
      <alignment horizontal="center" vertical="center" wrapText="1"/>
      <protection/>
    </xf>
    <xf numFmtId="0" fontId="24" fillId="0" borderId="24" xfId="67" applyFont="1" applyFill="1" applyBorder="1" applyAlignment="1" applyProtection="1">
      <alignment horizontal="center" vertical="center" wrapText="1"/>
      <protection/>
    </xf>
    <xf numFmtId="0" fontId="24" fillId="0" borderId="12" xfId="67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0" fontId="24" fillId="0" borderId="19" xfId="67" applyFont="1" applyFill="1" applyBorder="1" applyAlignment="1" applyProtection="1">
      <alignment horizontal="center" vertical="center"/>
      <protection/>
    </xf>
    <xf numFmtId="0" fontId="24" fillId="0" borderId="12" xfId="67" applyFont="1" applyFill="1" applyBorder="1" applyAlignment="1" applyProtection="1">
      <alignment horizontal="center" vertical="center"/>
      <protection/>
    </xf>
    <xf numFmtId="0" fontId="24" fillId="0" borderId="13" xfId="67" applyFont="1" applyFill="1" applyBorder="1" applyAlignment="1" applyProtection="1">
      <alignment horizontal="center" vertical="center" wrapText="1"/>
      <protection/>
    </xf>
    <xf numFmtId="0" fontId="24" fillId="0" borderId="21" xfId="67" applyFont="1" applyFill="1" applyBorder="1" applyAlignment="1" applyProtection="1">
      <alignment horizontal="center" vertical="center" wrapText="1"/>
      <protection/>
    </xf>
    <xf numFmtId="0" fontId="24" fillId="0" borderId="16" xfId="67" applyFont="1" applyFill="1" applyBorder="1" applyAlignment="1" applyProtection="1">
      <alignment horizontal="center" vertical="center" wrapText="1"/>
      <protection/>
    </xf>
    <xf numFmtId="0" fontId="24" fillId="20" borderId="18" xfId="67" applyFont="1" applyFill="1" applyBorder="1" applyAlignment="1">
      <alignment horizontal="center" vertical="center"/>
      <protection/>
    </xf>
    <xf numFmtId="0" fontId="24" fillId="20" borderId="0" xfId="67" applyFont="1" applyFill="1" applyBorder="1" applyAlignment="1">
      <alignment horizontal="left" vertical="center"/>
      <protection/>
    </xf>
    <xf numFmtId="0" fontId="24" fillId="20" borderId="14" xfId="67" applyFont="1" applyFill="1" applyBorder="1" applyAlignment="1">
      <alignment horizontal="left" vertical="center"/>
      <protection/>
    </xf>
    <xf numFmtId="0" fontId="24" fillId="20" borderId="20" xfId="67" applyFont="1" applyFill="1" applyBorder="1" applyAlignment="1">
      <alignment horizontal="center" vertical="center"/>
      <protection/>
    </xf>
    <xf numFmtId="0" fontId="24" fillId="20" borderId="14" xfId="67" applyFont="1" applyFill="1" applyBorder="1" applyAlignment="1">
      <alignment horizontal="center" vertical="center"/>
      <protection/>
    </xf>
    <xf numFmtId="182" fontId="24" fillId="20" borderId="20" xfId="57" applyNumberFormat="1" applyFont="1" applyFill="1" applyBorder="1" applyAlignment="1">
      <alignment horizontal="center" vertical="center"/>
    </xf>
    <xf numFmtId="182" fontId="24" fillId="20" borderId="14" xfId="57" applyNumberFormat="1" applyFont="1" applyFill="1" applyBorder="1" applyAlignment="1">
      <alignment horizontal="center" vertical="center"/>
    </xf>
    <xf numFmtId="182" fontId="24" fillId="20" borderId="0" xfId="57" applyNumberFormat="1" applyFont="1" applyFill="1" applyBorder="1" applyAlignment="1">
      <alignment horizontal="center" vertical="center"/>
    </xf>
    <xf numFmtId="182" fontId="24" fillId="20" borderId="15" xfId="57" applyNumberFormat="1" applyFont="1" applyFill="1" applyBorder="1" applyAlignment="1">
      <alignment horizontal="center" vertical="center"/>
    </xf>
    <xf numFmtId="0" fontId="23" fillId="19" borderId="0" xfId="67" applyFont="1" applyFill="1" applyBorder="1">
      <alignment/>
      <protection/>
    </xf>
    <xf numFmtId="0" fontId="24" fillId="19" borderId="0" xfId="67" applyFont="1" applyFill="1" applyBorder="1" applyAlignment="1">
      <alignment vertical="center" wrapText="1"/>
      <protection/>
    </xf>
    <xf numFmtId="0" fontId="23" fillId="19" borderId="0" xfId="67" applyFont="1" applyFill="1">
      <alignment/>
      <protection/>
    </xf>
    <xf numFmtId="0" fontId="23" fillId="19" borderId="0" xfId="67" applyFont="1" applyFill="1" applyBorder="1" applyAlignment="1">
      <alignment horizontal="center"/>
      <protection/>
    </xf>
    <xf numFmtId="2" fontId="23" fillId="19" borderId="0" xfId="67" applyNumberFormat="1" applyFont="1" applyFill="1" applyBorder="1">
      <alignment/>
      <protection/>
    </xf>
    <xf numFmtId="0" fontId="23" fillId="0" borderId="0" xfId="67" applyFont="1" applyFill="1" applyAlignment="1">
      <alignment/>
      <protection/>
    </xf>
    <xf numFmtId="0" fontId="23" fillId="19" borderId="18" xfId="67" applyFont="1" applyFill="1" applyBorder="1" applyAlignment="1">
      <alignment horizontal="center"/>
      <protection/>
    </xf>
    <xf numFmtId="0" fontId="23" fillId="19" borderId="15" xfId="67" applyFont="1" applyFill="1" applyBorder="1">
      <alignment/>
      <protection/>
    </xf>
    <xf numFmtId="1" fontId="23" fillId="19" borderId="15" xfId="67" applyNumberFormat="1" applyFont="1" applyFill="1" applyBorder="1" applyAlignment="1">
      <alignment horizontal="center" vertical="center" wrapText="1"/>
      <protection/>
    </xf>
    <xf numFmtId="182" fontId="23" fillId="19" borderId="15" xfId="67" applyNumberFormat="1" applyFont="1" applyFill="1" applyBorder="1" applyAlignment="1" applyProtection="1">
      <alignment horizontal="center" vertical="center"/>
      <protection/>
    </xf>
    <xf numFmtId="0" fontId="23" fillId="20" borderId="23" xfId="67" applyFont="1" applyFill="1" applyBorder="1" applyAlignment="1">
      <alignment horizontal="center" vertical="center"/>
      <protection/>
    </xf>
    <xf numFmtId="2" fontId="23" fillId="20" borderId="23" xfId="67" applyNumberFormat="1" applyFont="1" applyFill="1" applyBorder="1" applyAlignment="1">
      <alignment horizontal="right" vertical="center"/>
      <protection/>
    </xf>
    <xf numFmtId="2" fontId="23" fillId="20" borderId="16" xfId="67" applyNumberFormat="1" applyFont="1" applyFill="1" applyBorder="1" applyAlignment="1">
      <alignment horizontal="right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4 2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5 2" xfId="66"/>
    <cellStyle name="Normal 5 3" xfId="67"/>
    <cellStyle name="Notas" xfId="68"/>
    <cellStyle name="Percent 2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3</xdr:col>
      <xdr:colOff>542925</xdr:colOff>
      <xdr:row>3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42875"/>
          <a:ext cx="208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104775</xdr:rowOff>
    </xdr:from>
    <xdr:to>
      <xdr:col>14</xdr:col>
      <xdr:colOff>657225</xdr:colOff>
      <xdr:row>3</xdr:row>
      <xdr:rowOff>257175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04775"/>
          <a:ext cx="4248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90625"/>
          <a:ext cx="11430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43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533400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3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7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10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24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7350\AppData\Local\Temp\200922-anexos%20pulso%20social-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B8" sqref="B8:O8"/>
    </sheetView>
  </sheetViews>
  <sheetFormatPr defaultColWidth="11.421875" defaultRowHeight="12.75"/>
  <cols>
    <col min="1" max="1" width="9.140625" style="1" customWidth="1"/>
    <col min="2" max="2" width="4.140625" style="0" customWidth="1"/>
    <col min="7" max="7" width="19.421875" style="0" customWidth="1"/>
    <col min="9" max="9" width="13.00390625" style="0" customWidth="1"/>
  </cols>
  <sheetData>
    <row r="1" spans="1:15" ht="21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ht="21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10"/>
    </row>
    <row r="3" spans="1:15" ht="21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0"/>
    </row>
    <row r="4" spans="1:15" ht="21" customHeigh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10"/>
    </row>
    <row r="5" spans="1:15" ht="21" customHeight="1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3"/>
    </row>
    <row r="6" spans="1:15" s="9" customFormat="1" ht="26.25" customHeight="1">
      <c r="A6" s="214" t="s">
        <v>1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6"/>
    </row>
    <row r="7" spans="1:15" ht="12.75" customHeight="1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1:15" ht="52.5" customHeight="1">
      <c r="A8" s="2">
        <v>0</v>
      </c>
      <c r="B8" s="201" t="s">
        <v>234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4"/>
    </row>
    <row r="9" spans="1:15" ht="52.5" customHeight="1">
      <c r="A9" s="2">
        <v>1</v>
      </c>
      <c r="B9" s="201" t="s">
        <v>162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4"/>
    </row>
    <row r="10" spans="1:15" ht="48" customHeight="1">
      <c r="A10" s="3">
        <v>2</v>
      </c>
      <c r="B10" s="201" t="s">
        <v>163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2"/>
    </row>
    <row r="11" spans="1:15" ht="42.75" customHeight="1">
      <c r="A11" s="3">
        <v>3</v>
      </c>
      <c r="B11" s="201" t="s">
        <v>164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</row>
    <row r="12" spans="1:15" ht="37.5" customHeight="1">
      <c r="A12" s="2">
        <v>4</v>
      </c>
      <c r="B12" s="201" t="s">
        <v>165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4"/>
    </row>
    <row r="13" spans="1:15" ht="37.5" customHeight="1">
      <c r="A13" s="3">
        <v>5</v>
      </c>
      <c r="B13" s="201" t="s">
        <v>166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</row>
    <row r="14" spans="1:15" ht="54.75" customHeight="1">
      <c r="A14" s="3">
        <v>6</v>
      </c>
      <c r="B14" s="201" t="s">
        <v>167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  <row r="15" spans="1:15" ht="48" customHeight="1">
      <c r="A15" s="2">
        <v>7</v>
      </c>
      <c r="B15" s="201" t="s">
        <v>168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4"/>
    </row>
    <row r="16" spans="1:15" ht="37.5" customHeight="1">
      <c r="A16" s="3">
        <v>8</v>
      </c>
      <c r="B16" s="201" t="s">
        <v>169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</row>
    <row r="17" spans="1:15" ht="43.5" customHeight="1">
      <c r="A17" s="3">
        <v>9</v>
      </c>
      <c r="B17" s="201" t="s">
        <v>170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4"/>
    </row>
    <row r="18" spans="1:15" ht="43.5" customHeight="1">
      <c r="A18" s="2">
        <v>10</v>
      </c>
      <c r="B18" s="201" t="s">
        <v>171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4"/>
    </row>
    <row r="19" spans="1:15" ht="43.5" customHeight="1">
      <c r="A19" s="3">
        <v>11</v>
      </c>
      <c r="B19" s="201" t="s">
        <v>173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2"/>
    </row>
    <row r="20" spans="1:15" ht="43.5" customHeight="1">
      <c r="A20" s="3">
        <v>12</v>
      </c>
      <c r="B20" s="201" t="s">
        <v>174</v>
      </c>
      <c r="C20" s="203"/>
      <c r="D20" s="203" t="s">
        <v>0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4"/>
    </row>
    <row r="21" spans="1:15" ht="43.5" customHeight="1">
      <c r="A21" s="2">
        <v>13</v>
      </c>
      <c r="B21" s="201" t="s">
        <v>175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4"/>
    </row>
    <row r="22" spans="1:15" ht="43.5" customHeight="1">
      <c r="A22" s="3">
        <v>14</v>
      </c>
      <c r="B22" s="201" t="s">
        <v>176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4"/>
    </row>
    <row r="23" spans="1:15" ht="43.5" customHeight="1">
      <c r="A23" s="3">
        <v>15</v>
      </c>
      <c r="B23" s="201" t="s">
        <v>177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4"/>
    </row>
    <row r="24" spans="1:15" ht="43.5" customHeight="1">
      <c r="A24" s="2">
        <v>16</v>
      </c>
      <c r="B24" s="201" t="s">
        <v>178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4"/>
    </row>
    <row r="25" spans="1:15" ht="43.5" customHeight="1">
      <c r="A25" s="3">
        <v>17</v>
      </c>
      <c r="B25" s="201" t="s">
        <v>179</v>
      </c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4"/>
    </row>
    <row r="26" spans="1:15" ht="43.5" customHeight="1">
      <c r="A26" s="3">
        <v>18</v>
      </c>
      <c r="B26" s="201" t="s">
        <v>180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4"/>
    </row>
    <row r="27" spans="1:15" ht="43.5" customHeight="1">
      <c r="A27" s="2">
        <v>19</v>
      </c>
      <c r="B27" s="201" t="s">
        <v>181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4"/>
    </row>
    <row r="28" spans="1:15" ht="43.5" customHeight="1">
      <c r="A28" s="3">
        <v>20</v>
      </c>
      <c r="B28" s="201" t="s">
        <v>182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4"/>
    </row>
    <row r="29" spans="1:15" ht="43.5" customHeight="1">
      <c r="A29" s="3">
        <v>21</v>
      </c>
      <c r="B29" s="201" t="s">
        <v>183</v>
      </c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4"/>
    </row>
    <row r="30" spans="1:15" ht="43.5" customHeight="1">
      <c r="A30" s="2">
        <v>22</v>
      </c>
      <c r="B30" s="201" t="s">
        <v>184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4"/>
    </row>
    <row r="31" spans="1:15" ht="43.5" customHeight="1">
      <c r="A31" s="3">
        <v>23</v>
      </c>
      <c r="B31" s="201" t="s">
        <v>185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1:15" ht="43.5" customHeight="1">
      <c r="A32" s="3">
        <v>24</v>
      </c>
      <c r="B32" s="201" t="s">
        <v>186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</row>
    <row r="33" spans="1:15" ht="43.5" customHeight="1">
      <c r="A33" s="2">
        <v>25</v>
      </c>
      <c r="B33" s="201" t="s">
        <v>187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4"/>
    </row>
    <row r="34" spans="1:15" ht="43.5" customHeight="1">
      <c r="A34" s="3">
        <v>26</v>
      </c>
      <c r="B34" s="201" t="s">
        <v>188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</row>
    <row r="35" spans="1:15" ht="43.5" customHeight="1">
      <c r="A35" s="3">
        <v>27</v>
      </c>
      <c r="B35" s="201" t="s">
        <v>189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4"/>
    </row>
    <row r="36" spans="1:15" ht="43.5" customHeight="1">
      <c r="A36" s="2">
        <v>28</v>
      </c>
      <c r="B36" s="201" t="s">
        <v>190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4"/>
    </row>
    <row r="37" spans="1:15" ht="43.5" customHeight="1">
      <c r="A37" s="3">
        <v>29</v>
      </c>
      <c r="B37" s="201" t="s">
        <v>191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4"/>
    </row>
    <row r="38" spans="1:15" ht="43.5" customHeight="1">
      <c r="A38" s="3">
        <v>30</v>
      </c>
      <c r="B38" s="201" t="s">
        <v>192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4"/>
    </row>
    <row r="39" spans="1:15" ht="43.5" customHeight="1">
      <c r="A39" s="2">
        <v>31</v>
      </c>
      <c r="B39" s="201" t="s">
        <v>193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4"/>
    </row>
    <row r="40" spans="1:15" ht="43.5" customHeight="1">
      <c r="A40" s="2">
        <v>32</v>
      </c>
      <c r="B40" s="201" t="s">
        <v>213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4"/>
    </row>
    <row r="41" spans="1:15" ht="43.5" customHeight="1">
      <c r="A41" s="3">
        <v>33</v>
      </c>
      <c r="B41" s="201" t="s">
        <v>214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4"/>
    </row>
    <row r="42" spans="1:15" ht="43.5" customHeight="1">
      <c r="A42" s="3">
        <v>34</v>
      </c>
      <c r="B42" s="201" t="s">
        <v>194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4"/>
    </row>
    <row r="43" spans="1:15" ht="43.5" customHeight="1">
      <c r="A43" s="2">
        <v>35</v>
      </c>
      <c r="B43" s="201" t="s">
        <v>195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</row>
    <row r="44" spans="1:15" ht="43.5" customHeight="1">
      <c r="A44" s="3">
        <v>36</v>
      </c>
      <c r="B44" s="201" t="s">
        <v>197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/>
    </row>
    <row r="45" spans="1:15" ht="43.5" customHeight="1">
      <c r="A45" s="3">
        <v>37</v>
      </c>
      <c r="B45" s="201" t="s">
        <v>198</v>
      </c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2"/>
    </row>
    <row r="46" spans="1:15" ht="45.75" customHeight="1">
      <c r="A46" s="2">
        <v>38</v>
      </c>
      <c r="B46" s="201" t="s">
        <v>199</v>
      </c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2"/>
    </row>
    <row r="47" spans="1:15" ht="45.75" customHeight="1">
      <c r="A47" s="2">
        <v>39</v>
      </c>
      <c r="B47" s="201" t="s">
        <v>196</v>
      </c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2"/>
    </row>
  </sheetData>
  <sheetProtection/>
  <mergeCells count="42">
    <mergeCell ref="B8:O8"/>
    <mergeCell ref="A1:O5"/>
    <mergeCell ref="A6:O7"/>
    <mergeCell ref="B22:O22"/>
    <mergeCell ref="B23:O23"/>
    <mergeCell ref="B24:O24"/>
    <mergeCell ref="B16:O16"/>
    <mergeCell ref="B17:O17"/>
    <mergeCell ref="B14:O14"/>
    <mergeCell ref="B18:O18"/>
    <mergeCell ref="B19:O19"/>
    <mergeCell ref="B15:O15"/>
    <mergeCell ref="B9:O9"/>
    <mergeCell ref="B10:O10"/>
    <mergeCell ref="B11:O11"/>
    <mergeCell ref="B12:O12"/>
    <mergeCell ref="B13:O13"/>
    <mergeCell ref="B20:O20"/>
    <mergeCell ref="B21:O21"/>
    <mergeCell ref="B31:O31"/>
    <mergeCell ref="B32:O32"/>
    <mergeCell ref="B25:O25"/>
    <mergeCell ref="B30:O30"/>
    <mergeCell ref="B26:O26"/>
    <mergeCell ref="B27:O27"/>
    <mergeCell ref="B28:O28"/>
    <mergeCell ref="B29:O29"/>
    <mergeCell ref="B33:O33"/>
    <mergeCell ref="B34:O34"/>
    <mergeCell ref="B35:O35"/>
    <mergeCell ref="B36:O36"/>
    <mergeCell ref="B45:O45"/>
    <mergeCell ref="B46:O46"/>
    <mergeCell ref="B47:O47"/>
    <mergeCell ref="B37:O37"/>
    <mergeCell ref="B38:O38"/>
    <mergeCell ref="B39:O39"/>
    <mergeCell ref="B42:O42"/>
    <mergeCell ref="B43:O43"/>
    <mergeCell ref="B44:O44"/>
    <mergeCell ref="B40:O40"/>
    <mergeCell ref="B41:O41"/>
  </mergeCells>
  <hyperlinks>
    <hyperlink ref="B9" location="'cc1'!A1" display="cc1. ¿Cómo considera usted la situación económica de su hogar comparada con la de hace 12 meses?"/>
    <hyperlink ref="C9" location="'cc1'!A1" display="'cc1'!A1"/>
    <hyperlink ref="D9" location="'cc1'!A1" display="'cc1'!A1"/>
    <hyperlink ref="E9" location="'cc1'!A1" display="'cc1'!A1"/>
    <hyperlink ref="F9" location="'cc1'!A1" display="'cc1'!A1"/>
    <hyperlink ref="G9" location="'cc1'!A1" display="'cc1'!A1"/>
    <hyperlink ref="H9" location="'cc1'!A1" display="'cc1'!A1"/>
    <hyperlink ref="I9" location="'cc1'!A1" display="'cc1'!A1"/>
    <hyperlink ref="J9" location="'cc1'!A1" display="'cc1'!A1"/>
    <hyperlink ref="K9" location="'cc1'!A1" display="'cc1'!A1"/>
    <hyperlink ref="L9" location="'cc1'!A1" display="'cc1'!A1"/>
    <hyperlink ref="M9" location="'cc1'!A1" display="'cc1'!A1"/>
    <hyperlink ref="N9" location="'cc1'!A1" display="'cc1'!A1"/>
    <hyperlink ref="O9" location="'cc1'!A1" display="'cc1'!A1"/>
    <hyperlink ref="B10" location="'cc2'!A1" display="cc2. ¿Cómo cree usted que será la situación económica de su hogar dentro de 12 meses comparada con la actual?&#13;"/>
    <hyperlink ref="C10" location="'cc2'!A1" display="'cc2'!A1"/>
    <hyperlink ref="D10" location="'cc2'!A1" display="'cc2'!A1"/>
    <hyperlink ref="E10" location="'cc2'!A1" display="'cc2'!A1"/>
    <hyperlink ref="F10" location="'cc2'!A1" display="'cc2'!A1"/>
    <hyperlink ref="G10" location="'cc2'!A1" display="'cc2'!A1"/>
    <hyperlink ref="H10" location="'cc2'!A1" display="'cc2'!A1"/>
    <hyperlink ref="I10" location="'cc2'!A1" display="'cc2'!A1"/>
    <hyperlink ref="J10" location="'cc2'!A1" display="'cc2'!A1"/>
    <hyperlink ref="K10" location="'cc2'!A1" display="'cc2'!A1"/>
    <hyperlink ref="L10" location="'cc2'!A1" display="'cc2'!A1"/>
    <hyperlink ref="M10" location="'cc2'!A1" display="'cc2'!A1"/>
    <hyperlink ref="N10" location="'cc2'!A1" display="'cc2'!A1"/>
    <hyperlink ref="O10" location="'cc2'!A1" display="'cc2'!A1"/>
    <hyperlink ref="B11" location="'cc3'!A1" display="cc3. ¿Cómo considera hoy la situación económica del país comparada con la de hace 12 meses?"/>
    <hyperlink ref="C11" location="'cc3'!A1" display="'cc3'!A1"/>
    <hyperlink ref="D11" location="'cc3'!A1" display="'cc3'!A1"/>
    <hyperlink ref="E11" location="'cc3'!A1" display="'cc3'!A1"/>
    <hyperlink ref="F11" location="'cc3'!A1" display="'cc3'!A1"/>
    <hyperlink ref="G11" location="'cc3'!A1" display="'cc3'!A1"/>
    <hyperlink ref="H11" location="'cc3'!A1" display="'cc3'!A1"/>
    <hyperlink ref="I11" location="'cc3'!A1" display="'cc3'!A1"/>
    <hyperlink ref="J11" location="'cc3'!A1" display="'cc3'!A1"/>
    <hyperlink ref="K11" location="'cc3'!A1" display="'cc3'!A1"/>
    <hyperlink ref="L11" location="'cc3'!A1" display="'cc3'!A1"/>
    <hyperlink ref="M11" location="'cc3'!A1" display="'cc3'!A1"/>
    <hyperlink ref="N11" location="'cc3'!A1" display="'cc3'!A1"/>
    <hyperlink ref="O11" location="'cc3'!A1" display="'cc3'!A1"/>
    <hyperlink ref="B12" location="'cc4'!A1" display="cc4. ¿Cómo considera que será la situación económica del país dentro de 12 meses comparada con la situación actual?"/>
    <hyperlink ref="C12" location="'cc4'!A1" display="'cc4'!A1"/>
    <hyperlink ref="D12" location="'cc4'!A1" display="'cc4'!A1"/>
    <hyperlink ref="E12" location="'cc4'!A1" display="'cc4'!A1"/>
    <hyperlink ref="F12" location="'cc4'!A1" display="'cc4'!A1"/>
    <hyperlink ref="G12" location="'cc4'!A1" display="'cc4'!A1"/>
    <hyperlink ref="H12" location="'cc4'!A1" display="'cc4'!A1"/>
    <hyperlink ref="I12" location="'cc4'!A1" display="'cc4'!A1"/>
    <hyperlink ref="J12" location="'cc4'!A1" display="'cc4'!A1"/>
    <hyperlink ref="K12" location="'cc4'!A1" display="'cc4'!A1"/>
    <hyperlink ref="L12" location="'cc4'!A1" display="'cc4'!A1"/>
    <hyperlink ref="M12" location="'cc4'!A1" display="'cc4'!A1"/>
    <hyperlink ref="N12" location="'cc4'!A1" display="'cc4'!A1"/>
    <hyperlink ref="O12" location="'cc4'!A1" display="'cc4'!A1"/>
    <hyperlink ref="B13" location="'cc5'!A1" display="cc5. Comparando la situación económica actual con la de hace un año, ¿tiene en este momento mayores posibilidades de comprar ropa, zapatos, alimentos, etc.?&#13;Totales y porcentajes por sexo, edad, nivel educativo y tamaño del hogar de los jefes de hogar y s"/>
    <hyperlink ref="C13" location="'cc5'!A1" display="'cc5'!A1"/>
    <hyperlink ref="D13" location="'cc5'!A1" display="'cc5'!A1"/>
    <hyperlink ref="E13" location="'cc5'!A1" display="'cc5'!A1"/>
    <hyperlink ref="F13" location="'cc5'!A1" display="'cc5'!A1"/>
    <hyperlink ref="G13" location="'cc5'!A1" display="'cc5'!A1"/>
    <hyperlink ref="H13" location="'cc5'!A1" display="'cc5'!A1"/>
    <hyperlink ref="I13" location="'cc5'!A1" display="'cc5'!A1"/>
    <hyperlink ref="J13" location="'cc5'!A1" display="'cc5'!A1"/>
    <hyperlink ref="K13" location="'cc5'!A1" display="'cc5'!A1"/>
    <hyperlink ref="L13" location="'cc5'!A1" display="'cc5'!A1"/>
    <hyperlink ref="M13" location="'cc5'!A1" display="'cc5'!A1"/>
    <hyperlink ref="N13" location="'cc5'!A1" display="'cc5'!A1"/>
    <hyperlink ref="O13" location="'cc5'!A1" display="'cc5'!A1"/>
    <hyperlink ref="B14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&#13;T"/>
    <hyperlink ref="C14" location="'cc6'!A1" display="'cc6'!A1"/>
    <hyperlink ref="D14" location="'cc6'!A1" display="'cc6'!A1"/>
    <hyperlink ref="E14" location="'cc6'!A1" display="'cc6'!A1"/>
    <hyperlink ref="F14" location="'cc6'!A1" display="'cc6'!A1"/>
    <hyperlink ref="G14" location="'cc6'!A1" display="'cc6'!A1"/>
    <hyperlink ref="H14" location="'cc6'!A1" display="'cc6'!A1"/>
    <hyperlink ref="I14" location="'cc6'!A1" display="'cc6'!A1"/>
    <hyperlink ref="J14" location="'cc6'!A1" display="'cc6'!A1"/>
    <hyperlink ref="K14" location="'cc6'!A1" display="'cc6'!A1"/>
    <hyperlink ref="L14" location="'cc6'!A1" display="'cc6'!A1"/>
    <hyperlink ref="M14" location="'cc6'!A1" display="'cc6'!A1"/>
    <hyperlink ref="N14" location="'cc6'!A1" display="'cc6'!A1"/>
    <hyperlink ref="O14" location="'cc6'!A1" display="'cc6'!A1"/>
    <hyperlink ref="B15" location="'cc7'!A1" display="cc7. ¿Considera que durante los próximos 12 meses usted o alguno de los miembros de su hogar tendrán dinero disponible para salir de vacaciones?&#13;Totales y porcentajes por sexo, edad, nivel educativo y tamaño del hogar de los jefes de hogar y sus cónyuges&#13;"/>
    <hyperlink ref="C15" location="'cc7'!A1" display="'cc7'!A1"/>
    <hyperlink ref="D15" location="'cc7'!A1" display="'cc7'!A1"/>
    <hyperlink ref="E15" location="'cc7'!A1" display="'cc7'!A1"/>
    <hyperlink ref="F15" location="'cc7'!A1" display="'cc7'!A1"/>
    <hyperlink ref="G15" location="'cc7'!A1" display="'cc7'!A1"/>
    <hyperlink ref="H15" location="'cc7'!A1" display="'cc7'!A1"/>
    <hyperlink ref="I15" location="'cc7'!A1" display="'cc7'!A1"/>
    <hyperlink ref="J15" location="'cc7'!A1" display="'cc7'!A1"/>
    <hyperlink ref="K15" location="'cc7'!A1" display="'cc7'!A1"/>
    <hyperlink ref="L15" location="'cc7'!A1" display="'cc7'!A1"/>
    <hyperlink ref="M15" location="'cc7'!A1" display="'cc7'!A1"/>
    <hyperlink ref="N15" location="'cc7'!A1" display="'cc7'!A1"/>
    <hyperlink ref="O15" location="'cc7'!A1" display="'cc7'!A1"/>
    <hyperlink ref="B16" location="'cc8'!A1" display="cc8. ¿Actualmente tiene posibilidades de ahorrar alguna parte de sus ingresos?&#13;Totales y porcentajes por sexo, edad, nivel educativo y tamaño del hogar de los jefes de hogar y sus cónyuges&#13;Total 23 ciudades y sus áreas metropolitanas"/>
    <hyperlink ref="C16" location="'cc8'!A1" display="'cc8'!A1"/>
    <hyperlink ref="D16" location="'cc8'!A1" display="'cc8'!A1"/>
    <hyperlink ref="E16" location="'cc8'!A1" display="'cc8'!A1"/>
    <hyperlink ref="F16" location="'cc8'!A1" display="'cc8'!A1"/>
    <hyperlink ref="G16" location="'cc8'!A1" display="'cc8'!A1"/>
    <hyperlink ref="H16" location="'cc8'!A1" display="'cc8'!A1"/>
    <hyperlink ref="I16" location="'cc8'!A1" display="'cc8'!A1"/>
    <hyperlink ref="J16" location="'cc8'!A1" display="'cc8'!A1"/>
    <hyperlink ref="K16" location="'cc8'!A1" display="'cc8'!A1"/>
    <hyperlink ref="L16" location="'cc8'!A1" display="'cc8'!A1"/>
    <hyperlink ref="M16" location="'cc8'!A1" display="'cc8'!A1"/>
    <hyperlink ref="N16" location="'cc8'!A1" display="'cc8'!A1"/>
    <hyperlink ref="O16" location="'cc8'!A1" display="'cc8'!A1"/>
    <hyperlink ref="B17" location="'cc9'!A1" display="cc9. ¿Cómo considera que serán sus condiciones económicas para ahorrar dentro de 12 meses comparadas con las actuales?&#13;Totales y porcentajes por sexo, edad, nivel educativo y tamaño del hogar de los jefes de hogar y sus cónyuges&#13;Total 23 ciudades y sus ár"/>
    <hyperlink ref="C17" location="'cc9'!A1" display="'cc9'!A1"/>
    <hyperlink ref="D17" location="'cc9'!A1" display="'cc9'!A1"/>
    <hyperlink ref="E17" location="'cc9'!A1" display="'cc9'!A1"/>
    <hyperlink ref="F17" location="'cc9'!A1" display="'cc9'!A1"/>
    <hyperlink ref="G17" location="'cc9'!A1" display="'cc9'!A1"/>
    <hyperlink ref="H17" location="'cc9'!A1" display="'cc9'!A1"/>
    <hyperlink ref="I17" location="'cc9'!A1" display="'cc9'!A1"/>
    <hyperlink ref="J17" location="'cc9'!A1" display="'cc9'!A1"/>
    <hyperlink ref="K17" location="'cc9'!A1" display="'cc9'!A1"/>
    <hyperlink ref="L17" location="'cc9'!A1" display="'cc9'!A1"/>
    <hyperlink ref="M17" location="'cc9'!A1" display="'cc9'!A1"/>
    <hyperlink ref="N17" location="'cc9'!A1" display="'cc9'!A1"/>
    <hyperlink ref="O17" location="'cc9'!A1" display="'cc9'!A1"/>
    <hyperlink ref="B18" location="'cc10'!A1" display="cc10. Comparando con los 12 meses anteriores, ¿cómo cree usted que se comportarán los precios en el país en los siguientes 12 meses?&#13;Totales y porcentajes por sexo, edad, nivel educativo y tamaño del hogar de los jefes de hogar y sus cónyuges&#13;Total 23 ciu"/>
    <hyperlink ref="C18" location="'cc10'!A1" display="'cc10'!A1"/>
    <hyperlink ref="D18" location="'cc10'!A1" display="'cc10'!A1"/>
    <hyperlink ref="E18" location="'cc10'!A1" display="'cc10'!A1"/>
    <hyperlink ref="F18" location="'cc10'!A1" display="'cc10'!A1"/>
    <hyperlink ref="G18" location="'cc10'!A1" display="'cc10'!A1"/>
    <hyperlink ref="H18" location="'cc10'!A1" display="'cc10'!A1"/>
    <hyperlink ref="I18" location="'cc10'!A1" display="'cc10'!A1"/>
    <hyperlink ref="J18" location="'cc10'!A1" display="'cc10'!A1"/>
    <hyperlink ref="K18" location="'cc10'!A1" display="'cc10'!A1"/>
    <hyperlink ref="L18" location="'cc10'!A1" display="'cc10'!A1"/>
    <hyperlink ref="M18" location="'cc10'!A1" display="'cc10'!A1"/>
    <hyperlink ref="N18" location="'cc10'!A1" display="'cc10'!A1"/>
    <hyperlink ref="O18" location="'cc10'!A1" display="'cc10'!A1"/>
    <hyperlink ref="B19" location="'cc11'!A1" display="cc11. Cree que el empleo en el país en los próximos 12 meses…&#13;Totales y porcentajes por sexo, edad, nivel educativo y tamaño del hogar de los jefes de hogar y sus cónyuges&#13;Total 23 ciudades y sus áreas metropolitanas"/>
    <hyperlink ref="C19" location="'cc11'!A1" display="'cc11'!A1"/>
    <hyperlink ref="D19" location="'cc11'!A1" display="'cc11'!A1"/>
    <hyperlink ref="E19" location="'cc11'!A1" display="'cc11'!A1"/>
    <hyperlink ref="F19" location="'cc11'!A1" display="'cc11'!A1"/>
    <hyperlink ref="G19" location="'cc11'!A1" display="'cc11'!A1"/>
    <hyperlink ref="H19" location="'cc11'!A1" display="'cc11'!A1"/>
    <hyperlink ref="I19" location="'cc11'!A1" display="'cc11'!A1"/>
    <hyperlink ref="J19" location="'cc11'!A1" display="'cc11'!A1"/>
    <hyperlink ref="K19" location="'cc11'!A1" display="'cc11'!A1"/>
    <hyperlink ref="L19" location="'cc11'!A1" display="'cc11'!A1"/>
    <hyperlink ref="M19" location="'cc11'!A1" display="'cc11'!A1"/>
    <hyperlink ref="N19" location="'cc11'!A1" display="'cc11'!A1"/>
    <hyperlink ref="O19" location="'cc11'!A1" display="'cc11'!A1"/>
    <hyperlink ref="B20" location="'cc12'!A1" display="cc12. ¿Algún miembro de su hogar o usted está planeando comprar un automóvil nuevo o usado en los próximos 2 años?&#13;Totales y porcentajes por sexo, edad, nivel educativo y tamaño del hogar de los jefes de hogar y sus cónyuges&#13;Total 23 ciudades y sus áreas "/>
    <hyperlink ref="C20" location="'cc12'!A1" display="'cc12'!A1"/>
    <hyperlink ref="D20" location="'cc12'!A1" display=" "/>
    <hyperlink ref="E20" location="'cc12'!A1" display="'cc12'!A1"/>
    <hyperlink ref="F20" location="'cc12'!A1" display="'cc12'!A1"/>
    <hyperlink ref="G20" location="'cc12'!A1" display="'cc12'!A1"/>
    <hyperlink ref="H20" location="'cc12'!A1" display="'cc12'!A1"/>
    <hyperlink ref="I20" location="'cc12'!A1" display="'cc12'!A1"/>
    <hyperlink ref="J20" location="'cc12'!A1" display="'cc12'!A1"/>
    <hyperlink ref="K20" location="'cc12'!A1" display="'cc12'!A1"/>
    <hyperlink ref="L20" location="'cc12'!A1" display="'cc12'!A1"/>
    <hyperlink ref="M20" location="'cc12'!A1" display="'cc12'!A1"/>
    <hyperlink ref="N20" location="'cc12'!A1" display="'cc12'!A1"/>
    <hyperlink ref="O20" location="'cc12'!A1" display="'cc12'!A1"/>
    <hyperlink ref="B21" location="'cc13'!A1" display="cc13. ¿Algún miembro de su hogar o usted está planeando comprar, construir o remodelar una vivienda en los próximos 2 años?&#13;Totales y porcentajes por sexo, edad, nivel educativo y tamaño del hogar de los jefes de hogar y sus cónyuges&#13;Total 23 ciudades y s"/>
    <hyperlink ref="C21" location="'cc13'!A1" display="'cc13'!A1"/>
    <hyperlink ref="D21" location="'cc13'!A1" display="'cc13'!A1"/>
    <hyperlink ref="E21" location="'cc13'!A1" display="'cc13'!A1"/>
    <hyperlink ref="F21" location="'cc13'!A1" display="'cc13'!A1"/>
    <hyperlink ref="G21" location="'cc13'!A1" display="'cc13'!A1"/>
    <hyperlink ref="H21" location="'cc13'!A1" display="'cc13'!A1"/>
    <hyperlink ref="I21" location="'cc13'!A1" display="'cc13'!A1"/>
    <hyperlink ref="J21" location="'cc13'!A1" display="'cc13'!A1"/>
    <hyperlink ref="K21" location="'cc13'!A1" display="'cc13'!A1"/>
    <hyperlink ref="L21" location="'cc13'!A1" display="'cc13'!A1"/>
    <hyperlink ref="M21" location="'cc13'!A1" display="'cc13'!A1"/>
    <hyperlink ref="N21" location="'cc13'!A1" display="'cc13'!A1"/>
    <hyperlink ref="O21" location="'cc13'!A1" display="'cc13'!A1"/>
    <hyperlink ref="B22" location="'bs1'!A1" display="bs1. En general su estado de salud hoy en día es…&#13;Totales y porcentajes por sexo, edad, nivel educativo y tamaño del hogar de los jefes de hogar y sus cónyuges&#13;Total 23 ciudades y sus áreas metropolitanas"/>
    <hyperlink ref="C22" location="'bs1'!A1" display="'bs1'!A1"/>
    <hyperlink ref="D22" location="'bs1'!A1" display="'bs1'!A1"/>
    <hyperlink ref="E22" location="'bs1'!A1" display="'bs1'!A1"/>
    <hyperlink ref="F22" location="'bs1'!A1" display="'bs1'!A1"/>
    <hyperlink ref="G22" location="'bs1'!A1" display="'bs1'!A1"/>
    <hyperlink ref="H22" location="'bs1'!A1" display="'bs1'!A1"/>
    <hyperlink ref="I22" location="'bs1'!A1" display="'bs1'!A1"/>
    <hyperlink ref="J22" location="'bs1'!A1" display="'bs1'!A1"/>
    <hyperlink ref="K22" location="'bs1'!A1" display="'bs1'!A1"/>
    <hyperlink ref="L22" location="'bs1'!A1" display="'bs1'!A1"/>
    <hyperlink ref="M22" location="'bs1'!A1" display="'bs1'!A1"/>
    <hyperlink ref="N22" location="'bs1'!A1" display="'bs1'!A1"/>
    <hyperlink ref="O22" location="'bs1'!A1" display="'bs1'!A1"/>
    <hyperlink ref="B23" location="'bs2'!A1" display="bs2. Y comparado con su estado de salud hace 12 meses, su estado de salud hoy en día es…&#13;Totales y porcentajes por sexo, edad, nivel educativo y tamaño del hogar de los jefes de hogar y sus cónyuges&#13;Total 23 ciudades y sus áreas metropolitanas"/>
    <hyperlink ref="C23" location="'bs2'!A1" display="'bs2'!A1"/>
    <hyperlink ref="D23" location="'bs2'!A1" display="'bs2'!A1"/>
    <hyperlink ref="E23" location="'bs2'!A1" display="'bs2'!A1"/>
    <hyperlink ref="F23" location="'bs2'!A1" display="'bs2'!A1"/>
    <hyperlink ref="G23" location="'bs2'!A1" display="'bs2'!A1"/>
    <hyperlink ref="H23" location="'bs2'!A1" display="'bs2'!A1"/>
    <hyperlink ref="I23" location="'bs2'!A1" display="'bs2'!A1"/>
    <hyperlink ref="J23" location="'bs2'!A1" display="'bs2'!A1"/>
    <hyperlink ref="K23" location="'bs2'!A1" display="'bs2'!A1"/>
    <hyperlink ref="L23" location="'bs2'!A1" display="'bs2'!A1"/>
    <hyperlink ref="M23" location="'bs2'!A1" display="'bs2'!A1"/>
    <hyperlink ref="N23" location="'bs2'!A1" display="'bs2'!A1"/>
    <hyperlink ref="O23" location="'bs2'!A1" display="'bs2'!A1"/>
    <hyperlink ref="B24" location="'bs4'!A1" display="bs4. ¿Qué tan preocupado(a) se encuentra de contagiarse de coronavirus?&#13;Totales y porcentajes por sexo, edad, nivel educativo y tamaño del hogar de los jefes de hogar y sus cónyuges&#13;Total 23 ciudades y sus áreas metropolitanas"/>
    <hyperlink ref="C24" location="'bs4'!A1" display="'bs4'!A1"/>
    <hyperlink ref="D24" location="'bs4'!A1" display="'bs4'!A1"/>
    <hyperlink ref="E24" location="'bs4'!A1" display="'bs4'!A1"/>
    <hyperlink ref="F24" location="'bs4'!A1" display="'bs4'!A1"/>
    <hyperlink ref="G24" location="'bs4'!A1" display="'bs4'!A1"/>
    <hyperlink ref="H24" location="'bs4'!A1" display="'bs4'!A1"/>
    <hyperlink ref="I24" location="'bs4'!A1" display="'bs4'!A1"/>
    <hyperlink ref="J24" location="'bs4'!A1" display="'bs4'!A1"/>
    <hyperlink ref="K24" location="'bs4'!A1" display="'bs4'!A1"/>
    <hyperlink ref="L24" location="'bs4'!A1" display="'bs4'!A1"/>
    <hyperlink ref="M24" location="'bs4'!A1" display="'bs4'!A1"/>
    <hyperlink ref="N24" location="'bs4'!A1" display="'bs4'!A1"/>
    <hyperlink ref="O24" location="'bs4'!A1" display="'bs4'!A1"/>
    <hyperlink ref="B25" location="'bs5'!A1" display="bs5. En caso que se encontrara disponible, ¿estaría usted interesado(a) en aplicarse la vacuna en contra del coronavirus?&#13;Totales y porcentajes por sexo, edad, nivel educativo y tamaño del hogar de los jefes de hogar y sus cónyuges&#13;Total 23 ciudades y sus"/>
    <hyperlink ref="C25" location="'bs5'!A1" display="'bs5'!A1"/>
    <hyperlink ref="D25" location="'bs5'!A1" display="'bs5'!A1"/>
    <hyperlink ref="E25" location="'bs5'!A1" display="'bs5'!A1"/>
    <hyperlink ref="F25" location="'bs5'!A1" display="'bs5'!A1"/>
    <hyperlink ref="G25" location="'bs5'!A1" display="'bs5'!A1"/>
    <hyperlink ref="H25" location="'bs5'!A1" display="'bs5'!A1"/>
    <hyperlink ref="I25" location="'bs5'!A1" display="'bs5'!A1"/>
    <hyperlink ref="J25" location="'bs5'!A1" display="'bs5'!A1"/>
    <hyperlink ref="K25" location="'bs5'!A1" display="'bs5'!A1"/>
    <hyperlink ref="L25" location="'bs5'!A1" display="'bs5'!A1"/>
    <hyperlink ref="M25" location="'bs5'!A1" display="'bs5'!A1"/>
    <hyperlink ref="N25" location="'bs5'!A1" display="'bs5'!A1"/>
    <hyperlink ref="O25" location="'bs5'!A1" display="'bs5'!A1"/>
    <hyperlink ref="B26" location="'bs6'!A1" display="bs6. Durante los últimos 7 días usted ha sentido…&#13;Totales y porcentajes por sexo, edad, nivel educativo y tamaño del hogar de los jefes de hogar y sus cónyuges&#13;Total 23 ciudades y sus áreas metropolitanas"/>
    <hyperlink ref="C26" location="'bs6'!A1" display="'bs6'!A1"/>
    <hyperlink ref="D26" location="'bs6'!A1" display="'bs6'!A1"/>
    <hyperlink ref="E26" location="'bs6'!A1" display="'bs6'!A1"/>
    <hyperlink ref="F26" location="'bs6'!A1" display="'bs6'!A1"/>
    <hyperlink ref="G26" location="'bs6'!A1" display="'bs6'!A1"/>
    <hyperlink ref="H26" location="'bs6'!A1" display="'bs6'!A1"/>
    <hyperlink ref="I26" location="'bs6'!A1" display="'bs6'!A1"/>
    <hyperlink ref="J26" location="'bs6'!A1" display="'bs6'!A1"/>
    <hyperlink ref="K26" location="'bs6'!A1" display="'bs6'!A1"/>
    <hyperlink ref="L26" location="'bs6'!A1" display="'bs6'!A1"/>
    <hyperlink ref="M26" location="'bs6'!A1" display="'bs6'!A1"/>
    <hyperlink ref="N26" location="'bs6'!A1" display="'bs6'!A1"/>
    <hyperlink ref="O26" location="'bs6'!A1" display="'bs6'!A1"/>
    <hyperlink ref="B27" location="'bs7'!A1" display="bs7. Durante los últimos 7 días, ¿ha realizado alguna de las siguientes actividades para sentirse mejor?&#13;Totales y porcentajes por sexo, edad, nivel educativo y tamaño del hogar de los jefes de hogar y sus cónyuges&#13;Total 23 ciudades y sus áreas metropolit"/>
    <hyperlink ref="C27" location="'bs7'!A1" display="'bs7'!A1"/>
    <hyperlink ref="D27" location="'bs7'!A1" display="'bs7'!A1"/>
    <hyperlink ref="E27" location="'bs7'!A1" display="'bs7'!A1"/>
    <hyperlink ref="F27" location="'bs7'!A1" display="'bs7'!A1"/>
    <hyperlink ref="G27" location="'bs7'!A1" display="'bs7'!A1"/>
    <hyperlink ref="H27" location="'bs7'!A1" display="'bs7'!A1"/>
    <hyperlink ref="I27" location="'bs7'!A1" display="'bs7'!A1"/>
    <hyperlink ref="J27" location="'bs7'!A1" display="'bs7'!A1"/>
    <hyperlink ref="K27" location="'bs7'!A1" display="'bs7'!A1"/>
    <hyperlink ref="L27" location="'bs7'!A1" display="'bs7'!A1"/>
    <hyperlink ref="M27" location="'bs7'!A1" display="'bs7'!A1"/>
    <hyperlink ref="N27" location="'bs7'!A1" display="'bs7'!A1"/>
    <hyperlink ref="O27" location="'bs7'!A1" display="'bs7'!A1"/>
    <hyperlink ref="B28" location="bs8_a!A1" display="bs8_a. En una escala de 1 a 5, en donde 1 significa nada y 5 completamente, ¿cuánto confía usted en los siguientes grupos de personas? Vecinos(as)&#13;Totales y porcentajes por sexo, edad, nivel educativo y tamaño del hogar de los jefes de hogar y sus cónyuge"/>
    <hyperlink ref="C28" location="bs8_a!A1" display="bs8_a!A1"/>
    <hyperlink ref="D28" location="bs8_a!A1" display="bs8_a!A1"/>
    <hyperlink ref="E28" location="bs8_a!A1" display="bs8_a!A1"/>
    <hyperlink ref="F28" location="bs8_a!A1" display="bs8_a!A1"/>
    <hyperlink ref="G28" location="bs8_a!A1" display="bs8_a!A1"/>
    <hyperlink ref="H28" location="bs8_a!A1" display="bs8_a!A1"/>
    <hyperlink ref="I28" location="bs8_a!A1" display="bs8_a!A1"/>
    <hyperlink ref="J28" location="bs8_a!A1" display="bs8_a!A1"/>
    <hyperlink ref="K28" location="bs8_a!A1" display="bs8_a!A1"/>
    <hyperlink ref="L28" location="bs8_a!A1" display="bs8_a!A1"/>
    <hyperlink ref="M28" location="bs8_a!A1" display="bs8_a!A1"/>
    <hyperlink ref="N28" location="bs8_a!A1" display="bs8_a!A1"/>
    <hyperlink ref="O28" location="bs8_a!A1" display="bs8_a!A1"/>
    <hyperlink ref="B29" location="bs8_b!A1" display="bs8_b. En una escala de 1 a 5, en donde 1 significa nada y 5 completamente, ¿cuánto confía usted en los siguientes grupos de personas? Desconocidos&#13;Totales y porcentajes por sexo, edad, nivel educativo y tamaño del hogar de los jefes de hogar y sus cónyug"/>
    <hyperlink ref="C29" location="bs8_b!A1" display="bs8_b!A1"/>
    <hyperlink ref="D29" location="bs8_b!A1" display="bs8_b!A1"/>
    <hyperlink ref="E29" location="bs8_b!A1" display="bs8_b!A1"/>
    <hyperlink ref="F29" location="bs8_b!A1" display="bs8_b!A1"/>
    <hyperlink ref="G29" location="bs8_b!A1" display="bs8_b!A1"/>
    <hyperlink ref="H29" location="bs8_b!A1" display="bs8_b!A1"/>
    <hyperlink ref="I29" location="bs8_b!A1" display="bs8_b!A1"/>
    <hyperlink ref="J29" location="bs8_b!A1" display="bs8_b!A1"/>
    <hyperlink ref="K29" location="bs8_b!A1" display="bs8_b!A1"/>
    <hyperlink ref="L29" location="bs8_b!A1" display="bs8_b!A1"/>
    <hyperlink ref="M29" location="bs8_b!A1" display="bs8_b!A1"/>
    <hyperlink ref="N29" location="bs8_b!A1" display="bs8_b!A1"/>
    <hyperlink ref="O29" location="bs8_b!A1" display="bs8_b!A1"/>
    <hyperlink ref="B30" location="bs8_c!A1" display="bs8_c. En una escala de 1 a 5, en donde 1 significa nada y 5 completamente, ¿cuánto confía usted en los siguientes grupos de personas? Personas de otra nacionalidad&#13;Totales y porcentajes por sexo, edad, nivel educativo y tamaño del hogar de los jefes de h"/>
    <hyperlink ref="C30" location="bs8_c!A1" display="bs8_c!A1"/>
    <hyperlink ref="D30" location="bs8_c!A1" display="bs8_c!A1"/>
    <hyperlink ref="E30" location="bs8_c!A1" display="bs8_c!A1"/>
    <hyperlink ref="F30" location="bs8_c!A1" display="bs8_c!A1"/>
    <hyperlink ref="G30" location="bs8_c!A1" display="bs8_c!A1"/>
    <hyperlink ref="H30" location="bs8_c!A1" display="bs8_c!A1"/>
    <hyperlink ref="I30" location="bs8_c!A1" display="bs8_c!A1"/>
    <hyperlink ref="J30" location="bs8_c!A1" display="bs8_c!A1"/>
    <hyperlink ref="K30" location="bs8_c!A1" display="bs8_c!A1"/>
    <hyperlink ref="L30" location="bs8_c!A1" display="bs8_c!A1"/>
    <hyperlink ref="M30" location="bs8_c!A1" display="bs8_c!A1"/>
    <hyperlink ref="N30" location="bs8_c!A1" display="bs8_c!A1"/>
    <hyperlink ref="O30" location="bs8_c!A1" display="bs8_c!A1"/>
    <hyperlink ref="B31" location="bs8_d!A1" display="bs8_d. En una escala de 1 a 5, en donde 1 significa nada y 5 completamente, ¿cuánto confía usted en los siguientes grupos de personas? Científicos en este país&#13;Totales y porcentajes por sexo, edad, nivel educativo y tamaño del hogar de los jefes de hogar "/>
    <hyperlink ref="C31" location="bs8_d!A1" display="bs8_d!A1"/>
    <hyperlink ref="D31" location="bs8_d!A1" display="bs8_d!A1"/>
    <hyperlink ref="E31" location="bs8_d!A1" display="bs8_d!A1"/>
    <hyperlink ref="F31" location="bs8_d!A1" display="bs8_d!A1"/>
    <hyperlink ref="G31" location="bs8_d!A1" display="bs8_d!A1"/>
    <hyperlink ref="H31" location="bs8_d!A1" display="bs8_d!A1"/>
    <hyperlink ref="I31" location="bs8_d!A1" display="bs8_d!A1"/>
    <hyperlink ref="J31" location="bs8_d!A1" display="bs8_d!A1"/>
    <hyperlink ref="K31" location="bs8_d!A1" display="bs8_d!A1"/>
    <hyperlink ref="L31" location="bs8_d!A1" display="bs8_d!A1"/>
    <hyperlink ref="M31" location="bs8_d!A1" display="bs8_d!A1"/>
    <hyperlink ref="N31" location="bs8_d!A1" display="bs8_d!A1"/>
    <hyperlink ref="O31" location="bs8_d!A1" display="bs8_d!A1"/>
    <hyperlink ref="B32" location="bs8_e!A1" display="bs8_e. En una escala de 1 a 5, en donde 1 significa nada y 5 completamente, ¿cuánto confía usted en los siguientes grupos de personas? Periodistas en este país&#13;Totales y porcentajes por sexo, edad, nivel educativo y tamaño del hogar de los jefes de hogar "/>
    <hyperlink ref="C32" location="bs8_e!A1" display="bs8_e!A1"/>
    <hyperlink ref="D32" location="bs8_e!A1" display="bs8_e!A1"/>
    <hyperlink ref="E32" location="bs8_e!A1" display="bs8_e!A1"/>
    <hyperlink ref="F32" location="bs8_e!A1" display="bs8_e!A1"/>
    <hyperlink ref="G32" location="bs8_e!A1" display="bs8_e!A1"/>
    <hyperlink ref="H32" location="bs8_e!A1" display="bs8_e!A1"/>
    <hyperlink ref="I32" location="bs8_e!A1" display="bs8_e!A1"/>
    <hyperlink ref="J32" location="bs8_e!A1" display="bs8_e!A1"/>
    <hyperlink ref="K32" location="bs8_e!A1" display="bs8_e!A1"/>
    <hyperlink ref="L32" location="bs8_e!A1" display="bs8_e!A1"/>
    <hyperlink ref="M32" location="bs8_e!A1" display="bs8_e!A1"/>
    <hyperlink ref="N32" location="bs8_e!A1" display="bs8_e!A1"/>
    <hyperlink ref="O32" location="bs8_e!A1" display="bs8_e!A1"/>
    <hyperlink ref="B33" location="'bs10'!A1" display="bs10. ¿Usted qué tan seguro/a se siente caminando solo/a en su barrio de noche?&#13;Totales y porcentajes por sexo, edad, nivel educativo y tamaño del hogar de los jefes de hogar y sus cónyuges&#13;Total 23 ciudades y sus áreas metropolitanas"/>
    <hyperlink ref="C33" location="'bs10'!A1" display="'bs10'!A1"/>
    <hyperlink ref="D33" location="'bs10'!A1" display="'bs10'!A1"/>
    <hyperlink ref="E33" location="'bs10'!A1" display="'bs10'!A1"/>
    <hyperlink ref="F33" location="'bs10'!A1" display="'bs10'!A1"/>
    <hyperlink ref="G33" location="'bs10'!A1" display="'bs10'!A1"/>
    <hyperlink ref="H33" location="'bs10'!A1" display="'bs10'!A1"/>
    <hyperlink ref="I33" location="'bs10'!A1" display="'bs10'!A1"/>
    <hyperlink ref="J33" location="'bs10'!A1" display="'bs10'!A1"/>
    <hyperlink ref="K33" location="'bs10'!A1" display="'bs10'!A1"/>
    <hyperlink ref="L33" location="'bs10'!A1" display="'bs10'!A1"/>
    <hyperlink ref="M33" location="'bs10'!A1" display="'bs10'!A1"/>
    <hyperlink ref="N33" location="'bs10'!A1" display="'bs10'!A1"/>
    <hyperlink ref="O33" location="'bs10'!A1" display="'bs10'!A1"/>
    <hyperlink ref="B34" location="'bs11'!A1" display="bs11. ¿Usted qué tan seguro/a se siente caminando solo/a en su barrio de día?&#13;Totales y porcentajes por sexo, edad, nivel educativo y tamaño del hogar de los jefes de hogar y sus cónyuges&#13;Total 23 ciudades y sus áreas metropolitanas"/>
    <hyperlink ref="C34" location="'bs11'!A1" display="'bs11'!A1"/>
    <hyperlink ref="D34" location="'bs11'!A1" display="'bs11'!A1"/>
    <hyperlink ref="E34" location="'bs11'!A1" display="'bs11'!A1"/>
    <hyperlink ref="F34" location="'bs11'!A1" display="'bs11'!A1"/>
    <hyperlink ref="G34" location="'bs11'!A1" display="'bs11'!A1"/>
    <hyperlink ref="H34" location="'bs11'!A1" display="'bs11'!A1"/>
    <hyperlink ref="I34" location="'bs11'!A1" display="'bs11'!A1"/>
    <hyperlink ref="J34" location="'bs11'!A1" display="'bs11'!A1"/>
    <hyperlink ref="K34" location="'bs11'!A1" display="'bs11'!A1"/>
    <hyperlink ref="L34" location="'bs11'!A1" display="'bs11'!A1"/>
    <hyperlink ref="M34" location="'bs11'!A1" display="'bs11'!A1"/>
    <hyperlink ref="N34" location="'bs11'!A1" display="'bs11'!A1"/>
    <hyperlink ref="O34" location="'bs11'!A1" display="'bs11'!A1"/>
    <hyperlink ref="B35" location="'bs12'!A1" display="bs12. En relación con el resto de los habitantes del país, ¿usted se ubicaría en el grupo de las personas…?&#13;Totales y porcentajes por sexo, edad, nivel educativo y tamaño del hogar de los jefes de hogar y sus cónyuges&#13;Total 23 ciudades y sus áreas metropo"/>
    <hyperlink ref="C35" location="'bs12'!A1" display="'bs12'!A1"/>
    <hyperlink ref="D35" location="'bs12'!A1" display="'bs12'!A1"/>
    <hyperlink ref="E35" location="'bs12'!A1" display="'bs12'!A1"/>
    <hyperlink ref="F35" location="'bs12'!A1" display="'bs12'!A1"/>
    <hyperlink ref="G35" location="'bs12'!A1" display="'bs12'!A1"/>
    <hyperlink ref="H35" location="'bs12'!A1" display="'bs12'!A1"/>
    <hyperlink ref="I35" location="'bs12'!A1" display="'bs12'!A1"/>
    <hyperlink ref="J35" location="'bs12'!A1" display="'bs12'!A1"/>
    <hyperlink ref="K35" location="'bs12'!A1" display="'bs12'!A1"/>
    <hyperlink ref="L35" location="'bs12'!A1" display="'bs12'!A1"/>
    <hyperlink ref="M35" location="'bs12'!A1" display="'bs12'!A1"/>
    <hyperlink ref="N35" location="'bs12'!A1" display="'bs12'!A1"/>
    <hyperlink ref="O35" location="'bs12'!A1" display="'bs12'!A1"/>
    <hyperlink ref="B36" location="'rc1'!A1" display="rc1. Durante los últimos 7 días, y en comparación con la rutina diaria antes del inicio de la cuarentena/aislamiento preventivo, ¿Siente que usted está más sobrecargado/a con las tareas laborales?&#13;Totales y porcentajes por sexo, edad, nivel educativo y ta"/>
    <hyperlink ref="C36" location="'rc1'!A1" display="'rc1'!A1"/>
    <hyperlink ref="D36" location="'rc1'!A1" display="'rc1'!A1"/>
    <hyperlink ref="E36" location="'rc1'!A1" display="'rc1'!A1"/>
    <hyperlink ref="F36" location="'rc1'!A1" display="'rc1'!A1"/>
    <hyperlink ref="G36" location="'rc1'!A1" display="'rc1'!A1"/>
    <hyperlink ref="H36" location="'rc1'!A1" display="'rc1'!A1"/>
    <hyperlink ref="I36" location="'rc1'!A1" display="'rc1'!A1"/>
    <hyperlink ref="J36" location="'rc1'!A1" display="'rc1'!A1"/>
    <hyperlink ref="K36" location="'rc1'!A1" display="'rc1'!A1"/>
    <hyperlink ref="L36" location="'rc1'!A1" display="'rc1'!A1"/>
    <hyperlink ref="M36" location="'rc1'!A1" display="'rc1'!A1"/>
    <hyperlink ref="N36" location="'rc1'!A1" display="'rc1'!A1"/>
    <hyperlink ref="O36" location="'rc1'!A1" display="'rc1'!A1"/>
    <hyperlink ref="B37" location="'rc3'!A1" display="rc3. Durante los últimos 7 días, y en comparación con la rutina diaria antes del inicio de la cuarentena/aislamiento preventivo, ¿Siente que usted está más sobrecargado/a con las tareas del hogar?&#13;Totales y porcentajes por sexo, edad, nivel educativo y ta"/>
    <hyperlink ref="C37" location="'rc3'!A1" display="'rc3'!A1"/>
    <hyperlink ref="D37" location="'rc3'!A1" display="'rc3'!A1"/>
    <hyperlink ref="E37" location="'rc3'!A1" display="'rc3'!A1"/>
    <hyperlink ref="F37" location="'rc3'!A1" display="'rc3'!A1"/>
    <hyperlink ref="G37" location="'rc3'!A1" display="'rc3'!A1"/>
    <hyperlink ref="H37" location="'rc3'!A1" display="'rc3'!A1"/>
    <hyperlink ref="I37" location="'rc3'!A1" display="'rc3'!A1"/>
    <hyperlink ref="J37" location="'rc3'!A1" display="'rc3'!A1"/>
    <hyperlink ref="K37" location="'rc3'!A1" display="'rc3'!A1"/>
    <hyperlink ref="L37" location="'rc3'!A1" display="'rc3'!A1"/>
    <hyperlink ref="M37" location="'rc3'!A1" display="'rc3'!A1"/>
    <hyperlink ref="N37" location="'rc3'!A1" display="'rc3'!A1"/>
    <hyperlink ref="O37" location="'rc3'!A1" display="'rc3'!A1"/>
    <hyperlink ref="B38" location="'rc6'!A1" display="rc6. Durante los últimos 7 días y como consecuencia de la cuarentena, su hogar dejó de acceder o disminuyó el acceso a algunos de los siguientes servicios?&#13;Totales y porcentajes por sexo, edad, nivel educativo y tamaño del hogar de los jefes de hogar&#13;Tota"/>
    <hyperlink ref="C38" location="'rc6'!A1" display="'rc6'!A1"/>
    <hyperlink ref="D38" location="'rc6'!A1" display="'rc6'!A1"/>
    <hyperlink ref="E38" location="'rc6'!A1" display="'rc6'!A1"/>
    <hyperlink ref="F38" location="'rc6'!A1" display="'rc6'!A1"/>
    <hyperlink ref="G38" location="'rc6'!A1" display="'rc6'!A1"/>
    <hyperlink ref="H38" location="'rc6'!A1" display="'rc6'!A1"/>
    <hyperlink ref="I38" location="'rc6'!A1" display="'rc6'!A1"/>
    <hyperlink ref="J38" location="'rc6'!A1" display="'rc6'!A1"/>
    <hyperlink ref="K38" location="'rc6'!A1" display="'rc6'!A1"/>
    <hyperlink ref="L38" location="'rc6'!A1" display="'rc6'!A1"/>
    <hyperlink ref="M38" location="'rc6'!A1" display="'rc6'!A1"/>
    <hyperlink ref="N38" location="'rc6'!A1" display="'rc6'!A1"/>
    <hyperlink ref="O38" location="'rc6'!A1" display="'rc6'!A1"/>
    <hyperlink ref="B39" location="'rc7'!A1" display="rc7. Usted diría que durante los últimos 7 días, y como consecuencia de la cuarentena/aislamiento preventivo…&#13;Totales y porcentajes por sexo, edad, nivel educativo y tamaño del hogar de los jefes de hogar y sus cónyuges&#13;Total 23 ciudades y sus áreas metro"/>
    <hyperlink ref="C39" location="'rc7'!A1" display="'rc7'!A1"/>
    <hyperlink ref="D39" location="'rc7'!A1" display="'rc7'!A1"/>
    <hyperlink ref="E39" location="'rc7'!A1" display="'rc7'!A1"/>
    <hyperlink ref="F39" location="'rc7'!A1" display="'rc7'!A1"/>
    <hyperlink ref="G39" location="'rc7'!A1" display="'rc7'!A1"/>
    <hyperlink ref="H39" location="'rc7'!A1" display="'rc7'!A1"/>
    <hyperlink ref="I39" location="'rc7'!A1" display="'rc7'!A1"/>
    <hyperlink ref="J39" location="'rc7'!A1" display="'rc7'!A1"/>
    <hyperlink ref="K39" location="'rc7'!A1" display="'rc7'!A1"/>
    <hyperlink ref="L39" location="'rc7'!A1" display="'rc7'!A1"/>
    <hyperlink ref="M39" location="'rc7'!A1" display="'rc7'!A1"/>
    <hyperlink ref="N39" location="'rc7'!A1" display="'rc7'!A1"/>
    <hyperlink ref="O39" location="'rc7'!A1" display="'rc7'!A1"/>
    <hyperlink ref="B42" location="'bna1'!A1" display="bna1. ¿Los niños/as de este hogar han continuado las actividades educativas o de aprendizaje desde que cerraron las escuelas/colegios?&#13;Totales y porcentajes por sexo, edad, nivel educativo y tamaño del hogar de los jefes de hogar&#13;Total 23 ciudades y sus á"/>
    <hyperlink ref="C42" location="'bna1'!A1" display="'bna1'!A1"/>
    <hyperlink ref="D42" location="'bna1'!A1" display="'bna1'!A1"/>
    <hyperlink ref="E42" location="'bna1'!A1" display="'bna1'!A1"/>
    <hyperlink ref="F42" location="'bna1'!A1" display="'bna1'!A1"/>
    <hyperlink ref="G42" location="'bna1'!A1" display="'bna1'!A1"/>
    <hyperlink ref="H42" location="'bna1'!A1" display="'bna1'!A1"/>
    <hyperlink ref="I42" location="'bna1'!A1" display="'bna1'!A1"/>
    <hyperlink ref="J42" location="'bna1'!A1" display="'bna1'!A1"/>
    <hyperlink ref="K42" location="'bna1'!A1" display="'bna1'!A1"/>
    <hyperlink ref="L42" location="'bna1'!A1" display="'bna1'!A1"/>
    <hyperlink ref="M42" location="'bna1'!A1" display="'bna1'!A1"/>
    <hyperlink ref="N42" location="'bna1'!A1" display="'bna1'!A1"/>
    <hyperlink ref="O42" location="'bna1'!A1" display="'bna1'!A1"/>
    <hyperlink ref="B43" location="'bna2'!A1" display="bna2. ¿En qué tipo de actividades educativas o de aprendizaje han participado los niños/as de este hogar desde que cerraron la escuelas/colegios?&#13;Totales y porcentajes por sexo, edad, nivel educativo y tamaño del hogar de los jefes de hogar&#13;Total 23 ciuda"/>
    <hyperlink ref="C43" location="'bna2'!A1" display="'bna2'!A1"/>
    <hyperlink ref="D43" location="'bna2'!A1" display="'bna2'!A1"/>
    <hyperlink ref="E43" location="'bna2'!A1" display="'bna2'!A1"/>
    <hyperlink ref="F43" location="'bna2'!A1" display="'bna2'!A1"/>
    <hyperlink ref="G43" location="'bna2'!A1" display="'bna2'!A1"/>
    <hyperlink ref="H43" location="'bna2'!A1" display="'bna2'!A1"/>
    <hyperlink ref="I43" location="'bna2'!A1" display="'bna2'!A1"/>
    <hyperlink ref="J43" location="'bna2'!A1" display="'bna2'!A1"/>
    <hyperlink ref="K43" location="'bna2'!A1" display="'bna2'!A1"/>
    <hyperlink ref="L43" location="'bna2'!A1" display="'bna2'!A1"/>
    <hyperlink ref="M43" location="'bna2'!A1" display="'bna2'!A1"/>
    <hyperlink ref="N43" location="'bna2'!A1" display="'bna2'!A1"/>
    <hyperlink ref="O43" location="'bna2'!A1" display="'bna2'!A1"/>
    <hyperlink ref="B44" location="'bna3'!A1" display="bna3. ¿Cuál es la razón por la que los/as niños/as no participaron en actividades educativas o de aprendizaje?&#13;Totales y porcentajes por sexo, edad, nivel educativo y tamaño del hogar de los jefes de hogar&#13;Total 23 ciudades y sus áreas metropolitanas"/>
    <hyperlink ref="C44" location="'bna3'!A1" display="'bna3'!A1"/>
    <hyperlink ref="D44" location="'bna3'!A1" display="'bna3'!A1"/>
    <hyperlink ref="E44" location="'bna3'!A1" display="'bna3'!A1"/>
    <hyperlink ref="F44" location="'bna3'!A1" display="'bna3'!A1"/>
    <hyperlink ref="G44" location="'bna3'!A1" display="'bna3'!A1"/>
    <hyperlink ref="H44" location="'bna3'!A1" display="'bna3'!A1"/>
    <hyperlink ref="I44" location="'bna3'!A1" display="'bna3'!A1"/>
    <hyperlink ref="J44" location="'bna3'!A1" display="'bna3'!A1"/>
    <hyperlink ref="K44" location="'bna3'!A1" display="'bna3'!A1"/>
    <hyperlink ref="L44" location="'bna3'!A1" display="'bna3'!A1"/>
    <hyperlink ref="M44" location="'bna3'!A1" display="'bna3'!A1"/>
    <hyperlink ref="N44" location="'bna3'!A1" display="'bna3'!A1"/>
    <hyperlink ref="O44" location="'bna3'!A1" display="'bna3'!A1"/>
    <hyperlink ref="B45" location="'bna4'!A1" display="bna4. Antes del inicio de la cuarentena/aislamiento preventivo, ¿en promedio cuántas comidas se consumían en su hogar al día?&#13;Totales y porcentajes por sexo, edad, nivel educativo y tamaño del hogar de los jefes de hogar&#13;Total 23 ciudades y sus áreas metr"/>
    <hyperlink ref="C45" location="'bna4'!A1" display="'bna4'!A1"/>
    <hyperlink ref="D45" location="'bna4'!A1" display="'bna4'!A1"/>
    <hyperlink ref="E45" location="'bna4'!A1" display="'bna4'!A1"/>
    <hyperlink ref="F45" location="'bna4'!A1" display="'bna4'!A1"/>
    <hyperlink ref="G45" location="'bna4'!A1" display="'bna4'!A1"/>
    <hyperlink ref="H45" location="'bna4'!A1" display="'bna4'!A1"/>
    <hyperlink ref="I45" location="'bna4'!A1" display="'bna4'!A1"/>
    <hyperlink ref="J45" location="'bna4'!A1" display="'bna4'!A1"/>
    <hyperlink ref="K45" location="'bna4'!A1" display="'bna4'!A1"/>
    <hyperlink ref="L45" location="'bna4'!A1" display="'bna4'!A1"/>
    <hyperlink ref="M45" location="'bna4'!A1" display="'bna4'!A1"/>
    <hyperlink ref="N45" location="'bna4'!A1" display="'bna4'!A1"/>
    <hyperlink ref="O45" location="'bna4'!A1" display="'bna4'!A1"/>
    <hyperlink ref="B46" location="'bna5'!A1" display="bna5. Durante los últimos 7 días, ¿en promedio cuántas comidas se consumían en su hogar al día?&#13;Totales y porcentajes por sexo, edad, nivel educativo y tamaño del hogar de los jefes de hogar&#13;Total 23 ciudades y sus áreas metropolitanas"/>
    <hyperlink ref="C46" location="'bna5'!A1" display="'bna5'!A1"/>
    <hyperlink ref="D46" location="'bna5'!A1" display="'bna5'!A1"/>
    <hyperlink ref="E46" location="'bna5'!A1" display="'bna5'!A1"/>
    <hyperlink ref="F46" location="'bna5'!A1" display="'bna5'!A1"/>
    <hyperlink ref="G46" location="'bna5'!A1" display="'bna5'!A1"/>
    <hyperlink ref="H46" location="'bna5'!A1" display="'bna5'!A1"/>
    <hyperlink ref="I46" location="'bna5'!A1" display="'bna5'!A1"/>
    <hyperlink ref="J46" location="'bna5'!A1" display="'bna5'!A1"/>
    <hyperlink ref="K46" location="'bna5'!A1" display="'bna5'!A1"/>
    <hyperlink ref="L46" location="'bna5'!A1" display="'bna5'!A1"/>
    <hyperlink ref="M46" location="'bna5'!A1" display="'bna5'!A1"/>
    <hyperlink ref="N46" location="'bna5'!A1" display="'bna5'!A1"/>
    <hyperlink ref="O46" location="'bna5'!A1" display="'bna5'!A1"/>
    <hyperlink ref="B47" location="'bna6'!A1" display="Bna6. Desde que se implementó la cuarentena, ¿algún miembro del hogar tuvo que dejar de asistir a...?&#13;Totales y porcentajes por sexo, edad, nivel educativo y tamaño del hogar de los jefes de hogar&#13;Total 23 ciudades y sus áreas metropolitanas"/>
    <hyperlink ref="C47" location="'bna6'!A1" display="'bna6'!A1"/>
    <hyperlink ref="D47" location="'bna6'!A1" display="'bna6'!A1"/>
    <hyperlink ref="E47" location="'bna6'!A1" display="'bna6'!A1"/>
    <hyperlink ref="F47" location="'bna6'!A1" display="'bna6'!A1"/>
    <hyperlink ref="G47" location="'bna6'!A1" display="'bna6'!A1"/>
    <hyperlink ref="H47" location="'bna6'!A1" display="'bna6'!A1"/>
    <hyperlink ref="I47" location="'bna6'!A1" display="'bna6'!A1"/>
    <hyperlink ref="J47" location="'bna6'!A1" display="'bna6'!A1"/>
    <hyperlink ref="K47" location="'bna6'!A1" display="'bna6'!A1"/>
    <hyperlink ref="L47" location="'bna6'!A1" display="'bna6'!A1"/>
    <hyperlink ref="M47" location="'bna6'!A1" display="'bna6'!A1"/>
    <hyperlink ref="N47" location="'bna6'!A1" display="'bna6'!A1"/>
    <hyperlink ref="O47" location="'bna6'!A1" display="'bna6'!A1"/>
    <hyperlink ref="B40" location="'rc8'!A1" display="rc8. Durante los últimos 7 días, ¿Se sintió presionado/a o maltratado/a verbalmente por...?&#13;"/>
    <hyperlink ref="C40" location="'rc8'!A1" display="'rc8'!A1"/>
    <hyperlink ref="D40" location="'rc8'!A1" display="'rc8'!A1"/>
    <hyperlink ref="E40" location="'rc8'!A1" display="'rc8'!A1"/>
    <hyperlink ref="F40" location="'rc8'!A1" display="'rc8'!A1"/>
    <hyperlink ref="G40" location="'rc8'!A1" display="'rc8'!A1"/>
    <hyperlink ref="H40" location="'rc8'!A1" display="'rc8'!A1"/>
    <hyperlink ref="I40" location="'rc8'!A1" display="'rc8'!A1"/>
    <hyperlink ref="J40" location="'rc8'!A1" display="'rc8'!A1"/>
    <hyperlink ref="K40" location="'rc8'!A1" display="'rc8'!A1"/>
    <hyperlink ref="L40" location="'rc8'!A1" display="'rc8'!A1"/>
    <hyperlink ref="M40" location="'rc8'!A1" display="'rc8'!A1"/>
    <hyperlink ref="N40" location="'rc8'!A1" display="'rc8'!A1"/>
    <hyperlink ref="O40" location="'rc8'!A1" display="'rc8'!A1"/>
    <hyperlink ref="B41" location="'rc10'!A1" display="rc10. Durante los últimos 7 días, ¿Se sintió postivamente acompañado/a o apoyado/a por...?&#13;"/>
    <hyperlink ref="C41" location="'rc10'!A1" display="'rc10'!A1"/>
    <hyperlink ref="D41" location="'rc10'!A1" display="'rc10'!A1"/>
    <hyperlink ref="E41" location="'rc10'!A1" display="'rc10'!A1"/>
    <hyperlink ref="F41" location="'rc10'!A1" display="'rc10'!A1"/>
    <hyperlink ref="G41" location="'rc10'!A1" display="'rc10'!A1"/>
    <hyperlink ref="H41" location="'rc10'!A1" display="'rc10'!A1"/>
    <hyperlink ref="I41" location="'rc10'!A1" display="'rc10'!A1"/>
    <hyperlink ref="J41" location="'rc10'!A1" display="'rc10'!A1"/>
    <hyperlink ref="K41" location="'rc10'!A1" display="'rc10'!A1"/>
    <hyperlink ref="L41" location="'rc10'!A1" display="'rc10'!A1"/>
    <hyperlink ref="M41" location="'rc10'!A1" display="'rc10'!A1"/>
    <hyperlink ref="N41" location="'rc10'!A1" display="'rc10'!A1"/>
    <hyperlink ref="O41" location="'rc10'!A1" display="'rc10'!A1"/>
    <hyperlink ref="B8" location="'cc1'!A1" display="cc1. ¿Cómo considera usted la situación económica de su hogar comparada con la de hace 12 meses?"/>
    <hyperlink ref="C8" location="'cc1'!A1" display="'cc1'!A1"/>
    <hyperlink ref="D8" location="'cc1'!A1" display="'cc1'!A1"/>
    <hyperlink ref="E8" location="'cc1'!A1" display="'cc1'!A1"/>
    <hyperlink ref="F8" location="'cc1'!A1" display="'cc1'!A1"/>
    <hyperlink ref="G8" location="'cc1'!A1" display="'cc1'!A1"/>
    <hyperlink ref="H8" location="'cc1'!A1" display="'cc1'!A1"/>
    <hyperlink ref="I8" location="'cc1'!A1" display="'cc1'!A1"/>
    <hyperlink ref="J8" location="'cc1'!A1" display="'cc1'!A1"/>
    <hyperlink ref="K8" location="'cc1'!A1" display="'cc1'!A1"/>
    <hyperlink ref="L8" location="'cc1'!A1" display="'cc1'!A1"/>
    <hyperlink ref="M8" location="'cc1'!A1" display="'cc1'!A1"/>
    <hyperlink ref="N8" location="'cc1'!A1" display="'cc1'!A1"/>
    <hyperlink ref="O8" location="'cc1'!A1" display="'cc1'!A1"/>
    <hyperlink ref="B8:O8" location="ICC!A1" display="ICC!A1"/>
  </hyperlinks>
  <printOptions/>
  <pageMargins left="0.75" right="0.75" top="1" bottom="1" header="0" footer="0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O42"/>
  <sheetViews>
    <sheetView showGridLines="0" zoomScale="90" zoomScaleNormal="90" zoomScalePageLayoutView="0" workbookViewId="0" topLeftCell="A4">
      <selection activeCell="G38" sqref="G38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7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11" t="s">
        <v>52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ht="14.25">
      <c r="A11" s="228" t="s">
        <v>14</v>
      </c>
      <c r="B11" s="226"/>
      <c r="C11" s="226"/>
      <c r="D11" s="226"/>
      <c r="E11" s="226"/>
      <c r="F11" s="226"/>
      <c r="G11" s="226"/>
      <c r="H11" s="226"/>
    </row>
    <row r="12" spans="1:11" ht="20.25" customHeight="1">
      <c r="A12" s="229"/>
      <c r="B12" s="220" t="s">
        <v>45</v>
      </c>
      <c r="C12" s="221"/>
      <c r="D12" s="220" t="s">
        <v>44</v>
      </c>
      <c r="E12" s="221"/>
      <c r="F12" s="220" t="s">
        <v>51</v>
      </c>
      <c r="G12" s="221"/>
      <c r="H12" s="223" t="s">
        <v>12</v>
      </c>
      <c r="K12" s="47"/>
    </row>
    <row r="13" spans="1:11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224"/>
      <c r="K13" s="42"/>
    </row>
    <row r="14" spans="1:8" ht="24">
      <c r="A14" s="20" t="s">
        <v>3</v>
      </c>
      <c r="B14" s="27">
        <v>1179048.2</v>
      </c>
      <c r="C14" s="17">
        <f>B14/$H$14</f>
        <v>0.09684357076150103</v>
      </c>
      <c r="D14" s="27">
        <v>8175175.8</v>
      </c>
      <c r="E14" s="17">
        <f>D14/$H$14</f>
        <v>0.671485030107345</v>
      </c>
      <c r="F14" s="27">
        <v>2819531.2</v>
      </c>
      <c r="G14" s="17">
        <f>F14/$H$14</f>
        <v>0.23158804642716044</v>
      </c>
      <c r="H14" s="30">
        <v>12174770</v>
      </c>
    </row>
    <row r="15" spans="1:11" ht="12">
      <c r="A15" s="21" t="s">
        <v>5</v>
      </c>
      <c r="B15" s="28">
        <v>585130</v>
      </c>
      <c r="C15" s="18">
        <f>B15/$H$15</f>
        <v>0.12479472096981278</v>
      </c>
      <c r="D15" s="28">
        <v>3216913.3</v>
      </c>
      <c r="E15" s="18">
        <f>D15/$H$15</f>
        <v>0.6860933427743914</v>
      </c>
      <c r="F15" s="28">
        <v>886696.7</v>
      </c>
      <c r="G15" s="18">
        <f>F15/$H$15</f>
        <v>0.18911193625579578</v>
      </c>
      <c r="H15" s="31">
        <v>4688740</v>
      </c>
      <c r="K15" s="42"/>
    </row>
    <row r="16" spans="1:8" ht="12">
      <c r="A16" s="22" t="s">
        <v>6</v>
      </c>
      <c r="B16" s="29">
        <v>593918.2</v>
      </c>
      <c r="C16" s="19">
        <f>B16/$H$16</f>
        <v>0.07933687465867253</v>
      </c>
      <c r="D16" s="29">
        <v>4958262.5</v>
      </c>
      <c r="E16" s="19">
        <f>D16/$H$16</f>
        <v>0.6623354032378471</v>
      </c>
      <c r="F16" s="29">
        <v>1932834.4</v>
      </c>
      <c r="G16" s="19">
        <f>F16/$H$16</f>
        <v>0.25819218964626867</v>
      </c>
      <c r="H16" s="32">
        <v>7486029.7</v>
      </c>
    </row>
    <row r="17" spans="1:7" ht="12">
      <c r="A17" s="4" t="s">
        <v>31</v>
      </c>
      <c r="B17" s="13"/>
      <c r="C17" s="13"/>
      <c r="D17" s="13"/>
      <c r="E17" s="13"/>
      <c r="F17" s="13"/>
      <c r="G17" s="13"/>
    </row>
    <row r="18" spans="2:7" ht="12">
      <c r="B18" s="13"/>
      <c r="C18" s="13"/>
      <c r="D18" s="13"/>
      <c r="E18" s="13"/>
      <c r="F18" s="13"/>
      <c r="G18" s="13"/>
    </row>
    <row r="19" spans="1:11" ht="12">
      <c r="A19" s="222" t="s">
        <v>15</v>
      </c>
      <c r="B19" s="220" t="s">
        <v>45</v>
      </c>
      <c r="C19" s="221"/>
      <c r="D19" s="220" t="s">
        <v>44</v>
      </c>
      <c r="E19" s="221"/>
      <c r="F19" s="220" t="s">
        <v>51</v>
      </c>
      <c r="G19" s="221"/>
      <c r="H19" s="225" t="s">
        <v>12</v>
      </c>
      <c r="K19" s="47"/>
    </row>
    <row r="20" spans="1:8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225"/>
    </row>
    <row r="21" spans="1:8" ht="12">
      <c r="A21" s="36" t="s">
        <v>16</v>
      </c>
      <c r="B21" s="37">
        <v>75878.9</v>
      </c>
      <c r="C21" s="17">
        <f>B21/$H$21</f>
        <v>0.10603542903537523</v>
      </c>
      <c r="D21" s="37">
        <v>456392.2</v>
      </c>
      <c r="E21" s="17">
        <f>D21/$H$21</f>
        <v>0.637776018569046</v>
      </c>
      <c r="F21" s="37">
        <v>183328.5</v>
      </c>
      <c r="G21" s="17">
        <f>F21/$H$21</f>
        <v>0.25618869213854956</v>
      </c>
      <c r="H21" s="39">
        <v>715599.5</v>
      </c>
    </row>
    <row r="22" spans="1:8" ht="12">
      <c r="A22" s="21" t="s">
        <v>17</v>
      </c>
      <c r="B22" s="28">
        <v>709349.5</v>
      </c>
      <c r="C22" s="18">
        <f>B22/$H$22</f>
        <v>0.09853680622836958</v>
      </c>
      <c r="D22" s="28">
        <v>4960774.2</v>
      </c>
      <c r="E22" s="18">
        <f>D22/$H$22</f>
        <v>0.6891086073763287</v>
      </c>
      <c r="F22" s="28">
        <v>1528064.9</v>
      </c>
      <c r="G22" s="18">
        <f>F22/$H$22</f>
        <v>0.21226579416165503</v>
      </c>
      <c r="H22" s="31">
        <v>7198827.8</v>
      </c>
    </row>
    <row r="23" spans="1:8" ht="12">
      <c r="A23" s="22" t="s">
        <v>18</v>
      </c>
      <c r="B23" s="29">
        <v>393819.8</v>
      </c>
      <c r="C23" s="19">
        <f>B23/$H$23</f>
        <v>0.09243853264000564</v>
      </c>
      <c r="D23" s="29">
        <v>2758009.5</v>
      </c>
      <c r="E23" s="19">
        <f>D23/$H$23</f>
        <v>0.6473680378365833</v>
      </c>
      <c r="F23" s="29">
        <v>1108137.7</v>
      </c>
      <c r="G23" s="19">
        <f>F23/$H$23</f>
        <v>0.2601053145399769</v>
      </c>
      <c r="H23" s="32">
        <v>4260342.4</v>
      </c>
    </row>
    <row r="24" spans="1:7" ht="12">
      <c r="A24" s="4" t="s">
        <v>31</v>
      </c>
      <c r="F24" s="5"/>
      <c r="G24" s="5"/>
    </row>
    <row r="25" spans="6:15" ht="12">
      <c r="F25" s="5"/>
      <c r="G25" s="5"/>
      <c r="K25" s="42"/>
      <c r="O25" s="43"/>
    </row>
    <row r="26" spans="1:11" ht="12">
      <c r="A26" s="222" t="s">
        <v>19</v>
      </c>
      <c r="B26" s="220" t="s">
        <v>45</v>
      </c>
      <c r="C26" s="221"/>
      <c r="D26" s="220" t="s">
        <v>44</v>
      </c>
      <c r="E26" s="221"/>
      <c r="F26" s="220" t="s">
        <v>51</v>
      </c>
      <c r="G26" s="221"/>
      <c r="H26" s="225" t="s">
        <v>12</v>
      </c>
      <c r="K26" s="47"/>
    </row>
    <row r="27" spans="1:8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225"/>
    </row>
    <row r="28" spans="1:8" ht="12">
      <c r="A28" s="36" t="s">
        <v>20</v>
      </c>
      <c r="B28" s="37">
        <v>51036.08</v>
      </c>
      <c r="C28" s="38">
        <f>B28/$H$28</f>
        <v>0.035633425100174344</v>
      </c>
      <c r="D28" s="37">
        <v>910952</v>
      </c>
      <c r="E28" s="38">
        <f>D28/$H$28</f>
        <v>0.6360272940604768</v>
      </c>
      <c r="F28" s="37">
        <v>470264.9</v>
      </c>
      <c r="G28" s="38">
        <f>F28/$H$28</f>
        <v>0.3283392668753356</v>
      </c>
      <c r="H28" s="45">
        <v>1432253</v>
      </c>
    </row>
    <row r="29" spans="1:8" ht="12">
      <c r="A29" s="21" t="s">
        <v>21</v>
      </c>
      <c r="B29" s="28">
        <v>148603.7</v>
      </c>
      <c r="C29" s="18">
        <f>B29/$H$29</f>
        <v>0.04472042485632943</v>
      </c>
      <c r="D29" s="28">
        <v>2197761.6</v>
      </c>
      <c r="E29" s="18">
        <f>D29/$H$29</f>
        <v>0.661388865047952</v>
      </c>
      <c r="F29" s="28">
        <v>976583.9</v>
      </c>
      <c r="G29" s="18">
        <f>F29/$H$29</f>
        <v>0.2938907100957186</v>
      </c>
      <c r="H29" s="46">
        <v>3322949.2</v>
      </c>
    </row>
    <row r="30" spans="1:11" ht="12">
      <c r="A30" s="23" t="s">
        <v>22</v>
      </c>
      <c r="B30" s="34">
        <v>336603.4</v>
      </c>
      <c r="C30" s="24">
        <f>B30/$H$30</f>
        <v>0.0815962271604383</v>
      </c>
      <c r="D30" s="34">
        <v>2856099.3</v>
      </c>
      <c r="E30" s="24">
        <f>D30/$H$30</f>
        <v>0.6923487025846107</v>
      </c>
      <c r="F30" s="34">
        <v>931515.1</v>
      </c>
      <c r="G30" s="24">
        <f>F30/$H$30</f>
        <v>0.22580912047524887</v>
      </c>
      <c r="H30" s="45">
        <v>4125232.4</v>
      </c>
      <c r="K30" s="42"/>
    </row>
    <row r="31" spans="1:8" ht="12">
      <c r="A31" s="21" t="s">
        <v>23</v>
      </c>
      <c r="B31" s="28">
        <v>187192.18</v>
      </c>
      <c r="C31" s="18">
        <f>B31/$H$31</f>
        <v>0.1243774092485377</v>
      </c>
      <c r="D31" s="28">
        <v>1054203.2</v>
      </c>
      <c r="E31" s="18">
        <f>D31/$H$31</f>
        <v>0.7004516045356063</v>
      </c>
      <c r="F31" s="28">
        <v>263638.2</v>
      </c>
      <c r="G31" s="18">
        <f>F31/$H$31</f>
        <v>0.17517097292711603</v>
      </c>
      <c r="H31" s="46">
        <v>1505033.6</v>
      </c>
    </row>
    <row r="32" spans="1:8" ht="12">
      <c r="A32" s="22" t="s">
        <v>24</v>
      </c>
      <c r="B32" s="29">
        <v>455612.8</v>
      </c>
      <c r="C32" s="19">
        <f>B32/$H$32</f>
        <v>0.254631639517899</v>
      </c>
      <c r="D32" s="29">
        <v>1156159.6</v>
      </c>
      <c r="E32" s="19">
        <f>D32/$H$32</f>
        <v>0.6461513251874362</v>
      </c>
      <c r="F32" s="29">
        <v>177529.2</v>
      </c>
      <c r="G32" s="19">
        <f>F32/$H$32</f>
        <v>0.09921703529466469</v>
      </c>
      <c r="H32" s="32">
        <v>1789301.6</v>
      </c>
    </row>
    <row r="33" spans="1:7" ht="12">
      <c r="A33" s="4" t="s">
        <v>31</v>
      </c>
      <c r="F33" s="5"/>
      <c r="G33" s="5"/>
    </row>
    <row r="34" spans="6:15" ht="12">
      <c r="F34" s="5"/>
      <c r="G34" s="5"/>
      <c r="K34" s="42"/>
      <c r="O34" s="43"/>
    </row>
    <row r="35" spans="1:11" ht="12">
      <c r="A35" s="222" t="s">
        <v>25</v>
      </c>
      <c r="B35" s="220" t="s">
        <v>45</v>
      </c>
      <c r="C35" s="221"/>
      <c r="D35" s="220" t="s">
        <v>44</v>
      </c>
      <c r="E35" s="221"/>
      <c r="F35" s="220" t="s">
        <v>51</v>
      </c>
      <c r="G35" s="221"/>
      <c r="H35" s="225" t="s">
        <v>12</v>
      </c>
      <c r="K35" s="47"/>
    </row>
    <row r="36" spans="1:8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225"/>
    </row>
    <row r="37" spans="1:8" ht="12">
      <c r="A37" s="36" t="s">
        <v>26</v>
      </c>
      <c r="B37" s="37">
        <v>161131.7</v>
      </c>
      <c r="C37" s="38">
        <f>B37/$H$37</f>
        <v>0.12743226342398092</v>
      </c>
      <c r="D37" s="37">
        <v>872060.2</v>
      </c>
      <c r="E37" s="38">
        <f>D37/$H$37</f>
        <v>0.6896756201788319</v>
      </c>
      <c r="F37" s="37">
        <v>230882.6</v>
      </c>
      <c r="G37" s="38">
        <f>F37/$H$37</f>
        <v>0.18259530746100003</v>
      </c>
      <c r="H37" s="45">
        <v>1264449.8</v>
      </c>
    </row>
    <row r="38" spans="1:8" ht="12">
      <c r="A38" s="21" t="s">
        <v>27</v>
      </c>
      <c r="B38" s="28">
        <v>351277.4</v>
      </c>
      <c r="C38" s="18">
        <f>B38/$H$38</f>
        <v>0.14037415135209225</v>
      </c>
      <c r="D38" s="28">
        <v>1659913.7</v>
      </c>
      <c r="E38" s="18">
        <f>D38/$H$38</f>
        <v>0.6633190092935425</v>
      </c>
      <c r="F38" s="28">
        <v>491245.3</v>
      </c>
      <c r="G38" s="18">
        <f>F38/$H$38</f>
        <v>0.19630679939331128</v>
      </c>
      <c r="H38" s="46">
        <v>2502436.5</v>
      </c>
    </row>
    <row r="39" spans="1:8" ht="12">
      <c r="A39" s="23" t="s">
        <v>28</v>
      </c>
      <c r="B39" s="34">
        <v>300233.7</v>
      </c>
      <c r="C39" s="24">
        <f>B39/$H$39</f>
        <v>0.10237823659812323</v>
      </c>
      <c r="D39" s="34">
        <v>1954410.3</v>
      </c>
      <c r="E39" s="24">
        <f>D39/$H$39</f>
        <v>0.6664444401251726</v>
      </c>
      <c r="F39" s="34">
        <v>677949</v>
      </c>
      <c r="G39" s="24">
        <f>F39/$H$39</f>
        <v>0.23117732327670426</v>
      </c>
      <c r="H39" s="45">
        <v>2932593</v>
      </c>
    </row>
    <row r="40" spans="1:8" ht="12">
      <c r="A40" s="25" t="s">
        <v>29</v>
      </c>
      <c r="B40" s="40">
        <v>366405.4</v>
      </c>
      <c r="C40" s="26">
        <f>B40/$H$40</f>
        <v>0.06691981000825437</v>
      </c>
      <c r="D40" s="40">
        <v>3688791.6</v>
      </c>
      <c r="E40" s="26">
        <f>D40/$H$40</f>
        <v>0.6737161434630728</v>
      </c>
      <c r="F40" s="40">
        <v>1419454.3</v>
      </c>
      <c r="G40" s="26">
        <f>F40/$H$40</f>
        <v>0.25924730386451644</v>
      </c>
      <c r="H40" s="33">
        <v>5475290.5</v>
      </c>
    </row>
    <row r="41" spans="1:5" ht="12">
      <c r="A41" s="4" t="s">
        <v>31</v>
      </c>
      <c r="E41" s="4"/>
    </row>
    <row r="42" spans="11:15" ht="12">
      <c r="K42" s="42"/>
      <c r="O42" s="43"/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U42"/>
  <sheetViews>
    <sheetView showGridLines="0" zoomScale="90" zoomScaleNormal="90" zoomScalePageLayoutView="0" workbookViewId="0" topLeftCell="A1">
      <selection activeCell="N29" sqref="N2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36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5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  <c r="O12" s="47"/>
    </row>
    <row r="13" spans="1:15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  <c r="O13" s="42"/>
    </row>
    <row r="14" spans="1:15" ht="24">
      <c r="A14" s="20" t="s">
        <v>3</v>
      </c>
      <c r="B14" s="27">
        <v>233854.8</v>
      </c>
      <c r="C14" s="17">
        <f>B14/$L$14</f>
        <v>0.019209750812300724</v>
      </c>
      <c r="D14" s="27">
        <v>2954684.9</v>
      </c>
      <c r="E14" s="17">
        <f>D14/$L$14</f>
        <v>0.24270941053109743</v>
      </c>
      <c r="F14" s="27">
        <v>5781892</v>
      </c>
      <c r="G14" s="17">
        <f>F14/$L$14</f>
        <v>0.4749472944050542</v>
      </c>
      <c r="H14" s="27">
        <v>2710506.3</v>
      </c>
      <c r="I14" s="17">
        <f>H14/$L$14</f>
        <v>0.2226516222808821</v>
      </c>
      <c r="J14" s="27">
        <v>489144.6</v>
      </c>
      <c r="K14" s="17">
        <f>J14/$L$14</f>
        <v>0.04018025662583155</v>
      </c>
      <c r="L14" s="30">
        <v>12173755</v>
      </c>
      <c r="O14" s="42"/>
    </row>
    <row r="15" spans="1:12" ht="12">
      <c r="A15" s="21" t="s">
        <v>5</v>
      </c>
      <c r="B15" s="28">
        <v>107606</v>
      </c>
      <c r="C15" s="18">
        <f>B15/$L$15</f>
        <v>0.022949875659558857</v>
      </c>
      <c r="D15" s="28">
        <v>1186193.3</v>
      </c>
      <c r="E15" s="18">
        <f>D15/$L$15</f>
        <v>0.2529876470011133</v>
      </c>
      <c r="F15" s="28">
        <v>2145188.2</v>
      </c>
      <c r="G15" s="18">
        <f>F15/$L$15</f>
        <v>0.4575191202753832</v>
      </c>
      <c r="H15" s="28">
        <v>1073541.2</v>
      </c>
      <c r="I15" s="18">
        <f>H15/$L$15</f>
        <v>0.2289615547033958</v>
      </c>
      <c r="J15" s="28">
        <v>173381.9</v>
      </c>
      <c r="K15" s="18">
        <f>J15/$L$15</f>
        <v>0.03697835665871855</v>
      </c>
      <c r="L15" s="31">
        <v>4688740</v>
      </c>
    </row>
    <row r="16" spans="1:12" ht="12">
      <c r="A16" s="22" t="s">
        <v>6</v>
      </c>
      <c r="B16" s="29">
        <v>126248.78</v>
      </c>
      <c r="C16" s="19">
        <f>B16/$L$16</f>
        <v>0.016866870223590194</v>
      </c>
      <c r="D16" s="29">
        <v>1768491.6</v>
      </c>
      <c r="E16" s="19">
        <f>D16/$L$16</f>
        <v>0.2362709430436427</v>
      </c>
      <c r="F16" s="29">
        <v>3636703.8</v>
      </c>
      <c r="G16" s="19">
        <f>F16/$L$16</f>
        <v>0.4858645844834089</v>
      </c>
      <c r="H16" s="29">
        <v>1636965.1</v>
      </c>
      <c r="I16" s="19">
        <f>H16/$L$16</f>
        <v>0.21869896803950378</v>
      </c>
      <c r="J16" s="29">
        <v>315762.8</v>
      </c>
      <c r="K16" s="19">
        <f>J16/$L$16</f>
        <v>0.0421859931560326</v>
      </c>
      <c r="L16" s="32">
        <v>7485015.2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5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  <c r="O19" s="47"/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35978.23</v>
      </c>
      <c r="C21" s="17">
        <f>B21/$L$21</f>
        <v>0.05027704742666814</v>
      </c>
      <c r="D21" s="37">
        <v>238607</v>
      </c>
      <c r="E21" s="17">
        <f>D21/$L$21</f>
        <v>0.33343651022674</v>
      </c>
      <c r="F21" s="37">
        <v>283324</v>
      </c>
      <c r="G21" s="17">
        <f>F21/$L$21</f>
        <v>0.39592537445875803</v>
      </c>
      <c r="H21" s="37">
        <v>140368.8</v>
      </c>
      <c r="I21" s="17">
        <f>H21/$L$21</f>
        <v>0.19615553113158965</v>
      </c>
      <c r="J21" s="37">
        <v>17321.58</v>
      </c>
      <c r="K21" s="17">
        <f>J21/$L$21</f>
        <v>0.024205690473512072</v>
      </c>
      <c r="L21" s="39">
        <v>715599.5</v>
      </c>
    </row>
    <row r="22" spans="1:15" ht="12">
      <c r="A22" s="21" t="s">
        <v>17</v>
      </c>
      <c r="B22" s="28">
        <v>137025.9</v>
      </c>
      <c r="C22" s="18">
        <f>B22/$L$22</f>
        <v>0.0190361641816387</v>
      </c>
      <c r="D22" s="28">
        <v>1976111.9</v>
      </c>
      <c r="E22" s="18">
        <f>D22/$L$22</f>
        <v>0.2745290530453731</v>
      </c>
      <c r="F22" s="28">
        <v>3318621.2</v>
      </c>
      <c r="G22" s="18">
        <f>F22/$L$22</f>
        <v>0.4610355999841405</v>
      </c>
      <c r="H22" s="28">
        <v>1516713.7</v>
      </c>
      <c r="I22" s="18">
        <f>H22/$L$22</f>
        <v>0.2107076910988412</v>
      </c>
      <c r="J22" s="28">
        <v>248457.1</v>
      </c>
      <c r="K22" s="18">
        <f>J22/$L$22</f>
        <v>0.03451661436045174</v>
      </c>
      <c r="L22" s="31">
        <v>7198188.6</v>
      </c>
      <c r="O22" s="42"/>
    </row>
    <row r="23" spans="1:15" ht="12">
      <c r="A23" s="22" t="s">
        <v>18</v>
      </c>
      <c r="B23" s="29">
        <v>60850.69</v>
      </c>
      <c r="C23" s="19">
        <f>B23/$L$23</f>
        <v>0.01428431018362349</v>
      </c>
      <c r="D23" s="29">
        <v>739966.1</v>
      </c>
      <c r="E23" s="19">
        <f>D23/$L$23</f>
        <v>0.1737023080225739</v>
      </c>
      <c r="F23" s="29">
        <v>2179946.9</v>
      </c>
      <c r="G23" s="19">
        <f>F23/$L$23</f>
        <v>0.5117285885078452</v>
      </c>
      <c r="H23" s="29">
        <v>1053423.8</v>
      </c>
      <c r="I23" s="19">
        <f>H23/$L$23</f>
        <v>0.24728449774376188</v>
      </c>
      <c r="J23" s="29">
        <v>223365.99</v>
      </c>
      <c r="K23" s="19">
        <f>J23/$L$23</f>
        <v>0.05243373716275267</v>
      </c>
      <c r="L23" s="32">
        <v>4259967</v>
      </c>
      <c r="O23" s="42"/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21" ht="12">
      <c r="F25" s="5"/>
      <c r="G25" s="5"/>
      <c r="H25" s="5"/>
      <c r="I25" s="5"/>
      <c r="J25" s="5"/>
      <c r="K25" s="5"/>
      <c r="O25" s="42"/>
      <c r="P25" s="42"/>
      <c r="R25" s="43"/>
      <c r="T25" s="42"/>
      <c r="U25" s="43"/>
    </row>
    <row r="26" spans="1:15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  <c r="O26" s="47"/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19551.1</v>
      </c>
      <c r="C28" s="38">
        <f>B28/$L$28</f>
        <v>0.0136505910617747</v>
      </c>
      <c r="D28" s="37">
        <v>241774.6</v>
      </c>
      <c r="E28" s="38">
        <f>D28/$L$28</f>
        <v>0.16880718699838645</v>
      </c>
      <c r="F28" s="37">
        <v>692485.7</v>
      </c>
      <c r="G28" s="38">
        <f>F28/$L$28</f>
        <v>0.48349397767014624</v>
      </c>
      <c r="H28" s="37">
        <v>395961.5</v>
      </c>
      <c r="I28" s="38">
        <f>H28/$L$28</f>
        <v>0.2764605834304414</v>
      </c>
      <c r="J28" s="37">
        <v>81627.45</v>
      </c>
      <c r="K28" s="38">
        <f>J28/$L$28</f>
        <v>0.056992340040481676</v>
      </c>
      <c r="L28" s="45">
        <v>1432253</v>
      </c>
    </row>
    <row r="29" spans="1:12" ht="12">
      <c r="A29" s="21" t="s">
        <v>21</v>
      </c>
      <c r="B29" s="28">
        <v>43913.58</v>
      </c>
      <c r="C29" s="18">
        <f>B29/$L$29</f>
        <v>0.013215242652520838</v>
      </c>
      <c r="D29" s="28">
        <v>737225.44</v>
      </c>
      <c r="E29" s="18">
        <f>D29/$L$29</f>
        <v>0.22185877533126294</v>
      </c>
      <c r="F29" s="28">
        <v>1538777.7</v>
      </c>
      <c r="G29" s="18">
        <f>F29/$L$29</f>
        <v>0.4630759025747369</v>
      </c>
      <c r="H29" s="28">
        <v>836071.1</v>
      </c>
      <c r="I29" s="18">
        <f>H29/$L$29</f>
        <v>0.2516051403975721</v>
      </c>
      <c r="J29" s="28">
        <v>166214</v>
      </c>
      <c r="K29" s="18">
        <f>J29/$L$29</f>
        <v>0.05002002438075189</v>
      </c>
      <c r="L29" s="46">
        <v>3322949.2</v>
      </c>
    </row>
    <row r="30" spans="1:15" ht="12">
      <c r="A30" s="23" t="s">
        <v>22</v>
      </c>
      <c r="B30" s="34">
        <v>87158.52</v>
      </c>
      <c r="C30" s="24">
        <f>B30/$L$30</f>
        <v>0.02113334557646301</v>
      </c>
      <c r="D30" s="34">
        <v>1082861.8</v>
      </c>
      <c r="E30" s="24">
        <f>D30/$L$30</f>
        <v>0.2625617395861101</v>
      </c>
      <c r="F30" s="34">
        <v>1923436.9</v>
      </c>
      <c r="G30" s="24">
        <f>F30/$L$30</f>
        <v>0.4663761695611711</v>
      </c>
      <c r="H30" s="34">
        <v>876356</v>
      </c>
      <c r="I30" s="24">
        <f>H30/$L$30</f>
        <v>0.21249023269333642</v>
      </c>
      <c r="J30" s="34">
        <v>153080.3</v>
      </c>
      <c r="K30" s="24">
        <f>J30/$L$30</f>
        <v>0.03711741411910884</v>
      </c>
      <c r="L30" s="45">
        <v>4124217.8</v>
      </c>
      <c r="O30" s="42"/>
    </row>
    <row r="31" spans="1:12" ht="12">
      <c r="A31" s="21" t="s">
        <v>23</v>
      </c>
      <c r="B31" s="28">
        <v>22372.5</v>
      </c>
      <c r="C31" s="18">
        <f>B31/$L$31</f>
        <v>0.014865116632612056</v>
      </c>
      <c r="D31" s="28">
        <v>460855.3</v>
      </c>
      <c r="E31" s="18">
        <f>D31/$L$31</f>
        <v>0.30620930987853023</v>
      </c>
      <c r="F31" s="28">
        <v>670060.7</v>
      </c>
      <c r="G31" s="18">
        <f>F31/$L$31</f>
        <v>0.44521311683672704</v>
      </c>
      <c r="H31" s="28">
        <v>297982.8</v>
      </c>
      <c r="I31" s="18">
        <f>H31/$L$31</f>
        <v>0.1979907956872192</v>
      </c>
      <c r="J31" s="28">
        <v>53346.49</v>
      </c>
      <c r="K31" s="18">
        <f>J31/$L$31</f>
        <v>0.03544538141872713</v>
      </c>
      <c r="L31" s="46">
        <v>1505033.6</v>
      </c>
    </row>
    <row r="32" spans="1:12" ht="12">
      <c r="A32" s="22" t="s">
        <v>24</v>
      </c>
      <c r="B32" s="29">
        <v>60859.12</v>
      </c>
      <c r="C32" s="19">
        <f>B32/$L$32</f>
        <v>0.034012779064189064</v>
      </c>
      <c r="D32" s="29">
        <v>431967.7</v>
      </c>
      <c r="E32" s="19">
        <f>D32/$L$32</f>
        <v>0.24141693049399832</v>
      </c>
      <c r="F32" s="29">
        <v>957130.9</v>
      </c>
      <c r="G32" s="19">
        <f>F32/$L$32</f>
        <v>0.5349187079472796</v>
      </c>
      <c r="H32" s="29">
        <v>304134.8</v>
      </c>
      <c r="I32" s="19">
        <f>H32/$L$32</f>
        <v>0.1699740278553375</v>
      </c>
      <c r="J32" s="29">
        <v>34876.42</v>
      </c>
      <c r="K32" s="19">
        <f>J32/$L$32</f>
        <v>0.019491638525333012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21" ht="12">
      <c r="F34" s="5"/>
      <c r="G34" s="5"/>
      <c r="H34" s="5"/>
      <c r="I34" s="5"/>
      <c r="J34" s="5"/>
      <c r="K34" s="5"/>
      <c r="O34" s="42"/>
      <c r="P34" s="42"/>
      <c r="R34" s="43"/>
      <c r="T34" s="42"/>
      <c r="U34" s="43"/>
    </row>
    <row r="35" spans="1:15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  <c r="O35" s="47"/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13804.46</v>
      </c>
      <c r="C37" s="38">
        <f>B37/$L$37</f>
        <v>0.010920606340844624</v>
      </c>
      <c r="D37" s="37">
        <v>220758.4</v>
      </c>
      <c r="E37" s="38">
        <f>D37/$L$37</f>
        <v>0.17464033963188086</v>
      </c>
      <c r="F37" s="37">
        <v>645769.6</v>
      </c>
      <c r="G37" s="38">
        <f>F37/$L$37</f>
        <v>0.5108635606524774</v>
      </c>
      <c r="H37" s="37">
        <v>291086.95</v>
      </c>
      <c r="I37" s="38">
        <f>H37/$L$37</f>
        <v>0.23027673606262922</v>
      </c>
      <c r="J37" s="37">
        <v>92655.11</v>
      </c>
      <c r="K37" s="38">
        <f>J37/$L$37</f>
        <v>0.07329877313402018</v>
      </c>
      <c r="L37" s="45">
        <v>1264074.5</v>
      </c>
    </row>
    <row r="38" spans="1:12" ht="12">
      <c r="A38" s="21" t="s">
        <v>27</v>
      </c>
      <c r="B38" s="28">
        <v>49856.59</v>
      </c>
      <c r="C38" s="18">
        <f>B38/$L$38</f>
        <v>0.01992321883092738</v>
      </c>
      <c r="D38" s="28">
        <v>549387.3</v>
      </c>
      <c r="E38" s="18">
        <f>D38/$L$38</f>
        <v>0.21954095538488191</v>
      </c>
      <c r="F38" s="28">
        <v>1231200</v>
      </c>
      <c r="G38" s="18">
        <f>F38/$L$38</f>
        <v>0.49200049631629017</v>
      </c>
      <c r="H38" s="28">
        <v>555873.55</v>
      </c>
      <c r="I38" s="18">
        <f>H38/$L$38</f>
        <v>0.22213292924715575</v>
      </c>
      <c r="J38" s="28">
        <v>115939.3</v>
      </c>
      <c r="K38" s="18">
        <f>J38/$L$38</f>
        <v>0.046330566230152095</v>
      </c>
      <c r="L38" s="46">
        <v>2502436.5</v>
      </c>
    </row>
    <row r="39" spans="1:15" ht="12">
      <c r="A39" s="23" t="s">
        <v>28</v>
      </c>
      <c r="B39" s="34">
        <v>71861.39</v>
      </c>
      <c r="C39" s="24">
        <f>B39/$L$39</f>
        <v>0.024504385709165917</v>
      </c>
      <c r="D39" s="34">
        <v>719285.07</v>
      </c>
      <c r="E39" s="24">
        <f>D39/$L$39</f>
        <v>0.2452727228087907</v>
      </c>
      <c r="F39" s="34">
        <v>1349392.1</v>
      </c>
      <c r="G39" s="24">
        <f>F39/$L$39</f>
        <v>0.46013616618467007</v>
      </c>
      <c r="H39" s="34">
        <v>701467.1</v>
      </c>
      <c r="I39" s="24">
        <f>H39/$L$39</f>
        <v>0.23919688139472473</v>
      </c>
      <c r="J39" s="34">
        <v>87575.66</v>
      </c>
      <c r="K39" s="24">
        <f>J39/$L$39</f>
        <v>0.02986287561894883</v>
      </c>
      <c r="L39" s="45">
        <v>2932593</v>
      </c>
      <c r="O39" s="42"/>
    </row>
    <row r="40" spans="1:12" ht="12">
      <c r="A40" s="25" t="s">
        <v>29</v>
      </c>
      <c r="B40" s="40">
        <v>98332.378</v>
      </c>
      <c r="C40" s="26">
        <f>B40/$L$40</f>
        <v>0.017961395641764435</v>
      </c>
      <c r="D40" s="40">
        <v>1465254.2</v>
      </c>
      <c r="E40" s="26">
        <f>D40/$L$40</f>
        <v>0.2676433839722358</v>
      </c>
      <c r="F40" s="40">
        <v>2555530.3</v>
      </c>
      <c r="G40" s="26">
        <f>F40/$L$40</f>
        <v>0.4667932549421001</v>
      </c>
      <c r="H40" s="40">
        <v>1162078.7</v>
      </c>
      <c r="I40" s="26">
        <f>H40/$L$40</f>
        <v>0.21226533642425774</v>
      </c>
      <c r="J40" s="40">
        <v>192974.6</v>
      </c>
      <c r="K40" s="26">
        <f>J40/$L$40</f>
        <v>0.03524874725811304</v>
      </c>
      <c r="L40" s="33">
        <v>5474651.3</v>
      </c>
    </row>
    <row r="41" ht="12">
      <c r="A41" s="4" t="s">
        <v>31</v>
      </c>
    </row>
    <row r="42" spans="15:21" ht="12">
      <c r="O42" s="42"/>
      <c r="P42" s="42"/>
      <c r="R42" s="43"/>
      <c r="T42" s="42"/>
      <c r="U42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S42"/>
  <sheetViews>
    <sheetView showGridLines="0" zoomScale="90" zoomScaleNormal="90" zoomScalePageLayoutView="0" workbookViewId="0" topLeftCell="A1">
      <selection activeCell="O38" sqref="O38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4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</row>
    <row r="7" spans="1:14" ht="15" customHeight="1">
      <c r="A7" s="11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</row>
    <row r="11" spans="1:14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</row>
    <row r="12" spans="1:17" ht="20.25" customHeight="1">
      <c r="A12" s="229"/>
      <c r="B12" s="220" t="s">
        <v>58</v>
      </c>
      <c r="C12" s="221"/>
      <c r="D12" s="220" t="s">
        <v>59</v>
      </c>
      <c r="E12" s="221"/>
      <c r="F12" s="220" t="s">
        <v>39</v>
      </c>
      <c r="G12" s="221"/>
      <c r="H12" s="220" t="s">
        <v>60</v>
      </c>
      <c r="I12" s="221"/>
      <c r="J12" s="220" t="s">
        <v>61</v>
      </c>
      <c r="K12" s="221"/>
      <c r="L12" s="220" t="s">
        <v>62</v>
      </c>
      <c r="M12" s="221"/>
      <c r="N12" s="223" t="s">
        <v>12</v>
      </c>
      <c r="Q12" s="47"/>
    </row>
    <row r="13" spans="1:14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15" t="s">
        <v>30</v>
      </c>
      <c r="M13" s="16" t="s">
        <v>13</v>
      </c>
      <c r="N13" s="224"/>
    </row>
    <row r="14" spans="1:14" ht="24">
      <c r="A14" s="20" t="s">
        <v>3</v>
      </c>
      <c r="B14" s="27">
        <v>93635.36</v>
      </c>
      <c r="C14" s="17">
        <f>B14/$N$14</f>
        <v>0.007690402117741423</v>
      </c>
      <c r="D14" s="27">
        <v>599508.4</v>
      </c>
      <c r="E14" s="17">
        <f>D14/$N$14</f>
        <v>0.04923845723414501</v>
      </c>
      <c r="F14" s="27">
        <v>1952314.4</v>
      </c>
      <c r="G14" s="17">
        <f>F14/$N$14</f>
        <v>0.16034629221543095</v>
      </c>
      <c r="H14" s="27">
        <v>3092046.2</v>
      </c>
      <c r="I14" s="17">
        <f>H14/$N$14</f>
        <v>0.2539540473239417</v>
      </c>
      <c r="J14" s="27">
        <v>2168013</v>
      </c>
      <c r="K14" s="17">
        <f>J14/$N$14</f>
        <v>0.17806191770385607</v>
      </c>
      <c r="L14" s="27">
        <v>4269252.4</v>
      </c>
      <c r="M14" s="17">
        <f>L14/$N$14</f>
        <v>0.350639626932952</v>
      </c>
      <c r="N14" s="30">
        <v>12175613</v>
      </c>
    </row>
    <row r="15" spans="1:14" ht="12">
      <c r="A15" s="21" t="s">
        <v>5</v>
      </c>
      <c r="B15" s="28">
        <v>46948.11</v>
      </c>
      <c r="C15" s="18">
        <f>B15/$N$15</f>
        <v>0.010012948041478094</v>
      </c>
      <c r="D15" s="28">
        <v>248574.7</v>
      </c>
      <c r="E15" s="18">
        <f>D15/$N$15</f>
        <v>0.053015245033847046</v>
      </c>
      <c r="F15" s="28">
        <v>746067.5</v>
      </c>
      <c r="G15" s="18">
        <f>F15/$N$15</f>
        <v>0.15911897439397366</v>
      </c>
      <c r="H15" s="28">
        <v>1190046</v>
      </c>
      <c r="I15" s="18">
        <f>H15/$N$15</f>
        <v>0.2538093389695313</v>
      </c>
      <c r="J15" s="28">
        <v>918100.7</v>
      </c>
      <c r="K15" s="18">
        <f>J15/$N$15</f>
        <v>0.1958096844781327</v>
      </c>
      <c r="L15" s="28">
        <v>1539003.1</v>
      </c>
      <c r="M15" s="18">
        <f>L15/$N$15</f>
        <v>0.32823383254349786</v>
      </c>
      <c r="N15" s="31">
        <v>4688740</v>
      </c>
    </row>
    <row r="16" spans="1:14" ht="12">
      <c r="A16" s="22" t="s">
        <v>6</v>
      </c>
      <c r="B16" s="29">
        <v>46687.25</v>
      </c>
      <c r="C16" s="19">
        <f>B16/$N$16</f>
        <v>0.006235881038240117</v>
      </c>
      <c r="D16" s="29">
        <v>350933.7</v>
      </c>
      <c r="E16" s="19">
        <f>D16/$N$16</f>
        <v>0.046873199974499374</v>
      </c>
      <c r="F16" s="29">
        <v>1206246.9</v>
      </c>
      <c r="G16" s="19">
        <f>F16/$N$16</f>
        <v>0.16111491191162303</v>
      </c>
      <c r="H16" s="29">
        <v>1902000.2</v>
      </c>
      <c r="I16" s="19">
        <f>H16/$N$16</f>
        <v>0.2540446691957421</v>
      </c>
      <c r="J16" s="29">
        <v>1249912.4</v>
      </c>
      <c r="K16" s="19">
        <f>J16/$N$16</f>
        <v>0.1669471865363926</v>
      </c>
      <c r="L16" s="29">
        <v>2730249.3</v>
      </c>
      <c r="M16" s="19">
        <f>L16/$N$16</f>
        <v>0.36467150752161137</v>
      </c>
      <c r="N16" s="32">
        <v>7486873.1</v>
      </c>
    </row>
    <row r="17" spans="1:13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7" ht="1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Q18" s="47"/>
    </row>
    <row r="19" spans="1:14" ht="12">
      <c r="A19" s="222" t="s">
        <v>15</v>
      </c>
      <c r="B19" s="220" t="s">
        <v>58</v>
      </c>
      <c r="C19" s="221"/>
      <c r="D19" s="220" t="s">
        <v>59</v>
      </c>
      <c r="E19" s="221"/>
      <c r="F19" s="220" t="s">
        <v>39</v>
      </c>
      <c r="G19" s="221"/>
      <c r="H19" s="220" t="s">
        <v>60</v>
      </c>
      <c r="I19" s="221"/>
      <c r="J19" s="220" t="s">
        <v>61</v>
      </c>
      <c r="K19" s="221"/>
      <c r="L19" s="220" t="s">
        <v>62</v>
      </c>
      <c r="M19" s="221"/>
      <c r="N19" s="225" t="s">
        <v>12</v>
      </c>
    </row>
    <row r="20" spans="1:14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15" t="s">
        <v>30</v>
      </c>
      <c r="M20" s="16" t="s">
        <v>13</v>
      </c>
      <c r="N20" s="225"/>
    </row>
    <row r="21" spans="1:14" ht="12">
      <c r="A21" s="36" t="s">
        <v>16</v>
      </c>
      <c r="B21" s="37">
        <v>6387.621</v>
      </c>
      <c r="C21" s="17">
        <f>B21/$N$21</f>
        <v>0.008926251345899488</v>
      </c>
      <c r="D21" s="37">
        <v>30939.11</v>
      </c>
      <c r="E21" s="17">
        <f>D21/$N$21</f>
        <v>0.04323523143881459</v>
      </c>
      <c r="F21" s="37">
        <v>112060.7</v>
      </c>
      <c r="G21" s="17">
        <f>F21/$N$21</f>
        <v>0.15659695122760706</v>
      </c>
      <c r="H21" s="37">
        <v>192820.6</v>
      </c>
      <c r="I21" s="17">
        <f>H21/$N$21</f>
        <v>0.26945323466547977</v>
      </c>
      <c r="J21" s="37">
        <v>141383.4</v>
      </c>
      <c r="K21" s="17">
        <f>J21/$N$21</f>
        <v>0.19757336331285866</v>
      </c>
      <c r="L21" s="37">
        <v>232008.1</v>
      </c>
      <c r="M21" s="17">
        <f>L21/$N$21</f>
        <v>0.32421501132966135</v>
      </c>
      <c r="N21" s="39">
        <v>715599.5</v>
      </c>
    </row>
    <row r="22" spans="1:14" ht="12">
      <c r="A22" s="21" t="s">
        <v>17</v>
      </c>
      <c r="B22" s="28">
        <v>59366.15</v>
      </c>
      <c r="C22" s="18">
        <f>B22/$N$22</f>
        <v>0.00824567516361025</v>
      </c>
      <c r="D22" s="28">
        <v>355828.6</v>
      </c>
      <c r="E22" s="18">
        <f>D22/$N$22</f>
        <v>0.04942289586780018</v>
      </c>
      <c r="F22" s="28">
        <v>1169418.3</v>
      </c>
      <c r="G22" s="18">
        <f>F22/$N$22</f>
        <v>0.16242662581591227</v>
      </c>
      <c r="H22" s="28">
        <v>1992375.7</v>
      </c>
      <c r="I22" s="18">
        <f>H22/$N$22</f>
        <v>0.27673148462668684</v>
      </c>
      <c r="J22" s="28">
        <v>1185972.3</v>
      </c>
      <c r="K22" s="18">
        <f>J22/$N$22</f>
        <v>0.1647258974826517</v>
      </c>
      <c r="L22" s="28">
        <v>2435866.8</v>
      </c>
      <c r="M22" s="18">
        <f>L22/$N$22</f>
        <v>0.33833028374962454</v>
      </c>
      <c r="N22" s="31">
        <v>7199671.2</v>
      </c>
    </row>
    <row r="23" spans="1:14" ht="12">
      <c r="A23" s="22" t="s">
        <v>18</v>
      </c>
      <c r="B23" s="29">
        <v>27881.59</v>
      </c>
      <c r="C23" s="19">
        <f>B23/$N$23</f>
        <v>0.006544448164541892</v>
      </c>
      <c r="D23" s="29">
        <v>212740.6</v>
      </c>
      <c r="E23" s="19">
        <f>D23/$N$23</f>
        <v>0.04993509441870212</v>
      </c>
      <c r="F23" s="29">
        <v>670835.4</v>
      </c>
      <c r="G23" s="19">
        <f>F23/$N$23</f>
        <v>0.15746044261606765</v>
      </c>
      <c r="H23" s="29">
        <v>906849.9</v>
      </c>
      <c r="I23" s="19">
        <f>H23/$N$23</f>
        <v>0.21285845475706364</v>
      </c>
      <c r="J23" s="29">
        <v>840657.38</v>
      </c>
      <c r="K23" s="19">
        <f>J23/$N$23</f>
        <v>0.19732155330989357</v>
      </c>
      <c r="L23" s="29">
        <v>1601377.4</v>
      </c>
      <c r="M23" s="19">
        <f>L23/$N$23</f>
        <v>0.37587997621975167</v>
      </c>
      <c r="N23" s="32">
        <v>4260342.4</v>
      </c>
    </row>
    <row r="24" spans="1:19" ht="12">
      <c r="A24" s="4" t="s">
        <v>31</v>
      </c>
      <c r="F24" s="5"/>
      <c r="G24" s="5"/>
      <c r="H24" s="5"/>
      <c r="I24" s="5"/>
      <c r="J24" s="5"/>
      <c r="K24" s="5"/>
      <c r="L24" s="5"/>
      <c r="M24" s="5"/>
      <c r="R24" s="42"/>
      <c r="S24" s="42"/>
    </row>
    <row r="25" spans="6:13" ht="12">
      <c r="F25" s="5"/>
      <c r="G25" s="5"/>
      <c r="H25" s="5"/>
      <c r="I25" s="5"/>
      <c r="J25" s="5"/>
      <c r="K25" s="5"/>
      <c r="L25" s="5"/>
      <c r="M25" s="5"/>
    </row>
    <row r="26" spans="1:17" ht="12">
      <c r="A26" s="222" t="s">
        <v>19</v>
      </c>
      <c r="B26" s="220" t="s">
        <v>58</v>
      </c>
      <c r="C26" s="221"/>
      <c r="D26" s="220" t="s">
        <v>59</v>
      </c>
      <c r="E26" s="221"/>
      <c r="F26" s="220" t="s">
        <v>39</v>
      </c>
      <c r="G26" s="221"/>
      <c r="H26" s="220" t="s">
        <v>60</v>
      </c>
      <c r="I26" s="221"/>
      <c r="J26" s="220" t="s">
        <v>61</v>
      </c>
      <c r="K26" s="221"/>
      <c r="L26" s="220" t="s">
        <v>62</v>
      </c>
      <c r="M26" s="221"/>
      <c r="N26" s="225" t="s">
        <v>12</v>
      </c>
      <c r="Q26" s="47"/>
    </row>
    <row r="27" spans="1:14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15" t="s">
        <v>30</v>
      </c>
      <c r="M27" s="16" t="s">
        <v>13</v>
      </c>
      <c r="N27" s="225"/>
    </row>
    <row r="28" spans="1:14" ht="12">
      <c r="A28" s="36" t="s">
        <v>20</v>
      </c>
      <c r="B28" s="37">
        <v>4398.029</v>
      </c>
      <c r="C28" s="38">
        <f>B28/$N$28</f>
        <v>0.0030707067815532595</v>
      </c>
      <c r="D28" s="37">
        <v>34608.67</v>
      </c>
      <c r="E28" s="38">
        <f>D28/$N$28</f>
        <v>0.024163796480091156</v>
      </c>
      <c r="F28" s="37">
        <v>222064.4</v>
      </c>
      <c r="G28" s="38">
        <f>F28/$N$28</f>
        <v>0.15504551221048235</v>
      </c>
      <c r="H28" s="37">
        <v>286468.5</v>
      </c>
      <c r="I28" s="38">
        <f>H28/$N$28</f>
        <v>0.20001249779194039</v>
      </c>
      <c r="J28" s="37">
        <v>283587.5</v>
      </c>
      <c r="K28" s="38">
        <f>J28/$N$28</f>
        <v>0.19800098167013788</v>
      </c>
      <c r="L28" s="37">
        <v>601125.9</v>
      </c>
      <c r="M28" s="38">
        <f>L28/$N$28</f>
        <v>0.41970650436759427</v>
      </c>
      <c r="N28" s="45">
        <v>1432253</v>
      </c>
    </row>
    <row r="29" spans="1:14" ht="12">
      <c r="A29" s="21" t="s">
        <v>21</v>
      </c>
      <c r="B29" s="28">
        <v>26139.82</v>
      </c>
      <c r="C29" s="18">
        <f>B29/$N$29</f>
        <v>0.007864456039298482</v>
      </c>
      <c r="D29" s="28">
        <v>152577.8</v>
      </c>
      <c r="E29" s="18">
        <f>D29/$N$29</f>
        <v>0.04590473081577746</v>
      </c>
      <c r="F29" s="28">
        <v>600900.5</v>
      </c>
      <c r="G29" s="18">
        <f>F29/$N$29</f>
        <v>0.18078760933481858</v>
      </c>
      <c r="H29" s="28">
        <v>794108</v>
      </c>
      <c r="I29" s="18">
        <f>H29/$N$29</f>
        <v>0.23891623800222186</v>
      </c>
      <c r="J29" s="28">
        <v>576401.3</v>
      </c>
      <c r="K29" s="18">
        <f>J29/$N$29</f>
        <v>0.1734167520986945</v>
      </c>
      <c r="L29" s="28">
        <v>1172821.8</v>
      </c>
      <c r="M29" s="18">
        <f>L29/$N$29</f>
        <v>0.3528565035272208</v>
      </c>
      <c r="N29" s="46">
        <v>3323792.5</v>
      </c>
    </row>
    <row r="30" spans="1:14" ht="12">
      <c r="A30" s="23" t="s">
        <v>22</v>
      </c>
      <c r="B30" s="34">
        <v>35806.8</v>
      </c>
      <c r="C30" s="24">
        <f>B30/$N$30</f>
        <v>0.008679947340663765</v>
      </c>
      <c r="D30" s="34">
        <v>211754</v>
      </c>
      <c r="E30" s="24">
        <f>D30/$N$30</f>
        <v>0.051331411049714434</v>
      </c>
      <c r="F30" s="34">
        <v>604913.9</v>
      </c>
      <c r="G30" s="24">
        <f>F30/$N$30</f>
        <v>0.14663753246968583</v>
      </c>
      <c r="H30" s="34">
        <v>1058133.3</v>
      </c>
      <c r="I30" s="24">
        <f>H30/$N$30</f>
        <v>0.2565027124290016</v>
      </c>
      <c r="J30" s="34">
        <v>803936.1</v>
      </c>
      <c r="K30" s="24">
        <f>J30/$N$30</f>
        <v>0.19488262043127558</v>
      </c>
      <c r="L30" s="34">
        <v>1410688.2</v>
      </c>
      <c r="M30" s="24">
        <f>L30/$N$30</f>
        <v>0.3419657520386003</v>
      </c>
      <c r="N30" s="45">
        <v>4125232.4</v>
      </c>
    </row>
    <row r="31" spans="1:14" ht="12">
      <c r="A31" s="21" t="s">
        <v>23</v>
      </c>
      <c r="B31" s="28">
        <v>17406.73</v>
      </c>
      <c r="C31" s="18">
        <f>B31/$N$31</f>
        <v>0.011565675344390982</v>
      </c>
      <c r="D31" s="28">
        <v>63662.4</v>
      </c>
      <c r="E31" s="18">
        <f>D31/$N$31</f>
        <v>0.04229965364228413</v>
      </c>
      <c r="F31" s="28">
        <v>229229.4</v>
      </c>
      <c r="G31" s="18">
        <f>F31/$N$31</f>
        <v>0.152308493312043</v>
      </c>
      <c r="H31" s="28">
        <v>437689.3</v>
      </c>
      <c r="I31" s="18">
        <f>H31/$N$31</f>
        <v>0.2908169624917344</v>
      </c>
      <c r="J31" s="28">
        <v>247562.1</v>
      </c>
      <c r="K31" s="18">
        <f>J31/$N$31</f>
        <v>0.1644894173791203</v>
      </c>
      <c r="L31" s="28">
        <v>509483.8</v>
      </c>
      <c r="M31" s="18">
        <f>L31/$N$31</f>
        <v>0.3385198842072363</v>
      </c>
      <c r="N31" s="46">
        <v>1505033.6</v>
      </c>
    </row>
    <row r="32" spans="1:14" ht="12">
      <c r="A32" s="22" t="s">
        <v>24</v>
      </c>
      <c r="B32" s="29">
        <v>9883.978</v>
      </c>
      <c r="C32" s="19">
        <f>B32/$N$32</f>
        <v>0.005523930677757176</v>
      </c>
      <c r="D32" s="29">
        <v>136905.5</v>
      </c>
      <c r="E32" s="19">
        <f>D32/$N$32</f>
        <v>0.07651337259185371</v>
      </c>
      <c r="F32" s="29">
        <v>295206.1</v>
      </c>
      <c r="G32" s="19">
        <f>F32/$N$32</f>
        <v>0.1649839803418272</v>
      </c>
      <c r="H32" s="29">
        <v>515647.2</v>
      </c>
      <c r="I32" s="19">
        <f>H32/$N$32</f>
        <v>0.2881835013169384</v>
      </c>
      <c r="J32" s="29">
        <v>256526.5</v>
      </c>
      <c r="K32" s="19">
        <f>J32/$N$32</f>
        <v>0.14336683094677832</v>
      </c>
      <c r="L32" s="29">
        <v>575132.8</v>
      </c>
      <c r="M32" s="19">
        <f>L32/$N$32</f>
        <v>0.321428651268182</v>
      </c>
      <c r="N32" s="32">
        <v>1789301.6</v>
      </c>
    </row>
    <row r="33" spans="1:13" ht="12">
      <c r="A33" s="4" t="s">
        <v>31</v>
      </c>
      <c r="F33" s="5"/>
      <c r="G33" s="5"/>
      <c r="H33" s="5"/>
      <c r="I33" s="5"/>
      <c r="J33" s="5"/>
      <c r="K33" s="5"/>
      <c r="L33" s="5"/>
      <c r="M33" s="5"/>
    </row>
    <row r="34" spans="6:19" ht="12">
      <c r="F34" s="5"/>
      <c r="G34" s="5"/>
      <c r="H34" s="5"/>
      <c r="I34" s="5"/>
      <c r="J34" s="5"/>
      <c r="K34" s="5"/>
      <c r="L34" s="5"/>
      <c r="M34" s="5"/>
      <c r="R34" s="42"/>
      <c r="S34" s="42"/>
    </row>
    <row r="35" spans="1:17" ht="12">
      <c r="A35" s="222" t="s">
        <v>25</v>
      </c>
      <c r="B35" s="220" t="s">
        <v>58</v>
      </c>
      <c r="C35" s="221"/>
      <c r="D35" s="220" t="s">
        <v>59</v>
      </c>
      <c r="E35" s="221"/>
      <c r="F35" s="220" t="s">
        <v>39</v>
      </c>
      <c r="G35" s="221"/>
      <c r="H35" s="220" t="s">
        <v>60</v>
      </c>
      <c r="I35" s="221"/>
      <c r="J35" s="220" t="s">
        <v>61</v>
      </c>
      <c r="K35" s="221"/>
      <c r="L35" s="220" t="s">
        <v>62</v>
      </c>
      <c r="M35" s="221"/>
      <c r="N35" s="225" t="s">
        <v>12</v>
      </c>
      <c r="Q35" s="47"/>
    </row>
    <row r="36" spans="1:14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15" t="s">
        <v>30</v>
      </c>
      <c r="M36" s="16" t="s">
        <v>13</v>
      </c>
      <c r="N36" s="225"/>
    </row>
    <row r="37" spans="1:14" ht="12">
      <c r="A37" s="36" t="s">
        <v>26</v>
      </c>
      <c r="B37" s="37">
        <v>10580.08</v>
      </c>
      <c r="C37" s="38">
        <f>B37/$N$37</f>
        <v>0.008367338901077765</v>
      </c>
      <c r="D37" s="37">
        <v>73657.65</v>
      </c>
      <c r="E37" s="38">
        <f>D37/$N$37</f>
        <v>0.05825272778721622</v>
      </c>
      <c r="F37" s="37">
        <v>186153.1</v>
      </c>
      <c r="G37" s="38">
        <f>F37/$N$37</f>
        <v>0.14722063303738905</v>
      </c>
      <c r="H37" s="37">
        <v>293681.19</v>
      </c>
      <c r="I37" s="38">
        <f>H37/$N$37</f>
        <v>0.23226006283523473</v>
      </c>
      <c r="J37" s="37">
        <v>271645.2</v>
      </c>
      <c r="K37" s="38">
        <f>J37/$N$37</f>
        <v>0.2148327280371273</v>
      </c>
      <c r="L37" s="37">
        <v>428732.64</v>
      </c>
      <c r="M37" s="38">
        <f>L37/$N$37</f>
        <v>0.3390665568534235</v>
      </c>
      <c r="N37" s="45">
        <v>1264449.8</v>
      </c>
    </row>
    <row r="38" spans="1:14" ht="12">
      <c r="A38" s="21" t="s">
        <v>27</v>
      </c>
      <c r="B38" s="28">
        <v>20967.29</v>
      </c>
      <c r="C38" s="18">
        <f>B38/$N$38</f>
        <v>0.008378750070181601</v>
      </c>
      <c r="D38" s="28">
        <v>115321.4</v>
      </c>
      <c r="E38" s="18">
        <f>D38/$N$38</f>
        <v>0.04608364687775294</v>
      </c>
      <c r="F38" s="28">
        <v>393250.6</v>
      </c>
      <c r="G38" s="18">
        <f>F38/$N$38</f>
        <v>0.15714708445149356</v>
      </c>
      <c r="H38" s="28">
        <v>684524.9</v>
      </c>
      <c r="I38" s="18">
        <f>H38/$N$38</f>
        <v>0.27354336463682494</v>
      </c>
      <c r="J38" s="28">
        <v>431287.6</v>
      </c>
      <c r="K38" s="18">
        <f>J38/$N$38</f>
        <v>0.17234707054504678</v>
      </c>
      <c r="L38" s="28">
        <v>857084.7</v>
      </c>
      <c r="M38" s="18">
        <f>L38/$N$38</f>
        <v>0.3425000794225947</v>
      </c>
      <c r="N38" s="46">
        <v>2502436.5</v>
      </c>
    </row>
    <row r="39" spans="1:14" ht="12">
      <c r="A39" s="23" t="s">
        <v>28</v>
      </c>
      <c r="B39" s="34">
        <v>13769.23</v>
      </c>
      <c r="C39" s="24">
        <f>B39/$N$39</f>
        <v>0.0046952406965439794</v>
      </c>
      <c r="D39" s="34">
        <v>160726.1</v>
      </c>
      <c r="E39" s="24">
        <f>D39/$N$39</f>
        <v>0.05480682113065127</v>
      </c>
      <c r="F39" s="34">
        <v>503390.9</v>
      </c>
      <c r="G39" s="24">
        <f>F39/$N$39</f>
        <v>0.17165385718372786</v>
      </c>
      <c r="H39" s="34">
        <v>725486</v>
      </c>
      <c r="I39" s="24">
        <f>H39/$N$39</f>
        <v>0.2473872098855859</v>
      </c>
      <c r="J39" s="34">
        <v>518435.6</v>
      </c>
      <c r="K39" s="24">
        <f>J39/$N$39</f>
        <v>0.1767840269686247</v>
      </c>
      <c r="L39" s="34">
        <v>1010785</v>
      </c>
      <c r="M39" s="24">
        <f>L39/$N$39</f>
        <v>0.34467278616569025</v>
      </c>
      <c r="N39" s="45">
        <v>2932593</v>
      </c>
    </row>
    <row r="40" spans="1:14" ht="12">
      <c r="A40" s="25" t="s">
        <v>29</v>
      </c>
      <c r="B40" s="40">
        <v>48318.76</v>
      </c>
      <c r="C40" s="26">
        <f>B40/$N$40</f>
        <v>0.008823517058695681</v>
      </c>
      <c r="D40" s="40">
        <v>249803.2</v>
      </c>
      <c r="E40" s="26">
        <f>D40/$N$40</f>
        <v>0.04561670863484015</v>
      </c>
      <c r="F40" s="40">
        <v>869519.8</v>
      </c>
      <c r="G40" s="26">
        <f>F40/$N$40</f>
        <v>0.1587835198621334</v>
      </c>
      <c r="H40" s="40">
        <v>1388354.1</v>
      </c>
      <c r="I40" s="26">
        <f>H40/$N$40</f>
        <v>0.25352815521052463</v>
      </c>
      <c r="J40" s="40">
        <v>946644.6</v>
      </c>
      <c r="K40" s="26">
        <f>J40/$N$40</f>
        <v>0.1728673247538254</v>
      </c>
      <c r="L40" s="40">
        <v>1972650</v>
      </c>
      <c r="M40" s="26">
        <f>L40/$N$40</f>
        <v>0.3602267716687273</v>
      </c>
      <c r="N40" s="33">
        <v>5476133.8</v>
      </c>
    </row>
    <row r="41" ht="12">
      <c r="A41" s="4" t="s">
        <v>31</v>
      </c>
    </row>
    <row r="42" spans="18:19" ht="12">
      <c r="R42" s="42"/>
      <c r="S42" s="42"/>
    </row>
  </sheetData>
  <sheetProtection/>
  <mergeCells count="34">
    <mergeCell ref="A19:A20"/>
    <mergeCell ref="N35:N36"/>
    <mergeCell ref="J19:K19"/>
    <mergeCell ref="J26:K26"/>
    <mergeCell ref="J35:K35"/>
    <mergeCell ref="A35:A36"/>
    <mergeCell ref="L19:M19"/>
    <mergeCell ref="A6:N6"/>
    <mergeCell ref="A11:A13"/>
    <mergeCell ref="B11:N11"/>
    <mergeCell ref="B12:C12"/>
    <mergeCell ref="D12:E12"/>
    <mergeCell ref="L35:M35"/>
    <mergeCell ref="F26:G26"/>
    <mergeCell ref="H26:I26"/>
    <mergeCell ref="L26:M26"/>
    <mergeCell ref="N26:N27"/>
    <mergeCell ref="D19:E19"/>
    <mergeCell ref="B35:C35"/>
    <mergeCell ref="D35:E35"/>
    <mergeCell ref="F35:G35"/>
    <mergeCell ref="H35:I35"/>
    <mergeCell ref="F19:G19"/>
    <mergeCell ref="H19:I19"/>
    <mergeCell ref="J12:K12"/>
    <mergeCell ref="N19:N20"/>
    <mergeCell ref="A26:A27"/>
    <mergeCell ref="B26:C26"/>
    <mergeCell ref="D26:E26"/>
    <mergeCell ref="F12:G12"/>
    <mergeCell ref="H12:I12"/>
    <mergeCell ref="L12:M12"/>
    <mergeCell ref="N12:N13"/>
    <mergeCell ref="B19:C19"/>
  </mergeCells>
  <printOptions/>
  <pageMargins left="0.75" right="0.75" top="1" bottom="1" header="0" footer="0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2"/>
  <sheetViews>
    <sheetView showGridLines="0" zoomScale="90" zoomScaleNormal="90" zoomScalePageLayoutView="0" workbookViewId="0" topLeftCell="A1">
      <selection activeCell="C31" sqref="C31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172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37</v>
      </c>
      <c r="C12" s="221"/>
      <c r="D12" s="220" t="s">
        <v>38</v>
      </c>
      <c r="E12" s="221"/>
      <c r="F12" s="220" t="s">
        <v>42</v>
      </c>
      <c r="G12" s="221"/>
      <c r="H12" s="220" t="s">
        <v>40</v>
      </c>
      <c r="I12" s="221"/>
      <c r="J12" s="220" t="s">
        <v>41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405387.8</v>
      </c>
      <c r="C14" s="17">
        <f>B14/$L$14</f>
        <v>0.033297368245970974</v>
      </c>
      <c r="D14" s="27">
        <v>2719986</v>
      </c>
      <c r="E14" s="17">
        <f>D14/$L$14</f>
        <v>0.22341169484105244</v>
      </c>
      <c r="F14" s="27">
        <v>2270564.1</v>
      </c>
      <c r="G14" s="17">
        <f>F14/$L$14</f>
        <v>0.18649749440851862</v>
      </c>
      <c r="H14" s="27">
        <v>3073530.9</v>
      </c>
      <c r="I14" s="17">
        <f>H14/$L$14</f>
        <v>0.25245083890701836</v>
      </c>
      <c r="J14" s="27">
        <v>3705301</v>
      </c>
      <c r="K14" s="17">
        <f>J14/$L$14</f>
        <v>0.30434258717002455</v>
      </c>
      <c r="L14" s="30">
        <v>12174770</v>
      </c>
    </row>
    <row r="15" spans="1:12" ht="12">
      <c r="A15" s="21" t="s">
        <v>5</v>
      </c>
      <c r="B15" s="28">
        <v>157289.7</v>
      </c>
      <c r="C15" s="18">
        <f>B15/$L$15</f>
        <v>0.03354626189551991</v>
      </c>
      <c r="D15" s="28">
        <v>1089973.4</v>
      </c>
      <c r="E15" s="18">
        <f>D15/$L$15</f>
        <v>0.23246616361751768</v>
      </c>
      <c r="F15" s="28">
        <v>891467.19</v>
      </c>
      <c r="G15" s="18">
        <f>F15/$L$15</f>
        <v>0.19012937164355453</v>
      </c>
      <c r="H15" s="28">
        <v>1186239.3</v>
      </c>
      <c r="I15" s="18">
        <f>H15/$L$15</f>
        <v>0.2529974577391794</v>
      </c>
      <c r="J15" s="28">
        <v>1363770.4</v>
      </c>
      <c r="K15" s="18">
        <f>J15/$L$15</f>
        <v>0.29086074297145925</v>
      </c>
      <c r="L15" s="31">
        <v>4688740</v>
      </c>
    </row>
    <row r="16" spans="1:12" ht="12">
      <c r="A16" s="22" t="s">
        <v>6</v>
      </c>
      <c r="B16" s="29">
        <v>248098</v>
      </c>
      <c r="C16" s="19">
        <f>B16/$L$16</f>
        <v>0.03314146616329882</v>
      </c>
      <c r="D16" s="29">
        <v>1630012.5</v>
      </c>
      <c r="E16" s="19">
        <f>D16/$L$16</f>
        <v>0.21774058684271583</v>
      </c>
      <c r="F16" s="29">
        <v>1379096.9</v>
      </c>
      <c r="G16" s="19">
        <f>F16/$L$16</f>
        <v>0.184222739591856</v>
      </c>
      <c r="H16" s="29">
        <v>1887291.6</v>
      </c>
      <c r="I16" s="19">
        <f>H16/$L$16</f>
        <v>0.2521084841541572</v>
      </c>
      <c r="J16" s="29">
        <v>2341530.6</v>
      </c>
      <c r="K16" s="19">
        <f>J16/$L$16</f>
        <v>0.3127867098897564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37</v>
      </c>
      <c r="C19" s="221"/>
      <c r="D19" s="220" t="s">
        <v>38</v>
      </c>
      <c r="E19" s="221"/>
      <c r="F19" s="220" t="s">
        <v>42</v>
      </c>
      <c r="G19" s="221"/>
      <c r="H19" s="220" t="s">
        <v>40</v>
      </c>
      <c r="I19" s="221"/>
      <c r="J19" s="220" t="s">
        <v>41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37799.84</v>
      </c>
      <c r="C21" s="17">
        <f>B21/$L$21</f>
        <v>0.052822619356218105</v>
      </c>
      <c r="D21" s="37">
        <v>146808</v>
      </c>
      <c r="E21" s="17">
        <f>D21/$L$21</f>
        <v>0.2051538605043743</v>
      </c>
      <c r="F21" s="37">
        <v>133161.8</v>
      </c>
      <c r="G21" s="17">
        <f>F21/$L$21</f>
        <v>0.18608425522935662</v>
      </c>
      <c r="H21" s="37">
        <v>200950.2</v>
      </c>
      <c r="I21" s="17">
        <f>H21/$L$21</f>
        <v>0.28081377921588824</v>
      </c>
      <c r="J21" s="37">
        <v>196879.68</v>
      </c>
      <c r="K21" s="17">
        <f>J21/$L$21</f>
        <v>0.2751255136427569</v>
      </c>
      <c r="L21" s="39">
        <v>715599.5</v>
      </c>
    </row>
    <row r="22" spans="1:12" ht="12">
      <c r="A22" s="21" t="s">
        <v>17</v>
      </c>
      <c r="B22" s="28">
        <v>237827.7</v>
      </c>
      <c r="C22" s="18">
        <f>B22/$L$22</f>
        <v>0.03303700360772625</v>
      </c>
      <c r="D22" s="28">
        <v>1627183.4</v>
      </c>
      <c r="E22" s="18">
        <f>D22/$L$22</f>
        <v>0.22603449411583368</v>
      </c>
      <c r="F22" s="28">
        <v>1300685.5</v>
      </c>
      <c r="G22" s="18">
        <f>F22/$L$22</f>
        <v>0.18068017962591076</v>
      </c>
      <c r="H22" s="28">
        <v>1791136.6</v>
      </c>
      <c r="I22" s="18">
        <f>H22/$L$22</f>
        <v>0.2488094797878066</v>
      </c>
      <c r="J22" s="28">
        <v>2241994.6</v>
      </c>
      <c r="K22" s="18">
        <f>J22/$L$22</f>
        <v>0.3114388428627228</v>
      </c>
      <c r="L22" s="31">
        <v>7198827.8</v>
      </c>
    </row>
    <row r="23" spans="1:12" ht="12">
      <c r="A23" s="22" t="s">
        <v>18</v>
      </c>
      <c r="B23" s="29">
        <v>129760.3</v>
      </c>
      <c r="C23" s="19">
        <f>B23/$L$23</f>
        <v>0.030457716262429983</v>
      </c>
      <c r="D23" s="29">
        <v>945994.5</v>
      </c>
      <c r="E23" s="19">
        <f>D23/$L$23</f>
        <v>0.22204658949477862</v>
      </c>
      <c r="F23" s="29">
        <v>836716.8</v>
      </c>
      <c r="G23" s="19">
        <f>F23/$L$23</f>
        <v>0.19639660887350274</v>
      </c>
      <c r="H23" s="29">
        <v>1081444.1</v>
      </c>
      <c r="I23" s="19">
        <f>H23/$L$23</f>
        <v>0.2538397148548436</v>
      </c>
      <c r="J23" s="29">
        <v>1266426.8</v>
      </c>
      <c r="K23" s="19">
        <f>J23/$L$23</f>
        <v>0.29725939398673684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15" ht="12">
      <c r="F25" s="5"/>
      <c r="G25" s="5"/>
      <c r="H25" s="5"/>
      <c r="I25" s="5"/>
      <c r="J25" s="5"/>
      <c r="K25" s="5"/>
      <c r="O25" s="42"/>
    </row>
    <row r="26" spans="1:12" ht="12">
      <c r="A26" s="222" t="s">
        <v>19</v>
      </c>
      <c r="B26" s="220" t="s">
        <v>37</v>
      </c>
      <c r="C26" s="221"/>
      <c r="D26" s="220" t="s">
        <v>38</v>
      </c>
      <c r="E26" s="221"/>
      <c r="F26" s="220" t="s">
        <v>42</v>
      </c>
      <c r="G26" s="221"/>
      <c r="H26" s="220" t="s">
        <v>40</v>
      </c>
      <c r="I26" s="221"/>
      <c r="J26" s="220" t="s">
        <v>41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46396.32</v>
      </c>
      <c r="C28" s="38">
        <f>B28/$L$28</f>
        <v>0.032393941573171776</v>
      </c>
      <c r="D28" s="37">
        <v>294321.2</v>
      </c>
      <c r="E28" s="38">
        <f>D28/$L$28</f>
        <v>0.20549525817016967</v>
      </c>
      <c r="F28" s="37">
        <v>339925.7</v>
      </c>
      <c r="G28" s="38">
        <f>F28/$L$28</f>
        <v>0.23733635049114926</v>
      </c>
      <c r="H28" s="37">
        <v>344977.4</v>
      </c>
      <c r="I28" s="38">
        <f>H28/$L$28</f>
        <v>0.2408634508009409</v>
      </c>
      <c r="J28" s="37">
        <v>406632.4</v>
      </c>
      <c r="K28" s="38">
        <f>J28/$L$28</f>
        <v>0.2839110129285818</v>
      </c>
      <c r="L28" s="45">
        <v>1432253</v>
      </c>
    </row>
    <row r="29" spans="1:12" ht="12">
      <c r="A29" s="21" t="s">
        <v>21</v>
      </c>
      <c r="B29" s="28">
        <v>100451.4</v>
      </c>
      <c r="C29" s="18">
        <f>B29/$L$29</f>
        <v>0.030229592435538886</v>
      </c>
      <c r="D29" s="28">
        <v>735431.1</v>
      </c>
      <c r="E29" s="18">
        <f>D29/$L$29</f>
        <v>0.22131879115094505</v>
      </c>
      <c r="F29" s="28">
        <v>643522.5</v>
      </c>
      <c r="G29" s="18">
        <f>F29/$L$29</f>
        <v>0.1936600475264563</v>
      </c>
      <c r="H29" s="28">
        <v>834756.2</v>
      </c>
      <c r="I29" s="18">
        <f>H29/$L$29</f>
        <v>0.2512094376886652</v>
      </c>
      <c r="J29" s="28">
        <v>1008788</v>
      </c>
      <c r="K29" s="18">
        <f>J29/$L$29</f>
        <v>0.30358213119839444</v>
      </c>
      <c r="L29" s="46">
        <v>3322949.2</v>
      </c>
    </row>
    <row r="30" spans="1:12" ht="12">
      <c r="A30" s="23" t="s">
        <v>22</v>
      </c>
      <c r="B30" s="34">
        <v>139526.3</v>
      </c>
      <c r="C30" s="24">
        <f>B30/$L$30</f>
        <v>0.03382265202804089</v>
      </c>
      <c r="D30" s="34">
        <v>870936.2</v>
      </c>
      <c r="E30" s="24">
        <f>D30/$L$30</f>
        <v>0.21112415387797304</v>
      </c>
      <c r="F30" s="34">
        <v>754595.4</v>
      </c>
      <c r="G30" s="24">
        <f>F30/$L$30</f>
        <v>0.18292191247213127</v>
      </c>
      <c r="H30" s="34">
        <v>1027423</v>
      </c>
      <c r="I30" s="24">
        <f>H30/$L$30</f>
        <v>0.2490582106355996</v>
      </c>
      <c r="J30" s="34">
        <v>1332751.4</v>
      </c>
      <c r="K30" s="24">
        <f>J30/$L$30</f>
        <v>0.3230730467451967</v>
      </c>
      <c r="L30" s="45">
        <v>4125232.4</v>
      </c>
    </row>
    <row r="31" spans="1:12" ht="12">
      <c r="A31" s="21" t="s">
        <v>23</v>
      </c>
      <c r="B31" s="28">
        <v>66361.3</v>
      </c>
      <c r="C31" s="18">
        <f>B31/$L$31</f>
        <v>0.04409290264350244</v>
      </c>
      <c r="D31" s="28">
        <v>352533.1</v>
      </c>
      <c r="E31" s="18">
        <f>D31/$L$31</f>
        <v>0.2342360330028512</v>
      </c>
      <c r="F31" s="28">
        <v>272748.2</v>
      </c>
      <c r="G31" s="18">
        <f>F31/$L$31</f>
        <v>0.1812239939360822</v>
      </c>
      <c r="H31" s="28">
        <v>439976.8</v>
      </c>
      <c r="I31" s="18">
        <f>H31/$L$31</f>
        <v>0.2923368621139089</v>
      </c>
      <c r="J31" s="28">
        <v>373414.2</v>
      </c>
      <c r="K31" s="18">
        <f>J31/$L$31</f>
        <v>0.24811020830365513</v>
      </c>
      <c r="L31" s="46">
        <v>1505033.6</v>
      </c>
    </row>
    <row r="32" spans="1:12" ht="12">
      <c r="A32" s="22" t="s">
        <v>24</v>
      </c>
      <c r="B32" s="29">
        <v>52652.42</v>
      </c>
      <c r="C32" s="19">
        <f>B32/$L$32</f>
        <v>0.029426240942276024</v>
      </c>
      <c r="D32" s="29">
        <v>466764.4</v>
      </c>
      <c r="E32" s="19">
        <f>D32/$L$32</f>
        <v>0.2608640153230735</v>
      </c>
      <c r="F32" s="29">
        <v>259772.3</v>
      </c>
      <c r="G32" s="19">
        <f>F32/$L$32</f>
        <v>0.14518083480169022</v>
      </c>
      <c r="H32" s="29">
        <v>426397.5</v>
      </c>
      <c r="I32" s="19">
        <f>H32/$L$32</f>
        <v>0.23830387230414368</v>
      </c>
      <c r="J32" s="29">
        <v>583715</v>
      </c>
      <c r="K32" s="19">
        <f>J32/$L$32</f>
        <v>0.32622504780636197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20" ht="12">
      <c r="F34" s="5"/>
      <c r="G34" s="5"/>
      <c r="H34" s="5"/>
      <c r="I34" s="5"/>
      <c r="J34" s="5"/>
      <c r="K34" s="5"/>
      <c r="O34" s="42"/>
      <c r="P34" s="43"/>
      <c r="S34" s="43"/>
      <c r="T34" s="43"/>
    </row>
    <row r="35" spans="1:12" ht="12">
      <c r="A35" s="222" t="s">
        <v>25</v>
      </c>
      <c r="B35" s="220" t="s">
        <v>37</v>
      </c>
      <c r="C35" s="221"/>
      <c r="D35" s="220" t="s">
        <v>38</v>
      </c>
      <c r="E35" s="221"/>
      <c r="F35" s="220" t="s">
        <v>42</v>
      </c>
      <c r="G35" s="221"/>
      <c r="H35" s="220" t="s">
        <v>40</v>
      </c>
      <c r="I35" s="221"/>
      <c r="J35" s="220" t="s">
        <v>41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43848.45</v>
      </c>
      <c r="C37" s="38">
        <f>B37/$L$37</f>
        <v>0.034677889149889535</v>
      </c>
      <c r="D37" s="37">
        <v>336792.4</v>
      </c>
      <c r="E37" s="38">
        <f>D37/$L$37</f>
        <v>0.266354899973095</v>
      </c>
      <c r="F37" s="37">
        <v>230659.7</v>
      </c>
      <c r="G37" s="38">
        <f>F37/$L$37</f>
        <v>0.18241902525509515</v>
      </c>
      <c r="H37" s="37">
        <v>285168.44</v>
      </c>
      <c r="I37" s="38">
        <f>H37/$L$37</f>
        <v>0.22552768801102266</v>
      </c>
      <c r="J37" s="37">
        <v>367980.8</v>
      </c>
      <c r="K37" s="38">
        <f>J37/$L$37</f>
        <v>0.29102048970231953</v>
      </c>
      <c r="L37" s="45">
        <v>1264449.8</v>
      </c>
    </row>
    <row r="38" spans="1:12" ht="12">
      <c r="A38" s="21" t="s">
        <v>27</v>
      </c>
      <c r="B38" s="28">
        <v>57605.83</v>
      </c>
      <c r="C38" s="18">
        <f>B38/$L$38</f>
        <v>0.02301989680857037</v>
      </c>
      <c r="D38" s="28">
        <v>650347.6</v>
      </c>
      <c r="E38" s="18">
        <f>D38/$L$38</f>
        <v>0.25988575534284286</v>
      </c>
      <c r="F38" s="28">
        <v>405878.1</v>
      </c>
      <c r="G38" s="18">
        <f>F38/$L$38</f>
        <v>0.16219316653989022</v>
      </c>
      <c r="H38" s="28">
        <v>601952.5</v>
      </c>
      <c r="I38" s="18">
        <f>H38/$L$38</f>
        <v>0.24054656331938892</v>
      </c>
      <c r="J38" s="28">
        <v>786652.4</v>
      </c>
      <c r="K38" s="18">
        <f>J38/$L$38</f>
        <v>0.31435459001656985</v>
      </c>
      <c r="L38" s="46">
        <v>2502436.5</v>
      </c>
    </row>
    <row r="39" spans="1:12" ht="12">
      <c r="A39" s="23" t="s">
        <v>28</v>
      </c>
      <c r="B39" s="34">
        <v>104911.64</v>
      </c>
      <c r="C39" s="24">
        <f>B39/$L$39</f>
        <v>0.03577436077901025</v>
      </c>
      <c r="D39" s="34">
        <v>646103.9</v>
      </c>
      <c r="E39" s="24">
        <f>D39/$L$39</f>
        <v>0.2203182985160232</v>
      </c>
      <c r="F39" s="34">
        <v>605136.8</v>
      </c>
      <c r="G39" s="24">
        <f>F39/$L$39</f>
        <v>0.2063487159657</v>
      </c>
      <c r="H39" s="34">
        <v>768495.76</v>
      </c>
      <c r="I39" s="24">
        <f>H39/$L$39</f>
        <v>0.26205332959602645</v>
      </c>
      <c r="J39" s="34">
        <v>807944.8</v>
      </c>
      <c r="K39" s="24">
        <f>J39/$L$39</f>
        <v>0.2755052610437248</v>
      </c>
      <c r="L39" s="45">
        <v>2932593</v>
      </c>
    </row>
    <row r="40" spans="1:12" ht="12">
      <c r="A40" s="25" t="s">
        <v>29</v>
      </c>
      <c r="B40" s="40">
        <v>199021.84</v>
      </c>
      <c r="C40" s="26">
        <f>B40/$L$40</f>
        <v>0.036349092344963245</v>
      </c>
      <c r="D40" s="40">
        <v>1086742</v>
      </c>
      <c r="E40" s="26">
        <f>D40/$L$40</f>
        <v>0.19848115821434498</v>
      </c>
      <c r="F40" s="40">
        <v>1028889.5</v>
      </c>
      <c r="G40" s="26">
        <f>F40/$L$40</f>
        <v>0.18791505217850998</v>
      </c>
      <c r="H40" s="40">
        <v>1417914.3</v>
      </c>
      <c r="I40" s="26">
        <f>H40/$L$40</f>
        <v>0.25896604024937125</v>
      </c>
      <c r="J40" s="40">
        <v>1742722.9</v>
      </c>
      <c r="K40" s="26">
        <f>J40/$L$40</f>
        <v>0.318288664318359</v>
      </c>
      <c r="L40" s="33">
        <v>5475290.5</v>
      </c>
    </row>
    <row r="41" ht="12">
      <c r="A41" s="4" t="s">
        <v>31</v>
      </c>
    </row>
    <row r="42" spans="15:20" ht="12">
      <c r="O42" s="42"/>
      <c r="P42" s="43"/>
      <c r="S42" s="43"/>
      <c r="T42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1"/>
  <sheetViews>
    <sheetView showGridLines="0" zoomScale="75" zoomScaleNormal="75" zoomScalePageLayoutView="0" workbookViewId="0" topLeftCell="A1">
      <selection activeCell="K50" sqref="K50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2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11" t="s">
        <v>54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ht="14.25">
      <c r="A11" s="228" t="s">
        <v>14</v>
      </c>
      <c r="B11" s="226"/>
      <c r="C11" s="226"/>
      <c r="D11" s="226"/>
      <c r="E11" s="226"/>
      <c r="F11" s="226"/>
      <c r="G11" s="226"/>
      <c r="H11" s="226"/>
    </row>
    <row r="12" spans="1:8" ht="20.25" customHeight="1">
      <c r="A12" s="229"/>
      <c r="B12" s="220" t="s">
        <v>45</v>
      </c>
      <c r="C12" s="221"/>
      <c r="D12" s="220" t="s">
        <v>53</v>
      </c>
      <c r="E12" s="221"/>
      <c r="F12" s="220" t="s">
        <v>44</v>
      </c>
      <c r="G12" s="221"/>
      <c r="H12" s="223" t="s">
        <v>12</v>
      </c>
    </row>
    <row r="13" spans="1:8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224"/>
    </row>
    <row r="14" spans="1:8" ht="24">
      <c r="A14" s="20" t="s">
        <v>3</v>
      </c>
      <c r="B14" s="27">
        <v>163104.5</v>
      </c>
      <c r="C14" s="17">
        <f>B14/$H$14</f>
        <v>0.013396926594917194</v>
      </c>
      <c r="D14" s="27">
        <v>427323.4</v>
      </c>
      <c r="E14" s="17">
        <f>D14/$H$14</f>
        <v>0.035099094274470895</v>
      </c>
      <c r="F14" s="27">
        <v>11584342</v>
      </c>
      <c r="G14" s="17">
        <f>F14/$H$14</f>
        <v>0.9515039709169044</v>
      </c>
      <c r="H14" s="30">
        <v>12174770</v>
      </c>
    </row>
    <row r="15" spans="1:8" ht="12">
      <c r="A15" s="21" t="s">
        <v>5</v>
      </c>
      <c r="B15" s="28">
        <v>90038.64</v>
      </c>
      <c r="C15" s="18">
        <f>B15/$H$15</f>
        <v>0.01920316332319557</v>
      </c>
      <c r="D15" s="28">
        <v>191363.7</v>
      </c>
      <c r="E15" s="18">
        <f>D15/$H$15</f>
        <v>0.04081345947951902</v>
      </c>
      <c r="F15" s="28">
        <v>4407337.7</v>
      </c>
      <c r="G15" s="18">
        <f>F15/$H$15</f>
        <v>0.939983385728362</v>
      </c>
      <c r="H15" s="31">
        <v>4688740</v>
      </c>
    </row>
    <row r="16" spans="1:8" ht="12">
      <c r="A16" s="22" t="s">
        <v>6</v>
      </c>
      <c r="B16" s="29">
        <v>73065.83</v>
      </c>
      <c r="C16" s="19">
        <f>B16/$H$16</f>
        <v>0.009760291226202322</v>
      </c>
      <c r="D16" s="29">
        <v>235959.7</v>
      </c>
      <c r="E16" s="19">
        <f>D16/$H$16</f>
        <v>0.03152000585837911</v>
      </c>
      <c r="F16" s="29">
        <v>7177004.2</v>
      </c>
      <c r="G16" s="19">
        <f>F16/$H$16</f>
        <v>0.9587197069228833</v>
      </c>
      <c r="H16" s="32">
        <v>7486029.7</v>
      </c>
    </row>
    <row r="17" spans="1:7" ht="12">
      <c r="A17" s="4" t="s">
        <v>31</v>
      </c>
      <c r="B17" s="13"/>
      <c r="C17" s="13"/>
      <c r="D17" s="13"/>
      <c r="E17" s="13"/>
      <c r="F17" s="13"/>
      <c r="G17" s="13"/>
    </row>
    <row r="18" spans="2:7" ht="12">
      <c r="B18" s="13"/>
      <c r="C18" s="13"/>
      <c r="D18" s="13"/>
      <c r="E18" s="13"/>
      <c r="F18" s="13"/>
      <c r="G18" s="13"/>
    </row>
    <row r="19" spans="1:8" ht="12">
      <c r="A19" s="222" t="s">
        <v>15</v>
      </c>
      <c r="B19" s="220" t="s">
        <v>45</v>
      </c>
      <c r="C19" s="221"/>
      <c r="D19" s="220" t="s">
        <v>53</v>
      </c>
      <c r="E19" s="221"/>
      <c r="F19" s="220" t="s">
        <v>44</v>
      </c>
      <c r="G19" s="221"/>
      <c r="H19" s="225" t="s">
        <v>12</v>
      </c>
    </row>
    <row r="20" spans="1:8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225"/>
    </row>
    <row r="21" spans="1:8" ht="12">
      <c r="A21" s="36" t="s">
        <v>16</v>
      </c>
      <c r="B21" s="37">
        <v>24410.05</v>
      </c>
      <c r="C21" s="17">
        <f>B21/$H$21</f>
        <v>0.034111329032510504</v>
      </c>
      <c r="D21" s="37">
        <v>24269.57</v>
      </c>
      <c r="E21" s="17">
        <f>D21/$H$21</f>
        <v>0.03391501810719544</v>
      </c>
      <c r="F21" s="37">
        <v>666919.9</v>
      </c>
      <c r="G21" s="17">
        <f>F21/$H$21</f>
        <v>0.9319736808088882</v>
      </c>
      <c r="H21" s="39">
        <v>715599.5</v>
      </c>
    </row>
    <row r="22" spans="1:8" ht="12">
      <c r="A22" s="21" t="s">
        <v>17</v>
      </c>
      <c r="B22" s="28">
        <v>111054</v>
      </c>
      <c r="C22" s="18">
        <f>B22/$H$22</f>
        <v>0.015426678215583932</v>
      </c>
      <c r="D22" s="28">
        <v>337048.1</v>
      </c>
      <c r="E22" s="18">
        <f>D22/$H$22</f>
        <v>0.04681985864420871</v>
      </c>
      <c r="F22" s="28">
        <v>6750725.8</v>
      </c>
      <c r="G22" s="18">
        <f>F22/$H$22</f>
        <v>0.9377534770313578</v>
      </c>
      <c r="H22" s="31">
        <v>7198827.8</v>
      </c>
    </row>
    <row r="23" spans="1:8" ht="12">
      <c r="A23" s="22" t="s">
        <v>18</v>
      </c>
      <c r="B23" s="29">
        <v>27640.45</v>
      </c>
      <c r="C23" s="19">
        <f>B23/$H$23</f>
        <v>0.006487847080084454</v>
      </c>
      <c r="D23" s="29">
        <v>66005.76</v>
      </c>
      <c r="E23" s="19">
        <f>D23/$H$23</f>
        <v>0.01549306459499593</v>
      </c>
      <c r="F23" s="29">
        <v>4166696.1</v>
      </c>
      <c r="G23" s="19">
        <f>F23/$H$23</f>
        <v>0.9780190671998569</v>
      </c>
      <c r="H23" s="32">
        <v>4260342.4</v>
      </c>
    </row>
    <row r="24" spans="1:7" ht="12">
      <c r="A24" s="4" t="s">
        <v>31</v>
      </c>
      <c r="F24" s="5"/>
      <c r="G24" s="5"/>
    </row>
    <row r="25" spans="6:14" ht="12">
      <c r="F25" s="5"/>
      <c r="G25" s="5"/>
      <c r="K25" s="42"/>
      <c r="L25" s="42"/>
      <c r="M25" s="43"/>
      <c r="N25" s="43"/>
    </row>
    <row r="26" spans="1:8" ht="12">
      <c r="A26" s="222" t="s">
        <v>19</v>
      </c>
      <c r="B26" s="220" t="s">
        <v>45</v>
      </c>
      <c r="C26" s="221"/>
      <c r="D26" s="220" t="s">
        <v>53</v>
      </c>
      <c r="E26" s="221"/>
      <c r="F26" s="220" t="s">
        <v>44</v>
      </c>
      <c r="G26" s="221"/>
      <c r="H26" s="225" t="s">
        <v>12</v>
      </c>
    </row>
    <row r="27" spans="1:8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225"/>
    </row>
    <row r="28" spans="1:8" ht="12">
      <c r="A28" s="36" t="s">
        <v>20</v>
      </c>
      <c r="B28" s="37">
        <v>7631.541</v>
      </c>
      <c r="C28" s="38">
        <f>B28/$H$28</f>
        <v>0.00532834701690274</v>
      </c>
      <c r="D28" s="37">
        <v>19544.69</v>
      </c>
      <c r="E28" s="38">
        <f>D28/$H$28</f>
        <v>0.01364611559549884</v>
      </c>
      <c r="F28" s="37">
        <v>1405076.8</v>
      </c>
      <c r="G28" s="38">
        <f>F28/$H$28</f>
        <v>0.9810255590318191</v>
      </c>
      <c r="H28" s="45">
        <v>1432253</v>
      </c>
    </row>
    <row r="29" spans="1:8" ht="12">
      <c r="A29" s="21" t="s">
        <v>21</v>
      </c>
      <c r="B29" s="28">
        <v>25028.3</v>
      </c>
      <c r="C29" s="18">
        <f>B29/$H$29</f>
        <v>0.007531953843892648</v>
      </c>
      <c r="D29" s="28">
        <v>78314.43</v>
      </c>
      <c r="E29" s="18">
        <f>D29/$H$29</f>
        <v>0.02356774819187726</v>
      </c>
      <c r="F29" s="28">
        <v>3219606.5</v>
      </c>
      <c r="G29" s="18">
        <f>F29/$H$29</f>
        <v>0.9689003069923549</v>
      </c>
      <c r="H29" s="46">
        <v>3322949.2</v>
      </c>
    </row>
    <row r="30" spans="1:8" ht="12">
      <c r="A30" s="23" t="s">
        <v>22</v>
      </c>
      <c r="B30" s="34">
        <v>47534.67</v>
      </c>
      <c r="C30" s="24">
        <f>B30/$H$30</f>
        <v>0.011522907170029984</v>
      </c>
      <c r="D30" s="34">
        <v>132344.2</v>
      </c>
      <c r="E30" s="24">
        <f>D30/$H$30</f>
        <v>0.03208163496437195</v>
      </c>
      <c r="F30" s="34">
        <v>3945353.5</v>
      </c>
      <c r="G30" s="24">
        <f>F30/$H$30</f>
        <v>0.9563954505932806</v>
      </c>
      <c r="H30" s="45">
        <v>4125232.4</v>
      </c>
    </row>
    <row r="31" spans="1:8" ht="12">
      <c r="A31" s="21" t="s">
        <v>23</v>
      </c>
      <c r="B31" s="28">
        <v>28853.42</v>
      </c>
      <c r="C31" s="18">
        <f>B31/$H$31</f>
        <v>0.01917127963123215</v>
      </c>
      <c r="D31" s="28">
        <v>68864.75</v>
      </c>
      <c r="E31" s="18">
        <f>D31/$H$31</f>
        <v>0.0457562874343802</v>
      </c>
      <c r="F31" s="28">
        <v>1407315.4</v>
      </c>
      <c r="G31" s="18">
        <f>F31/$H$31</f>
        <v>0.9350724130012777</v>
      </c>
      <c r="H31" s="46">
        <v>1505033.6</v>
      </c>
    </row>
    <row r="32" spans="1:8" ht="12">
      <c r="A32" s="22" t="s">
        <v>24</v>
      </c>
      <c r="B32" s="29">
        <v>54056.54</v>
      </c>
      <c r="C32" s="19">
        <f>B32/$H$32</f>
        <v>0.030210971699796165</v>
      </c>
      <c r="D32" s="29">
        <v>128255.3</v>
      </c>
      <c r="E32" s="19">
        <f>D32/$H$32</f>
        <v>0.07167897239906341</v>
      </c>
      <c r="F32" s="29">
        <v>1606989.7</v>
      </c>
      <c r="G32" s="19">
        <f>F32/$H$32</f>
        <v>0.8981100223685039</v>
      </c>
      <c r="H32" s="32">
        <v>1789301.6</v>
      </c>
    </row>
    <row r="33" spans="1:7" ht="12">
      <c r="A33" s="4" t="s">
        <v>31</v>
      </c>
      <c r="F33" s="5"/>
      <c r="G33" s="5"/>
    </row>
    <row r="34" spans="6:14" ht="12">
      <c r="F34" s="5"/>
      <c r="G34" s="5"/>
      <c r="K34" s="42"/>
      <c r="L34" s="42"/>
      <c r="M34" s="43"/>
      <c r="N34" s="43"/>
    </row>
    <row r="35" spans="1:8" ht="12">
      <c r="A35" s="222" t="s">
        <v>25</v>
      </c>
      <c r="B35" s="220" t="s">
        <v>45</v>
      </c>
      <c r="C35" s="221"/>
      <c r="D35" s="220" t="s">
        <v>53</v>
      </c>
      <c r="E35" s="221"/>
      <c r="F35" s="220" t="s">
        <v>44</v>
      </c>
      <c r="G35" s="221"/>
      <c r="H35" s="225" t="s">
        <v>12</v>
      </c>
    </row>
    <row r="36" spans="1:8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225"/>
    </row>
    <row r="37" spans="1:8" ht="12">
      <c r="A37" s="36" t="s">
        <v>26</v>
      </c>
      <c r="B37" s="37">
        <v>11402.54</v>
      </c>
      <c r="C37" s="38">
        <f>B37/$H$37</f>
        <v>0.009017787815696598</v>
      </c>
      <c r="D37" s="37">
        <v>30363.16</v>
      </c>
      <c r="E37" s="38">
        <f>D37/$H$37</f>
        <v>0.02401294222989319</v>
      </c>
      <c r="F37" s="37">
        <v>1222684.1</v>
      </c>
      <c r="G37" s="38">
        <f>F37/$H$37</f>
        <v>0.9669692699544102</v>
      </c>
      <c r="H37" s="45">
        <v>1264449.8</v>
      </c>
    </row>
    <row r="38" spans="1:8" ht="12">
      <c r="A38" s="21" t="s">
        <v>27</v>
      </c>
      <c r="B38" s="28">
        <v>27861.73</v>
      </c>
      <c r="C38" s="18">
        <f>B38/$H$38</f>
        <v>0.011133840958601747</v>
      </c>
      <c r="D38" s="28">
        <v>96726.57</v>
      </c>
      <c r="E38" s="18">
        <f>D38/$H$38</f>
        <v>0.038652956828275166</v>
      </c>
      <c r="F38" s="28">
        <v>2377848.2</v>
      </c>
      <c r="G38" s="18">
        <f>F38/$H$38</f>
        <v>0.9502132022131231</v>
      </c>
      <c r="H38" s="46">
        <v>2502436.5</v>
      </c>
    </row>
    <row r="39" spans="1:8" ht="12">
      <c r="A39" s="23" t="s">
        <v>28</v>
      </c>
      <c r="B39" s="34">
        <v>61124.49</v>
      </c>
      <c r="C39" s="24">
        <f>B39/$H$39</f>
        <v>0.02084315484624017</v>
      </c>
      <c r="D39" s="34">
        <v>100726.8</v>
      </c>
      <c r="E39" s="24">
        <f>D39/$H$39</f>
        <v>0.034347350621105624</v>
      </c>
      <c r="F39" s="34">
        <v>2770741.7</v>
      </c>
      <c r="G39" s="24">
        <f>F39/$H$39</f>
        <v>0.9448094911227027</v>
      </c>
      <c r="H39" s="45">
        <v>2932593</v>
      </c>
    </row>
    <row r="40" spans="1:8" ht="12">
      <c r="A40" s="25" t="s">
        <v>29</v>
      </c>
      <c r="B40" s="40">
        <v>62715.71</v>
      </c>
      <c r="C40" s="26">
        <f>B40/$H$40</f>
        <v>0.011454316442205213</v>
      </c>
      <c r="D40" s="40">
        <v>199506.9</v>
      </c>
      <c r="E40" s="26">
        <f>D40/$H$40</f>
        <v>0.03643768307818553</v>
      </c>
      <c r="F40" s="40">
        <v>5213067.9</v>
      </c>
      <c r="G40" s="26">
        <f>F40/$H$40</f>
        <v>0.9521080023059965</v>
      </c>
      <c r="H40" s="33">
        <v>5475290.5</v>
      </c>
    </row>
    <row r="41" spans="1:14" ht="12">
      <c r="A41" s="4" t="s">
        <v>31</v>
      </c>
      <c r="K41" s="42"/>
      <c r="L41" s="42"/>
      <c r="M41" s="43"/>
      <c r="N41" s="43"/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3"/>
  <sheetViews>
    <sheetView showGridLines="0" zoomScale="90" zoomScaleNormal="90" zoomScalePageLayoutView="0" workbookViewId="0" topLeftCell="A1">
      <selection activeCell="G29" sqref="G2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11" t="s">
        <v>55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ht="14.25">
      <c r="A11" s="228" t="s">
        <v>14</v>
      </c>
      <c r="B11" s="226"/>
      <c r="C11" s="226"/>
      <c r="D11" s="226"/>
      <c r="E11" s="226"/>
      <c r="F11" s="226"/>
      <c r="G11" s="226"/>
      <c r="H11" s="226"/>
    </row>
    <row r="12" spans="1:8" ht="20.25" customHeight="1">
      <c r="A12" s="229"/>
      <c r="B12" s="220" t="s">
        <v>45</v>
      </c>
      <c r="C12" s="221"/>
      <c r="D12" s="220" t="s">
        <v>53</v>
      </c>
      <c r="E12" s="221"/>
      <c r="F12" s="220" t="s">
        <v>44</v>
      </c>
      <c r="G12" s="221"/>
      <c r="H12" s="223" t="s">
        <v>12</v>
      </c>
    </row>
    <row r="13" spans="1:8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224"/>
    </row>
    <row r="14" spans="1:8" ht="24">
      <c r="A14" s="20" t="s">
        <v>3</v>
      </c>
      <c r="B14" s="27">
        <v>562908.6</v>
      </c>
      <c r="C14" s="17">
        <f>B14/$H$14</f>
        <v>0.046235666053650294</v>
      </c>
      <c r="D14" s="27">
        <v>1190869.7</v>
      </c>
      <c r="E14" s="17">
        <f>D14/$H$14</f>
        <v>0.09781455419691706</v>
      </c>
      <c r="F14" s="27">
        <v>10420991</v>
      </c>
      <c r="G14" s="17">
        <f>F14/$H$14</f>
        <v>0.85594972225348</v>
      </c>
      <c r="H14" s="30">
        <v>12174770</v>
      </c>
    </row>
    <row r="15" spans="1:8" ht="12">
      <c r="A15" s="21" t="s">
        <v>5</v>
      </c>
      <c r="B15" s="28">
        <v>242691.3</v>
      </c>
      <c r="C15" s="18">
        <f>B15/$H$15</f>
        <v>0.0517604516351941</v>
      </c>
      <c r="D15" s="28">
        <v>451216.5</v>
      </c>
      <c r="E15" s="18">
        <f>D15/$H$15</f>
        <v>0.09623406288256546</v>
      </c>
      <c r="F15" s="28">
        <v>3994832.2</v>
      </c>
      <c r="G15" s="18">
        <f>F15/$H$15</f>
        <v>0.8520054854822404</v>
      </c>
      <c r="H15" s="31">
        <v>4688740</v>
      </c>
    </row>
    <row r="16" spans="1:8" ht="12">
      <c r="A16" s="22" t="s">
        <v>6</v>
      </c>
      <c r="B16" s="29">
        <v>320217.2</v>
      </c>
      <c r="C16" s="19">
        <f>B16/$H$16</f>
        <v>0.042775304511549025</v>
      </c>
      <c r="D16" s="29">
        <v>739653.2</v>
      </c>
      <c r="E16" s="19">
        <f>D16/$H$16</f>
        <v>0.0988044704124003</v>
      </c>
      <c r="F16" s="29">
        <v>6426159.3</v>
      </c>
      <c r="G16" s="19">
        <f>F16/$H$16</f>
        <v>0.8584202250760506</v>
      </c>
      <c r="H16" s="32">
        <v>7486029.7</v>
      </c>
    </row>
    <row r="17" spans="1:7" ht="12">
      <c r="A17" s="4" t="s">
        <v>31</v>
      </c>
      <c r="B17" s="13"/>
      <c r="C17" s="13"/>
      <c r="D17" s="13"/>
      <c r="E17" s="13"/>
      <c r="F17" s="13"/>
      <c r="G17" s="13"/>
    </row>
    <row r="18" spans="2:7" ht="12">
      <c r="B18" s="13"/>
      <c r="C18" s="13"/>
      <c r="D18" s="13"/>
      <c r="E18" s="13"/>
      <c r="F18" s="13"/>
      <c r="G18" s="13"/>
    </row>
    <row r="19" spans="1:8" ht="12">
      <c r="A19" s="222" t="s">
        <v>15</v>
      </c>
      <c r="B19" s="220" t="s">
        <v>45</v>
      </c>
      <c r="C19" s="221"/>
      <c r="D19" s="220" t="s">
        <v>53</v>
      </c>
      <c r="E19" s="221"/>
      <c r="F19" s="220" t="s">
        <v>44</v>
      </c>
      <c r="G19" s="221"/>
      <c r="H19" s="225" t="s">
        <v>12</v>
      </c>
    </row>
    <row r="20" spans="1:8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225"/>
    </row>
    <row r="21" spans="1:8" ht="12">
      <c r="A21" s="36" t="s">
        <v>16</v>
      </c>
      <c r="B21" s="37">
        <v>63711.847</v>
      </c>
      <c r="C21" s="17">
        <f>B21/$H$21</f>
        <v>0.08903282771997466</v>
      </c>
      <c r="D21" s="37">
        <v>81030.27</v>
      </c>
      <c r="E21" s="17">
        <f>D21/$H$21</f>
        <v>0.11323410650790003</v>
      </c>
      <c r="F21" s="37">
        <v>570857.4</v>
      </c>
      <c r="G21" s="17">
        <f>F21/$H$21</f>
        <v>0.7977330895284304</v>
      </c>
      <c r="H21" s="39">
        <v>715599.5</v>
      </c>
    </row>
    <row r="22" spans="1:8" ht="12">
      <c r="A22" s="21" t="s">
        <v>17</v>
      </c>
      <c r="B22" s="28">
        <v>394113.8</v>
      </c>
      <c r="C22" s="18">
        <f>B22/$H$22</f>
        <v>0.05474694088390335</v>
      </c>
      <c r="D22" s="28">
        <v>862178.9</v>
      </c>
      <c r="E22" s="18">
        <f>D22/$H$22</f>
        <v>0.11976656810710211</v>
      </c>
      <c r="F22" s="28">
        <v>5942535.2</v>
      </c>
      <c r="G22" s="18">
        <f>F22/$H$22</f>
        <v>0.8254865049001451</v>
      </c>
      <c r="H22" s="31">
        <v>7198827.8</v>
      </c>
    </row>
    <row r="23" spans="1:8" ht="12">
      <c r="A23" s="22" t="s">
        <v>18</v>
      </c>
      <c r="B23" s="29">
        <v>105082.9</v>
      </c>
      <c r="C23" s="19">
        <f>B23/$H$23</f>
        <v>0.024665364924659573</v>
      </c>
      <c r="D23" s="29">
        <v>247660.5</v>
      </c>
      <c r="E23" s="19">
        <f>D23/$H$23</f>
        <v>0.05813159524455123</v>
      </c>
      <c r="F23" s="29">
        <v>3907598.9</v>
      </c>
      <c r="G23" s="19">
        <f>F23/$H$23</f>
        <v>0.9172030163584973</v>
      </c>
      <c r="H23" s="32">
        <v>4260342.4</v>
      </c>
    </row>
    <row r="24" spans="1:14" ht="12">
      <c r="A24" s="4" t="s">
        <v>31</v>
      </c>
      <c r="F24" s="5"/>
      <c r="G24" s="5"/>
      <c r="K24" s="42"/>
      <c r="M24" s="43"/>
      <c r="N24" s="43"/>
    </row>
    <row r="25" spans="6:7" ht="12">
      <c r="F25" s="5"/>
      <c r="G25" s="5"/>
    </row>
    <row r="26" spans="1:8" ht="12">
      <c r="A26" s="222" t="s">
        <v>19</v>
      </c>
      <c r="B26" s="220" t="s">
        <v>45</v>
      </c>
      <c r="C26" s="221"/>
      <c r="D26" s="220" t="s">
        <v>53</v>
      </c>
      <c r="E26" s="221"/>
      <c r="F26" s="220" t="s">
        <v>44</v>
      </c>
      <c r="G26" s="221"/>
      <c r="H26" s="225" t="s">
        <v>12</v>
      </c>
    </row>
    <row r="27" spans="1:8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225"/>
    </row>
    <row r="28" spans="1:8" ht="12">
      <c r="A28" s="36" t="s">
        <v>20</v>
      </c>
      <c r="B28" s="37">
        <v>24377.5</v>
      </c>
      <c r="C28" s="38">
        <f>B28/$H$28</f>
        <v>0.01702038676127751</v>
      </c>
      <c r="D28" s="37">
        <v>75163.24</v>
      </c>
      <c r="E28" s="38">
        <f>D28/$H$28</f>
        <v>0.05247902430645983</v>
      </c>
      <c r="F28" s="37">
        <v>1332712.2</v>
      </c>
      <c r="G28" s="38">
        <f>F28/$H$28</f>
        <v>0.9305005470402226</v>
      </c>
      <c r="H28" s="45">
        <v>1432253</v>
      </c>
    </row>
    <row r="29" spans="1:8" ht="12">
      <c r="A29" s="21" t="s">
        <v>21</v>
      </c>
      <c r="B29" s="28">
        <v>115683.1</v>
      </c>
      <c r="C29" s="18">
        <f>B29/$H$29</f>
        <v>0.03481338204026712</v>
      </c>
      <c r="D29" s="28">
        <v>268983.3</v>
      </c>
      <c r="E29" s="18">
        <f>D29/$H$29</f>
        <v>0.0809471598301894</v>
      </c>
      <c r="F29" s="28">
        <v>2938282.8</v>
      </c>
      <c r="G29" s="18">
        <f>F29/$H$29</f>
        <v>0.8842394581295434</v>
      </c>
      <c r="H29" s="46">
        <v>3322949.2</v>
      </c>
    </row>
    <row r="30" spans="1:8" ht="12">
      <c r="A30" s="23" t="s">
        <v>22</v>
      </c>
      <c r="B30" s="34">
        <v>169676.2</v>
      </c>
      <c r="C30" s="24">
        <f>B30/$H$30</f>
        <v>0.041131306929519905</v>
      </c>
      <c r="D30" s="34">
        <v>443554.7</v>
      </c>
      <c r="E30" s="24">
        <f>D30/$H$30</f>
        <v>0.1075223543769316</v>
      </c>
      <c r="F30" s="34">
        <v>3512001.4</v>
      </c>
      <c r="G30" s="24">
        <f>F30/$H$30</f>
        <v>0.85134631445249</v>
      </c>
      <c r="H30" s="45">
        <v>4125232.4</v>
      </c>
    </row>
    <row r="31" spans="1:8" ht="12">
      <c r="A31" s="21" t="s">
        <v>23</v>
      </c>
      <c r="B31" s="28">
        <v>119791.9</v>
      </c>
      <c r="C31" s="18">
        <f>B31/$H$31</f>
        <v>0.07959416985773606</v>
      </c>
      <c r="D31" s="28">
        <v>185949.5</v>
      </c>
      <c r="E31" s="18">
        <f>D31/$H$31</f>
        <v>0.12355172668570322</v>
      </c>
      <c r="F31" s="28">
        <v>1199292.2</v>
      </c>
      <c r="G31" s="18">
        <f>F31/$H$31</f>
        <v>0.7968541034565606</v>
      </c>
      <c r="H31" s="46">
        <v>1505033.6</v>
      </c>
    </row>
    <row r="32" spans="1:8" ht="12">
      <c r="A32" s="22" t="s">
        <v>24</v>
      </c>
      <c r="B32" s="29">
        <v>133379.9</v>
      </c>
      <c r="C32" s="19">
        <f>B32/$H$32</f>
        <v>0.07454299487576604</v>
      </c>
      <c r="D32" s="29">
        <v>217218.9</v>
      </c>
      <c r="E32" s="19">
        <f>D32/$H$32</f>
        <v>0.12139870662385815</v>
      </c>
      <c r="F32" s="29">
        <v>1438702.8</v>
      </c>
      <c r="G32" s="19">
        <f>F32/$H$32</f>
        <v>0.8040582985003758</v>
      </c>
      <c r="H32" s="32">
        <v>1789301.6</v>
      </c>
    </row>
    <row r="33" spans="1:14" ht="12">
      <c r="A33" s="4" t="s">
        <v>31</v>
      </c>
      <c r="F33" s="5"/>
      <c r="G33" s="5"/>
      <c r="K33" s="42"/>
      <c r="M33" s="43"/>
      <c r="N33" s="43"/>
    </row>
    <row r="34" spans="6:7" ht="12">
      <c r="F34" s="5"/>
      <c r="G34" s="5"/>
    </row>
    <row r="35" spans="1:8" ht="12">
      <c r="A35" s="222" t="s">
        <v>25</v>
      </c>
      <c r="B35" s="220" t="s">
        <v>45</v>
      </c>
      <c r="C35" s="221"/>
      <c r="D35" s="220" t="s">
        <v>53</v>
      </c>
      <c r="E35" s="221"/>
      <c r="F35" s="220" t="s">
        <v>44</v>
      </c>
      <c r="G35" s="221"/>
      <c r="H35" s="225" t="s">
        <v>12</v>
      </c>
    </row>
    <row r="36" spans="1:8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225"/>
    </row>
    <row r="37" spans="1:8" ht="12">
      <c r="A37" s="36" t="s">
        <v>26</v>
      </c>
      <c r="B37" s="37">
        <v>39624.41</v>
      </c>
      <c r="C37" s="38">
        <f>B37/$H$37</f>
        <v>0.03133727412507796</v>
      </c>
      <c r="D37" s="37">
        <v>75084.88</v>
      </c>
      <c r="E37" s="38">
        <f>D37/$H$37</f>
        <v>0.05938146377974041</v>
      </c>
      <c r="F37" s="37">
        <v>1149740.5</v>
      </c>
      <c r="G37" s="38">
        <f>F37/$H$37</f>
        <v>0.9092812541866035</v>
      </c>
      <c r="H37" s="45">
        <v>1264449.8</v>
      </c>
    </row>
    <row r="38" spans="1:8" ht="12">
      <c r="A38" s="21" t="s">
        <v>27</v>
      </c>
      <c r="B38" s="28">
        <v>113875.5</v>
      </c>
      <c r="C38" s="18">
        <f>B38/$H$38</f>
        <v>0.04550584999859137</v>
      </c>
      <c r="D38" s="28">
        <v>236675.8</v>
      </c>
      <c r="E38" s="18">
        <f>D38/$H$38</f>
        <v>0.09457814414072045</v>
      </c>
      <c r="F38" s="28">
        <v>2151885.1</v>
      </c>
      <c r="G38" s="18">
        <f>F38/$H$38</f>
        <v>0.8599159658996343</v>
      </c>
      <c r="H38" s="46">
        <v>2502436.5</v>
      </c>
    </row>
    <row r="39" spans="1:8" ht="12">
      <c r="A39" s="23" t="s">
        <v>28</v>
      </c>
      <c r="B39" s="34">
        <v>150483.24</v>
      </c>
      <c r="C39" s="24">
        <f>B39/$H$39</f>
        <v>0.05131405551332899</v>
      </c>
      <c r="D39" s="34">
        <v>262764.1</v>
      </c>
      <c r="E39" s="24">
        <f>D39/$H$39</f>
        <v>0.08960128459694201</v>
      </c>
      <c r="F39" s="34">
        <v>2519345.6</v>
      </c>
      <c r="G39" s="24">
        <f>F39/$H$39</f>
        <v>0.8590846394300198</v>
      </c>
      <c r="H39" s="45">
        <v>2932593</v>
      </c>
    </row>
    <row r="40" spans="1:8" ht="12">
      <c r="A40" s="25" t="s">
        <v>29</v>
      </c>
      <c r="B40" s="40">
        <v>258925.4</v>
      </c>
      <c r="C40" s="26">
        <f>B40/$H$40</f>
        <v>0.047289801335655156</v>
      </c>
      <c r="D40" s="40">
        <v>616344.9</v>
      </c>
      <c r="E40" s="26">
        <f>D40/$H$40</f>
        <v>0.11256843814953746</v>
      </c>
      <c r="F40" s="40">
        <v>4600020.2</v>
      </c>
      <c r="G40" s="26">
        <f>F40/$H$40</f>
        <v>0.8401417605148074</v>
      </c>
      <c r="H40" s="33">
        <v>5475290.5</v>
      </c>
    </row>
    <row r="41" ht="12">
      <c r="A41" s="4" t="s">
        <v>31</v>
      </c>
    </row>
    <row r="43" spans="11:14" ht="12">
      <c r="K43" s="42"/>
      <c r="M43" s="43"/>
      <c r="N43" s="43"/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1"/>
  <sheetViews>
    <sheetView showGridLines="0" zoomScale="90" zoomScaleNormal="90" zoomScalePageLayoutView="0" workbookViewId="0" topLeftCell="A1">
      <selection activeCell="N52" sqref="N52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63</v>
      </c>
      <c r="C12" s="221"/>
      <c r="D12" s="220" t="s">
        <v>64</v>
      </c>
      <c r="E12" s="221"/>
      <c r="F12" s="220" t="s">
        <v>65</v>
      </c>
      <c r="G12" s="221"/>
      <c r="H12" s="220" t="s">
        <v>66</v>
      </c>
      <c r="I12" s="221"/>
      <c r="J12" s="220" t="s">
        <v>67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1935211.4</v>
      </c>
      <c r="C14" s="17">
        <f>B14/$L$14</f>
        <v>0.1589526044434515</v>
      </c>
      <c r="D14" s="27">
        <v>6954247.9</v>
      </c>
      <c r="E14" s="17">
        <f>D14/$L$14</f>
        <v>0.5712015832742631</v>
      </c>
      <c r="F14" s="27">
        <v>2853088.9</v>
      </c>
      <c r="G14" s="17">
        <f>F14/$L$14</f>
        <v>0.23434437775826567</v>
      </c>
      <c r="H14" s="27">
        <v>358239.3</v>
      </c>
      <c r="I14" s="17">
        <f>H14/$L$14</f>
        <v>0.029424728352157783</v>
      </c>
      <c r="J14" s="27">
        <v>73982.26</v>
      </c>
      <c r="K14" s="17">
        <f>J14/$L$14</f>
        <v>0.006076686458963906</v>
      </c>
      <c r="L14" s="30">
        <v>12174770</v>
      </c>
    </row>
    <row r="15" spans="1:12" ht="12">
      <c r="A15" s="21" t="s">
        <v>5</v>
      </c>
      <c r="B15" s="28">
        <v>859976.8</v>
      </c>
      <c r="C15" s="18">
        <f>B15/$L$15</f>
        <v>0.1834131984285757</v>
      </c>
      <c r="D15" s="28">
        <v>2715370.3</v>
      </c>
      <c r="E15" s="18">
        <f>D15/$L$15</f>
        <v>0.579125799255237</v>
      </c>
      <c r="F15" s="28">
        <v>935624.4</v>
      </c>
      <c r="G15" s="18">
        <f>F15/$L$15</f>
        <v>0.1995470851444098</v>
      </c>
      <c r="H15" s="28">
        <v>141596.6</v>
      </c>
      <c r="I15" s="18">
        <f>H15/$L$15</f>
        <v>0.03019928594889032</v>
      </c>
      <c r="J15" s="28">
        <v>36171.943</v>
      </c>
      <c r="K15" s="18">
        <f>J15/$L$15</f>
        <v>0.0077146403937944944</v>
      </c>
      <c r="L15" s="31">
        <v>4688740</v>
      </c>
    </row>
    <row r="16" spans="1:12" ht="12">
      <c r="A16" s="22" t="s">
        <v>6</v>
      </c>
      <c r="B16" s="29">
        <v>1075234.6</v>
      </c>
      <c r="C16" s="19">
        <f>B16/$L$16</f>
        <v>0.14363215791142267</v>
      </c>
      <c r="D16" s="29">
        <v>4238877.6</v>
      </c>
      <c r="E16" s="19">
        <f>D16/$L$16</f>
        <v>0.566238416072541</v>
      </c>
      <c r="F16" s="29">
        <v>1917464.5</v>
      </c>
      <c r="G16" s="19">
        <f>F16/$L$16</f>
        <v>0.2561390452404964</v>
      </c>
      <c r="H16" s="29">
        <v>216642.67</v>
      </c>
      <c r="I16" s="19">
        <f>H16/$L$16</f>
        <v>0.02893959531044874</v>
      </c>
      <c r="J16" s="29">
        <v>37810.32</v>
      </c>
      <c r="K16" s="19">
        <f>J16/$L$16</f>
        <v>0.005050784129269484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63</v>
      </c>
      <c r="C19" s="221"/>
      <c r="D19" s="220" t="s">
        <v>64</v>
      </c>
      <c r="E19" s="221"/>
      <c r="F19" s="220" t="s">
        <v>65</v>
      </c>
      <c r="G19" s="221"/>
      <c r="H19" s="220" t="s">
        <v>66</v>
      </c>
      <c r="I19" s="221"/>
      <c r="J19" s="220" t="s">
        <v>67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210392.9</v>
      </c>
      <c r="C21" s="17">
        <f>B21/$L$21</f>
        <v>0.294009288715266</v>
      </c>
      <c r="D21" s="37">
        <v>388636.3</v>
      </c>
      <c r="E21" s="17">
        <f>D21/$L$21</f>
        <v>0.5430919110480094</v>
      </c>
      <c r="F21" s="37">
        <v>107700.2</v>
      </c>
      <c r="G21" s="17">
        <f>F21/$L$21</f>
        <v>0.1505034589878836</v>
      </c>
      <c r="H21" s="37">
        <v>8870.069</v>
      </c>
      <c r="I21" s="17">
        <f>H21/$L$21</f>
        <v>0.012395297928520073</v>
      </c>
      <c r="J21" s="37">
        <v>0</v>
      </c>
      <c r="K21" s="17">
        <f>J21/$L$21</f>
        <v>0</v>
      </c>
      <c r="L21" s="39">
        <v>715599.5</v>
      </c>
    </row>
    <row r="22" spans="1:12" ht="12">
      <c r="A22" s="21" t="s">
        <v>17</v>
      </c>
      <c r="B22" s="28">
        <v>1320412.6</v>
      </c>
      <c r="C22" s="18">
        <f>B22/$L$22</f>
        <v>0.1834205007654163</v>
      </c>
      <c r="D22" s="28">
        <v>4298701.3</v>
      </c>
      <c r="E22" s="18">
        <f>D22/$L$22</f>
        <v>0.5971390647794076</v>
      </c>
      <c r="F22" s="28">
        <v>1402091.1</v>
      </c>
      <c r="G22" s="18">
        <f>F22/$L$22</f>
        <v>0.19476658408192513</v>
      </c>
      <c r="H22" s="28">
        <v>141730</v>
      </c>
      <c r="I22" s="18">
        <f>H22/$L$22</f>
        <v>0.019687927526200865</v>
      </c>
      <c r="J22" s="28">
        <v>35892.88</v>
      </c>
      <c r="K22" s="18">
        <f>J22/$L$22</f>
        <v>0.0049859339599705385</v>
      </c>
      <c r="L22" s="31">
        <v>7198827.8</v>
      </c>
    </row>
    <row r="23" spans="1:12" ht="12">
      <c r="A23" s="22" t="s">
        <v>18</v>
      </c>
      <c r="B23" s="29">
        <v>404405.9</v>
      </c>
      <c r="C23" s="19">
        <f>B23/$L$23</f>
        <v>0.0949233329227247</v>
      </c>
      <c r="D23" s="29">
        <v>2266910.2</v>
      </c>
      <c r="E23" s="19">
        <f>D23/$L$23</f>
        <v>0.5320957770905925</v>
      </c>
      <c r="F23" s="29">
        <v>1343297.6</v>
      </c>
      <c r="G23" s="19">
        <f>F23/$L$23</f>
        <v>0.3153027324752114</v>
      </c>
      <c r="H23" s="29">
        <v>207639.2</v>
      </c>
      <c r="I23" s="19">
        <f>H23/$L$23</f>
        <v>0.04873767892458596</v>
      </c>
      <c r="J23" s="29">
        <v>38089.38</v>
      </c>
      <c r="K23" s="19">
        <f>J23/$L$23</f>
        <v>0.008940450420135243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20" ht="12">
      <c r="F25" s="5"/>
      <c r="G25" s="5"/>
      <c r="H25" s="5"/>
      <c r="I25" s="5"/>
      <c r="J25" s="5"/>
      <c r="K25" s="5"/>
      <c r="R25" s="42"/>
      <c r="S25" s="42"/>
      <c r="T25" s="43"/>
    </row>
    <row r="26" spans="1:12" ht="12">
      <c r="A26" s="222" t="s">
        <v>19</v>
      </c>
      <c r="B26" s="220" t="s">
        <v>63</v>
      </c>
      <c r="C26" s="221"/>
      <c r="D26" s="220" t="s">
        <v>64</v>
      </c>
      <c r="E26" s="221"/>
      <c r="F26" s="220" t="s">
        <v>65</v>
      </c>
      <c r="G26" s="221"/>
      <c r="H26" s="220" t="s">
        <v>66</v>
      </c>
      <c r="I26" s="221"/>
      <c r="J26" s="220" t="s">
        <v>67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90761.1</v>
      </c>
      <c r="C28" s="38">
        <f>B28/$L$28</f>
        <v>0.06336946056318263</v>
      </c>
      <c r="D28" s="37">
        <v>716709.1</v>
      </c>
      <c r="E28" s="38">
        <f>D28/$L$28</f>
        <v>0.5004067717086297</v>
      </c>
      <c r="F28" s="37">
        <v>526324.6</v>
      </c>
      <c r="G28" s="38">
        <f>F28/$L$28</f>
        <v>0.3674801868105705</v>
      </c>
      <c r="H28" s="37">
        <v>70086.58</v>
      </c>
      <c r="I28" s="38">
        <f>H28/$L$28</f>
        <v>0.04893449690801835</v>
      </c>
      <c r="J28" s="37">
        <v>28371.576</v>
      </c>
      <c r="K28" s="38">
        <f>J28/$L$28</f>
        <v>0.019809053288769512</v>
      </c>
      <c r="L28" s="45">
        <v>1432253</v>
      </c>
    </row>
    <row r="29" spans="1:12" ht="12">
      <c r="A29" s="21" t="s">
        <v>21</v>
      </c>
      <c r="B29" s="28">
        <v>353967.9</v>
      </c>
      <c r="C29" s="18">
        <f>B29/$L$29</f>
        <v>0.10652221225650997</v>
      </c>
      <c r="D29" s="28">
        <v>1832529.2</v>
      </c>
      <c r="E29" s="18">
        <f>D29/$L$29</f>
        <v>0.5514767424070159</v>
      </c>
      <c r="F29" s="28">
        <v>1001340.5</v>
      </c>
      <c r="G29" s="18">
        <f>F29/$L$29</f>
        <v>0.30134089922289514</v>
      </c>
      <c r="H29" s="28">
        <v>120521.6</v>
      </c>
      <c r="I29" s="18">
        <f>H29/$L$29</f>
        <v>0.03626946809779698</v>
      </c>
      <c r="J29" s="28">
        <v>14589.95</v>
      </c>
      <c r="K29" s="18">
        <f>J29/$L$29</f>
        <v>0.004390662968907258</v>
      </c>
      <c r="L29" s="46">
        <v>3322949.2</v>
      </c>
    </row>
    <row r="30" spans="1:12" ht="12">
      <c r="A30" s="23" t="s">
        <v>22</v>
      </c>
      <c r="B30" s="34">
        <v>700617.4</v>
      </c>
      <c r="C30" s="24">
        <f>B30/$L$30</f>
        <v>0.1698370739064301</v>
      </c>
      <c r="D30" s="34">
        <v>2475064.6</v>
      </c>
      <c r="E30" s="24">
        <f>D30/$L$30</f>
        <v>0.5999818579918067</v>
      </c>
      <c r="F30" s="34">
        <v>850514.4</v>
      </c>
      <c r="G30" s="24">
        <f>F30/$L$30</f>
        <v>0.20617369338997726</v>
      </c>
      <c r="H30" s="34">
        <v>84964.44</v>
      </c>
      <c r="I30" s="24">
        <f>H30/$L$30</f>
        <v>0.020596279618088912</v>
      </c>
      <c r="J30" s="34">
        <v>14071.53</v>
      </c>
      <c r="K30" s="24">
        <f>J30/$L$30</f>
        <v>0.00341108782137947</v>
      </c>
      <c r="L30" s="45">
        <v>4125232.4</v>
      </c>
    </row>
    <row r="31" spans="1:12" ht="12">
      <c r="A31" s="21" t="s">
        <v>23</v>
      </c>
      <c r="B31" s="28">
        <v>342367.2</v>
      </c>
      <c r="C31" s="18">
        <f>B31/$L$31</f>
        <v>0.22748143297265921</v>
      </c>
      <c r="D31" s="28">
        <v>867013.6</v>
      </c>
      <c r="E31" s="18">
        <f>D31/$L$31</f>
        <v>0.5760759095345114</v>
      </c>
      <c r="F31" s="28">
        <v>260406.8</v>
      </c>
      <c r="G31" s="18">
        <f>F31/$L$31</f>
        <v>0.17302391122696528</v>
      </c>
      <c r="H31" s="28">
        <v>29291.94</v>
      </c>
      <c r="I31" s="18">
        <f>H31/$L$31</f>
        <v>0.01946264854153422</v>
      </c>
      <c r="J31" s="28">
        <v>5954.033</v>
      </c>
      <c r="K31" s="18">
        <f>J31/$L$31</f>
        <v>0.003956079784531056</v>
      </c>
      <c r="L31" s="46">
        <v>1505033.6</v>
      </c>
    </row>
    <row r="32" spans="1:12" ht="12">
      <c r="A32" s="22" t="s">
        <v>24</v>
      </c>
      <c r="B32" s="29">
        <v>447497.8</v>
      </c>
      <c r="C32" s="19">
        <f>B32/$L$32</f>
        <v>0.2500963504419825</v>
      </c>
      <c r="D32" s="29">
        <v>1062931.3</v>
      </c>
      <c r="E32" s="19">
        <f>D32/$L$32</f>
        <v>0.5940481470535767</v>
      </c>
      <c r="F32" s="29">
        <v>214502.7</v>
      </c>
      <c r="G32" s="19">
        <f>F32/$L$32</f>
        <v>0.11988068417308742</v>
      </c>
      <c r="H32" s="29">
        <v>53374.67</v>
      </c>
      <c r="I32" s="19">
        <f>H32/$L$32</f>
        <v>0.029829890053191702</v>
      </c>
      <c r="J32" s="29">
        <v>10995.162</v>
      </c>
      <c r="K32" s="19">
        <f>J32/$L$32</f>
        <v>0.006144946162234472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20" ht="12">
      <c r="F34" s="5"/>
      <c r="G34" s="5"/>
      <c r="H34" s="5"/>
      <c r="I34" s="5"/>
      <c r="J34" s="5"/>
      <c r="K34" s="5"/>
      <c r="R34" s="42"/>
      <c r="S34" s="42"/>
      <c r="T34" s="43"/>
    </row>
    <row r="35" spans="1:12" ht="12">
      <c r="A35" s="222" t="s">
        <v>25</v>
      </c>
      <c r="B35" s="220" t="s">
        <v>63</v>
      </c>
      <c r="C35" s="221"/>
      <c r="D35" s="220" t="s">
        <v>64</v>
      </c>
      <c r="E35" s="221"/>
      <c r="F35" s="220" t="s">
        <v>65</v>
      </c>
      <c r="G35" s="221"/>
      <c r="H35" s="220" t="s">
        <v>66</v>
      </c>
      <c r="I35" s="221"/>
      <c r="J35" s="220" t="s">
        <v>67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269623.4</v>
      </c>
      <c r="C37" s="38">
        <f>B37/$L$37</f>
        <v>0.21323377171636235</v>
      </c>
      <c r="D37" s="37">
        <v>630748.4</v>
      </c>
      <c r="E37" s="38">
        <f>D37/$L$37</f>
        <v>0.4988322984431648</v>
      </c>
      <c r="F37" s="37">
        <v>312352.1</v>
      </c>
      <c r="G37" s="38">
        <f>F37/$L$37</f>
        <v>0.24702609783322357</v>
      </c>
      <c r="H37" s="37">
        <v>35636.47</v>
      </c>
      <c r="I37" s="38">
        <f>H37/$L$37</f>
        <v>0.028183380629266577</v>
      </c>
      <c r="J37" s="37">
        <v>16089.48</v>
      </c>
      <c r="K37" s="38">
        <f>J37/$L$37</f>
        <v>0.012724490920873252</v>
      </c>
      <c r="L37" s="45">
        <v>1264449.8</v>
      </c>
    </row>
    <row r="38" spans="1:12" ht="12">
      <c r="A38" s="21" t="s">
        <v>27</v>
      </c>
      <c r="B38" s="28">
        <v>418511.8</v>
      </c>
      <c r="C38" s="18">
        <f>B38/$L$38</f>
        <v>0.1672417262136322</v>
      </c>
      <c r="D38" s="28">
        <v>1449969.3</v>
      </c>
      <c r="E38" s="18">
        <f>D38/$L$38</f>
        <v>0.5794230143302338</v>
      </c>
      <c r="F38" s="28">
        <v>524590.6</v>
      </c>
      <c r="G38" s="18">
        <f>F38/$L$38</f>
        <v>0.20963193271837266</v>
      </c>
      <c r="H38" s="28">
        <v>96714.471</v>
      </c>
      <c r="I38" s="18">
        <f>H38/$L$38</f>
        <v>0.03864812194035693</v>
      </c>
      <c r="J38" s="28">
        <v>12650.28</v>
      </c>
      <c r="K38" s="18">
        <f>J38/$L$38</f>
        <v>0.005055185216488011</v>
      </c>
      <c r="L38" s="46">
        <v>2502436.5</v>
      </c>
    </row>
    <row r="39" spans="1:12" ht="12">
      <c r="A39" s="23" t="s">
        <v>28</v>
      </c>
      <c r="B39" s="34">
        <v>536732.5</v>
      </c>
      <c r="C39" s="24">
        <f>B39/$L$39</f>
        <v>0.18302318119152572</v>
      </c>
      <c r="D39" s="34">
        <v>1624841.2</v>
      </c>
      <c r="E39" s="24">
        <f>D39/$L$39</f>
        <v>0.5540629743029463</v>
      </c>
      <c r="F39" s="34">
        <v>687376.2</v>
      </c>
      <c r="G39" s="24">
        <f>F39/$L$39</f>
        <v>0.234391952787175</v>
      </c>
      <c r="H39" s="34">
        <v>71837.35</v>
      </c>
      <c r="I39" s="24">
        <f>H39/$L$39</f>
        <v>0.02449618818567732</v>
      </c>
      <c r="J39" s="34">
        <v>11805.672</v>
      </c>
      <c r="K39" s="24">
        <f>J39/$L$39</f>
        <v>0.0040256769350537226</v>
      </c>
      <c r="L39" s="45">
        <v>2932593</v>
      </c>
    </row>
    <row r="40" spans="1:12" ht="12">
      <c r="A40" s="25" t="s">
        <v>29</v>
      </c>
      <c r="B40" s="40">
        <v>710343.66</v>
      </c>
      <c r="C40" s="26">
        <f>B40/$L$40</f>
        <v>0.12973625052405896</v>
      </c>
      <c r="D40" s="40">
        <v>3248689</v>
      </c>
      <c r="E40" s="26">
        <f>D40/$L$40</f>
        <v>0.5933363718326908</v>
      </c>
      <c r="F40" s="40">
        <v>1328770.1</v>
      </c>
      <c r="G40" s="26">
        <f>F40/$L$40</f>
        <v>0.24268485845636867</v>
      </c>
      <c r="H40" s="40">
        <v>154051</v>
      </c>
      <c r="I40" s="26">
        <f>H40/$L$40</f>
        <v>0.028135676088784697</v>
      </c>
      <c r="J40" s="40">
        <v>33436.83</v>
      </c>
      <c r="K40" s="26">
        <f>J40/$L$40</f>
        <v>0.006106859535580806</v>
      </c>
      <c r="L40" s="33">
        <v>5475290.5</v>
      </c>
    </row>
    <row r="41" spans="1:20" ht="12">
      <c r="A41" s="4" t="s">
        <v>31</v>
      </c>
      <c r="R41" s="42"/>
      <c r="S41" s="42"/>
      <c r="T41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2"/>
  <sheetViews>
    <sheetView showGridLines="0" zoomScale="90" zoomScaleNormal="90" zoomScalePageLayoutView="0" workbookViewId="0" topLeftCell="A1">
      <selection activeCell="M39" sqref="M39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0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69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407415.7</v>
      </c>
      <c r="C14" s="17">
        <f>B14/$L$14</f>
        <v>0.03346393402093017</v>
      </c>
      <c r="D14" s="27">
        <v>1741266.7</v>
      </c>
      <c r="E14" s="17">
        <f>D14/$L$14</f>
        <v>0.14302255401950098</v>
      </c>
      <c r="F14" s="27">
        <v>8511570.5</v>
      </c>
      <c r="G14" s="17">
        <f>F14/$L$14</f>
        <v>0.6991155069048532</v>
      </c>
      <c r="H14" s="27">
        <v>1461040.3</v>
      </c>
      <c r="I14" s="17">
        <f>H14/$L$14</f>
        <v>0.12000557710741148</v>
      </c>
      <c r="J14" s="27">
        <v>53476.45</v>
      </c>
      <c r="K14" s="17">
        <f>J14/$L$14</f>
        <v>0.00439239919932779</v>
      </c>
      <c r="L14" s="30">
        <v>12174770</v>
      </c>
    </row>
    <row r="15" spans="1:12" ht="12">
      <c r="A15" s="21" t="s">
        <v>5</v>
      </c>
      <c r="B15" s="28">
        <v>133790.23</v>
      </c>
      <c r="C15" s="18">
        <f>B15/$L$15</f>
        <v>0.028534367441999345</v>
      </c>
      <c r="D15" s="28">
        <v>618986.6</v>
      </c>
      <c r="E15" s="18">
        <f>D15/$L$15</f>
        <v>0.13201555215260388</v>
      </c>
      <c r="F15" s="28">
        <v>3454250.1</v>
      </c>
      <c r="G15" s="18">
        <f>F15/$L$15</f>
        <v>0.7367118031710012</v>
      </c>
      <c r="H15" s="28">
        <v>465661.1</v>
      </c>
      <c r="I15" s="18">
        <f>H15/$L$15</f>
        <v>0.09931476260146649</v>
      </c>
      <c r="J15" s="28">
        <v>16051.88</v>
      </c>
      <c r="K15" s="18">
        <f>J15/$L$15</f>
        <v>0.003423495438006799</v>
      </c>
      <c r="L15" s="31">
        <v>4688740</v>
      </c>
    </row>
    <row r="16" spans="1:12" ht="12">
      <c r="A16" s="22" t="s">
        <v>6</v>
      </c>
      <c r="B16" s="29">
        <v>273625.5</v>
      </c>
      <c r="C16" s="19">
        <f>B16/$L$16</f>
        <v>0.03655148469421648</v>
      </c>
      <c r="D16" s="29">
        <v>1122280.1</v>
      </c>
      <c r="E16" s="19">
        <f>D16/$L$16</f>
        <v>0.14991659731192358</v>
      </c>
      <c r="F16" s="29">
        <v>5057320.4</v>
      </c>
      <c r="G16" s="19">
        <f>F16/$L$16</f>
        <v>0.6755677712579741</v>
      </c>
      <c r="H16" s="29">
        <v>995379.2</v>
      </c>
      <c r="I16" s="19">
        <f>H16/$L$16</f>
        <v>0.13296490127470373</v>
      </c>
      <c r="J16" s="29">
        <v>37424.56</v>
      </c>
      <c r="K16" s="19">
        <f>J16/$L$16</f>
        <v>0.004999253476111643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37978.35</v>
      </c>
      <c r="C21" s="17">
        <f>B21/$L$21</f>
        <v>0.05307207453331088</v>
      </c>
      <c r="D21" s="37">
        <v>101082</v>
      </c>
      <c r="E21" s="17">
        <f>D21/$L$21</f>
        <v>0.14125498969744948</v>
      </c>
      <c r="F21" s="37">
        <v>513914.3</v>
      </c>
      <c r="G21" s="17">
        <f>F21/$L$21</f>
        <v>0.7181591099490706</v>
      </c>
      <c r="H21" s="37">
        <v>57827.62</v>
      </c>
      <c r="I21" s="17">
        <f>H21/$L$21</f>
        <v>0.08081003410427201</v>
      </c>
      <c r="J21" s="37">
        <v>4797.2971</v>
      </c>
      <c r="K21" s="17">
        <f>J21/$L$21</f>
        <v>0.006703885483430326</v>
      </c>
      <c r="L21" s="39">
        <v>715599.5</v>
      </c>
    </row>
    <row r="22" spans="1:12" ht="12">
      <c r="A22" s="21" t="s">
        <v>17</v>
      </c>
      <c r="B22" s="28">
        <v>237781</v>
      </c>
      <c r="C22" s="18">
        <f>B22/$L$22</f>
        <v>0.03303051644046827</v>
      </c>
      <c r="D22" s="28">
        <v>1058076.2</v>
      </c>
      <c r="E22" s="18">
        <f>D22/$L$22</f>
        <v>0.14697895676848943</v>
      </c>
      <c r="F22" s="28">
        <v>5067684.2</v>
      </c>
      <c r="G22" s="18">
        <f>F22/$L$22</f>
        <v>0.7039596363174572</v>
      </c>
      <c r="H22" s="28">
        <v>800563.8</v>
      </c>
      <c r="I22" s="18">
        <f>H22/$L$22</f>
        <v>0.11120752186904652</v>
      </c>
      <c r="J22" s="28">
        <v>34722.66</v>
      </c>
      <c r="K22" s="18">
        <f>J22/$L$22</f>
        <v>0.004823376939228912</v>
      </c>
      <c r="L22" s="31">
        <v>7198827.8</v>
      </c>
    </row>
    <row r="23" spans="1:12" ht="12">
      <c r="A23" s="22" t="s">
        <v>18</v>
      </c>
      <c r="B23" s="29">
        <v>131656.4</v>
      </c>
      <c r="C23" s="19">
        <f>B23/$L$23</f>
        <v>0.030902774387335623</v>
      </c>
      <c r="D23" s="29">
        <v>582108.6</v>
      </c>
      <c r="E23" s="19">
        <f>D23/$L$23</f>
        <v>0.13663422921124835</v>
      </c>
      <c r="F23" s="29">
        <v>2929972</v>
      </c>
      <c r="G23" s="19">
        <f>F23/$L$23</f>
        <v>0.6877315776309434</v>
      </c>
      <c r="H23" s="29">
        <v>602648.9</v>
      </c>
      <c r="I23" s="19">
        <f>H23/$L$23</f>
        <v>0.1414555083647737</v>
      </c>
      <c r="J23" s="29">
        <v>13956.49</v>
      </c>
      <c r="K23" s="19">
        <f>J23/$L$23</f>
        <v>0.0032759080584696663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20" ht="12">
      <c r="F25" s="5"/>
      <c r="G25" s="5"/>
      <c r="H25" s="5"/>
      <c r="I25" s="5"/>
      <c r="J25" s="5"/>
      <c r="K25" s="5"/>
      <c r="O25" s="42"/>
      <c r="S25" s="42"/>
      <c r="T25" s="43"/>
    </row>
    <row r="26" spans="1:12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27480.43</v>
      </c>
      <c r="C28" s="38">
        <f>B28/$L$28</f>
        <v>0.019186854557120846</v>
      </c>
      <c r="D28" s="37">
        <v>169829.55</v>
      </c>
      <c r="E28" s="38">
        <f>D28/$L$28</f>
        <v>0.1185751050966554</v>
      </c>
      <c r="F28" s="37">
        <v>999800.8</v>
      </c>
      <c r="G28" s="38">
        <f>F28/$L$28</f>
        <v>0.6980615854880388</v>
      </c>
      <c r="H28" s="37">
        <v>227546.5</v>
      </c>
      <c r="I28" s="38">
        <f>H28/$L$28</f>
        <v>0.15887311808737703</v>
      </c>
      <c r="J28" s="37">
        <v>7595.699</v>
      </c>
      <c r="K28" s="38">
        <f>J28/$L$28</f>
        <v>0.005303322108593942</v>
      </c>
      <c r="L28" s="45">
        <v>1432253</v>
      </c>
    </row>
    <row r="29" spans="1:12" ht="12">
      <c r="A29" s="21" t="s">
        <v>21</v>
      </c>
      <c r="B29" s="28">
        <v>97784.87</v>
      </c>
      <c r="C29" s="18">
        <f>B29/$L$29</f>
        <v>0.02942713358362505</v>
      </c>
      <c r="D29" s="28">
        <v>513576.6</v>
      </c>
      <c r="E29" s="18">
        <f>D29/$L$29</f>
        <v>0.15455445421795794</v>
      </c>
      <c r="F29" s="28">
        <v>2236503</v>
      </c>
      <c r="G29" s="18">
        <f>F29/$L$29</f>
        <v>0.6730476048204408</v>
      </c>
      <c r="H29" s="28">
        <v>462889.1</v>
      </c>
      <c r="I29" s="18">
        <f>H29/$L$29</f>
        <v>0.13930068506614546</v>
      </c>
      <c r="J29" s="28">
        <v>12195.59</v>
      </c>
      <c r="K29" s="18">
        <f>J29/$L$29</f>
        <v>0.0036701102743310066</v>
      </c>
      <c r="L29" s="46">
        <v>3322949.2</v>
      </c>
    </row>
    <row r="30" spans="1:12" ht="12">
      <c r="A30" s="23" t="s">
        <v>22</v>
      </c>
      <c r="B30" s="34">
        <v>162782</v>
      </c>
      <c r="C30" s="24">
        <f>B30/$L$30</f>
        <v>0.03946007987331817</v>
      </c>
      <c r="D30" s="34">
        <v>646787.8</v>
      </c>
      <c r="E30" s="24">
        <f>D30/$L$30</f>
        <v>0.15678820907156651</v>
      </c>
      <c r="F30" s="34">
        <v>2846775.5</v>
      </c>
      <c r="G30" s="24">
        <f>F30/$L$30</f>
        <v>0.6900885147707072</v>
      </c>
      <c r="H30" s="34">
        <v>445507.96</v>
      </c>
      <c r="I30" s="24">
        <f>H30/$L$30</f>
        <v>0.10799584527649886</v>
      </c>
      <c r="J30" s="34">
        <v>23379.09</v>
      </c>
      <c r="K30" s="24">
        <f>J30/$L$30</f>
        <v>0.005667338887380018</v>
      </c>
      <c r="L30" s="45">
        <v>4125232.4</v>
      </c>
    </row>
    <row r="31" spans="1:12" ht="12">
      <c r="A31" s="21" t="s">
        <v>23</v>
      </c>
      <c r="B31" s="28">
        <v>67034.44</v>
      </c>
      <c r="C31" s="18">
        <f>B31/$L$31</f>
        <v>0.04454016176117264</v>
      </c>
      <c r="D31" s="28">
        <v>197080.9</v>
      </c>
      <c r="E31" s="18">
        <f>D31/$L$31</f>
        <v>0.13094784063292672</v>
      </c>
      <c r="F31" s="28">
        <v>1091410.1</v>
      </c>
      <c r="G31" s="18">
        <f>F31/$L$31</f>
        <v>0.7251732453016332</v>
      </c>
      <c r="H31" s="28">
        <v>140832</v>
      </c>
      <c r="I31" s="18">
        <f>H31/$L$31</f>
        <v>0.09357399064047474</v>
      </c>
      <c r="J31" s="28">
        <v>8676.075</v>
      </c>
      <c r="K31" s="18">
        <f>J31/$L$31</f>
        <v>0.005764705186648325</v>
      </c>
      <c r="L31" s="46">
        <v>1505033.6</v>
      </c>
    </row>
    <row r="32" spans="1:12" ht="12">
      <c r="A32" s="22" t="s">
        <v>24</v>
      </c>
      <c r="B32" s="29">
        <v>52334</v>
      </c>
      <c r="C32" s="19">
        <f>B32/$L$32</f>
        <v>0.029248283240790707</v>
      </c>
      <c r="D32" s="29">
        <v>213991.8</v>
      </c>
      <c r="E32" s="19">
        <f>D32/$L$32</f>
        <v>0.11959515377396408</v>
      </c>
      <c r="F32" s="29">
        <v>1337081.1</v>
      </c>
      <c r="G32" s="19">
        <f>F32/$L$32</f>
        <v>0.747264239857607</v>
      </c>
      <c r="H32" s="29">
        <v>184264.7</v>
      </c>
      <c r="I32" s="19">
        <f>H32/$L$32</f>
        <v>0.10298135317153911</v>
      </c>
      <c r="J32" s="29">
        <v>1630.001</v>
      </c>
      <c r="K32" s="19">
        <f>J32/$L$32</f>
        <v>0.0009109705149763461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20" ht="12">
      <c r="F34" s="5"/>
      <c r="G34" s="5"/>
      <c r="H34" s="5"/>
      <c r="I34" s="5"/>
      <c r="J34" s="5"/>
      <c r="K34" s="5"/>
      <c r="O34" s="42"/>
      <c r="S34" s="42"/>
      <c r="T34" s="43"/>
    </row>
    <row r="35" spans="1:12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70357.88</v>
      </c>
      <c r="C37" s="38">
        <f>B37/$L$37</f>
        <v>0.05564307891068511</v>
      </c>
      <c r="D37" s="37">
        <v>183400.4</v>
      </c>
      <c r="E37" s="38">
        <f>D37/$L$37</f>
        <v>0.14504363874311182</v>
      </c>
      <c r="F37" s="37">
        <v>847399.7</v>
      </c>
      <c r="G37" s="38">
        <f>F37/$L$37</f>
        <v>0.6701726711491433</v>
      </c>
      <c r="H37" s="37">
        <v>157146.3</v>
      </c>
      <c r="I37" s="38">
        <f>H37/$L$37</f>
        <v>0.12428037870700757</v>
      </c>
      <c r="J37" s="37">
        <v>6145.608</v>
      </c>
      <c r="K37" s="38">
        <f>J37/$L$37</f>
        <v>0.004860302085539497</v>
      </c>
      <c r="L37" s="45">
        <v>1264449.8</v>
      </c>
    </row>
    <row r="38" spans="1:12" ht="12">
      <c r="A38" s="21" t="s">
        <v>27</v>
      </c>
      <c r="B38" s="28">
        <v>102647.3</v>
      </c>
      <c r="C38" s="18">
        <f>B38/$L$38</f>
        <v>0.04101894293821242</v>
      </c>
      <c r="D38" s="28">
        <v>285881.3</v>
      </c>
      <c r="E38" s="18">
        <f>D38/$L$38</f>
        <v>0.11424118054544041</v>
      </c>
      <c r="F38" s="28">
        <v>1776564</v>
      </c>
      <c r="G38" s="18">
        <f>F38/$L$38</f>
        <v>0.7099336986173276</v>
      </c>
      <c r="H38" s="28">
        <v>331659.9</v>
      </c>
      <c r="I38" s="18">
        <f>H38/$L$38</f>
        <v>0.13253479159211434</v>
      </c>
      <c r="J38" s="28">
        <v>5683.851</v>
      </c>
      <c r="K38" s="18">
        <f>J38/$L$38</f>
        <v>0.0022713267649348942</v>
      </c>
      <c r="L38" s="46">
        <v>2502436.5</v>
      </c>
    </row>
    <row r="39" spans="1:12" ht="12">
      <c r="A39" s="23" t="s">
        <v>28</v>
      </c>
      <c r="B39" s="34">
        <v>111823.4</v>
      </c>
      <c r="C39" s="24">
        <f>B39/$L$39</f>
        <v>0.038131237440722256</v>
      </c>
      <c r="D39" s="34">
        <v>404540.6</v>
      </c>
      <c r="E39" s="24">
        <f>D39/$L$39</f>
        <v>0.13794638396804465</v>
      </c>
      <c r="F39" s="34">
        <v>2071072.7</v>
      </c>
      <c r="G39" s="24">
        <f>F39/$L$39</f>
        <v>0.706225753113371</v>
      </c>
      <c r="H39" s="34">
        <v>325813.06</v>
      </c>
      <c r="I39" s="24">
        <f>H39/$L$39</f>
        <v>0.11110067438611496</v>
      </c>
      <c r="J39" s="34">
        <v>19343.22</v>
      </c>
      <c r="K39" s="24">
        <f>J39/$L$39</f>
        <v>0.006595944271844065</v>
      </c>
      <c r="L39" s="45">
        <v>2932593</v>
      </c>
    </row>
    <row r="40" spans="1:12" ht="12">
      <c r="A40" s="25" t="s">
        <v>29</v>
      </c>
      <c r="B40" s="40">
        <v>122587.2</v>
      </c>
      <c r="C40" s="26">
        <f>B40/$L$40</f>
        <v>0.022389168209431078</v>
      </c>
      <c r="D40" s="40">
        <v>867444.4</v>
      </c>
      <c r="E40" s="26">
        <f>D40/$L$40</f>
        <v>0.1584289271957351</v>
      </c>
      <c r="F40" s="40">
        <v>3816534.1</v>
      </c>
      <c r="G40" s="26">
        <f>F40/$L$40</f>
        <v>0.6970468690200091</v>
      </c>
      <c r="H40" s="40">
        <v>646421</v>
      </c>
      <c r="I40" s="26">
        <f>H40/$L$40</f>
        <v>0.11806149828945149</v>
      </c>
      <c r="J40" s="40">
        <v>22303.77</v>
      </c>
      <c r="K40" s="26">
        <f>J40/$L$40</f>
        <v>0.004073531806211926</v>
      </c>
      <c r="L40" s="33">
        <v>5475290.5</v>
      </c>
    </row>
    <row r="41" ht="12">
      <c r="A41" s="4" t="s">
        <v>31</v>
      </c>
    </row>
    <row r="42" spans="15:20" ht="12">
      <c r="O42" s="42"/>
      <c r="S42" s="42"/>
      <c r="T42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2"/>
  <sheetViews>
    <sheetView showGridLines="0" zoomScale="90" zoomScaleNormal="90" zoomScalePageLayoutView="0" workbookViewId="0" topLeftCell="A1">
      <selection activeCell="D57" sqref="D57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0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70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71</v>
      </c>
      <c r="C12" s="221"/>
      <c r="D12" s="220" t="s">
        <v>72</v>
      </c>
      <c r="E12" s="221"/>
      <c r="F12" s="220" t="s">
        <v>73</v>
      </c>
      <c r="G12" s="221"/>
      <c r="H12" s="220" t="s">
        <v>74</v>
      </c>
      <c r="I12" s="221"/>
      <c r="J12" s="220" t="s">
        <v>75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1078552.1</v>
      </c>
      <c r="C14" s="17">
        <f>B14/$L$14</f>
        <v>0.08858911503050983</v>
      </c>
      <c r="D14" s="27">
        <v>2381482.2</v>
      </c>
      <c r="E14" s="17">
        <f>D14/$L$14</f>
        <v>0.19560798273807228</v>
      </c>
      <c r="F14" s="27">
        <v>494809.03</v>
      </c>
      <c r="G14" s="17">
        <f>F14/$L$14</f>
        <v>0.040642166546062064</v>
      </c>
      <c r="H14" s="27">
        <v>3388552.7</v>
      </c>
      <c r="I14" s="17">
        <f>H14/$L$14</f>
        <v>0.2783258082082865</v>
      </c>
      <c r="J14" s="27">
        <v>4831373.7</v>
      </c>
      <c r="K14" s="17">
        <f>J14/$L$14</f>
        <v>0.39683490530005905</v>
      </c>
      <c r="L14" s="30">
        <v>12174770</v>
      </c>
    </row>
    <row r="15" spans="1:12" ht="12">
      <c r="A15" s="21" t="s">
        <v>5</v>
      </c>
      <c r="B15" s="28">
        <v>453382</v>
      </c>
      <c r="C15" s="18">
        <f>B15/$L$15</f>
        <v>0.09669591404087238</v>
      </c>
      <c r="D15" s="28">
        <v>963906</v>
      </c>
      <c r="E15" s="18">
        <f>D15/$L$15</f>
        <v>0.20557889752897368</v>
      </c>
      <c r="F15" s="28">
        <v>217327.9</v>
      </c>
      <c r="G15" s="18">
        <f>F15/$L$15</f>
        <v>0.046351023942466416</v>
      </c>
      <c r="H15" s="28">
        <v>1321207.7</v>
      </c>
      <c r="I15" s="18">
        <f>H15/$L$15</f>
        <v>0.2817831016435119</v>
      </c>
      <c r="J15" s="28">
        <v>1732916.5</v>
      </c>
      <c r="K15" s="18">
        <f>J15/$L$15</f>
        <v>0.3695910841718671</v>
      </c>
      <c r="L15" s="31">
        <v>4688740</v>
      </c>
    </row>
    <row r="16" spans="1:12" ht="12">
      <c r="A16" s="22" t="s">
        <v>6</v>
      </c>
      <c r="B16" s="29">
        <v>625170.2</v>
      </c>
      <c r="C16" s="19">
        <f>B16/$L$16</f>
        <v>0.08351158425139563</v>
      </c>
      <c r="D16" s="29">
        <v>1417576.2</v>
      </c>
      <c r="E16" s="19">
        <f>D16/$L$16</f>
        <v>0.18936288751298969</v>
      </c>
      <c r="F16" s="29">
        <v>277481.1</v>
      </c>
      <c r="G16" s="19">
        <f>F16/$L$16</f>
        <v>0.03706652406147947</v>
      </c>
      <c r="H16" s="29">
        <v>2067345</v>
      </c>
      <c r="I16" s="19">
        <f>H16/$L$16</f>
        <v>0.2761604058290071</v>
      </c>
      <c r="J16" s="29">
        <v>3098457.2</v>
      </c>
      <c r="K16" s="19">
        <f>J16/$L$16</f>
        <v>0.41389859834512815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71</v>
      </c>
      <c r="C19" s="221"/>
      <c r="D19" s="220" t="s">
        <v>72</v>
      </c>
      <c r="E19" s="221"/>
      <c r="F19" s="220" t="s">
        <v>73</v>
      </c>
      <c r="G19" s="221"/>
      <c r="H19" s="220" t="s">
        <v>74</v>
      </c>
      <c r="I19" s="221"/>
      <c r="J19" s="220" t="s">
        <v>75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61006.18</v>
      </c>
      <c r="C21" s="17">
        <f>B21/$L$21</f>
        <v>0.08525184827546693</v>
      </c>
      <c r="D21" s="37">
        <v>147447.2</v>
      </c>
      <c r="E21" s="17">
        <f>D21/$L$21</f>
        <v>0.2060470975734332</v>
      </c>
      <c r="F21" s="37">
        <v>35335.84</v>
      </c>
      <c r="G21" s="17">
        <f>F21/$L$21</f>
        <v>0.0493793525568422</v>
      </c>
      <c r="H21" s="37">
        <v>202429.1</v>
      </c>
      <c r="I21" s="17">
        <f>H21/$L$21</f>
        <v>0.28288043801036755</v>
      </c>
      <c r="J21" s="37">
        <v>269381.2</v>
      </c>
      <c r="K21" s="17">
        <f>J21/$L$21</f>
        <v>0.37644129153248435</v>
      </c>
      <c r="L21" s="39">
        <v>715599.5</v>
      </c>
    </row>
    <row r="22" spans="1:12" ht="12">
      <c r="A22" s="21" t="s">
        <v>17</v>
      </c>
      <c r="B22" s="28">
        <v>632145.9</v>
      </c>
      <c r="C22" s="18">
        <f>B22/$L$22</f>
        <v>0.08781233800313991</v>
      </c>
      <c r="D22" s="28">
        <v>1426365.3</v>
      </c>
      <c r="E22" s="18">
        <f>D22/$L$22</f>
        <v>0.19813854972333136</v>
      </c>
      <c r="F22" s="28">
        <v>295830.4</v>
      </c>
      <c r="G22" s="18">
        <f>F22/$L$22</f>
        <v>0.041094245927093855</v>
      </c>
      <c r="H22" s="28">
        <v>1996989.3</v>
      </c>
      <c r="I22" s="18">
        <f>H22/$L$22</f>
        <v>0.27740478804063073</v>
      </c>
      <c r="J22" s="28">
        <v>2847496.9</v>
      </c>
      <c r="K22" s="18">
        <f>J22/$L$22</f>
        <v>0.3955500783058042</v>
      </c>
      <c r="L22" s="31">
        <v>7198827.8</v>
      </c>
    </row>
    <row r="23" spans="1:12" ht="12">
      <c r="A23" s="22" t="s">
        <v>18</v>
      </c>
      <c r="B23" s="29">
        <v>385400</v>
      </c>
      <c r="C23" s="19">
        <f>B23/$L$23</f>
        <v>0.09046221261464805</v>
      </c>
      <c r="D23" s="29">
        <v>807669.7</v>
      </c>
      <c r="E23" s="19">
        <f>D23/$L$23</f>
        <v>0.18957858880074988</v>
      </c>
      <c r="F23" s="29">
        <v>163642.8</v>
      </c>
      <c r="G23" s="19">
        <f>F23/$L$23</f>
        <v>0.03841071553309893</v>
      </c>
      <c r="H23" s="29">
        <v>1189134.2</v>
      </c>
      <c r="I23" s="19">
        <f>H23/$L$23</f>
        <v>0.2791170493714308</v>
      </c>
      <c r="J23" s="29">
        <v>1714495.6</v>
      </c>
      <c r="K23" s="19">
        <f>J23/$L$23</f>
        <v>0.40243141020778045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20" ht="12">
      <c r="F25" s="5"/>
      <c r="G25" s="5"/>
      <c r="H25" s="5"/>
      <c r="I25" s="5"/>
      <c r="J25" s="5"/>
      <c r="K25" s="5"/>
      <c r="Q25" s="42"/>
      <c r="T25" s="43"/>
    </row>
    <row r="26" spans="1:12" ht="12">
      <c r="A26" s="222" t="s">
        <v>19</v>
      </c>
      <c r="B26" s="220" t="s">
        <v>71</v>
      </c>
      <c r="C26" s="221"/>
      <c r="D26" s="220" t="s">
        <v>72</v>
      </c>
      <c r="E26" s="221"/>
      <c r="F26" s="220" t="s">
        <v>73</v>
      </c>
      <c r="G26" s="221"/>
      <c r="H26" s="220" t="s">
        <v>74</v>
      </c>
      <c r="I26" s="221"/>
      <c r="J26" s="220" t="s">
        <v>75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191094.9</v>
      </c>
      <c r="C28" s="38">
        <f>B28/$L$28</f>
        <v>0.1334225866519393</v>
      </c>
      <c r="D28" s="37">
        <v>234969.7</v>
      </c>
      <c r="E28" s="38">
        <f>D28/$L$28</f>
        <v>0.16405600127910364</v>
      </c>
      <c r="F28" s="37">
        <v>58625.24</v>
      </c>
      <c r="G28" s="38">
        <f>F28/$L$28</f>
        <v>0.04093218167460637</v>
      </c>
      <c r="H28" s="37">
        <v>426864.4</v>
      </c>
      <c r="I28" s="38">
        <f>H28/$L$28</f>
        <v>0.29803700882455825</v>
      </c>
      <c r="J28" s="37">
        <v>520698.6</v>
      </c>
      <c r="K28" s="38">
        <f>J28/$L$28</f>
        <v>0.36355210985768577</v>
      </c>
      <c r="L28" s="45">
        <v>1432253</v>
      </c>
    </row>
    <row r="29" spans="1:12" ht="12">
      <c r="A29" s="21" t="s">
        <v>21</v>
      </c>
      <c r="B29" s="28">
        <v>277983.9</v>
      </c>
      <c r="C29" s="18">
        <f>B29/$L$29</f>
        <v>0.08365577782531253</v>
      </c>
      <c r="D29" s="28">
        <v>542390.2</v>
      </c>
      <c r="E29" s="18">
        <f>D29/$L$29</f>
        <v>0.1632255467522645</v>
      </c>
      <c r="F29" s="28">
        <v>157777</v>
      </c>
      <c r="G29" s="18">
        <f>F29/$L$29</f>
        <v>0.047481014756409756</v>
      </c>
      <c r="H29" s="28">
        <v>993756.9</v>
      </c>
      <c r="I29" s="18">
        <f>H29/$L$29</f>
        <v>0.2990587096546646</v>
      </c>
      <c r="J29" s="28">
        <v>1351041.2</v>
      </c>
      <c r="K29" s="18">
        <f>J29/$L$29</f>
        <v>0.40657895101134855</v>
      </c>
      <c r="L29" s="46">
        <v>3322949.2</v>
      </c>
    </row>
    <row r="30" spans="1:12" ht="12">
      <c r="A30" s="23" t="s">
        <v>22</v>
      </c>
      <c r="B30" s="34">
        <v>347466.2</v>
      </c>
      <c r="C30" s="24">
        <f>B30/$L$30</f>
        <v>0.08422948486490119</v>
      </c>
      <c r="D30" s="34">
        <v>819671.2</v>
      </c>
      <c r="E30" s="24">
        <f>D30/$L$30</f>
        <v>0.19869697522980764</v>
      </c>
      <c r="F30" s="34">
        <v>153632.4</v>
      </c>
      <c r="G30" s="24">
        <f>F30/$L$30</f>
        <v>0.0372421199833493</v>
      </c>
      <c r="H30" s="34">
        <v>1159787.5</v>
      </c>
      <c r="I30" s="24">
        <f>H30/$L$30</f>
        <v>0.28114476653485027</v>
      </c>
      <c r="J30" s="34">
        <v>1644675</v>
      </c>
      <c r="K30" s="24">
        <f>J30/$L$30</f>
        <v>0.3986866291460331</v>
      </c>
      <c r="L30" s="45">
        <v>4125232.4</v>
      </c>
    </row>
    <row r="31" spans="1:12" ht="12">
      <c r="A31" s="21" t="s">
        <v>23</v>
      </c>
      <c r="B31" s="28">
        <v>112323.8</v>
      </c>
      <c r="C31" s="18">
        <f>B31/$L$31</f>
        <v>0.07463208794806973</v>
      </c>
      <c r="D31" s="28">
        <v>331115.1</v>
      </c>
      <c r="E31" s="18">
        <f>D31/$L$31</f>
        <v>0.22000512148034432</v>
      </c>
      <c r="F31" s="28">
        <v>59216.75</v>
      </c>
      <c r="G31" s="18">
        <f>F31/$L$31</f>
        <v>0.03934579932301843</v>
      </c>
      <c r="H31" s="28">
        <v>383625.4</v>
      </c>
      <c r="I31" s="18">
        <f>H31/$L$31</f>
        <v>0.25489490732964365</v>
      </c>
      <c r="J31" s="28">
        <v>618752.5</v>
      </c>
      <c r="K31" s="18">
        <f>J31/$L$31</f>
        <v>0.41112205069707414</v>
      </c>
      <c r="L31" s="46">
        <v>1505033.6</v>
      </c>
    </row>
    <row r="32" spans="1:12" ht="12">
      <c r="A32" s="22" t="s">
        <v>24</v>
      </c>
      <c r="B32" s="29">
        <v>149683.2</v>
      </c>
      <c r="C32" s="19">
        <f>B32/$L$32</f>
        <v>0.08365453873175993</v>
      </c>
      <c r="D32" s="29">
        <v>453335.9</v>
      </c>
      <c r="E32" s="19">
        <f>D32/$L$32</f>
        <v>0.2533591318534561</v>
      </c>
      <c r="F32" s="29">
        <v>65557.61</v>
      </c>
      <c r="G32" s="19">
        <f>F32/$L$32</f>
        <v>0.036638658345803744</v>
      </c>
      <c r="H32" s="29">
        <v>424518.5</v>
      </c>
      <c r="I32" s="19">
        <f>H32/$L$32</f>
        <v>0.23725374190689819</v>
      </c>
      <c r="J32" s="29">
        <v>696206.4</v>
      </c>
      <c r="K32" s="19">
        <f>J32/$L$32</f>
        <v>0.38909393475085474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20" ht="12">
      <c r="F34" s="5"/>
      <c r="G34" s="5"/>
      <c r="H34" s="5"/>
      <c r="I34" s="5"/>
      <c r="J34" s="5"/>
      <c r="K34" s="5"/>
      <c r="Q34" s="42"/>
      <c r="T34" s="43"/>
    </row>
    <row r="35" spans="1:12" ht="12">
      <c r="A35" s="222" t="s">
        <v>25</v>
      </c>
      <c r="B35" s="220" t="s">
        <v>71</v>
      </c>
      <c r="C35" s="221"/>
      <c r="D35" s="220" t="s">
        <v>72</v>
      </c>
      <c r="E35" s="221"/>
      <c r="F35" s="220" t="s">
        <v>73</v>
      </c>
      <c r="G35" s="221"/>
      <c r="H35" s="220" t="s">
        <v>74</v>
      </c>
      <c r="I35" s="221"/>
      <c r="J35" s="220" t="s">
        <v>75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167409.1</v>
      </c>
      <c r="C37" s="38">
        <f>B37/$L$37</f>
        <v>0.132396794242049</v>
      </c>
      <c r="D37" s="37">
        <v>240945.3</v>
      </c>
      <c r="E37" s="38">
        <f>D37/$L$37</f>
        <v>0.19055347234821024</v>
      </c>
      <c r="F37" s="37">
        <v>63289.86</v>
      </c>
      <c r="G37" s="38">
        <f>F37/$L$37</f>
        <v>0.05005328009067659</v>
      </c>
      <c r="H37" s="37">
        <v>358633.1</v>
      </c>
      <c r="I37" s="38">
        <f>H37/$L$37</f>
        <v>0.28362778814943856</v>
      </c>
      <c r="J37" s="37">
        <v>434172.4</v>
      </c>
      <c r="K37" s="38">
        <f>J37/$L$37</f>
        <v>0.34336863353531316</v>
      </c>
      <c r="L37" s="45">
        <v>1264449.8</v>
      </c>
    </row>
    <row r="38" spans="1:12" ht="12">
      <c r="A38" s="21" t="s">
        <v>27</v>
      </c>
      <c r="B38" s="28">
        <v>233602.4</v>
      </c>
      <c r="C38" s="18">
        <f>B38/$L$38</f>
        <v>0.09334998110841174</v>
      </c>
      <c r="D38" s="28">
        <v>473782.8</v>
      </c>
      <c r="E38" s="18">
        <f>D38/$L$38</f>
        <v>0.1893286003461027</v>
      </c>
      <c r="F38" s="28">
        <v>115462</v>
      </c>
      <c r="G38" s="18">
        <f>F38/$L$38</f>
        <v>0.046139832119616225</v>
      </c>
      <c r="H38" s="28">
        <v>772251.3</v>
      </c>
      <c r="I38" s="18">
        <f>H38/$L$38</f>
        <v>0.3085997586751952</v>
      </c>
      <c r="J38" s="28">
        <v>907338.1</v>
      </c>
      <c r="K38" s="18">
        <f>J38/$L$38</f>
        <v>0.3625818677117281</v>
      </c>
      <c r="L38" s="46">
        <v>2502436.5</v>
      </c>
    </row>
    <row r="39" spans="1:12" ht="12">
      <c r="A39" s="23" t="s">
        <v>28</v>
      </c>
      <c r="B39" s="34">
        <v>249230.25</v>
      </c>
      <c r="C39" s="24">
        <f>B39/$L$39</f>
        <v>0.08498630733961378</v>
      </c>
      <c r="D39" s="34">
        <v>696217.4</v>
      </c>
      <c r="E39" s="24">
        <f>D39/$L$39</f>
        <v>0.23740675913773238</v>
      </c>
      <c r="F39" s="34">
        <v>86573.43</v>
      </c>
      <c r="G39" s="24">
        <f>F39/$L$39</f>
        <v>0.02952112004632078</v>
      </c>
      <c r="H39" s="34">
        <v>740688.8</v>
      </c>
      <c r="I39" s="24">
        <f>H39/$L$39</f>
        <v>0.25257129100424097</v>
      </c>
      <c r="J39" s="34">
        <v>1159883.1</v>
      </c>
      <c r="K39" s="24">
        <f>J39/$L$39</f>
        <v>0.3955145156521891</v>
      </c>
      <c r="L39" s="45">
        <v>2932593</v>
      </c>
    </row>
    <row r="40" spans="1:12" ht="12">
      <c r="A40" s="25" t="s">
        <v>29</v>
      </c>
      <c r="B40" s="40">
        <v>428310.4</v>
      </c>
      <c r="C40" s="26">
        <f>B40/$L$40</f>
        <v>0.07822605942095676</v>
      </c>
      <c r="D40" s="40">
        <v>970536.7</v>
      </c>
      <c r="E40" s="26">
        <f>D40/$L$40</f>
        <v>0.17725757199549502</v>
      </c>
      <c r="F40" s="40">
        <v>229483.8</v>
      </c>
      <c r="G40" s="26">
        <f>F40/$L$40</f>
        <v>0.04191262545795515</v>
      </c>
      <c r="H40" s="40">
        <v>1516979.5</v>
      </c>
      <c r="I40" s="26">
        <f>H40/$L$40</f>
        <v>0.27705918069552654</v>
      </c>
      <c r="J40" s="40">
        <v>2329980.1</v>
      </c>
      <c r="K40" s="26">
        <f>J40/$L$40</f>
        <v>0.4255445624300665</v>
      </c>
      <c r="L40" s="33">
        <v>5475290.5</v>
      </c>
    </row>
    <row r="41" ht="12">
      <c r="A41" s="4" t="s">
        <v>31</v>
      </c>
    </row>
    <row r="42" spans="17:20" ht="12">
      <c r="Q42" s="42"/>
      <c r="T42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K42"/>
  <sheetViews>
    <sheetView showGridLines="0" zoomScale="90" zoomScaleNormal="90" zoomScalePageLayoutView="0" workbookViewId="0" topLeftCell="A1">
      <selection activeCell="I58" sqref="I58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00390625" style="5" customWidth="1"/>
    <col min="4" max="4" width="14.140625" style="5" customWidth="1"/>
    <col min="5" max="5" width="12.140625" style="5" customWidth="1"/>
    <col min="6" max="16384" width="11.421875" style="4" customWidth="1"/>
  </cols>
  <sheetData>
    <row r="1" ht="12"/>
    <row r="2" ht="12"/>
    <row r="3" ht="12"/>
    <row r="4" ht="12"/>
    <row r="5" ht="12"/>
    <row r="6" spans="1:6" s="8" customFormat="1" ht="16.5">
      <c r="A6" s="227" t="s">
        <v>1</v>
      </c>
      <c r="B6" s="227"/>
      <c r="C6" s="227"/>
      <c r="D6" s="227"/>
      <c r="E6" s="227"/>
      <c r="F6" s="227"/>
    </row>
    <row r="7" spans="1:6" ht="15" customHeight="1">
      <c r="A7" s="11" t="s">
        <v>76</v>
      </c>
      <c r="B7" s="11"/>
      <c r="C7" s="11"/>
      <c r="D7" s="11"/>
      <c r="E7" s="11"/>
      <c r="F7" s="11"/>
    </row>
    <row r="8" spans="1:6" ht="15" customHeight="1">
      <c r="A8" s="11" t="s">
        <v>33</v>
      </c>
      <c r="B8" s="11"/>
      <c r="C8" s="11"/>
      <c r="D8" s="11"/>
      <c r="E8" s="11"/>
      <c r="F8" s="11"/>
    </row>
    <row r="9" spans="1:6" ht="15" customHeight="1">
      <c r="A9" s="11" t="s">
        <v>3</v>
      </c>
      <c r="B9" s="11"/>
      <c r="C9" s="11"/>
      <c r="D9" s="11"/>
      <c r="E9" s="11"/>
      <c r="F9" s="11"/>
    </row>
    <row r="10" spans="1:6" ht="15" customHeight="1">
      <c r="A10" s="12" t="s">
        <v>202</v>
      </c>
      <c r="B10" s="12"/>
      <c r="C10" s="12"/>
      <c r="D10" s="12"/>
      <c r="E10" s="12"/>
      <c r="F10" s="11"/>
    </row>
    <row r="11" spans="1:6" ht="14.25">
      <c r="A11" s="228" t="s">
        <v>14</v>
      </c>
      <c r="B11" s="226"/>
      <c r="C11" s="226"/>
      <c r="D11" s="226"/>
      <c r="E11" s="226"/>
      <c r="F11" s="226"/>
    </row>
    <row r="12" spans="1:6" ht="20.25" customHeight="1">
      <c r="A12" s="229"/>
      <c r="B12" s="220" t="s">
        <v>45</v>
      </c>
      <c r="C12" s="221"/>
      <c r="D12" s="220" t="s">
        <v>44</v>
      </c>
      <c r="E12" s="221"/>
      <c r="F12" s="223" t="s">
        <v>12</v>
      </c>
    </row>
    <row r="13" spans="1:6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224"/>
    </row>
    <row r="14" spans="1:6" ht="24">
      <c r="A14" s="20" t="s">
        <v>3</v>
      </c>
      <c r="B14" s="27">
        <v>8510349.8</v>
      </c>
      <c r="C14" s="17">
        <f>B14/$F$14</f>
        <v>0.6990152421770597</v>
      </c>
      <c r="D14" s="27">
        <v>3664420</v>
      </c>
      <c r="E14" s="17">
        <f>D14/$F$14</f>
        <v>0.30098474139552533</v>
      </c>
      <c r="F14" s="30">
        <v>12174770</v>
      </c>
    </row>
    <row r="15" spans="1:6" ht="12">
      <c r="A15" s="21" t="s">
        <v>5</v>
      </c>
      <c r="B15" s="28">
        <v>3448811.3</v>
      </c>
      <c r="C15" s="18">
        <f>B15/$F$15</f>
        <v>0.7355518326885261</v>
      </c>
      <c r="D15" s="28">
        <v>1239928.7</v>
      </c>
      <c r="E15" s="18">
        <f>D15/$F$15</f>
        <v>0.26444816731147386</v>
      </c>
      <c r="F15" s="31">
        <v>4688740</v>
      </c>
    </row>
    <row r="16" spans="1:6" ht="12">
      <c r="A16" s="22" t="s">
        <v>6</v>
      </c>
      <c r="B16" s="29">
        <v>5061538.5</v>
      </c>
      <c r="C16" s="19">
        <f>B16/$F$16</f>
        <v>0.6761312341574065</v>
      </c>
      <c r="D16" s="29">
        <v>2424491.2</v>
      </c>
      <c r="E16" s="19">
        <f>D16/$F$16</f>
        <v>0.32386876584259344</v>
      </c>
      <c r="F16" s="32">
        <v>7486029.7</v>
      </c>
    </row>
    <row r="17" spans="1:5" ht="12">
      <c r="A17" s="4" t="s">
        <v>31</v>
      </c>
      <c r="B17" s="13"/>
      <c r="C17" s="13"/>
      <c r="D17" s="13"/>
      <c r="E17" s="13"/>
    </row>
    <row r="18" spans="2:5" ht="12">
      <c r="B18" s="13"/>
      <c r="C18" s="13"/>
      <c r="D18" s="13"/>
      <c r="E18" s="13"/>
    </row>
    <row r="19" spans="1:6" ht="12">
      <c r="A19" s="222" t="s">
        <v>15</v>
      </c>
      <c r="B19" s="220" t="s">
        <v>45</v>
      </c>
      <c r="C19" s="221"/>
      <c r="D19" s="220" t="s">
        <v>44</v>
      </c>
      <c r="E19" s="221"/>
      <c r="F19" s="225" t="s">
        <v>12</v>
      </c>
    </row>
    <row r="20" spans="1:6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225"/>
    </row>
    <row r="21" spans="1:6" ht="12">
      <c r="A21" s="36" t="s">
        <v>16</v>
      </c>
      <c r="B21" s="37">
        <v>543824.3</v>
      </c>
      <c r="C21" s="17">
        <f>B21/$F$21</f>
        <v>0.75995623250156</v>
      </c>
      <c r="D21" s="37">
        <v>171775.2</v>
      </c>
      <c r="E21" s="17">
        <f>D21/$F$21</f>
        <v>0.24004376749844014</v>
      </c>
      <c r="F21" s="39">
        <v>715599.5</v>
      </c>
    </row>
    <row r="22" spans="1:6" ht="12">
      <c r="A22" s="21" t="s">
        <v>17</v>
      </c>
      <c r="B22" s="28">
        <v>5243210.8</v>
      </c>
      <c r="C22" s="18">
        <f>B22/$F$22</f>
        <v>0.7283423003950726</v>
      </c>
      <c r="D22" s="28">
        <v>1955617</v>
      </c>
      <c r="E22" s="18">
        <f>D22/$F$22</f>
        <v>0.27165769960492736</v>
      </c>
      <c r="F22" s="31">
        <v>7198827.8</v>
      </c>
    </row>
    <row r="23" spans="1:6" ht="12">
      <c r="A23" s="22" t="s">
        <v>18</v>
      </c>
      <c r="B23" s="29">
        <v>2723314.7</v>
      </c>
      <c r="C23" s="19">
        <f>B23/$F$23</f>
        <v>0.6392243731395861</v>
      </c>
      <c r="D23" s="29">
        <v>1537027.7</v>
      </c>
      <c r="E23" s="19">
        <f>D23/$F$23</f>
        <v>0.3607756268604138</v>
      </c>
      <c r="F23" s="32">
        <v>4260342.4</v>
      </c>
    </row>
    <row r="24" ht="12">
      <c r="A24" s="4" t="s">
        <v>31</v>
      </c>
    </row>
    <row r="25" spans="10:11" ht="12">
      <c r="J25" s="43"/>
      <c r="K25" s="43"/>
    </row>
    <row r="26" spans="1:6" ht="12">
      <c r="A26" s="222" t="s">
        <v>19</v>
      </c>
      <c r="B26" s="220" t="s">
        <v>45</v>
      </c>
      <c r="C26" s="221"/>
      <c r="D26" s="220" t="s">
        <v>44</v>
      </c>
      <c r="E26" s="221"/>
      <c r="F26" s="225" t="s">
        <v>12</v>
      </c>
    </row>
    <row r="27" spans="1:6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225"/>
    </row>
    <row r="28" spans="1:6" ht="12">
      <c r="A28" s="36" t="s">
        <v>20</v>
      </c>
      <c r="B28" s="37">
        <v>865128.2</v>
      </c>
      <c r="C28" s="38">
        <f>B28/$F$28</f>
        <v>0.6040330863332106</v>
      </c>
      <c r="D28" s="37">
        <v>567124.8</v>
      </c>
      <c r="E28" s="38">
        <f>D28/$F$28</f>
        <v>0.3959669136667894</v>
      </c>
      <c r="F28" s="45">
        <v>1432253</v>
      </c>
    </row>
    <row r="29" spans="1:6" ht="12">
      <c r="A29" s="21" t="s">
        <v>21</v>
      </c>
      <c r="B29" s="28">
        <v>2259108.5</v>
      </c>
      <c r="C29" s="18">
        <f>B29/$F$29</f>
        <v>0.6798504473074701</v>
      </c>
      <c r="D29" s="28">
        <v>1063840.7</v>
      </c>
      <c r="E29" s="18">
        <f>D29/$F$29</f>
        <v>0.32014955269252987</v>
      </c>
      <c r="F29" s="46">
        <v>3322949.2</v>
      </c>
    </row>
    <row r="30" spans="1:6" ht="12">
      <c r="A30" s="23" t="s">
        <v>22</v>
      </c>
      <c r="B30" s="34">
        <v>2862293.2</v>
      </c>
      <c r="C30" s="24">
        <f>B30/$F$30</f>
        <v>0.6938501695080258</v>
      </c>
      <c r="D30" s="34">
        <v>1262939.2</v>
      </c>
      <c r="E30" s="24">
        <f>D30/$F$30</f>
        <v>0.3061498304919742</v>
      </c>
      <c r="F30" s="45">
        <v>4125232.4</v>
      </c>
    </row>
    <row r="31" spans="1:6" ht="12">
      <c r="A31" s="21" t="s">
        <v>23</v>
      </c>
      <c r="B31" s="28">
        <v>1142333.6</v>
      </c>
      <c r="C31" s="18">
        <f>B31/$F$31</f>
        <v>0.7590087025299634</v>
      </c>
      <c r="D31" s="28">
        <v>362700</v>
      </c>
      <c r="E31" s="18">
        <f>D31/$F$31</f>
        <v>0.24099129747003653</v>
      </c>
      <c r="F31" s="46">
        <v>1505033.6</v>
      </c>
    </row>
    <row r="32" spans="1:6" ht="12">
      <c r="A32" s="22" t="s">
        <v>24</v>
      </c>
      <c r="B32" s="29">
        <v>1381486.2</v>
      </c>
      <c r="C32" s="19">
        <f>B32/$F$32</f>
        <v>0.772081241083113</v>
      </c>
      <c r="D32" s="29">
        <v>407815.4</v>
      </c>
      <c r="E32" s="19">
        <f>D32/$F$32</f>
        <v>0.2279187589168869</v>
      </c>
      <c r="F32" s="32">
        <v>1789301.6</v>
      </c>
    </row>
    <row r="33" ht="12">
      <c r="A33" s="4" t="s">
        <v>31</v>
      </c>
    </row>
    <row r="34" spans="10:11" ht="12">
      <c r="J34" s="43"/>
      <c r="K34" s="43"/>
    </row>
    <row r="35" spans="1:6" ht="12">
      <c r="A35" s="222" t="s">
        <v>25</v>
      </c>
      <c r="B35" s="220" t="s">
        <v>45</v>
      </c>
      <c r="C35" s="221"/>
      <c r="D35" s="220" t="s">
        <v>44</v>
      </c>
      <c r="E35" s="221"/>
      <c r="F35" s="225" t="s">
        <v>12</v>
      </c>
    </row>
    <row r="36" spans="1:6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225"/>
    </row>
    <row r="37" spans="1:6" ht="12">
      <c r="A37" s="36" t="s">
        <v>26</v>
      </c>
      <c r="B37" s="37">
        <v>784089.9</v>
      </c>
      <c r="C37" s="38">
        <f>B37/$F$37</f>
        <v>0.6201036213537303</v>
      </c>
      <c r="D37" s="37">
        <v>480359.9</v>
      </c>
      <c r="E37" s="38">
        <f>D37/$F$37</f>
        <v>0.3798963786462697</v>
      </c>
      <c r="F37" s="45">
        <v>1264449.8</v>
      </c>
    </row>
    <row r="38" spans="1:6" ht="12">
      <c r="A38" s="21" t="s">
        <v>27</v>
      </c>
      <c r="B38" s="28">
        <v>1702951.9</v>
      </c>
      <c r="C38" s="18">
        <f>B38/$F$38</f>
        <v>0.6805175276175839</v>
      </c>
      <c r="D38" s="28">
        <v>799484.6</v>
      </c>
      <c r="E38" s="18">
        <f>D38/$F$38</f>
        <v>0.31948247238241606</v>
      </c>
      <c r="F38" s="46">
        <v>2502436.5</v>
      </c>
    </row>
    <row r="39" spans="1:6" ht="12">
      <c r="A39" s="23" t="s">
        <v>28</v>
      </c>
      <c r="B39" s="34">
        <v>2104500.9</v>
      </c>
      <c r="C39" s="24">
        <f>B39/$F$39</f>
        <v>0.7176246073014564</v>
      </c>
      <c r="D39" s="34">
        <v>828092.1</v>
      </c>
      <c r="E39" s="24">
        <f>D39/$F$39</f>
        <v>0.28237539269854356</v>
      </c>
      <c r="F39" s="45">
        <v>2932593</v>
      </c>
    </row>
    <row r="40" spans="1:6" ht="12">
      <c r="A40" s="25" t="s">
        <v>29</v>
      </c>
      <c r="B40" s="40">
        <v>3918807.1</v>
      </c>
      <c r="C40" s="26">
        <f>B40/$F$40</f>
        <v>0.7157258779237375</v>
      </c>
      <c r="D40" s="40">
        <v>1556483.4</v>
      </c>
      <c r="E40" s="26">
        <f>D40/$F$40</f>
        <v>0.2842741220762624</v>
      </c>
      <c r="F40" s="33">
        <v>5475290.5</v>
      </c>
    </row>
    <row r="41" ht="12">
      <c r="A41" s="4" t="s">
        <v>31</v>
      </c>
    </row>
    <row r="42" spans="10:11" ht="12">
      <c r="J42" s="43"/>
      <c r="K42" s="43"/>
    </row>
  </sheetData>
  <sheetProtection/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35"/>
  <sheetViews>
    <sheetView showGridLines="0" tabSelected="1" zoomScale="80" zoomScaleNormal="80" zoomScalePageLayoutView="0" workbookViewId="0" topLeftCell="A13">
      <selection activeCell="A1" sqref="A1"/>
    </sheetView>
  </sheetViews>
  <sheetFormatPr defaultColWidth="11.421875" defaultRowHeight="12.75"/>
  <cols>
    <col min="1" max="1" width="24.00390625" style="267" customWidth="1"/>
    <col min="2" max="2" width="18.00390625" style="267" customWidth="1"/>
    <col min="3" max="3" width="15.421875" style="267" customWidth="1"/>
    <col min="4" max="4" width="11.140625" style="293" customWidth="1"/>
    <col min="5" max="5" width="15.00390625" style="293" customWidth="1"/>
    <col min="6" max="7" width="13.8515625" style="293" customWidth="1"/>
    <col min="8" max="8" width="12.421875" style="293" customWidth="1"/>
    <col min="9" max="9" width="16.421875" style="293" customWidth="1"/>
    <col min="10" max="10" width="13.8515625" style="293" customWidth="1"/>
    <col min="11" max="11" width="17.421875" style="293" customWidth="1"/>
    <col min="12" max="12" width="19.28125" style="267" customWidth="1"/>
    <col min="13" max="13" width="24.7109375" style="267" customWidth="1"/>
    <col min="14" max="16384" width="11.421875" style="267" customWidth="1"/>
  </cols>
  <sheetData>
    <row r="1" ht="12"/>
    <row r="2" ht="12"/>
    <row r="3" ht="12"/>
    <row r="4" ht="12"/>
    <row r="5" ht="12"/>
    <row r="6" spans="1:13" s="265" customFormat="1" ht="16.5">
      <c r="A6" s="264" t="s">
        <v>217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1:13" ht="15" customHeight="1">
      <c r="A7" s="266" t="s">
        <v>218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</row>
    <row r="8" spans="1:13" ht="15" customHeight="1">
      <c r="A8" s="266" t="s">
        <v>219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5" customHeight="1">
      <c r="A9" s="266" t="s">
        <v>220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ht="15" customHeight="1">
      <c r="A10" s="266" t="s">
        <v>221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5" customHeight="1">
      <c r="A11" s="268" t="s">
        <v>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3" ht="15" customHeight="1">
      <c r="A12" s="264" t="s">
        <v>219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92.25" customHeight="1">
      <c r="A13" s="269" t="s">
        <v>222</v>
      </c>
      <c r="B13" s="270" t="s">
        <v>223</v>
      </c>
      <c r="C13" s="271"/>
      <c r="D13" s="272" t="s">
        <v>224</v>
      </c>
      <c r="E13" s="270"/>
      <c r="F13" s="273" t="s">
        <v>225</v>
      </c>
      <c r="G13" s="270"/>
      <c r="H13" s="273" t="s">
        <v>226</v>
      </c>
      <c r="I13" s="272"/>
      <c r="J13" s="273" t="s">
        <v>227</v>
      </c>
      <c r="K13" s="270"/>
      <c r="L13" s="273" t="s">
        <v>228</v>
      </c>
      <c r="M13" s="270"/>
    </row>
    <row r="14" spans="1:13" ht="45" customHeight="1">
      <c r="A14" s="274"/>
      <c r="B14" s="275" t="s">
        <v>229</v>
      </c>
      <c r="C14" s="276" t="s">
        <v>230</v>
      </c>
      <c r="D14" s="277" t="s">
        <v>229</v>
      </c>
      <c r="E14" s="278" t="s">
        <v>230</v>
      </c>
      <c r="F14" s="277" t="s">
        <v>229</v>
      </c>
      <c r="G14" s="278" t="s">
        <v>230</v>
      </c>
      <c r="H14" s="277" t="s">
        <v>229</v>
      </c>
      <c r="I14" s="278" t="s">
        <v>230</v>
      </c>
      <c r="J14" s="277" t="s">
        <v>229</v>
      </c>
      <c r="K14" s="278" t="s">
        <v>230</v>
      </c>
      <c r="L14" s="277" t="s">
        <v>229</v>
      </c>
      <c r="M14" s="278" t="s">
        <v>230</v>
      </c>
    </row>
    <row r="15" spans="1:13" ht="15" customHeight="1">
      <c r="A15" s="279">
        <v>2020</v>
      </c>
      <c r="B15" s="280"/>
      <c r="C15" s="281"/>
      <c r="D15" s="282"/>
      <c r="E15" s="283"/>
      <c r="F15" s="282"/>
      <c r="G15" s="283"/>
      <c r="H15" s="284"/>
      <c r="I15" s="285"/>
      <c r="J15" s="286"/>
      <c r="K15" s="287"/>
      <c r="L15" s="286"/>
      <c r="M15" s="287"/>
    </row>
    <row r="16" spans="1:13" ht="15" customHeight="1">
      <c r="A16" s="294" t="s">
        <v>231</v>
      </c>
      <c r="B16" s="292">
        <v>28.88818970548282</v>
      </c>
      <c r="C16" s="295"/>
      <c r="D16" s="292">
        <v>29.43280703095025</v>
      </c>
      <c r="E16" s="296"/>
      <c r="F16" s="292">
        <v>48.854310105093184</v>
      </c>
      <c r="G16" s="296"/>
      <c r="H16" s="292">
        <v>20.628978656194</v>
      </c>
      <c r="I16" s="297"/>
      <c r="J16" s="292">
        <v>40.95320120100732</v>
      </c>
      <c r="K16" s="297"/>
      <c r="L16" s="292">
        <v>4.571651534169336</v>
      </c>
      <c r="M16" s="297"/>
    </row>
    <row r="17" spans="1:13" ht="15" customHeight="1">
      <c r="A17" s="298" t="s">
        <v>233</v>
      </c>
      <c r="B17" s="299">
        <v>32.46988841348818</v>
      </c>
      <c r="C17" s="300">
        <f>B17-B16</f>
        <v>3.5816987080053586</v>
      </c>
      <c r="D17" s="299">
        <v>31.01460456241505</v>
      </c>
      <c r="E17" s="300">
        <f>D17-D16</f>
        <v>1.581797531464801</v>
      </c>
      <c r="F17" s="299">
        <v>55.88914845601614</v>
      </c>
      <c r="G17" s="300">
        <f>F17-F16</f>
        <v>7.0348383509229535</v>
      </c>
      <c r="H17" s="299">
        <v>20.564036652610426</v>
      </c>
      <c r="I17" s="300">
        <f>H17-H16</f>
        <v>-0.0649420035835746</v>
      </c>
      <c r="J17" s="299">
        <v>48.5443106642762</v>
      </c>
      <c r="K17" s="300">
        <f>J17-J16</f>
        <v>7.591109463268886</v>
      </c>
      <c r="L17" s="299">
        <v>6.337341732123071</v>
      </c>
      <c r="M17" s="300">
        <f>L17-L16</f>
        <v>1.7656901979537354</v>
      </c>
    </row>
    <row r="18" spans="1:11" s="290" customFormat="1" ht="15" customHeight="1">
      <c r="A18" s="267" t="s">
        <v>232</v>
      </c>
      <c r="B18" s="288"/>
      <c r="C18" s="288"/>
      <c r="D18" s="289"/>
      <c r="E18" s="289"/>
      <c r="F18" s="289"/>
      <c r="G18" s="289"/>
      <c r="H18" s="289"/>
      <c r="I18" s="289"/>
      <c r="J18" s="289"/>
      <c r="K18" s="289"/>
    </row>
    <row r="19" spans="1:11" s="290" customFormat="1" ht="15" customHeight="1">
      <c r="A19" s="291"/>
      <c r="B19" s="288"/>
      <c r="C19" s="288"/>
      <c r="D19" s="289"/>
      <c r="E19" s="289"/>
      <c r="F19" s="289"/>
      <c r="G19" s="289"/>
      <c r="H19" s="289"/>
      <c r="I19" s="289"/>
      <c r="J19" s="289"/>
      <c r="K19" s="289"/>
    </row>
    <row r="20" spans="1:13" s="290" customFormat="1" ht="15" customHeight="1">
      <c r="A20" s="264" t="s">
        <v>5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92.25" customHeight="1">
      <c r="A21" s="269" t="s">
        <v>222</v>
      </c>
      <c r="B21" s="270" t="s">
        <v>223</v>
      </c>
      <c r="C21" s="271"/>
      <c r="D21" s="272" t="s">
        <v>224</v>
      </c>
      <c r="E21" s="270"/>
      <c r="F21" s="273" t="s">
        <v>225</v>
      </c>
      <c r="G21" s="270"/>
      <c r="H21" s="273" t="s">
        <v>226</v>
      </c>
      <c r="I21" s="272"/>
      <c r="J21" s="273" t="s">
        <v>227</v>
      </c>
      <c r="K21" s="270"/>
      <c r="L21" s="273" t="s">
        <v>228</v>
      </c>
      <c r="M21" s="270"/>
    </row>
    <row r="22" spans="1:13" ht="24">
      <c r="A22" s="274"/>
      <c r="B22" s="275" t="s">
        <v>229</v>
      </c>
      <c r="C22" s="276" t="s">
        <v>230</v>
      </c>
      <c r="D22" s="277" t="s">
        <v>229</v>
      </c>
      <c r="E22" s="278" t="s">
        <v>230</v>
      </c>
      <c r="F22" s="277" t="s">
        <v>229</v>
      </c>
      <c r="G22" s="278" t="s">
        <v>230</v>
      </c>
      <c r="H22" s="277" t="s">
        <v>229</v>
      </c>
      <c r="I22" s="278" t="s">
        <v>230</v>
      </c>
      <c r="J22" s="277" t="s">
        <v>229</v>
      </c>
      <c r="K22" s="278" t="s">
        <v>230</v>
      </c>
      <c r="L22" s="277" t="s">
        <v>229</v>
      </c>
      <c r="M22" s="278" t="s">
        <v>230</v>
      </c>
    </row>
    <row r="23" spans="1:13" ht="12">
      <c r="A23" s="279">
        <v>2020</v>
      </c>
      <c r="B23" s="280"/>
      <c r="C23" s="281"/>
      <c r="D23" s="282"/>
      <c r="E23" s="283"/>
      <c r="F23" s="282"/>
      <c r="G23" s="283"/>
      <c r="H23" s="284"/>
      <c r="I23" s="285"/>
      <c r="J23" s="286"/>
      <c r="K23" s="287"/>
      <c r="L23" s="286"/>
      <c r="M23" s="287"/>
    </row>
    <row r="24" spans="1:13" ht="12">
      <c r="A24" s="294" t="s">
        <v>231</v>
      </c>
      <c r="B24" s="292">
        <v>28.832508239744527</v>
      </c>
      <c r="C24" s="295"/>
      <c r="D24" s="292">
        <v>29.236038088885252</v>
      </c>
      <c r="E24" s="296"/>
      <c r="F24" s="292">
        <v>49.001855066533366</v>
      </c>
      <c r="G24" s="296"/>
      <c r="H24" s="292">
        <v>20.35751664831408</v>
      </c>
      <c r="I24" s="297"/>
      <c r="J24" s="292">
        <v>40.33996790153783</v>
      </c>
      <c r="K24" s="297"/>
      <c r="L24" s="292">
        <v>5.227163493452109</v>
      </c>
      <c r="M24" s="297"/>
    </row>
    <row r="25" spans="1:13" ht="15" customHeight="1">
      <c r="A25" s="298" t="s">
        <v>233</v>
      </c>
      <c r="B25" s="299">
        <v>32.86630037033403</v>
      </c>
      <c r="C25" s="300">
        <f>B25-B24</f>
        <v>4.033792130589504</v>
      </c>
      <c r="D25" s="299">
        <v>31.476708028169615</v>
      </c>
      <c r="E25" s="300">
        <f>D25-D24</f>
        <v>2.2406699392843628</v>
      </c>
      <c r="F25" s="299">
        <v>55.33995966933547</v>
      </c>
      <c r="G25" s="300">
        <f>F25-F24</f>
        <v>6.338104602802105</v>
      </c>
      <c r="H25" s="299">
        <v>21.095945604149517</v>
      </c>
      <c r="I25" s="300">
        <f>H25-H24</f>
        <v>0.7384289558354382</v>
      </c>
      <c r="J25" s="299">
        <v>48.033492473457684</v>
      </c>
      <c r="K25" s="300">
        <f>J25-J24</f>
        <v>7.693524571919852</v>
      </c>
      <c r="L25" s="299">
        <v>8.385396076557882</v>
      </c>
      <c r="M25" s="300">
        <f>L25-L24</f>
        <v>3.1582325831057725</v>
      </c>
    </row>
    <row r="26" spans="1:13" ht="12">
      <c r="A26" s="267" t="s">
        <v>232</v>
      </c>
      <c r="B26" s="289"/>
      <c r="C26" s="289"/>
      <c r="D26" s="289"/>
      <c r="E26" s="289"/>
      <c r="F26" s="289"/>
      <c r="G26" s="289"/>
      <c r="H26" s="289"/>
      <c r="I26" s="289"/>
      <c r="J26" s="292"/>
      <c r="K26" s="289"/>
      <c r="L26" s="290"/>
      <c r="M26" s="290"/>
    </row>
    <row r="29" spans="1:13" ht="16.5">
      <c r="A29" s="264" t="s">
        <v>6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 ht="100.5" customHeight="1">
      <c r="A30" s="269" t="s">
        <v>222</v>
      </c>
      <c r="B30" s="270" t="s">
        <v>223</v>
      </c>
      <c r="C30" s="271"/>
      <c r="D30" s="272" t="s">
        <v>224</v>
      </c>
      <c r="E30" s="270"/>
      <c r="F30" s="273" t="s">
        <v>225</v>
      </c>
      <c r="G30" s="270"/>
      <c r="H30" s="273" t="s">
        <v>226</v>
      </c>
      <c r="I30" s="272"/>
      <c r="J30" s="273" t="s">
        <v>227</v>
      </c>
      <c r="K30" s="270"/>
      <c r="L30" s="273" t="s">
        <v>228</v>
      </c>
      <c r="M30" s="270"/>
    </row>
    <row r="31" spans="1:13" ht="24">
      <c r="A31" s="274"/>
      <c r="B31" s="275" t="s">
        <v>229</v>
      </c>
      <c r="C31" s="276" t="s">
        <v>230</v>
      </c>
      <c r="D31" s="277" t="s">
        <v>229</v>
      </c>
      <c r="E31" s="278" t="s">
        <v>230</v>
      </c>
      <c r="F31" s="277" t="s">
        <v>229</v>
      </c>
      <c r="G31" s="278" t="s">
        <v>230</v>
      </c>
      <c r="H31" s="277" t="s">
        <v>229</v>
      </c>
      <c r="I31" s="278" t="s">
        <v>230</v>
      </c>
      <c r="J31" s="277" t="s">
        <v>229</v>
      </c>
      <c r="K31" s="278" t="s">
        <v>230</v>
      </c>
      <c r="L31" s="277" t="s">
        <v>229</v>
      </c>
      <c r="M31" s="278" t="s">
        <v>230</v>
      </c>
    </row>
    <row r="32" spans="1:13" ht="12">
      <c r="A32" s="279">
        <v>2020</v>
      </c>
      <c r="B32" s="280"/>
      <c r="C32" s="281"/>
      <c r="D32" s="282"/>
      <c r="E32" s="283"/>
      <c r="F32" s="282"/>
      <c r="G32" s="283"/>
      <c r="H32" s="284"/>
      <c r="I32" s="285"/>
      <c r="J32" s="286"/>
      <c r="K32" s="287"/>
      <c r="L32" s="286"/>
      <c r="M32" s="287"/>
    </row>
    <row r="33" spans="1:13" ht="12">
      <c r="A33" s="294" t="s">
        <v>231</v>
      </c>
      <c r="B33" s="292">
        <v>28.921160597660872</v>
      </c>
      <c r="C33" s="295"/>
      <c r="D33" s="292">
        <v>29.54933137631305</v>
      </c>
      <c r="E33" s="296"/>
      <c r="F33" s="292">
        <v>48.766940291772045</v>
      </c>
      <c r="G33" s="296"/>
      <c r="H33" s="292">
        <v>20.789735799985912</v>
      </c>
      <c r="I33" s="297"/>
      <c r="J33" s="292">
        <v>41.31635041165836</v>
      </c>
      <c r="K33" s="297"/>
      <c r="L33" s="292">
        <v>4.18344510857499</v>
      </c>
      <c r="M33" s="297"/>
    </row>
    <row r="34" spans="1:13" ht="15" customHeight="1">
      <c r="A34" s="298" t="s">
        <v>233</v>
      </c>
      <c r="B34" s="299">
        <v>32.22160141948201</v>
      </c>
      <c r="C34" s="300">
        <f>B34-B33</f>
        <v>3.300440821821141</v>
      </c>
      <c r="D34" s="299">
        <v>30.725206695436043</v>
      </c>
      <c r="E34" s="300">
        <f>D34-D33</f>
        <v>1.1758753191229943</v>
      </c>
      <c r="F34" s="299">
        <v>56.2330821394582</v>
      </c>
      <c r="G34" s="300">
        <f>F34-F33</f>
        <v>7.466141847686153</v>
      </c>
      <c r="H34" s="299">
        <v>20.230922172301813</v>
      </c>
      <c r="I34" s="300">
        <f>H34-H33</f>
        <v>-0.5588136276840991</v>
      </c>
      <c r="J34" s="299">
        <v>48.86421675826187</v>
      </c>
      <c r="K34" s="300">
        <f>J34-J33</f>
        <v>7.547866346603506</v>
      </c>
      <c r="L34" s="299">
        <v>5.054579331952156</v>
      </c>
      <c r="M34" s="300">
        <f>L34-L33</f>
        <v>0.8711342233771662</v>
      </c>
    </row>
    <row r="35" spans="1:13" ht="12">
      <c r="A35" s="267" t="s">
        <v>232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90"/>
      <c r="M35" s="290"/>
    </row>
  </sheetData>
  <sheetProtection/>
  <mergeCells count="25">
    <mergeCell ref="A29:M29"/>
    <mergeCell ref="A30:A31"/>
    <mergeCell ref="B30:C30"/>
    <mergeCell ref="D30:E30"/>
    <mergeCell ref="F30:G30"/>
    <mergeCell ref="H30:I30"/>
    <mergeCell ref="J30:K30"/>
    <mergeCell ref="L30:M30"/>
    <mergeCell ref="A20:M20"/>
    <mergeCell ref="A21:A22"/>
    <mergeCell ref="B21:C21"/>
    <mergeCell ref="D21:E21"/>
    <mergeCell ref="F21:G21"/>
    <mergeCell ref="H21:I21"/>
    <mergeCell ref="J21:K21"/>
    <mergeCell ref="L21:M21"/>
    <mergeCell ref="A6:M6"/>
    <mergeCell ref="A12:M12"/>
    <mergeCell ref="A13:A14"/>
    <mergeCell ref="B13:C13"/>
    <mergeCell ref="D13:E13"/>
    <mergeCell ref="F13:G13"/>
    <mergeCell ref="H13:I13"/>
    <mergeCell ref="J13:K13"/>
    <mergeCell ref="L13:M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Y50"/>
  <sheetViews>
    <sheetView showGridLines="0" zoomScale="90" zoomScaleNormal="90" zoomScalePageLayoutView="0" workbookViewId="0" topLeftCell="B1">
      <selection activeCell="G61" sqref="G61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1" width="11.421875" style="4" customWidth="1"/>
    <col min="12" max="12" width="12.8515625" style="4" bestFit="1" customWidth="1"/>
    <col min="13" max="16384" width="11.421875" style="4" customWidth="1"/>
  </cols>
  <sheetData>
    <row r="1" ht="12"/>
    <row r="2" ht="12"/>
    <row r="3" ht="12"/>
    <row r="4" ht="12"/>
    <row r="5" ht="12"/>
    <row r="6" spans="1:2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</row>
    <row r="7" spans="1:22" ht="15" customHeight="1">
      <c r="A7" s="11" t="s">
        <v>105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</row>
    <row r="12" spans="1:22" s="48" customFormat="1" ht="22.5" customHeight="1">
      <c r="A12" s="229"/>
      <c r="B12" s="231" t="s">
        <v>106</v>
      </c>
      <c r="C12" s="232"/>
      <c r="D12" s="231" t="s">
        <v>107</v>
      </c>
      <c r="E12" s="232"/>
      <c r="F12" s="231" t="s">
        <v>108</v>
      </c>
      <c r="G12" s="232"/>
      <c r="H12" s="231" t="s">
        <v>109</v>
      </c>
      <c r="I12" s="232"/>
      <c r="J12" s="231" t="s">
        <v>110</v>
      </c>
      <c r="K12" s="232"/>
      <c r="L12" s="231" t="s">
        <v>111</v>
      </c>
      <c r="M12" s="232"/>
      <c r="N12" s="231" t="s">
        <v>112</v>
      </c>
      <c r="O12" s="232"/>
      <c r="P12" s="231" t="s">
        <v>113</v>
      </c>
      <c r="Q12" s="232"/>
      <c r="R12" s="231" t="s">
        <v>114</v>
      </c>
      <c r="S12" s="232"/>
      <c r="T12" s="231" t="s">
        <v>115</v>
      </c>
      <c r="U12" s="232"/>
      <c r="V12" s="223" t="s">
        <v>12</v>
      </c>
    </row>
    <row r="13" spans="1:2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15" t="s">
        <v>30</v>
      </c>
      <c r="M13" s="16" t="s">
        <v>13</v>
      </c>
      <c r="N13" s="15" t="s">
        <v>30</v>
      </c>
      <c r="O13" s="16" t="s">
        <v>13</v>
      </c>
      <c r="P13" s="15" t="s">
        <v>30</v>
      </c>
      <c r="Q13" s="16" t="s">
        <v>13</v>
      </c>
      <c r="R13" s="14" t="s">
        <v>30</v>
      </c>
      <c r="S13" s="16" t="s">
        <v>13</v>
      </c>
      <c r="T13" s="15" t="s">
        <v>30</v>
      </c>
      <c r="U13" s="16" t="s">
        <v>13</v>
      </c>
      <c r="V13" s="224"/>
    </row>
    <row r="14" spans="1:22" ht="24">
      <c r="A14" s="20" t="s">
        <v>3</v>
      </c>
      <c r="B14" s="27">
        <v>4487345.9</v>
      </c>
      <c r="C14" s="17">
        <f>B14/$V$14</f>
        <v>0.3685774679932352</v>
      </c>
      <c r="D14" s="27">
        <v>2128875</v>
      </c>
      <c r="E14" s="17">
        <f>D14/$V$14</f>
        <v>0.17485956613554096</v>
      </c>
      <c r="F14" s="27">
        <v>1213240.9</v>
      </c>
      <c r="G14" s="17">
        <f>F14/$V$14</f>
        <v>0.09965205913540871</v>
      </c>
      <c r="H14" s="27">
        <v>1305894.2</v>
      </c>
      <c r="I14" s="17">
        <f>H14/$V$14</f>
        <v>0.10726233021239825</v>
      </c>
      <c r="J14" s="27">
        <v>2277055.3</v>
      </c>
      <c r="K14" s="17">
        <f>J14/$V$14</f>
        <v>0.18703066259157256</v>
      </c>
      <c r="L14" s="27">
        <v>1962976.3</v>
      </c>
      <c r="M14" s="17">
        <f>L14/$V$14</f>
        <v>0.16123313212487791</v>
      </c>
      <c r="N14" s="27">
        <v>2269044.7</v>
      </c>
      <c r="O14" s="17">
        <f>N14/$V$14</f>
        <v>0.18637269533633902</v>
      </c>
      <c r="P14" s="27">
        <v>337830</v>
      </c>
      <c r="Q14" s="17">
        <f>P14/$V$14</f>
        <v>0.027748368141656887</v>
      </c>
      <c r="R14" s="27">
        <v>349901.3</v>
      </c>
      <c r="S14" s="17">
        <f>R14/$V$14</f>
        <v>0.02873986941847772</v>
      </c>
      <c r="T14" s="27">
        <v>5069777.5</v>
      </c>
      <c r="U14" s="17">
        <f>T14/$V$14</f>
        <v>0.4164166961675662</v>
      </c>
      <c r="V14" s="30">
        <v>12174770</v>
      </c>
    </row>
    <row r="15" spans="1:22" ht="12">
      <c r="A15" s="21" t="s">
        <v>5</v>
      </c>
      <c r="B15" s="28">
        <v>1606515.2</v>
      </c>
      <c r="C15" s="18">
        <f>B15/$V$15</f>
        <v>0.34263260492157804</v>
      </c>
      <c r="D15" s="28">
        <v>664634.9</v>
      </c>
      <c r="E15" s="18">
        <f>D15/$V$15</f>
        <v>0.14175128072787146</v>
      </c>
      <c r="F15" s="28">
        <v>342765.2</v>
      </c>
      <c r="G15" s="18">
        <f>F15/$V$15</f>
        <v>0.07310390424719648</v>
      </c>
      <c r="H15" s="28">
        <v>399641.8</v>
      </c>
      <c r="I15" s="18">
        <f>H15/$V$15</f>
        <v>0.08523437000132232</v>
      </c>
      <c r="J15" s="28">
        <v>624830.5</v>
      </c>
      <c r="K15" s="18">
        <f>J15/$V$15</f>
        <v>0.13326192111313487</v>
      </c>
      <c r="L15" s="28">
        <v>562803</v>
      </c>
      <c r="M15" s="18">
        <f>L15/$V$15</f>
        <v>0.12003288730021285</v>
      </c>
      <c r="N15" s="28">
        <v>657887.7</v>
      </c>
      <c r="O15" s="18">
        <f>N15/$V$15</f>
        <v>0.1403122587304905</v>
      </c>
      <c r="P15" s="28">
        <v>106551.3</v>
      </c>
      <c r="Q15" s="18">
        <f>P15/$V$15</f>
        <v>0.022724932497856568</v>
      </c>
      <c r="R15" s="28">
        <v>111853.3</v>
      </c>
      <c r="S15" s="18">
        <f>R15/$V$15</f>
        <v>0.02385572669843071</v>
      </c>
      <c r="T15" s="28">
        <v>2254469.2</v>
      </c>
      <c r="U15" s="18">
        <f>T15/$V$15</f>
        <v>0.48082623476669645</v>
      </c>
      <c r="V15" s="31">
        <v>4688740</v>
      </c>
    </row>
    <row r="16" spans="1:22" ht="12">
      <c r="A16" s="22" t="s">
        <v>6</v>
      </c>
      <c r="B16" s="29">
        <v>2880830.7</v>
      </c>
      <c r="C16" s="19">
        <f>B16/$V$16</f>
        <v>0.3848275809004605</v>
      </c>
      <c r="D16" s="29">
        <v>1464240.1</v>
      </c>
      <c r="E16" s="19">
        <f>D16/$V$16</f>
        <v>0.19559635196210884</v>
      </c>
      <c r="F16" s="29">
        <v>870475.7</v>
      </c>
      <c r="G16" s="19">
        <f>F16/$V$16</f>
        <v>0.11628002223929193</v>
      </c>
      <c r="H16" s="29">
        <v>906252.4</v>
      </c>
      <c r="I16" s="19">
        <f>H16/$V$16</f>
        <v>0.12105915102100116</v>
      </c>
      <c r="J16" s="29">
        <v>1652224.8</v>
      </c>
      <c r="K16" s="19">
        <f>J16/$V$16</f>
        <v>0.22070775380439647</v>
      </c>
      <c r="L16" s="29">
        <v>1400173.4</v>
      </c>
      <c r="M16" s="19">
        <f>L16/$V$16</f>
        <v>0.1870381839388107</v>
      </c>
      <c r="N16" s="29">
        <v>1611157</v>
      </c>
      <c r="O16" s="19">
        <f>N16/$V$16</f>
        <v>0.21522182846803292</v>
      </c>
      <c r="P16" s="29">
        <v>231278.67</v>
      </c>
      <c r="Q16" s="19">
        <f>P16/$V$16</f>
        <v>0.030894703770678336</v>
      </c>
      <c r="R16" s="29">
        <v>238047.9</v>
      </c>
      <c r="S16" s="19">
        <f>R16/$V$16</f>
        <v>0.03179895212010714</v>
      </c>
      <c r="T16" s="29">
        <v>2815308.3</v>
      </c>
      <c r="U16" s="19">
        <f>T16/$V$16</f>
        <v>0.3760749573301853</v>
      </c>
      <c r="V16" s="32">
        <v>7486029.7</v>
      </c>
    </row>
    <row r="17" spans="1:2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2:21" ht="1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2" s="48" customFormat="1" ht="22.5" customHeight="1">
      <c r="A19" s="222" t="s">
        <v>15</v>
      </c>
      <c r="B19" s="220" t="s">
        <v>106</v>
      </c>
      <c r="C19" s="221"/>
      <c r="D19" s="220" t="s">
        <v>107</v>
      </c>
      <c r="E19" s="221"/>
      <c r="F19" s="220" t="s">
        <v>108</v>
      </c>
      <c r="G19" s="221"/>
      <c r="H19" s="220" t="s">
        <v>109</v>
      </c>
      <c r="I19" s="221"/>
      <c r="J19" s="220" t="s">
        <v>110</v>
      </c>
      <c r="K19" s="221"/>
      <c r="L19" s="220" t="s">
        <v>111</v>
      </c>
      <c r="M19" s="221"/>
      <c r="N19" s="220" t="s">
        <v>112</v>
      </c>
      <c r="O19" s="221"/>
      <c r="P19" s="220" t="s">
        <v>113</v>
      </c>
      <c r="Q19" s="221"/>
      <c r="R19" s="220" t="s">
        <v>114</v>
      </c>
      <c r="S19" s="221"/>
      <c r="T19" s="220" t="s">
        <v>115</v>
      </c>
      <c r="U19" s="221"/>
      <c r="V19" s="225" t="s">
        <v>12</v>
      </c>
    </row>
    <row r="20" spans="1:2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15" t="s">
        <v>30</v>
      </c>
      <c r="M20" s="16" t="s">
        <v>13</v>
      </c>
      <c r="N20" s="15" t="s">
        <v>30</v>
      </c>
      <c r="O20" s="16" t="s">
        <v>13</v>
      </c>
      <c r="P20" s="15" t="s">
        <v>30</v>
      </c>
      <c r="Q20" s="16" t="s">
        <v>13</v>
      </c>
      <c r="R20" s="15" t="s">
        <v>30</v>
      </c>
      <c r="S20" s="16" t="s">
        <v>13</v>
      </c>
      <c r="T20" s="15" t="s">
        <v>30</v>
      </c>
      <c r="U20" s="16" t="s">
        <v>13</v>
      </c>
      <c r="V20" s="225"/>
    </row>
    <row r="21" spans="1:22" ht="12">
      <c r="A21" s="36" t="s">
        <v>16</v>
      </c>
      <c r="B21" s="37">
        <v>212032.8</v>
      </c>
      <c r="C21" s="17">
        <f>B21/$V$21</f>
        <v>0.2963009336926591</v>
      </c>
      <c r="D21" s="37">
        <v>145477</v>
      </c>
      <c r="E21" s="17">
        <f>D21/$V$21</f>
        <v>0.20329388156364</v>
      </c>
      <c r="F21" s="37">
        <v>81394.38</v>
      </c>
      <c r="G21" s="17">
        <f>F21/$V$21</f>
        <v>0.11374292463871202</v>
      </c>
      <c r="H21" s="37">
        <v>106382.1</v>
      </c>
      <c r="I21" s="17">
        <f>H21/$V$21</f>
        <v>0.14866150689037655</v>
      </c>
      <c r="J21" s="37">
        <v>102852.5</v>
      </c>
      <c r="K21" s="17">
        <f>J21/$V$21</f>
        <v>0.14372913899464715</v>
      </c>
      <c r="L21" s="37">
        <v>174903.2</v>
      </c>
      <c r="M21" s="17">
        <f>L21/$V$21</f>
        <v>0.24441492762362188</v>
      </c>
      <c r="N21" s="37">
        <v>106588.4</v>
      </c>
      <c r="O21" s="17">
        <f>N21/$V$21</f>
        <v>0.14894979663904181</v>
      </c>
      <c r="P21" s="37">
        <v>21386.98</v>
      </c>
      <c r="Q21" s="17">
        <f>P21/$V$21</f>
        <v>0.02988680120654081</v>
      </c>
      <c r="R21" s="37">
        <v>23452.17</v>
      </c>
      <c r="S21" s="17">
        <f>R21/$V$21</f>
        <v>0.032772759064253115</v>
      </c>
      <c r="T21" s="37">
        <v>344983</v>
      </c>
      <c r="U21" s="17">
        <f>T21/$V$21</f>
        <v>0.4820894927959005</v>
      </c>
      <c r="V21" s="39">
        <v>715599.5</v>
      </c>
    </row>
    <row r="22" spans="1:22" ht="12">
      <c r="A22" s="21" t="s">
        <v>17</v>
      </c>
      <c r="B22" s="28">
        <v>2730704.3</v>
      </c>
      <c r="C22" s="18">
        <f>B22/$V$22</f>
        <v>0.37932624253076314</v>
      </c>
      <c r="D22" s="28">
        <v>1427103.4</v>
      </c>
      <c r="E22" s="18">
        <f>D22/$V$22</f>
        <v>0.1982410803047685</v>
      </c>
      <c r="F22" s="28">
        <v>798644.03</v>
      </c>
      <c r="G22" s="18">
        <f>F22/$V$22</f>
        <v>0.11094084373014174</v>
      </c>
      <c r="H22" s="28">
        <v>762919.9</v>
      </c>
      <c r="I22" s="18">
        <f>H22/$V$22</f>
        <v>0.10597835108654774</v>
      </c>
      <c r="J22" s="28">
        <v>1414251.4</v>
      </c>
      <c r="K22" s="18">
        <f>J22/$V$22</f>
        <v>0.19645578964953153</v>
      </c>
      <c r="L22" s="28">
        <v>1318885.6</v>
      </c>
      <c r="M22" s="18">
        <f>L22/$V$22</f>
        <v>0.18320838289811572</v>
      </c>
      <c r="N22" s="28">
        <v>1418080</v>
      </c>
      <c r="O22" s="18">
        <f>N22/$V$22</f>
        <v>0.1969876262354824</v>
      </c>
      <c r="P22" s="28">
        <v>232501.6</v>
      </c>
      <c r="Q22" s="18">
        <f>P22/$V$22</f>
        <v>0.03229714704385622</v>
      </c>
      <c r="R22" s="28">
        <v>246572.6</v>
      </c>
      <c r="S22" s="18">
        <f>R22/$V$22</f>
        <v>0.03425177082302205</v>
      </c>
      <c r="T22" s="28">
        <v>2861067.8</v>
      </c>
      <c r="U22" s="18">
        <f>T22/$V$22</f>
        <v>0.3974352324415928</v>
      </c>
      <c r="V22" s="31">
        <v>7198827.8</v>
      </c>
    </row>
    <row r="23" spans="1:22" ht="12">
      <c r="A23" s="22" t="s">
        <v>18</v>
      </c>
      <c r="B23" s="29">
        <v>1544608.8</v>
      </c>
      <c r="C23" s="19">
        <f>B23/$V$23</f>
        <v>0.36255508477440684</v>
      </c>
      <c r="D23" s="29">
        <v>556294.6</v>
      </c>
      <c r="E23" s="19">
        <f>D23/$V$23</f>
        <v>0.13057509180482768</v>
      </c>
      <c r="F23" s="29">
        <v>333202.5</v>
      </c>
      <c r="G23" s="19">
        <f>F23/$V$23</f>
        <v>0.07821026309997994</v>
      </c>
      <c r="H23" s="29">
        <v>436592.21</v>
      </c>
      <c r="I23" s="19">
        <f>H23/$V$23</f>
        <v>0.10247819752703444</v>
      </c>
      <c r="J23" s="29">
        <v>759951.3</v>
      </c>
      <c r="K23" s="19">
        <f>J23/$V$23</f>
        <v>0.17837798670829838</v>
      </c>
      <c r="L23" s="29">
        <v>469187.5</v>
      </c>
      <c r="M23" s="19">
        <f>L23/$V$23</f>
        <v>0.11012905911036633</v>
      </c>
      <c r="N23" s="29">
        <v>744376.3</v>
      </c>
      <c r="O23" s="19">
        <f>N23/$V$23</f>
        <v>0.17472217725974326</v>
      </c>
      <c r="P23" s="29">
        <v>83941.41</v>
      </c>
      <c r="Q23" s="19">
        <f>P23/$V$23</f>
        <v>0.019702972700034627</v>
      </c>
      <c r="R23" s="29">
        <v>79876.47</v>
      </c>
      <c r="S23" s="19">
        <f>R23/$V$23</f>
        <v>0.018748838121555676</v>
      </c>
      <c r="T23" s="29">
        <v>1863726.7</v>
      </c>
      <c r="U23" s="19">
        <f>T23/$V$23</f>
        <v>0.4374593694628863</v>
      </c>
      <c r="V23" s="32">
        <v>4260342.4</v>
      </c>
    </row>
    <row r="24" spans="1:21" ht="12">
      <c r="A24" s="4" t="s">
        <v>31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6:21" ht="1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2" s="48" customFormat="1" ht="22.5" customHeight="1">
      <c r="A26" s="222" t="s">
        <v>19</v>
      </c>
      <c r="B26" s="220" t="s">
        <v>106</v>
      </c>
      <c r="C26" s="221"/>
      <c r="D26" s="220" t="s">
        <v>107</v>
      </c>
      <c r="E26" s="221"/>
      <c r="F26" s="220" t="s">
        <v>108</v>
      </c>
      <c r="G26" s="221"/>
      <c r="H26" s="220" t="s">
        <v>109</v>
      </c>
      <c r="I26" s="221"/>
      <c r="J26" s="220" t="s">
        <v>110</v>
      </c>
      <c r="K26" s="221"/>
      <c r="L26" s="220" t="s">
        <v>111</v>
      </c>
      <c r="M26" s="221"/>
      <c r="N26" s="220" t="s">
        <v>112</v>
      </c>
      <c r="O26" s="221"/>
      <c r="P26" s="220" t="s">
        <v>113</v>
      </c>
      <c r="Q26" s="221"/>
      <c r="R26" s="220" t="s">
        <v>114</v>
      </c>
      <c r="S26" s="221"/>
      <c r="T26" s="220" t="s">
        <v>115</v>
      </c>
      <c r="U26" s="221"/>
      <c r="V26" s="225" t="s">
        <v>12</v>
      </c>
    </row>
    <row r="27" spans="1:2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15" t="s">
        <v>30</v>
      </c>
      <c r="M27" s="16" t="s">
        <v>13</v>
      </c>
      <c r="N27" s="15" t="s">
        <v>30</v>
      </c>
      <c r="O27" s="16" t="s">
        <v>13</v>
      </c>
      <c r="P27" s="15" t="s">
        <v>30</v>
      </c>
      <c r="Q27" s="16" t="s">
        <v>13</v>
      </c>
      <c r="R27" s="15" t="s">
        <v>30</v>
      </c>
      <c r="S27" s="16" t="s">
        <v>13</v>
      </c>
      <c r="T27" s="15" t="s">
        <v>30</v>
      </c>
      <c r="U27" s="16" t="s">
        <v>13</v>
      </c>
      <c r="V27" s="225"/>
    </row>
    <row r="28" spans="1:22" ht="12">
      <c r="A28" s="36" t="s">
        <v>20</v>
      </c>
      <c r="B28" s="37">
        <v>516280.6</v>
      </c>
      <c r="C28" s="38">
        <f>B28/$V$28</f>
        <v>0.3604674593106106</v>
      </c>
      <c r="D28" s="37">
        <v>198799.1</v>
      </c>
      <c r="E28" s="38">
        <f>D28/$V$28</f>
        <v>0.13880166423111</v>
      </c>
      <c r="F28" s="37">
        <v>81604.45</v>
      </c>
      <c r="G28" s="38">
        <f>F28/$V$28</f>
        <v>0.056976281425139275</v>
      </c>
      <c r="H28" s="37">
        <v>138989.14</v>
      </c>
      <c r="I28" s="38">
        <f>H28/$V$28</f>
        <v>0.09704231026222324</v>
      </c>
      <c r="J28" s="37">
        <v>245631.3</v>
      </c>
      <c r="K28" s="38">
        <f>J28/$V$28</f>
        <v>0.17149993751104028</v>
      </c>
      <c r="L28" s="37">
        <v>155823.4</v>
      </c>
      <c r="M28" s="38">
        <f>L28/$V$28</f>
        <v>0.10879600182370014</v>
      </c>
      <c r="N28" s="37">
        <v>220517.7</v>
      </c>
      <c r="O28" s="38">
        <f>N28/$V$28</f>
        <v>0.15396560523873926</v>
      </c>
      <c r="P28" s="37">
        <v>20644.39</v>
      </c>
      <c r="Q28" s="38">
        <f>P28/$V$28</f>
        <v>0.01441392686906573</v>
      </c>
      <c r="R28" s="37">
        <v>24480.01</v>
      </c>
      <c r="S28" s="38">
        <f>R28/$V$28</f>
        <v>0.017091959311657925</v>
      </c>
      <c r="T28" s="37">
        <v>609289.9</v>
      </c>
      <c r="U28" s="38">
        <f>T28/$V$28</f>
        <v>0.4254066146134796</v>
      </c>
      <c r="V28" s="45">
        <v>1432253</v>
      </c>
    </row>
    <row r="29" spans="1:22" ht="12">
      <c r="A29" s="21" t="s">
        <v>21</v>
      </c>
      <c r="B29" s="28">
        <v>1246864.6</v>
      </c>
      <c r="C29" s="18">
        <f>B29/$V$29</f>
        <v>0.3752283062286959</v>
      </c>
      <c r="D29" s="28">
        <v>519593.6</v>
      </c>
      <c r="E29" s="18">
        <f>D29/$V$29</f>
        <v>0.15636519511041574</v>
      </c>
      <c r="F29" s="28">
        <v>291765.4</v>
      </c>
      <c r="G29" s="18">
        <f>F29/$V$29</f>
        <v>0.0878031478783967</v>
      </c>
      <c r="H29" s="28">
        <v>322818.82</v>
      </c>
      <c r="I29" s="18">
        <f>H29/$V$29</f>
        <v>0.09714828622718638</v>
      </c>
      <c r="J29" s="28">
        <v>705586.7</v>
      </c>
      <c r="K29" s="18">
        <f>J29/$V$29</f>
        <v>0.21233749224935486</v>
      </c>
      <c r="L29" s="28">
        <v>481118.73</v>
      </c>
      <c r="M29" s="18">
        <f>L29/$V$29</f>
        <v>0.14478666420780673</v>
      </c>
      <c r="N29" s="28">
        <v>553817.6</v>
      </c>
      <c r="O29" s="18">
        <f>N29/$V$29</f>
        <v>0.16666447985422106</v>
      </c>
      <c r="P29" s="28">
        <v>86025.3</v>
      </c>
      <c r="Q29" s="18">
        <f>P29/$V$29</f>
        <v>0.02588823807478008</v>
      </c>
      <c r="R29" s="28">
        <v>108069.6</v>
      </c>
      <c r="S29" s="18">
        <f>R29/$V$29</f>
        <v>0.03252219444101041</v>
      </c>
      <c r="T29" s="28">
        <v>1420088.9</v>
      </c>
      <c r="U29" s="18">
        <f>T29/$V$29</f>
        <v>0.4273579927132199</v>
      </c>
      <c r="V29" s="46">
        <v>3322949.2</v>
      </c>
    </row>
    <row r="30" spans="1:22" ht="12">
      <c r="A30" s="23" t="s">
        <v>22</v>
      </c>
      <c r="B30" s="34">
        <v>1487834.2</v>
      </c>
      <c r="C30" s="24">
        <f>B30/$V$30</f>
        <v>0.36066675904126033</v>
      </c>
      <c r="D30" s="34">
        <v>726668.3</v>
      </c>
      <c r="E30" s="24">
        <f>D30/$V$30</f>
        <v>0.17615208781934324</v>
      </c>
      <c r="F30" s="34">
        <v>410362.6</v>
      </c>
      <c r="G30" s="24">
        <f>F30/$V$30</f>
        <v>0.0994762379932825</v>
      </c>
      <c r="H30" s="34">
        <v>456329.9</v>
      </c>
      <c r="I30" s="24">
        <f>H30/$V$30</f>
        <v>0.11061919808445217</v>
      </c>
      <c r="J30" s="34">
        <v>725367.6</v>
      </c>
      <c r="K30" s="24">
        <f>J30/$V$30</f>
        <v>0.17583678437122718</v>
      </c>
      <c r="L30" s="34">
        <v>668322.9</v>
      </c>
      <c r="M30" s="24">
        <f>L30/$V$30</f>
        <v>0.16200854526401956</v>
      </c>
      <c r="N30" s="34">
        <v>786003.1</v>
      </c>
      <c r="O30" s="24">
        <f>N30/$V$30</f>
        <v>0.190535471407623</v>
      </c>
      <c r="P30" s="34">
        <v>96270.97</v>
      </c>
      <c r="Q30" s="24">
        <f>P30/$V$30</f>
        <v>0.023337102171504327</v>
      </c>
      <c r="R30" s="34">
        <v>118988</v>
      </c>
      <c r="S30" s="24">
        <f>R30/$V$30</f>
        <v>0.028843950706874115</v>
      </c>
      <c r="T30" s="34">
        <v>1723599</v>
      </c>
      <c r="U30" s="24">
        <f>T30/$V$30</f>
        <v>0.4178186421691054</v>
      </c>
      <c r="V30" s="45">
        <v>4125232.4</v>
      </c>
    </row>
    <row r="31" spans="1:22" ht="12">
      <c r="A31" s="21" t="s">
        <v>23</v>
      </c>
      <c r="B31" s="28">
        <v>631973</v>
      </c>
      <c r="C31" s="18">
        <f>B31/$V$31</f>
        <v>0.4199062399670014</v>
      </c>
      <c r="D31" s="28">
        <v>340082.9</v>
      </c>
      <c r="E31" s="18">
        <f>D31/$V$31</f>
        <v>0.22596365954886322</v>
      </c>
      <c r="F31" s="28">
        <v>186971.5</v>
      </c>
      <c r="G31" s="18">
        <f>F31/$V$31</f>
        <v>0.12423078129285618</v>
      </c>
      <c r="H31" s="28">
        <v>197879.5</v>
      </c>
      <c r="I31" s="18">
        <f>H31/$V$31</f>
        <v>0.13147846001577637</v>
      </c>
      <c r="J31" s="28">
        <v>323523.2</v>
      </c>
      <c r="K31" s="18">
        <f>J31/$V$31</f>
        <v>0.21496078227090742</v>
      </c>
      <c r="L31" s="28">
        <v>382609</v>
      </c>
      <c r="M31" s="18">
        <f>L31/$V$31</f>
        <v>0.2542195735696532</v>
      </c>
      <c r="N31" s="28">
        <v>326193.9</v>
      </c>
      <c r="O31" s="18">
        <f>N31/$V$31</f>
        <v>0.21673529414891468</v>
      </c>
      <c r="P31" s="28">
        <v>67078.01</v>
      </c>
      <c r="Q31" s="18">
        <f>P31/$V$31</f>
        <v>0.044569111280970734</v>
      </c>
      <c r="R31" s="28">
        <v>51779.17</v>
      </c>
      <c r="S31" s="18">
        <f>R31/$V$31</f>
        <v>0.03440399603038762</v>
      </c>
      <c r="T31" s="28">
        <v>513669.5</v>
      </c>
      <c r="U31" s="18">
        <f>T31/$V$31</f>
        <v>0.34130101813009356</v>
      </c>
      <c r="V31" s="46">
        <v>1505033.6</v>
      </c>
    </row>
    <row r="32" spans="1:22" ht="12">
      <c r="A32" s="22" t="s">
        <v>24</v>
      </c>
      <c r="B32" s="29">
        <v>604393.5</v>
      </c>
      <c r="C32" s="19">
        <f>B32/$V$32</f>
        <v>0.3377817915101624</v>
      </c>
      <c r="D32" s="29">
        <v>343731.1</v>
      </c>
      <c r="E32" s="19">
        <f>D32/$V$32</f>
        <v>0.19210350004716922</v>
      </c>
      <c r="F32" s="29">
        <v>242536.9</v>
      </c>
      <c r="G32" s="19">
        <f>F32/$V$32</f>
        <v>0.13554836143889884</v>
      </c>
      <c r="H32" s="29">
        <v>189876.8</v>
      </c>
      <c r="I32" s="19">
        <f>H32/$V$32</f>
        <v>0.10611782831916095</v>
      </c>
      <c r="J32" s="29">
        <v>276946.5</v>
      </c>
      <c r="K32" s="19">
        <f>J32/$V$32</f>
        <v>0.15477910487533236</v>
      </c>
      <c r="L32" s="29">
        <v>275102.4</v>
      </c>
      <c r="M32" s="19">
        <f>L32/$V$32</f>
        <v>0.15374847929493832</v>
      </c>
      <c r="N32" s="29">
        <v>382512.3</v>
      </c>
      <c r="O32" s="19">
        <f>N32/$V$32</f>
        <v>0.21377743137322403</v>
      </c>
      <c r="P32" s="29">
        <v>67811.334</v>
      </c>
      <c r="Q32" s="19">
        <f>P32/$V$32</f>
        <v>0.03789821347055186</v>
      </c>
      <c r="R32" s="29">
        <v>46584.539</v>
      </c>
      <c r="S32" s="19">
        <f>R32/$V$32</f>
        <v>0.02603504015197885</v>
      </c>
      <c r="T32" s="29">
        <v>803130.24</v>
      </c>
      <c r="U32" s="19">
        <f>T32/$V$32</f>
        <v>0.44885123894149537</v>
      </c>
      <c r="V32" s="32">
        <v>1789301.6</v>
      </c>
    </row>
    <row r="33" spans="1:21" ht="12">
      <c r="A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6:21" ht="1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s="48" customFormat="1" ht="22.5" customHeight="1">
      <c r="A35" s="222" t="s">
        <v>25</v>
      </c>
      <c r="B35" s="220" t="s">
        <v>106</v>
      </c>
      <c r="C35" s="221"/>
      <c r="D35" s="220" t="s">
        <v>107</v>
      </c>
      <c r="E35" s="221"/>
      <c r="F35" s="220" t="s">
        <v>108</v>
      </c>
      <c r="G35" s="221"/>
      <c r="H35" s="220" t="s">
        <v>109</v>
      </c>
      <c r="I35" s="221"/>
      <c r="J35" s="220" t="s">
        <v>110</v>
      </c>
      <c r="K35" s="221"/>
      <c r="L35" s="220" t="s">
        <v>111</v>
      </c>
      <c r="M35" s="221"/>
      <c r="N35" s="220" t="s">
        <v>112</v>
      </c>
      <c r="O35" s="221"/>
      <c r="P35" s="220" t="s">
        <v>113</v>
      </c>
      <c r="Q35" s="221"/>
      <c r="R35" s="220" t="s">
        <v>114</v>
      </c>
      <c r="S35" s="221"/>
      <c r="T35" s="220" t="s">
        <v>115</v>
      </c>
      <c r="U35" s="221"/>
      <c r="V35" s="225" t="s">
        <v>12</v>
      </c>
    </row>
    <row r="36" spans="1:2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15" t="s">
        <v>30</v>
      </c>
      <c r="M36" s="16" t="s">
        <v>13</v>
      </c>
      <c r="N36" s="15" t="s">
        <v>30</v>
      </c>
      <c r="O36" s="16" t="s">
        <v>13</v>
      </c>
      <c r="P36" s="15" t="s">
        <v>30</v>
      </c>
      <c r="Q36" s="16" t="s">
        <v>13</v>
      </c>
      <c r="R36" s="15" t="s">
        <v>30</v>
      </c>
      <c r="S36" s="16" t="s">
        <v>13</v>
      </c>
      <c r="T36" s="15" t="s">
        <v>30</v>
      </c>
      <c r="U36" s="16" t="s">
        <v>13</v>
      </c>
      <c r="V36" s="225"/>
    </row>
    <row r="37" spans="1:22" ht="12">
      <c r="A37" s="36" t="s">
        <v>26</v>
      </c>
      <c r="B37" s="37">
        <v>452550.7</v>
      </c>
      <c r="C37" s="38">
        <f>B37/$V$37</f>
        <v>0.3579032556294445</v>
      </c>
      <c r="D37" s="37">
        <v>179378.3</v>
      </c>
      <c r="E37" s="38">
        <f>D37/$V$37</f>
        <v>0.14186272954450227</v>
      </c>
      <c r="F37" s="37">
        <v>137637.3</v>
      </c>
      <c r="G37" s="38">
        <f>F37/$V$37</f>
        <v>0.10885153368682567</v>
      </c>
      <c r="H37" s="37">
        <v>225281.4</v>
      </c>
      <c r="I37" s="38">
        <f>H37/$V$37</f>
        <v>0.17816555469422352</v>
      </c>
      <c r="J37" s="37">
        <v>234374.4</v>
      </c>
      <c r="K37" s="38">
        <f>J37/$V$37</f>
        <v>0.1853568247628336</v>
      </c>
      <c r="L37" s="37">
        <v>148622.7</v>
      </c>
      <c r="M37" s="38">
        <f>L37/$V$37</f>
        <v>0.11753942307555429</v>
      </c>
      <c r="N37" s="37">
        <v>244829.7</v>
      </c>
      <c r="O37" s="38">
        <f>N37/$V$37</f>
        <v>0.19362548042634828</v>
      </c>
      <c r="P37" s="37">
        <v>12547.21</v>
      </c>
      <c r="Q37" s="38">
        <f>P37/$V$37</f>
        <v>0.009923059025356324</v>
      </c>
      <c r="R37" s="37">
        <v>33190.98</v>
      </c>
      <c r="S37" s="38">
        <f>R37/$V$37</f>
        <v>0.02624934576287647</v>
      </c>
      <c r="T37" s="37">
        <v>590229.6</v>
      </c>
      <c r="U37" s="38">
        <f>T37/$V$37</f>
        <v>0.4667876890011766</v>
      </c>
      <c r="V37" s="45">
        <v>1264449.8</v>
      </c>
    </row>
    <row r="38" spans="1:22" ht="12">
      <c r="A38" s="21" t="s">
        <v>27</v>
      </c>
      <c r="B38" s="28">
        <v>821715.7</v>
      </c>
      <c r="C38" s="18">
        <f>B38/$V$38</f>
        <v>0.32836625424860927</v>
      </c>
      <c r="D38" s="28">
        <v>440702.4</v>
      </c>
      <c r="E38" s="18">
        <f>D38/$V$38</f>
        <v>0.1761093238529729</v>
      </c>
      <c r="F38" s="28">
        <v>293951.1</v>
      </c>
      <c r="G38" s="18">
        <f>F38/$V$38</f>
        <v>0.11746595767764735</v>
      </c>
      <c r="H38" s="28">
        <v>276040.5</v>
      </c>
      <c r="I38" s="18">
        <f>H38/$V$38</f>
        <v>0.11030869314765829</v>
      </c>
      <c r="J38" s="28">
        <v>489407</v>
      </c>
      <c r="K38" s="18">
        <f>J38/$V$38</f>
        <v>0.19557219533842318</v>
      </c>
      <c r="L38" s="28">
        <v>374514.9</v>
      </c>
      <c r="M38" s="18">
        <f>L38/$V$38</f>
        <v>0.14966010126530685</v>
      </c>
      <c r="N38" s="28">
        <v>443878.49</v>
      </c>
      <c r="O38" s="18">
        <f>N38/$V$38</f>
        <v>0.17737852289158984</v>
      </c>
      <c r="P38" s="28">
        <v>81471.77</v>
      </c>
      <c r="Q38" s="18">
        <f>P38/$V$38</f>
        <v>0.03255697796927115</v>
      </c>
      <c r="R38" s="28">
        <v>70089.29</v>
      </c>
      <c r="S38" s="18">
        <f>R38/$V$38</f>
        <v>0.028008418994847618</v>
      </c>
      <c r="T38" s="28">
        <v>1118818.1</v>
      </c>
      <c r="U38" s="18">
        <f>T38/$V$38</f>
        <v>0.4470915046195978</v>
      </c>
      <c r="V38" s="46">
        <v>2502436.5</v>
      </c>
    </row>
    <row r="39" spans="1:22" ht="12">
      <c r="A39" s="23" t="s">
        <v>28</v>
      </c>
      <c r="B39" s="34">
        <v>1120254.3</v>
      </c>
      <c r="C39" s="24">
        <f>B39/$V$39</f>
        <v>0.38200128691570906</v>
      </c>
      <c r="D39" s="34">
        <v>538644.6</v>
      </c>
      <c r="E39" s="24">
        <f>D39/$V$39</f>
        <v>0.18367519802441046</v>
      </c>
      <c r="F39" s="34">
        <v>290959.5</v>
      </c>
      <c r="G39" s="24">
        <f>F39/$V$39</f>
        <v>0.09921577934612816</v>
      </c>
      <c r="H39" s="34">
        <v>340536.9</v>
      </c>
      <c r="I39" s="24">
        <f>H39/$V$39</f>
        <v>0.11612143246608037</v>
      </c>
      <c r="J39" s="34">
        <v>530267.2</v>
      </c>
      <c r="K39" s="24">
        <f>J39/$V$39</f>
        <v>0.18081854522601667</v>
      </c>
      <c r="L39" s="34">
        <v>470824.1</v>
      </c>
      <c r="M39" s="24">
        <f>L39/$V$39</f>
        <v>0.1605487362208121</v>
      </c>
      <c r="N39" s="34">
        <v>563353.5</v>
      </c>
      <c r="O39" s="24">
        <f>N39/$V$39</f>
        <v>0.1921008131711424</v>
      </c>
      <c r="P39" s="34">
        <v>115446.3</v>
      </c>
      <c r="Q39" s="24">
        <f>P39/$V$39</f>
        <v>0.03936662878210512</v>
      </c>
      <c r="R39" s="34">
        <v>79482.94</v>
      </c>
      <c r="S39" s="24">
        <f>R39/$V$39</f>
        <v>0.02710329732083518</v>
      </c>
      <c r="T39" s="34">
        <v>1177312.8</v>
      </c>
      <c r="U39" s="24">
        <f>T39/$V$39</f>
        <v>0.4014579588780305</v>
      </c>
      <c r="V39" s="45">
        <v>2932593</v>
      </c>
    </row>
    <row r="40" spans="1:22" ht="12">
      <c r="A40" s="25" t="s">
        <v>29</v>
      </c>
      <c r="B40" s="40">
        <v>2092825.2</v>
      </c>
      <c r="C40" s="26">
        <f>B40/$V$40</f>
        <v>0.38223089715513725</v>
      </c>
      <c r="D40" s="40">
        <v>970149.7</v>
      </c>
      <c r="E40" s="26">
        <f>D40/$V$40</f>
        <v>0.17718689081428646</v>
      </c>
      <c r="F40" s="40">
        <v>490692.9</v>
      </c>
      <c r="G40" s="26">
        <f>F40/$V$40</f>
        <v>0.08961951881822526</v>
      </c>
      <c r="H40" s="40">
        <v>464035.4</v>
      </c>
      <c r="I40" s="26">
        <f>H40/$V$40</f>
        <v>0.08475082737619127</v>
      </c>
      <c r="J40" s="40">
        <v>1023006.7</v>
      </c>
      <c r="K40" s="26">
        <f>J40/$V$40</f>
        <v>0.18684062516865543</v>
      </c>
      <c r="L40" s="40">
        <v>969014.6</v>
      </c>
      <c r="M40" s="26">
        <f>L40/$V$40</f>
        <v>0.17697957761327915</v>
      </c>
      <c r="N40" s="40">
        <v>1016983</v>
      </c>
      <c r="O40" s="26">
        <f>N40/$V$40</f>
        <v>0.18574046436440222</v>
      </c>
      <c r="P40" s="40">
        <v>128364.7</v>
      </c>
      <c r="Q40" s="26">
        <f>P40/$V$40</f>
        <v>0.023444363363003297</v>
      </c>
      <c r="R40" s="40">
        <v>167138.1</v>
      </c>
      <c r="S40" s="26">
        <f>R40/$V$40</f>
        <v>0.03052588716525635</v>
      </c>
      <c r="T40" s="40">
        <v>2183417.1</v>
      </c>
      <c r="U40" s="26">
        <f>T40/$V$40</f>
        <v>0.39877648501024743</v>
      </c>
      <c r="V40" s="33">
        <v>5475290.5</v>
      </c>
    </row>
    <row r="41" ht="12">
      <c r="A41" s="4" t="s">
        <v>31</v>
      </c>
    </row>
    <row r="42" spans="9:21" ht="12">
      <c r="I42" s="42"/>
      <c r="K42" s="42"/>
      <c r="O42" s="42"/>
      <c r="S42" s="42"/>
      <c r="U42" s="43"/>
    </row>
    <row r="43" spans="9:21" ht="12">
      <c r="I43" s="42"/>
      <c r="K43" s="42"/>
      <c r="M43" s="42"/>
      <c r="O43" s="42"/>
      <c r="Q43" s="42"/>
      <c r="S43" s="42"/>
      <c r="U43" s="42"/>
    </row>
    <row r="44" spans="1:19" ht="12">
      <c r="A44" s="5"/>
      <c r="C44" s="49"/>
      <c r="I44" s="42"/>
      <c r="K44" s="42"/>
      <c r="M44" s="42"/>
      <c r="O44" s="43"/>
      <c r="Q44" s="42"/>
      <c r="S44" s="42"/>
    </row>
    <row r="45" spans="1:24" ht="12">
      <c r="A45" s="5"/>
      <c r="C45" s="49"/>
      <c r="G45" s="42"/>
      <c r="I45" s="42"/>
      <c r="K45" s="42"/>
      <c r="M45" s="42"/>
      <c r="O45" s="42"/>
      <c r="Q45" s="42"/>
      <c r="S45" s="42"/>
      <c r="U45" s="43"/>
      <c r="X45" s="43"/>
    </row>
    <row r="46" spans="1:25" ht="12">
      <c r="A46" s="5"/>
      <c r="C46" s="49"/>
      <c r="G46" s="42"/>
      <c r="K46" s="42"/>
      <c r="M46" s="42"/>
      <c r="O46" s="42"/>
      <c r="Q46" s="43"/>
      <c r="S46" s="42"/>
      <c r="T46" s="43"/>
      <c r="U46" s="42"/>
      <c r="Y46" s="43"/>
    </row>
    <row r="47" spans="1:25" ht="12">
      <c r="A47" s="5"/>
      <c r="C47" s="49"/>
      <c r="G47" s="42"/>
      <c r="M47" s="43"/>
      <c r="Q47" s="42"/>
      <c r="S47" s="42"/>
      <c r="U47" s="42"/>
      <c r="Y47" s="42"/>
    </row>
    <row r="48" spans="1:23" ht="12">
      <c r="A48" s="5"/>
      <c r="C48" s="50"/>
      <c r="G48" s="42"/>
      <c r="M48" s="42"/>
      <c r="T48" s="42"/>
      <c r="W48" s="42"/>
    </row>
    <row r="49" spans="1:22" ht="12">
      <c r="A49" s="5"/>
      <c r="C49" s="49"/>
      <c r="G49" s="42"/>
      <c r="V49" s="43"/>
    </row>
    <row r="50" spans="1:3" ht="12">
      <c r="A50" s="5"/>
      <c r="C50" s="50"/>
    </row>
  </sheetData>
  <sheetProtection/>
  <mergeCells count="50">
    <mergeCell ref="L26:M26"/>
    <mergeCell ref="N26:O26"/>
    <mergeCell ref="P26:Q26"/>
    <mergeCell ref="L35:M35"/>
    <mergeCell ref="N35:O35"/>
    <mergeCell ref="P35:Q35"/>
    <mergeCell ref="L12:M12"/>
    <mergeCell ref="N12:O12"/>
    <mergeCell ref="P12:Q12"/>
    <mergeCell ref="L19:M19"/>
    <mergeCell ref="N19:O19"/>
    <mergeCell ref="P19:Q19"/>
    <mergeCell ref="T35:U35"/>
    <mergeCell ref="V35:V36"/>
    <mergeCell ref="R12:S12"/>
    <mergeCell ref="R19:S19"/>
    <mergeCell ref="R26:S26"/>
    <mergeCell ref="R35:S35"/>
    <mergeCell ref="T19:U19"/>
    <mergeCell ref="V19:V20"/>
    <mergeCell ref="T26:U26"/>
    <mergeCell ref="V26:V27"/>
    <mergeCell ref="A35:A36"/>
    <mergeCell ref="B35:C35"/>
    <mergeCell ref="D35:E35"/>
    <mergeCell ref="F35:G35"/>
    <mergeCell ref="H35:I35"/>
    <mergeCell ref="J35:K35"/>
    <mergeCell ref="A26:A27"/>
    <mergeCell ref="B26:C26"/>
    <mergeCell ref="D26:E26"/>
    <mergeCell ref="F26:G26"/>
    <mergeCell ref="H26:I26"/>
    <mergeCell ref="J26:K26"/>
    <mergeCell ref="A19:A20"/>
    <mergeCell ref="B19:C19"/>
    <mergeCell ref="D19:E19"/>
    <mergeCell ref="F19:G19"/>
    <mergeCell ref="H19:I19"/>
    <mergeCell ref="J19:K19"/>
    <mergeCell ref="A6:V6"/>
    <mergeCell ref="A11:A13"/>
    <mergeCell ref="B11:V11"/>
    <mergeCell ref="B12:C12"/>
    <mergeCell ref="D12:E12"/>
    <mergeCell ref="F12:G12"/>
    <mergeCell ref="H12:I12"/>
    <mergeCell ref="J12:K12"/>
    <mergeCell ref="T12:U12"/>
    <mergeCell ref="V12:V13"/>
  </mergeCells>
  <printOptions/>
  <pageMargins left="0.75" right="0.75" top="1" bottom="1" header="0" footer="0"/>
  <pageSetup horizontalDpi="600" verticalDpi="600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R49"/>
  <sheetViews>
    <sheetView showGridLines="0" zoomScale="90" zoomScaleNormal="90" zoomScalePageLayoutView="0" workbookViewId="0" topLeftCell="A1">
      <selection activeCell="M16" sqref="M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1" width="11.421875" style="4" customWidth="1"/>
    <col min="12" max="12" width="12.8515625" style="4" bestFit="1" customWidth="1"/>
    <col min="13" max="16384" width="11.421875" style="4" customWidth="1"/>
  </cols>
  <sheetData>
    <row r="1" ht="12"/>
    <row r="2" ht="12"/>
    <row r="3" ht="12"/>
    <row r="4" ht="12"/>
    <row r="5" ht="12"/>
    <row r="6" spans="1:16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16" ht="15" customHeight="1">
      <c r="A7" s="11" t="s">
        <v>116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</row>
    <row r="11" spans="1:16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 ht="20.25" customHeight="1">
      <c r="A12" s="229"/>
      <c r="B12" s="220" t="s">
        <v>117</v>
      </c>
      <c r="C12" s="221"/>
      <c r="D12" s="220" t="s">
        <v>118</v>
      </c>
      <c r="E12" s="221"/>
      <c r="F12" s="220" t="s">
        <v>119</v>
      </c>
      <c r="G12" s="221"/>
      <c r="H12" s="220" t="s">
        <v>120</v>
      </c>
      <c r="I12" s="221"/>
      <c r="J12" s="220" t="s">
        <v>121</v>
      </c>
      <c r="K12" s="221"/>
      <c r="L12" s="220" t="s">
        <v>122</v>
      </c>
      <c r="M12" s="221"/>
      <c r="N12" s="220" t="s">
        <v>115</v>
      </c>
      <c r="O12" s="221"/>
      <c r="P12" s="223" t="s">
        <v>12</v>
      </c>
    </row>
    <row r="13" spans="1:16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15" t="s">
        <v>30</v>
      </c>
      <c r="M13" s="16" t="s">
        <v>13</v>
      </c>
      <c r="N13" s="15" t="s">
        <v>30</v>
      </c>
      <c r="O13" s="16" t="s">
        <v>13</v>
      </c>
      <c r="P13" s="224"/>
    </row>
    <row r="14" spans="1:16" ht="24">
      <c r="A14" s="20" t="s">
        <v>3</v>
      </c>
      <c r="B14" s="27">
        <v>8822109.1</v>
      </c>
      <c r="C14" s="17">
        <f>B14/$P$14</f>
        <v>0.7246222392702285</v>
      </c>
      <c r="D14" s="27">
        <v>320693.1</v>
      </c>
      <c r="E14" s="17">
        <f>D14/$P$14</f>
        <v>0.02634079329630046</v>
      </c>
      <c r="F14" s="27">
        <v>3977706.7</v>
      </c>
      <c r="G14" s="17">
        <f>F14/$P$14</f>
        <v>0.3267171946574761</v>
      </c>
      <c r="H14" s="27">
        <v>793518.6</v>
      </c>
      <c r="I14" s="17">
        <f>H14/$P$14</f>
        <v>0.06517729698384446</v>
      </c>
      <c r="J14" s="27">
        <v>210895.5</v>
      </c>
      <c r="K14" s="17">
        <f>J14/$P$14</f>
        <v>0.01732233955959743</v>
      </c>
      <c r="L14" s="27">
        <v>5068018.7</v>
      </c>
      <c r="M14" s="17">
        <f>L14/$P$14</f>
        <v>0.4162722334795647</v>
      </c>
      <c r="N14" s="27">
        <v>1558415.3</v>
      </c>
      <c r="O14" s="17">
        <f>N14/$P$14</f>
        <v>0.12800367481274802</v>
      </c>
      <c r="P14" s="30">
        <v>12174770</v>
      </c>
    </row>
    <row r="15" spans="1:16" ht="12">
      <c r="A15" s="21" t="s">
        <v>5</v>
      </c>
      <c r="B15" s="28">
        <v>3386903.3</v>
      </c>
      <c r="C15" s="18">
        <f>B15/$P$15</f>
        <v>0.7223482854668845</v>
      </c>
      <c r="D15" s="28">
        <v>209535.3</v>
      </c>
      <c r="E15" s="18">
        <f>D15/$P$15</f>
        <v>0.04468904225868783</v>
      </c>
      <c r="F15" s="28">
        <v>1595747.9</v>
      </c>
      <c r="G15" s="18">
        <f>F15/$P$15</f>
        <v>0.34033618840029517</v>
      </c>
      <c r="H15" s="28">
        <v>231102.4</v>
      </c>
      <c r="I15" s="18">
        <f>H15/$P$15</f>
        <v>0.04928880680097425</v>
      </c>
      <c r="J15" s="28">
        <v>73028.22</v>
      </c>
      <c r="K15" s="18">
        <f>J15/$P$15</f>
        <v>0.015575233431582899</v>
      </c>
      <c r="L15" s="28">
        <v>1926083</v>
      </c>
      <c r="M15" s="18">
        <f>L15/$P$15</f>
        <v>0.410789039272811</v>
      </c>
      <c r="N15" s="28">
        <v>628940.74</v>
      </c>
      <c r="O15" s="18">
        <f>N15/$P$15</f>
        <v>0.13413854041810805</v>
      </c>
      <c r="P15" s="31">
        <v>4688740</v>
      </c>
    </row>
    <row r="16" spans="1:16" ht="12">
      <c r="A16" s="22" t="s">
        <v>6</v>
      </c>
      <c r="B16" s="29">
        <v>5435205.9</v>
      </c>
      <c r="C16" s="19">
        <f>B16/$P$16</f>
        <v>0.7260465317149356</v>
      </c>
      <c r="D16" s="29">
        <v>111157.8</v>
      </c>
      <c r="E16" s="19">
        <f>D16/$P$16</f>
        <v>0.01484869877019056</v>
      </c>
      <c r="F16" s="29">
        <v>2381958.8</v>
      </c>
      <c r="G16" s="19">
        <f>F16/$P$16</f>
        <v>0.3181871960780492</v>
      </c>
      <c r="H16" s="29">
        <v>562416.2</v>
      </c>
      <c r="I16" s="19">
        <f>H16/$P$16</f>
        <v>0.07512876952652217</v>
      </c>
      <c r="J16" s="29">
        <v>137867.2</v>
      </c>
      <c r="K16" s="19">
        <f>J16/$P$16</f>
        <v>0.018416598053304544</v>
      </c>
      <c r="L16" s="29">
        <v>3141935.7</v>
      </c>
      <c r="M16" s="19">
        <f>L16/$P$16</f>
        <v>0.4197065501890809</v>
      </c>
      <c r="N16" s="29">
        <v>929474.5</v>
      </c>
      <c r="O16" s="19">
        <f>N16/$P$16</f>
        <v>0.12416120924553639</v>
      </c>
      <c r="P16" s="32">
        <v>7486029.7</v>
      </c>
    </row>
    <row r="17" spans="1:15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1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41" customFormat="1" ht="43.5" customHeight="1">
      <c r="A19" s="222" t="s">
        <v>15</v>
      </c>
      <c r="B19" s="220" t="s">
        <v>117</v>
      </c>
      <c r="C19" s="221"/>
      <c r="D19" s="220" t="s">
        <v>118</v>
      </c>
      <c r="E19" s="221"/>
      <c r="F19" s="220" t="s">
        <v>119</v>
      </c>
      <c r="G19" s="221"/>
      <c r="H19" s="220" t="s">
        <v>120</v>
      </c>
      <c r="I19" s="221"/>
      <c r="J19" s="220" t="s">
        <v>121</v>
      </c>
      <c r="K19" s="221"/>
      <c r="L19" s="220" t="s">
        <v>122</v>
      </c>
      <c r="M19" s="221"/>
      <c r="N19" s="220" t="s">
        <v>115</v>
      </c>
      <c r="O19" s="221"/>
      <c r="P19" s="225" t="s">
        <v>12</v>
      </c>
    </row>
    <row r="20" spans="1:16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15" t="s">
        <v>30</v>
      </c>
      <c r="M20" s="16" t="s">
        <v>13</v>
      </c>
      <c r="N20" s="15" t="s">
        <v>30</v>
      </c>
      <c r="O20" s="16" t="s">
        <v>13</v>
      </c>
      <c r="P20" s="225"/>
    </row>
    <row r="21" spans="1:16" ht="12">
      <c r="A21" s="36" t="s">
        <v>16</v>
      </c>
      <c r="B21" s="37">
        <v>524710</v>
      </c>
      <c r="C21" s="17">
        <f>B21/$P$21</f>
        <v>0.7332453418427486</v>
      </c>
      <c r="D21" s="37">
        <v>31983.03</v>
      </c>
      <c r="E21" s="17">
        <f>D21/$P$21</f>
        <v>0.04469403625910862</v>
      </c>
      <c r="F21" s="37">
        <v>232315.9</v>
      </c>
      <c r="G21" s="17">
        <f>F21/$P$21</f>
        <v>0.3246451401936418</v>
      </c>
      <c r="H21" s="37">
        <v>35162.51</v>
      </c>
      <c r="I21" s="17">
        <f>H21/$P$21</f>
        <v>0.04913713606563448</v>
      </c>
      <c r="J21" s="37">
        <v>11006.582</v>
      </c>
      <c r="K21" s="17">
        <f>J21/$P$21</f>
        <v>0.015380924665263182</v>
      </c>
      <c r="L21" s="37">
        <v>222008.5</v>
      </c>
      <c r="M21" s="17">
        <f>L21/$P$21</f>
        <v>0.31024127322615513</v>
      </c>
      <c r="N21" s="37">
        <v>109444</v>
      </c>
      <c r="O21" s="17">
        <f>N21/$P$21</f>
        <v>0.15294029691188996</v>
      </c>
      <c r="P21" s="39">
        <v>715599.5</v>
      </c>
    </row>
    <row r="22" spans="1:16" ht="12">
      <c r="A22" s="21" t="s">
        <v>17</v>
      </c>
      <c r="B22" s="28">
        <v>5156724.8</v>
      </c>
      <c r="C22" s="18">
        <f>B22/$P$22</f>
        <v>0.7163284000209034</v>
      </c>
      <c r="D22" s="28">
        <v>225342.4</v>
      </c>
      <c r="E22" s="18">
        <f>D22/$P$22</f>
        <v>0.03130265180117241</v>
      </c>
      <c r="F22" s="28">
        <v>2457476.8</v>
      </c>
      <c r="G22" s="18">
        <f>F22/$P$22</f>
        <v>0.3413717994476823</v>
      </c>
      <c r="H22" s="28">
        <v>497352.9</v>
      </c>
      <c r="I22" s="18">
        <f>H22/$P$22</f>
        <v>0.06908803958333327</v>
      </c>
      <c r="J22" s="28">
        <v>142442.2</v>
      </c>
      <c r="K22" s="18">
        <f>J22/$P$22</f>
        <v>0.01978686029967268</v>
      </c>
      <c r="L22" s="28">
        <v>3037937.4</v>
      </c>
      <c r="M22" s="18">
        <f>L22/$P$22</f>
        <v>0.4220044546696894</v>
      </c>
      <c r="N22" s="28">
        <v>885572.7</v>
      </c>
      <c r="O22" s="18">
        <f>N22/$P$22</f>
        <v>0.12301623605998743</v>
      </c>
      <c r="P22" s="31">
        <v>7198827.8</v>
      </c>
    </row>
    <row r="23" spans="1:16" ht="12">
      <c r="A23" s="22" t="s">
        <v>18</v>
      </c>
      <c r="B23" s="29">
        <v>3140674.4</v>
      </c>
      <c r="C23" s="19">
        <f>B23/$P$23</f>
        <v>0.7371882597980857</v>
      </c>
      <c r="D23" s="29">
        <v>63367.72</v>
      </c>
      <c r="E23" s="19">
        <f>D23/$P$23</f>
        <v>0.01487385614827578</v>
      </c>
      <c r="F23" s="29">
        <v>1287914.1</v>
      </c>
      <c r="G23" s="19">
        <f>F23/$P$23</f>
        <v>0.302302955743651</v>
      </c>
      <c r="H23" s="29">
        <v>261003.2</v>
      </c>
      <c r="I23" s="19">
        <f>H23/$P$23</f>
        <v>0.06126343272315389</v>
      </c>
      <c r="J23" s="29">
        <v>57446.73</v>
      </c>
      <c r="K23" s="19">
        <f>J23/$P$23</f>
        <v>0.013484064097758902</v>
      </c>
      <c r="L23" s="29">
        <v>1808072.9</v>
      </c>
      <c r="M23" s="19">
        <f>L23/$P$23</f>
        <v>0.4243961471265783</v>
      </c>
      <c r="N23" s="29">
        <v>563398.57</v>
      </c>
      <c r="O23" s="19">
        <f>N23/$P$23</f>
        <v>0.13224255637293375</v>
      </c>
      <c r="P23" s="32">
        <v>4260342.4</v>
      </c>
    </row>
    <row r="24" spans="1:15" ht="12">
      <c r="A24" s="4" t="s">
        <v>31</v>
      </c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2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ht="12">
      <c r="A26" s="222" t="s">
        <v>19</v>
      </c>
      <c r="B26" s="220" t="s">
        <v>117</v>
      </c>
      <c r="C26" s="221"/>
      <c r="D26" s="220" t="s">
        <v>118</v>
      </c>
      <c r="E26" s="221"/>
      <c r="F26" s="220" t="s">
        <v>119</v>
      </c>
      <c r="G26" s="221"/>
      <c r="H26" s="220" t="s">
        <v>120</v>
      </c>
      <c r="I26" s="221"/>
      <c r="J26" s="220" t="s">
        <v>121</v>
      </c>
      <c r="K26" s="221"/>
      <c r="L26" s="220" t="s">
        <v>122</v>
      </c>
      <c r="M26" s="221"/>
      <c r="N26" s="220" t="s">
        <v>115</v>
      </c>
      <c r="O26" s="221"/>
      <c r="P26" s="225" t="s">
        <v>12</v>
      </c>
    </row>
    <row r="27" spans="1:16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15" t="s">
        <v>30</v>
      </c>
      <c r="M27" s="16" t="s">
        <v>13</v>
      </c>
      <c r="N27" s="15" t="s">
        <v>30</v>
      </c>
      <c r="O27" s="16" t="s">
        <v>13</v>
      </c>
      <c r="P27" s="225"/>
    </row>
    <row r="28" spans="1:16" ht="12">
      <c r="A28" s="36" t="s">
        <v>20</v>
      </c>
      <c r="B28" s="37">
        <v>984058.85</v>
      </c>
      <c r="C28" s="38">
        <f>B28/$P$28</f>
        <v>0.6870705454971991</v>
      </c>
      <c r="D28" s="37">
        <v>10472.35</v>
      </c>
      <c r="E28" s="38">
        <f>D28/$P$28</f>
        <v>0.0073118017556953975</v>
      </c>
      <c r="F28" s="37">
        <v>292746.8</v>
      </c>
      <c r="G28" s="38">
        <f>F28/$P$28</f>
        <v>0.20439601103994895</v>
      </c>
      <c r="H28" s="37">
        <v>41552.69</v>
      </c>
      <c r="I28" s="38">
        <f>H28/$P$28</f>
        <v>0.02901211587617551</v>
      </c>
      <c r="J28" s="37">
        <v>2158.287</v>
      </c>
      <c r="K28" s="38">
        <f>J28/$P$28</f>
        <v>0.001506917423108906</v>
      </c>
      <c r="L28" s="37">
        <v>614882.9</v>
      </c>
      <c r="M28" s="38">
        <f>L28/$P$28</f>
        <v>0.4293116509443513</v>
      </c>
      <c r="N28" s="37">
        <v>252095.5</v>
      </c>
      <c r="O28" s="38">
        <f>N28/$P$28</f>
        <v>0.17601324626305548</v>
      </c>
      <c r="P28" s="45">
        <v>1432253</v>
      </c>
    </row>
    <row r="29" spans="1:16" ht="12">
      <c r="A29" s="21" t="s">
        <v>21</v>
      </c>
      <c r="B29" s="28">
        <v>2400848.6</v>
      </c>
      <c r="C29" s="18">
        <f>B29/$P$29</f>
        <v>0.7225053575901792</v>
      </c>
      <c r="D29" s="28">
        <v>70951.84</v>
      </c>
      <c r="E29" s="18">
        <f>D29/$P$29</f>
        <v>0.021352068818867285</v>
      </c>
      <c r="F29" s="28">
        <v>876002.9</v>
      </c>
      <c r="G29" s="18">
        <f>F29/$P$29</f>
        <v>0.26362211616114983</v>
      </c>
      <c r="H29" s="28">
        <v>177774.2</v>
      </c>
      <c r="I29" s="18">
        <f>H29/$P$29</f>
        <v>0.05349892198171432</v>
      </c>
      <c r="J29" s="28">
        <v>60755.64</v>
      </c>
      <c r="K29" s="18">
        <f>J29/$P$29</f>
        <v>0.018283649957694208</v>
      </c>
      <c r="L29" s="28">
        <v>1275493.9</v>
      </c>
      <c r="M29" s="18">
        <f>L29/$P$29</f>
        <v>0.38384393598313205</v>
      </c>
      <c r="N29" s="28">
        <v>473486.3</v>
      </c>
      <c r="O29" s="18">
        <f>N29/$P$29</f>
        <v>0.1424897798618167</v>
      </c>
      <c r="P29" s="46">
        <v>3322949.2</v>
      </c>
    </row>
    <row r="30" spans="1:16" ht="12">
      <c r="A30" s="23" t="s">
        <v>22</v>
      </c>
      <c r="B30" s="34">
        <v>2989963.2</v>
      </c>
      <c r="C30" s="24">
        <f>B30/$P$30</f>
        <v>0.7247987289152485</v>
      </c>
      <c r="D30" s="34">
        <v>88622.3</v>
      </c>
      <c r="E30" s="24">
        <f>D30/$P$30</f>
        <v>0.021482983601117844</v>
      </c>
      <c r="F30" s="34">
        <v>1369794.5</v>
      </c>
      <c r="G30" s="24">
        <f>F30/$P$30</f>
        <v>0.3320526862922923</v>
      </c>
      <c r="H30" s="34">
        <v>235678.3</v>
      </c>
      <c r="I30" s="24">
        <f>H30/$P$30</f>
        <v>0.05713091461222888</v>
      </c>
      <c r="J30" s="34">
        <v>49568.53</v>
      </c>
      <c r="K30" s="24">
        <f>J30/$P$30</f>
        <v>0.012015936362761041</v>
      </c>
      <c r="L30" s="34">
        <v>1672741.4</v>
      </c>
      <c r="M30" s="24">
        <f>L30/$P$30</f>
        <v>0.40549022159333376</v>
      </c>
      <c r="N30" s="34">
        <v>549066.8</v>
      </c>
      <c r="O30" s="24">
        <f>N30/$P$30</f>
        <v>0.13309960427926437</v>
      </c>
      <c r="P30" s="45">
        <v>4125232.4</v>
      </c>
    </row>
    <row r="31" spans="1:16" ht="12">
      <c r="A31" s="21" t="s">
        <v>23</v>
      </c>
      <c r="B31" s="28">
        <v>1118027.2</v>
      </c>
      <c r="C31" s="18">
        <f>B31/$P$31</f>
        <v>0.7428586311960078</v>
      </c>
      <c r="D31" s="28">
        <v>33497.18</v>
      </c>
      <c r="E31" s="18">
        <f>D31/$P$31</f>
        <v>0.02225676556324058</v>
      </c>
      <c r="F31" s="28">
        <v>639030.9</v>
      </c>
      <c r="G31" s="18">
        <f>F31/$P$31</f>
        <v>0.4245957698220159</v>
      </c>
      <c r="H31" s="28">
        <v>146241.5</v>
      </c>
      <c r="I31" s="18">
        <f>H31/$P$31</f>
        <v>0.09716826255573296</v>
      </c>
      <c r="J31" s="28">
        <v>40564.1</v>
      </c>
      <c r="K31" s="18">
        <f>J31/$P$31</f>
        <v>0.02695228863993468</v>
      </c>
      <c r="L31" s="28">
        <v>606456.9</v>
      </c>
      <c r="M31" s="18">
        <f>L31/$P$31</f>
        <v>0.40295239920225034</v>
      </c>
      <c r="N31" s="28">
        <v>127781.1</v>
      </c>
      <c r="O31" s="18">
        <f>N31/$P$31</f>
        <v>0.08490248988461122</v>
      </c>
      <c r="P31" s="46">
        <v>1505033.6</v>
      </c>
    </row>
    <row r="32" spans="1:16" ht="12">
      <c r="A32" s="22" t="s">
        <v>24</v>
      </c>
      <c r="B32" s="29">
        <v>1329211.2</v>
      </c>
      <c r="C32" s="19">
        <f>B32/$P$32</f>
        <v>0.7428659316014695</v>
      </c>
      <c r="D32" s="29">
        <v>117149.5</v>
      </c>
      <c r="E32" s="19">
        <f>D32/$P$32</f>
        <v>0.06547219317302348</v>
      </c>
      <c r="F32" s="29">
        <v>800131.5</v>
      </c>
      <c r="G32" s="19">
        <f>F32/$P$32</f>
        <v>0.44717531130581895</v>
      </c>
      <c r="H32" s="29">
        <v>192272</v>
      </c>
      <c r="I32" s="19">
        <f>H32/$P$32</f>
        <v>0.10745645116508026</v>
      </c>
      <c r="J32" s="29">
        <v>57848.91</v>
      </c>
      <c r="K32" s="19">
        <f>J32/$P$32</f>
        <v>0.03233044110618355</v>
      </c>
      <c r="L32" s="29">
        <v>898443.64</v>
      </c>
      <c r="M32" s="19">
        <f>L32/$P$32</f>
        <v>0.502119732078706</v>
      </c>
      <c r="N32" s="29">
        <v>155985.6</v>
      </c>
      <c r="O32" s="19">
        <f>N32/$P$32</f>
        <v>0.08717680686140335</v>
      </c>
      <c r="P32" s="32">
        <v>1789301.6</v>
      </c>
    </row>
    <row r="33" spans="1:15" ht="12">
      <c r="A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6:15" ht="12"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6" ht="12">
      <c r="A35" s="222" t="s">
        <v>25</v>
      </c>
      <c r="B35" s="220" t="s">
        <v>117</v>
      </c>
      <c r="C35" s="221"/>
      <c r="D35" s="220" t="s">
        <v>118</v>
      </c>
      <c r="E35" s="221"/>
      <c r="F35" s="220" t="s">
        <v>119</v>
      </c>
      <c r="G35" s="221"/>
      <c r="H35" s="220" t="s">
        <v>120</v>
      </c>
      <c r="I35" s="221"/>
      <c r="J35" s="220" t="s">
        <v>121</v>
      </c>
      <c r="K35" s="221"/>
      <c r="L35" s="220" t="s">
        <v>122</v>
      </c>
      <c r="M35" s="221"/>
      <c r="N35" s="220" t="s">
        <v>115</v>
      </c>
      <c r="O35" s="221"/>
      <c r="P35" s="225" t="s">
        <v>12</v>
      </c>
    </row>
    <row r="36" spans="1:16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15" t="s">
        <v>30</v>
      </c>
      <c r="M36" s="16" t="s">
        <v>13</v>
      </c>
      <c r="N36" s="15" t="s">
        <v>30</v>
      </c>
      <c r="O36" s="16" t="s">
        <v>13</v>
      </c>
      <c r="P36" s="225"/>
    </row>
    <row r="37" spans="1:16" ht="12">
      <c r="A37" s="36" t="s">
        <v>26</v>
      </c>
      <c r="B37" s="37">
        <v>884264.4</v>
      </c>
      <c r="C37" s="38">
        <f>B37/$P$37</f>
        <v>0.6993274070666942</v>
      </c>
      <c r="D37" s="37">
        <v>58559.76</v>
      </c>
      <c r="E37" s="38">
        <f>D37/$P$37</f>
        <v>0.04631244356240952</v>
      </c>
      <c r="F37" s="37">
        <v>381774.2</v>
      </c>
      <c r="G37" s="38">
        <f>F37/$P$37</f>
        <v>0.30192910782223226</v>
      </c>
      <c r="H37" s="37">
        <v>91633.43</v>
      </c>
      <c r="I37" s="38">
        <f>H37/$P$37</f>
        <v>0.07246901379556546</v>
      </c>
      <c r="J37" s="37">
        <v>38883.07</v>
      </c>
      <c r="K37" s="38">
        <f>J37/$P$37</f>
        <v>0.030750979596026667</v>
      </c>
      <c r="L37" s="37">
        <v>544810.5</v>
      </c>
      <c r="M37" s="38">
        <f>L37/$P$37</f>
        <v>0.43086763903161673</v>
      </c>
      <c r="N37" s="37">
        <v>214531.9</v>
      </c>
      <c r="O37" s="38">
        <f>N37/$P$37</f>
        <v>0.16966422866293307</v>
      </c>
      <c r="P37" s="45">
        <v>1264449.8</v>
      </c>
    </row>
    <row r="38" spans="1:16" ht="12">
      <c r="A38" s="21" t="s">
        <v>27</v>
      </c>
      <c r="B38" s="28">
        <v>1790833.7</v>
      </c>
      <c r="C38" s="18">
        <f>B38/$P$38</f>
        <v>0.715636021133803</v>
      </c>
      <c r="D38" s="28">
        <v>76912.59</v>
      </c>
      <c r="E38" s="18">
        <f>D38/$P$38</f>
        <v>0.030735081589482887</v>
      </c>
      <c r="F38" s="28">
        <v>776212.4</v>
      </c>
      <c r="G38" s="18">
        <f>F38/$P$38</f>
        <v>0.3101826559834785</v>
      </c>
      <c r="H38" s="28">
        <v>144928.8</v>
      </c>
      <c r="I38" s="18">
        <f>H38/$P$38</f>
        <v>0.0579150759669626</v>
      </c>
      <c r="J38" s="28">
        <v>48107.06</v>
      </c>
      <c r="K38" s="18">
        <f>J38/$P$38</f>
        <v>0.019224088203636736</v>
      </c>
      <c r="L38" s="28">
        <v>986315.3</v>
      </c>
      <c r="M38" s="18">
        <f>L38/$P$38</f>
        <v>0.3941419892173088</v>
      </c>
      <c r="N38" s="28">
        <v>329155.9</v>
      </c>
      <c r="O38" s="18">
        <f>N38/$P$38</f>
        <v>0.13153416680103572</v>
      </c>
      <c r="P38" s="46">
        <v>2502436.5</v>
      </c>
    </row>
    <row r="39" spans="1:16" ht="12">
      <c r="A39" s="23" t="s">
        <v>28</v>
      </c>
      <c r="B39" s="34">
        <v>2136044.4</v>
      </c>
      <c r="C39" s="24">
        <f>B39/$P$39</f>
        <v>0.7283807879238612</v>
      </c>
      <c r="D39" s="34">
        <v>61561.83</v>
      </c>
      <c r="E39" s="24">
        <f>D39/$P$39</f>
        <v>0.02099228566664382</v>
      </c>
      <c r="F39" s="34">
        <v>1027840.7</v>
      </c>
      <c r="G39" s="24">
        <f>F39/$P$39</f>
        <v>0.3504886972041466</v>
      </c>
      <c r="H39" s="34">
        <v>214398</v>
      </c>
      <c r="I39" s="24">
        <f>H39/$P$39</f>
        <v>0.0731086789063467</v>
      </c>
      <c r="J39" s="34">
        <v>43454.374</v>
      </c>
      <c r="K39" s="24">
        <f>J39/$P$39</f>
        <v>0.014817730929590298</v>
      </c>
      <c r="L39" s="34">
        <v>1293024.7</v>
      </c>
      <c r="M39" s="24">
        <f>L39/$P$39</f>
        <v>0.44091515597288816</v>
      </c>
      <c r="N39" s="34">
        <v>369493.8</v>
      </c>
      <c r="O39" s="24">
        <f>N39/$P$39</f>
        <v>0.12599559502460791</v>
      </c>
      <c r="P39" s="45">
        <v>2932593</v>
      </c>
    </row>
    <row r="40" spans="1:16" ht="12">
      <c r="A40" s="25" t="s">
        <v>29</v>
      </c>
      <c r="B40" s="40">
        <v>4010966.6</v>
      </c>
      <c r="C40" s="26">
        <f>B40/$P$40</f>
        <v>0.7325577702224202</v>
      </c>
      <c r="D40" s="40">
        <v>123659</v>
      </c>
      <c r="E40" s="26">
        <f>D40/$P$40</f>
        <v>0.02258492038002367</v>
      </c>
      <c r="F40" s="40">
        <v>1791879.4</v>
      </c>
      <c r="G40" s="26">
        <f>F40/$P$40</f>
        <v>0.3272665441221794</v>
      </c>
      <c r="H40" s="40">
        <v>342558.4</v>
      </c>
      <c r="I40" s="26">
        <f>H40/$P$40</f>
        <v>0.06256442466386031</v>
      </c>
      <c r="J40" s="40">
        <v>80450.971</v>
      </c>
      <c r="K40" s="26">
        <f>J40/$P$40</f>
        <v>0.014693461652856593</v>
      </c>
      <c r="L40" s="40">
        <v>2243868.3</v>
      </c>
      <c r="M40" s="26">
        <f>L40/$P$40</f>
        <v>0.4098172142647043</v>
      </c>
      <c r="N40" s="40">
        <v>645233.6</v>
      </c>
      <c r="O40" s="26">
        <f>N40/$P$40</f>
        <v>0.11784463308385189</v>
      </c>
      <c r="P40" s="33">
        <v>5475290.5</v>
      </c>
    </row>
    <row r="41" ht="12">
      <c r="A41" s="4" t="s">
        <v>31</v>
      </c>
    </row>
    <row r="43" spans="3:13" ht="12">
      <c r="C43" s="50"/>
      <c r="I43" s="42"/>
      <c r="K43" s="43"/>
      <c r="M43" s="42"/>
    </row>
    <row r="44" spans="3:15" ht="12">
      <c r="C44" s="49"/>
      <c r="I44" s="42"/>
      <c r="K44" s="42"/>
      <c r="M44" s="42"/>
      <c r="O44" s="43"/>
    </row>
    <row r="45" spans="3:18" ht="12">
      <c r="C45" s="49"/>
      <c r="I45" s="43"/>
      <c r="K45" s="42"/>
      <c r="M45" s="42"/>
      <c r="O45" s="42"/>
      <c r="R45" s="43"/>
    </row>
    <row r="46" spans="3:13" ht="12">
      <c r="C46" s="49"/>
      <c r="I46" s="42"/>
      <c r="K46" s="42"/>
      <c r="M46" s="42"/>
    </row>
    <row r="47" spans="3:15" ht="12">
      <c r="C47" s="49"/>
      <c r="H47" s="43"/>
      <c r="K47" s="42"/>
      <c r="M47" s="42"/>
      <c r="O47" s="42"/>
    </row>
    <row r="48" ht="12">
      <c r="C48" s="49"/>
    </row>
    <row r="49" ht="12">
      <c r="C49" s="49"/>
    </row>
  </sheetData>
  <sheetProtection/>
  <mergeCells count="38">
    <mergeCell ref="L35:M35"/>
    <mergeCell ref="N35:O35"/>
    <mergeCell ref="P35:P36"/>
    <mergeCell ref="A35:A36"/>
    <mergeCell ref="B35:C35"/>
    <mergeCell ref="D35:E35"/>
    <mergeCell ref="F35:G35"/>
    <mergeCell ref="H35:I35"/>
    <mergeCell ref="J35:K35"/>
    <mergeCell ref="L26:M26"/>
    <mergeCell ref="N26:O26"/>
    <mergeCell ref="P26:P27"/>
    <mergeCell ref="A26:A27"/>
    <mergeCell ref="B26:C26"/>
    <mergeCell ref="D26:E26"/>
    <mergeCell ref="F26:G26"/>
    <mergeCell ref="H26:I26"/>
    <mergeCell ref="J26:K26"/>
    <mergeCell ref="L19:M19"/>
    <mergeCell ref="N19:O19"/>
    <mergeCell ref="P19:P20"/>
    <mergeCell ref="P12:P13"/>
    <mergeCell ref="A19:A20"/>
    <mergeCell ref="B19:C19"/>
    <mergeCell ref="D19:E19"/>
    <mergeCell ref="F19:G19"/>
    <mergeCell ref="H19:I19"/>
    <mergeCell ref="J19:K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</mergeCells>
  <printOptions/>
  <pageMargins left="0.75" right="0.75" top="1" bottom="1" header="0" footer="0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L41"/>
  <sheetViews>
    <sheetView showGridLines="0" zoomScale="90" zoomScaleNormal="90" zoomScalePageLayoutView="0" workbookViewId="0" topLeftCell="A1">
      <selection activeCell="N52" sqref="N52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1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79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77</v>
      </c>
      <c r="C12" s="221"/>
      <c r="D12" s="220">
        <v>2</v>
      </c>
      <c r="E12" s="221"/>
      <c r="F12" s="220">
        <v>3</v>
      </c>
      <c r="G12" s="221"/>
      <c r="H12" s="220">
        <v>4</v>
      </c>
      <c r="I12" s="221"/>
      <c r="J12" s="220" t="s">
        <v>78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2285556.4</v>
      </c>
      <c r="C14" s="17">
        <f>B14/$L$14</f>
        <v>0.18772891808223072</v>
      </c>
      <c r="D14" s="27">
        <v>1753904.1</v>
      </c>
      <c r="E14" s="17">
        <f>D14/$L$14</f>
        <v>0.14406055309463753</v>
      </c>
      <c r="F14" s="27">
        <v>3734181.7</v>
      </c>
      <c r="G14" s="17">
        <f>F14/$L$14</f>
        <v>0.30671476340004783</v>
      </c>
      <c r="H14" s="27">
        <v>2588008.8</v>
      </c>
      <c r="I14" s="17">
        <f>H14/$L$14</f>
        <v>0.21257147362948128</v>
      </c>
      <c r="J14" s="27">
        <v>1813118.8</v>
      </c>
      <c r="K14" s="17">
        <f>J14/$L$14</f>
        <v>0.14892427536618763</v>
      </c>
      <c r="L14" s="30">
        <v>12174770</v>
      </c>
    </row>
    <row r="15" spans="1:12" ht="12">
      <c r="A15" s="21" t="s">
        <v>5</v>
      </c>
      <c r="B15" s="28">
        <v>740147.9</v>
      </c>
      <c r="C15" s="18">
        <f>B15/$L$15</f>
        <v>0.15785646037101653</v>
      </c>
      <c r="D15" s="28">
        <v>688632.1</v>
      </c>
      <c r="E15" s="18">
        <f>D15/$L$15</f>
        <v>0.14686932950003626</v>
      </c>
      <c r="F15" s="28">
        <v>1564984.1</v>
      </c>
      <c r="G15" s="18">
        <f>F15/$L$15</f>
        <v>0.3337749800586085</v>
      </c>
      <c r="H15" s="28">
        <v>998605.2</v>
      </c>
      <c r="I15" s="18">
        <f>H15/$L$15</f>
        <v>0.2129794358399058</v>
      </c>
      <c r="J15" s="28">
        <v>696370.7</v>
      </c>
      <c r="K15" s="18">
        <f>J15/$L$15</f>
        <v>0.1485197942304329</v>
      </c>
      <c r="L15" s="31">
        <v>4688740</v>
      </c>
    </row>
    <row r="16" spans="1:12" ht="12">
      <c r="A16" s="22" t="s">
        <v>6</v>
      </c>
      <c r="B16" s="29">
        <v>1545408.5</v>
      </c>
      <c r="C16" s="19">
        <f>B16/$L$16</f>
        <v>0.20643900197189974</v>
      </c>
      <c r="D16" s="29">
        <v>1065272</v>
      </c>
      <c r="E16" s="19">
        <f>D16/$L$16</f>
        <v>0.14230133230703051</v>
      </c>
      <c r="F16" s="29">
        <v>2169197.6</v>
      </c>
      <c r="G16" s="19">
        <f>F16/$L$16</f>
        <v>0.2897660959052834</v>
      </c>
      <c r="H16" s="29">
        <v>1589403.6</v>
      </c>
      <c r="I16" s="19">
        <f>H16/$L$16</f>
        <v>0.21231596235852498</v>
      </c>
      <c r="J16" s="29">
        <v>1116748.1</v>
      </c>
      <c r="K16" s="19">
        <f>J16/$L$16</f>
        <v>0.14917762081547714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77</v>
      </c>
      <c r="C19" s="221"/>
      <c r="D19" s="220">
        <v>2</v>
      </c>
      <c r="E19" s="221"/>
      <c r="F19" s="220">
        <v>3</v>
      </c>
      <c r="G19" s="221"/>
      <c r="H19" s="220">
        <v>4</v>
      </c>
      <c r="I19" s="221"/>
      <c r="J19" s="220" t="s">
        <v>78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207659.7</v>
      </c>
      <c r="C21" s="17">
        <f>B21/$L$21</f>
        <v>0.2901898338386206</v>
      </c>
      <c r="D21" s="37">
        <v>123568.2</v>
      </c>
      <c r="E21" s="17">
        <f>D21/$L$21</f>
        <v>0.17267787358711123</v>
      </c>
      <c r="F21" s="37">
        <v>210468.3</v>
      </c>
      <c r="G21" s="17">
        <f>F21/$L$21</f>
        <v>0.29411465491521444</v>
      </c>
      <c r="H21" s="37">
        <v>127105.7</v>
      </c>
      <c r="I21" s="17">
        <f>H21/$L$21</f>
        <v>0.17762128117753018</v>
      </c>
      <c r="J21" s="37">
        <v>46797.73</v>
      </c>
      <c r="K21" s="17">
        <f>J21/$L$21</f>
        <v>0.06539653814738552</v>
      </c>
      <c r="L21" s="39">
        <v>715599.5</v>
      </c>
    </row>
    <row r="22" spans="1:12" ht="12">
      <c r="A22" s="21" t="s">
        <v>17</v>
      </c>
      <c r="B22" s="28">
        <v>1504334.1</v>
      </c>
      <c r="C22" s="18">
        <f>B22/$L$22</f>
        <v>0.20896931303176888</v>
      </c>
      <c r="D22" s="28">
        <v>1079278.2</v>
      </c>
      <c r="E22" s="18">
        <f>D22/$L$22</f>
        <v>0.1499241584859135</v>
      </c>
      <c r="F22" s="28">
        <v>2274967.8</v>
      </c>
      <c r="G22" s="18">
        <f>F22/$L$22</f>
        <v>0.3160191996813703</v>
      </c>
      <c r="H22" s="28">
        <v>1364399.7</v>
      </c>
      <c r="I22" s="18">
        <f>H22/$L$22</f>
        <v>0.1895308150029648</v>
      </c>
      <c r="J22" s="28">
        <v>975848</v>
      </c>
      <c r="K22" s="18">
        <f>J22/$L$22</f>
        <v>0.1355565137979825</v>
      </c>
      <c r="L22" s="31">
        <v>7198827.8</v>
      </c>
    </row>
    <row r="23" spans="1:12" ht="12">
      <c r="A23" s="22" t="s">
        <v>18</v>
      </c>
      <c r="B23" s="29">
        <v>573562.6</v>
      </c>
      <c r="C23" s="19">
        <f>B23/$L$23</f>
        <v>0.13462828715363345</v>
      </c>
      <c r="D23" s="29">
        <v>551057.7</v>
      </c>
      <c r="E23" s="19">
        <f>D23/$L$23</f>
        <v>0.1293458713553164</v>
      </c>
      <c r="F23" s="29">
        <v>1248745.6</v>
      </c>
      <c r="G23" s="19">
        <f>F23/$L$23</f>
        <v>0.29310921112819477</v>
      </c>
      <c r="H23" s="29">
        <v>1096503.4</v>
      </c>
      <c r="I23" s="19">
        <f>H23/$L$23</f>
        <v>0.25737447769456273</v>
      </c>
      <c r="J23" s="29">
        <v>790473.1</v>
      </c>
      <c r="K23" s="19">
        <f>J23/$L$23</f>
        <v>0.18554215266829255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222" t="s">
        <v>19</v>
      </c>
      <c r="B26" s="220" t="s">
        <v>77</v>
      </c>
      <c r="C26" s="221"/>
      <c r="D26" s="220">
        <v>2</v>
      </c>
      <c r="E26" s="221"/>
      <c r="F26" s="220">
        <v>3</v>
      </c>
      <c r="G26" s="221"/>
      <c r="H26" s="220">
        <v>4</v>
      </c>
      <c r="I26" s="221"/>
      <c r="J26" s="220" t="s">
        <v>78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251983</v>
      </c>
      <c r="C28" s="38">
        <f>B28/$L$28</f>
        <v>0.17593469868801112</v>
      </c>
      <c r="D28" s="37">
        <v>206250.3</v>
      </c>
      <c r="E28" s="38">
        <f>D28/$L$28</f>
        <v>0.14400409704151432</v>
      </c>
      <c r="F28" s="37">
        <v>391910</v>
      </c>
      <c r="G28" s="38">
        <f>F28/$L$28</f>
        <v>0.2736318234278441</v>
      </c>
      <c r="H28" s="37">
        <v>321556</v>
      </c>
      <c r="I28" s="38">
        <f>H28/$L$28</f>
        <v>0.22451061369744033</v>
      </c>
      <c r="J28" s="37">
        <v>260553.6</v>
      </c>
      <c r="K28" s="38">
        <f>J28/$L$28</f>
        <v>0.18191869732512342</v>
      </c>
      <c r="L28" s="45">
        <v>1432253</v>
      </c>
    </row>
    <row r="29" spans="1:12" ht="12">
      <c r="A29" s="21" t="s">
        <v>21</v>
      </c>
      <c r="B29" s="28">
        <v>666067.4</v>
      </c>
      <c r="C29" s="18">
        <f>B29/$L$29</f>
        <v>0.20044465320143925</v>
      </c>
      <c r="D29" s="28">
        <v>495005.6</v>
      </c>
      <c r="E29" s="18">
        <f>D29/$L$29</f>
        <v>0.1489657440444771</v>
      </c>
      <c r="F29" s="28">
        <v>948965.6</v>
      </c>
      <c r="G29" s="18">
        <f>F29/$L$29</f>
        <v>0.2855793281462142</v>
      </c>
      <c r="H29" s="28">
        <v>694578.6</v>
      </c>
      <c r="I29" s="18">
        <f>H29/$L$29</f>
        <v>0.20902474223800951</v>
      </c>
      <c r="J29" s="28">
        <v>518331.9</v>
      </c>
      <c r="K29" s="18">
        <f>J29/$L$29</f>
        <v>0.15598550227611063</v>
      </c>
      <c r="L29" s="46">
        <v>3322949.2</v>
      </c>
    </row>
    <row r="30" spans="1:12" ht="12">
      <c r="A30" s="23" t="s">
        <v>22</v>
      </c>
      <c r="B30" s="34">
        <v>815485.31</v>
      </c>
      <c r="C30" s="24">
        <f>B30/$L$30</f>
        <v>0.19768227118549736</v>
      </c>
      <c r="D30" s="34">
        <v>587915.4</v>
      </c>
      <c r="E30" s="24">
        <f>D30/$L$30</f>
        <v>0.14251691613786416</v>
      </c>
      <c r="F30" s="34">
        <v>1340768.5</v>
      </c>
      <c r="G30" s="24">
        <f>F30/$L$30</f>
        <v>0.32501647664747324</v>
      </c>
      <c r="H30" s="34">
        <v>856235</v>
      </c>
      <c r="I30" s="24">
        <f>H30/$L$30</f>
        <v>0.20756042738343664</v>
      </c>
      <c r="J30" s="34">
        <v>524828.2</v>
      </c>
      <c r="K30" s="24">
        <f>J30/$L$30</f>
        <v>0.1272239110698345</v>
      </c>
      <c r="L30" s="45">
        <v>4125232.4</v>
      </c>
    </row>
    <row r="31" spans="1:12" ht="12">
      <c r="A31" s="21" t="s">
        <v>23</v>
      </c>
      <c r="B31" s="28">
        <v>340417.9</v>
      </c>
      <c r="C31" s="18">
        <f>B31/$L$31</f>
        <v>0.22618624594161885</v>
      </c>
      <c r="D31" s="28">
        <v>239009.3</v>
      </c>
      <c r="E31" s="18">
        <f>D31/$L$31</f>
        <v>0.15880662066282106</v>
      </c>
      <c r="F31" s="28">
        <v>436156.9</v>
      </c>
      <c r="G31" s="18">
        <f>F31/$L$31</f>
        <v>0.28979877924320097</v>
      </c>
      <c r="H31" s="28">
        <v>283934.9</v>
      </c>
      <c r="I31" s="18">
        <f>H31/$L$31</f>
        <v>0.18865685124903525</v>
      </c>
      <c r="J31" s="28">
        <v>205514.5</v>
      </c>
      <c r="K31" s="18">
        <f>J31/$L$31</f>
        <v>0.13655143645962456</v>
      </c>
      <c r="L31" s="46">
        <v>1505033.6</v>
      </c>
    </row>
    <row r="32" spans="1:12" ht="12">
      <c r="A32" s="22" t="s">
        <v>24</v>
      </c>
      <c r="B32" s="29">
        <v>211602.72</v>
      </c>
      <c r="C32" s="19">
        <f>B32/$L$32</f>
        <v>0.11825995125695969</v>
      </c>
      <c r="D32" s="29">
        <v>225723.4</v>
      </c>
      <c r="E32" s="19">
        <f>D32/$L$32</f>
        <v>0.12615167839787322</v>
      </c>
      <c r="F32" s="29">
        <v>616380.6</v>
      </c>
      <c r="G32" s="19">
        <f>F32/$L$32</f>
        <v>0.34448110927749687</v>
      </c>
      <c r="H32" s="29">
        <v>431704.3</v>
      </c>
      <c r="I32" s="19">
        <f>H32/$L$32</f>
        <v>0.2412697222201109</v>
      </c>
      <c r="J32" s="29">
        <v>303890.5</v>
      </c>
      <c r="K32" s="19">
        <f>J32/$L$32</f>
        <v>0.1698374941373774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11" ht="12">
      <c r="F34" s="5"/>
      <c r="G34" s="5"/>
      <c r="H34" s="5"/>
      <c r="I34" s="5"/>
      <c r="J34" s="5"/>
      <c r="K34" s="5"/>
    </row>
    <row r="35" spans="1:12" ht="12">
      <c r="A35" s="222" t="s">
        <v>25</v>
      </c>
      <c r="B35" s="220" t="s">
        <v>77</v>
      </c>
      <c r="C35" s="221"/>
      <c r="D35" s="220">
        <v>2</v>
      </c>
      <c r="E35" s="221"/>
      <c r="F35" s="220">
        <v>3</v>
      </c>
      <c r="G35" s="221"/>
      <c r="H35" s="220">
        <v>4</v>
      </c>
      <c r="I35" s="221"/>
      <c r="J35" s="220" t="s">
        <v>78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228532.9</v>
      </c>
      <c r="C37" s="38">
        <f>B37/$L$37</f>
        <v>0.18073702886425383</v>
      </c>
      <c r="D37" s="37">
        <v>192993.44</v>
      </c>
      <c r="E37" s="38">
        <f>D37/$L$37</f>
        <v>0.15263036935115967</v>
      </c>
      <c r="F37" s="37">
        <v>381004.6</v>
      </c>
      <c r="G37" s="38">
        <f>F37/$L$37</f>
        <v>0.30132046365146326</v>
      </c>
      <c r="H37" s="37">
        <v>303170.5</v>
      </c>
      <c r="I37" s="38">
        <f>H37/$L$37</f>
        <v>0.2397647577626253</v>
      </c>
      <c r="J37" s="37">
        <v>158748.4</v>
      </c>
      <c r="K37" s="38">
        <f>J37/$L$37</f>
        <v>0.12554741200481032</v>
      </c>
      <c r="L37" s="45">
        <v>1264449.8</v>
      </c>
    </row>
    <row r="38" spans="1:12" ht="12">
      <c r="A38" s="21" t="s">
        <v>27</v>
      </c>
      <c r="B38" s="28">
        <v>401554.2</v>
      </c>
      <c r="C38" s="18">
        <f>B38/$L$38</f>
        <v>0.16046529052785155</v>
      </c>
      <c r="D38" s="28">
        <v>371739.4</v>
      </c>
      <c r="E38" s="18">
        <f>D38/$L$38</f>
        <v>0.14855098221273547</v>
      </c>
      <c r="F38" s="28">
        <v>770822</v>
      </c>
      <c r="G38" s="18">
        <f>F38/$L$38</f>
        <v>0.3080285953309904</v>
      </c>
      <c r="H38" s="28">
        <v>560751.1</v>
      </c>
      <c r="I38" s="18">
        <f>H38/$L$38</f>
        <v>0.22408204963442627</v>
      </c>
      <c r="J38" s="28">
        <v>397569.7</v>
      </c>
      <c r="K38" s="18">
        <f>J38/$L$38</f>
        <v>0.15887304233294233</v>
      </c>
      <c r="L38" s="46">
        <v>2502436.5</v>
      </c>
    </row>
    <row r="39" spans="1:12" ht="12">
      <c r="A39" s="23" t="s">
        <v>28</v>
      </c>
      <c r="B39" s="34">
        <v>488107.7</v>
      </c>
      <c r="C39" s="24">
        <f>B39/$L$39</f>
        <v>0.16644236005473653</v>
      </c>
      <c r="D39" s="34">
        <v>461337.6</v>
      </c>
      <c r="E39" s="24">
        <f>D39/$L$39</f>
        <v>0.15731388569774257</v>
      </c>
      <c r="F39" s="34">
        <v>917794.5</v>
      </c>
      <c r="G39" s="24">
        <f>F39/$L$39</f>
        <v>0.3129634763501106</v>
      </c>
      <c r="H39" s="34">
        <v>662144.19</v>
      </c>
      <c r="I39" s="24">
        <f>H39/$L$39</f>
        <v>0.22578795966572926</v>
      </c>
      <c r="J39" s="34">
        <v>403209</v>
      </c>
      <c r="K39" s="24">
        <f>J39/$L$39</f>
        <v>0.13749231482172944</v>
      </c>
      <c r="L39" s="45">
        <v>2932593</v>
      </c>
    </row>
    <row r="40" spans="1:12" ht="12">
      <c r="A40" s="25" t="s">
        <v>29</v>
      </c>
      <c r="B40" s="40">
        <v>1167361.6</v>
      </c>
      <c r="C40" s="26">
        <f>B40/$L$40</f>
        <v>0.21320541805042126</v>
      </c>
      <c r="D40" s="40">
        <v>727833.5</v>
      </c>
      <c r="E40" s="26">
        <f>D40/$L$40</f>
        <v>0.1329305723595853</v>
      </c>
      <c r="F40" s="40">
        <v>1664560.7</v>
      </c>
      <c r="G40" s="26">
        <f>F40/$L$40</f>
        <v>0.3040132208510215</v>
      </c>
      <c r="H40" s="40">
        <v>1061943</v>
      </c>
      <c r="I40" s="26">
        <f>H40/$L$40</f>
        <v>0.1939519008169521</v>
      </c>
      <c r="J40" s="40">
        <v>853591.7</v>
      </c>
      <c r="K40" s="26">
        <f>J40/$L$40</f>
        <v>0.15589888792201984</v>
      </c>
      <c r="L40" s="33">
        <v>5475290.5</v>
      </c>
    </row>
    <row r="41" ht="12">
      <c r="A41" s="4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1"/>
  <sheetViews>
    <sheetView showGridLines="0" zoomScale="90" zoomScaleNormal="90" zoomScalePageLayoutView="0" workbookViewId="0" topLeftCell="A1">
      <selection activeCell="N58" sqref="N58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8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80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77</v>
      </c>
      <c r="C12" s="221"/>
      <c r="D12" s="220">
        <v>2</v>
      </c>
      <c r="E12" s="221"/>
      <c r="F12" s="220">
        <v>3</v>
      </c>
      <c r="G12" s="221"/>
      <c r="H12" s="220">
        <v>4</v>
      </c>
      <c r="I12" s="221"/>
      <c r="J12" s="220" t="s">
        <v>78</v>
      </c>
      <c r="K12" s="221"/>
      <c r="L12" s="223" t="s">
        <v>12</v>
      </c>
    </row>
    <row r="13" spans="1:14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  <c r="N13" s="51"/>
    </row>
    <row r="14" spans="1:14" ht="24">
      <c r="A14" s="20" t="s">
        <v>3</v>
      </c>
      <c r="B14" s="27">
        <v>9361934.3</v>
      </c>
      <c r="C14" s="17">
        <f>B14/$L$14</f>
        <v>0.7689619023603732</v>
      </c>
      <c r="D14" s="27">
        <v>1893169.4</v>
      </c>
      <c r="E14" s="17">
        <f>D14/$L$14</f>
        <v>0.15549939752455283</v>
      </c>
      <c r="F14" s="27">
        <v>738422.9</v>
      </c>
      <c r="G14" s="17">
        <f>F14/$L$14</f>
        <v>0.06065189732537042</v>
      </c>
      <c r="H14" s="27">
        <v>125402.6</v>
      </c>
      <c r="I14" s="17">
        <f>H14/$L$14</f>
        <v>0.010300202796438866</v>
      </c>
      <c r="J14" s="27">
        <v>55840.587</v>
      </c>
      <c r="K14" s="17">
        <f>J14/$L$14</f>
        <v>0.004586582498067726</v>
      </c>
      <c r="L14" s="30">
        <v>12174770</v>
      </c>
      <c r="N14" s="51"/>
    </row>
    <row r="15" spans="1:14" ht="12">
      <c r="A15" s="21" t="s">
        <v>5</v>
      </c>
      <c r="B15" s="28">
        <v>3463968.4</v>
      </c>
      <c r="C15" s="18">
        <f>B15/$L$15</f>
        <v>0.7387844922089943</v>
      </c>
      <c r="D15" s="28">
        <v>846912.5</v>
      </c>
      <c r="E15" s="18">
        <f>D15/$L$15</f>
        <v>0.18062688483473172</v>
      </c>
      <c r="F15" s="28">
        <v>309691.9</v>
      </c>
      <c r="G15" s="18">
        <f>F15/$L$15</f>
        <v>0.06605013287151773</v>
      </c>
      <c r="H15" s="28">
        <v>35181.74</v>
      </c>
      <c r="I15" s="18">
        <f>H15/$L$15</f>
        <v>0.007503452953245435</v>
      </c>
      <c r="J15" s="28">
        <v>32985.499</v>
      </c>
      <c r="K15" s="18">
        <f>J15/$L$15</f>
        <v>0.007035045449310476</v>
      </c>
      <c r="L15" s="31">
        <v>4688740</v>
      </c>
      <c r="N15" s="51"/>
    </row>
    <row r="16" spans="1:12" ht="12">
      <c r="A16" s="22" t="s">
        <v>6</v>
      </c>
      <c r="B16" s="29">
        <v>5897965.9</v>
      </c>
      <c r="C16" s="19">
        <f>B16/$L$16</f>
        <v>0.7878630110163737</v>
      </c>
      <c r="D16" s="29">
        <v>1046256.9</v>
      </c>
      <c r="E16" s="19">
        <f>D16/$L$16</f>
        <v>0.13976125421997723</v>
      </c>
      <c r="F16" s="29">
        <v>428731</v>
      </c>
      <c r="G16" s="19">
        <f>F16/$L$16</f>
        <v>0.05727081205675687</v>
      </c>
      <c r="H16" s="29">
        <v>90220.84</v>
      </c>
      <c r="I16" s="19">
        <f>H16/$L$16</f>
        <v>0.012051894477522578</v>
      </c>
      <c r="J16" s="29">
        <v>22855.088</v>
      </c>
      <c r="K16" s="19">
        <f>J16/$L$16</f>
        <v>0.0030530319696701175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77</v>
      </c>
      <c r="C19" s="221"/>
      <c r="D19" s="220">
        <v>2</v>
      </c>
      <c r="E19" s="221"/>
      <c r="F19" s="220">
        <v>3</v>
      </c>
      <c r="G19" s="221"/>
      <c r="H19" s="220">
        <v>4</v>
      </c>
      <c r="I19" s="221"/>
      <c r="J19" s="220" t="s">
        <v>78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560579.74</v>
      </c>
      <c r="C21" s="17">
        <f>B21/$L$21</f>
        <v>0.7833707821204459</v>
      </c>
      <c r="D21" s="37">
        <v>111129.5</v>
      </c>
      <c r="E21" s="17">
        <f>D21/$L$21</f>
        <v>0.15529566468394682</v>
      </c>
      <c r="F21" s="37">
        <v>20902.58</v>
      </c>
      <c r="G21" s="17">
        <f>F21/$L$21</f>
        <v>0.029209886256208958</v>
      </c>
      <c r="H21" s="37">
        <v>16198.16</v>
      </c>
      <c r="I21" s="17">
        <f>H21/$L$21</f>
        <v>0.022635789991468692</v>
      </c>
      <c r="J21" s="37">
        <v>6789.57</v>
      </c>
      <c r="K21" s="17">
        <f>J21/$L$21</f>
        <v>0.00948794681941505</v>
      </c>
      <c r="L21" s="39">
        <v>715599.5</v>
      </c>
    </row>
    <row r="22" spans="1:12" ht="12">
      <c r="A22" s="21" t="s">
        <v>17</v>
      </c>
      <c r="B22" s="28">
        <v>5599870.1</v>
      </c>
      <c r="C22" s="18">
        <f>B22/$L$22</f>
        <v>0.7778863803354207</v>
      </c>
      <c r="D22" s="28">
        <v>1040822.2</v>
      </c>
      <c r="E22" s="18">
        <f>D22/$L$22</f>
        <v>0.144582177670648</v>
      </c>
      <c r="F22" s="28">
        <v>451152.1</v>
      </c>
      <c r="G22" s="18">
        <f>F22/$L$22</f>
        <v>0.06267021694837595</v>
      </c>
      <c r="H22" s="28">
        <v>72087.09</v>
      </c>
      <c r="I22" s="18">
        <f>H22/$L$22</f>
        <v>0.010013726123578063</v>
      </c>
      <c r="J22" s="28">
        <v>34896.29</v>
      </c>
      <c r="K22" s="18">
        <f>J22/$L$22</f>
        <v>0.004847496143747181</v>
      </c>
      <c r="L22" s="31">
        <v>7198827.8</v>
      </c>
    </row>
    <row r="23" spans="1:12" ht="12">
      <c r="A23" s="22" t="s">
        <v>18</v>
      </c>
      <c r="B23" s="29">
        <v>3201484.4</v>
      </c>
      <c r="C23" s="19">
        <f>B23/$L$23</f>
        <v>0.7514617604444187</v>
      </c>
      <c r="D23" s="29">
        <v>741217.7</v>
      </c>
      <c r="E23" s="19">
        <f>D23/$L$23</f>
        <v>0.17398078145080542</v>
      </c>
      <c r="F23" s="29">
        <v>266368.2</v>
      </c>
      <c r="G23" s="19">
        <f>F23/$L$23</f>
        <v>0.06252272117846679</v>
      </c>
      <c r="H23" s="29">
        <v>37117.34</v>
      </c>
      <c r="I23" s="19">
        <f>H23/$L$23</f>
        <v>0.008712290354878516</v>
      </c>
      <c r="J23" s="29">
        <v>14154.723</v>
      </c>
      <c r="K23" s="19">
        <f>J23/$L$23</f>
        <v>0.003322437886682535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222" t="s">
        <v>19</v>
      </c>
      <c r="B26" s="220" t="s">
        <v>77</v>
      </c>
      <c r="C26" s="221"/>
      <c r="D26" s="220">
        <v>2</v>
      </c>
      <c r="E26" s="221"/>
      <c r="F26" s="220">
        <v>3</v>
      </c>
      <c r="G26" s="221"/>
      <c r="H26" s="220">
        <v>4</v>
      </c>
      <c r="I26" s="221"/>
      <c r="J26" s="220" t="s">
        <v>78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1093865.5</v>
      </c>
      <c r="C28" s="38">
        <f>B28/$L$28</f>
        <v>0.7637376217749239</v>
      </c>
      <c r="D28" s="37">
        <v>215838.1</v>
      </c>
      <c r="E28" s="38">
        <f>D28/$L$28</f>
        <v>0.15069830539716098</v>
      </c>
      <c r="F28" s="37">
        <v>97861.67</v>
      </c>
      <c r="G28" s="38">
        <f>F28/$L$28</f>
        <v>0.06832708327369535</v>
      </c>
      <c r="H28" s="37">
        <v>15334.15</v>
      </c>
      <c r="I28" s="38">
        <f>H28/$L$28</f>
        <v>0.010706313758812164</v>
      </c>
      <c r="J28" s="37">
        <v>9353.579</v>
      </c>
      <c r="K28" s="38">
        <f>J28/$L$28</f>
        <v>0.006530675097206988</v>
      </c>
      <c r="L28" s="45">
        <v>1432253</v>
      </c>
    </row>
    <row r="29" spans="1:12" ht="12">
      <c r="A29" s="21" t="s">
        <v>21</v>
      </c>
      <c r="B29" s="28">
        <v>2547483.2</v>
      </c>
      <c r="C29" s="18">
        <f>B29/$L$29</f>
        <v>0.766633206429999</v>
      </c>
      <c r="D29" s="28">
        <v>522443.3</v>
      </c>
      <c r="E29" s="18">
        <f>D29/$L$29</f>
        <v>0.1572227766828334</v>
      </c>
      <c r="F29" s="28">
        <v>180485.1</v>
      </c>
      <c r="G29" s="18">
        <f>F29/$L$29</f>
        <v>0.05431473343017101</v>
      </c>
      <c r="H29" s="28">
        <v>44780.83</v>
      </c>
      <c r="I29" s="18">
        <f>H29/$L$29</f>
        <v>0.013476230692903761</v>
      </c>
      <c r="J29" s="28">
        <v>27756.73</v>
      </c>
      <c r="K29" s="18">
        <f>J29/$L$29</f>
        <v>0.008353040726593111</v>
      </c>
      <c r="L29" s="46">
        <v>3322949.2</v>
      </c>
    </row>
    <row r="30" spans="1:12" ht="12">
      <c r="A30" s="23" t="s">
        <v>22</v>
      </c>
      <c r="B30" s="34">
        <v>3257892.8</v>
      </c>
      <c r="C30" s="24">
        <f>B30/$L$30</f>
        <v>0.7897477000326091</v>
      </c>
      <c r="D30" s="34">
        <v>607832.8</v>
      </c>
      <c r="E30" s="24">
        <f>D30/$L$30</f>
        <v>0.14734510472670584</v>
      </c>
      <c r="F30" s="34">
        <v>219844.7</v>
      </c>
      <c r="G30" s="24">
        <f>F30/$L$30</f>
        <v>0.053292682371058664</v>
      </c>
      <c r="H30" s="34">
        <v>27864.15</v>
      </c>
      <c r="I30" s="24">
        <f>H30/$L$30</f>
        <v>0.0067545649064523015</v>
      </c>
      <c r="J30" s="34">
        <v>11797.96</v>
      </c>
      <c r="K30" s="24">
        <f>J30/$L$30</f>
        <v>0.002859950387279999</v>
      </c>
      <c r="L30" s="45">
        <v>4125232.4</v>
      </c>
    </row>
    <row r="31" spans="1:12" ht="12">
      <c r="A31" s="21" t="s">
        <v>23</v>
      </c>
      <c r="B31" s="28">
        <v>1173059.9</v>
      </c>
      <c r="C31" s="18">
        <f>B31/$L$31</f>
        <v>0.7794243929172079</v>
      </c>
      <c r="D31" s="28">
        <v>218666.4</v>
      </c>
      <c r="E31" s="18">
        <f>D31/$L$31</f>
        <v>0.1452900453518114</v>
      </c>
      <c r="F31" s="28">
        <v>96859.3</v>
      </c>
      <c r="G31" s="18">
        <f>F31/$L$31</f>
        <v>0.06435690206517648</v>
      </c>
      <c r="H31" s="28">
        <v>15219.69</v>
      </c>
      <c r="I31" s="18">
        <f>H31/$L$31</f>
        <v>0.010112525062563387</v>
      </c>
      <c r="J31" s="28">
        <v>1228.354</v>
      </c>
      <c r="K31" s="18">
        <f>J31/$L$31</f>
        <v>0.0008161638384684567</v>
      </c>
      <c r="L31" s="46">
        <v>1505033.6</v>
      </c>
    </row>
    <row r="32" spans="1:12" ht="12">
      <c r="A32" s="22" t="s">
        <v>24</v>
      </c>
      <c r="B32" s="29">
        <v>1289632.9</v>
      </c>
      <c r="C32" s="19">
        <f>B32/$L$32</f>
        <v>0.720746519200564</v>
      </c>
      <c r="D32" s="29">
        <v>328388.8</v>
      </c>
      <c r="E32" s="19">
        <f>D32/$L$32</f>
        <v>0.18352903725118222</v>
      </c>
      <c r="F32" s="29">
        <v>143372.2</v>
      </c>
      <c r="G32" s="19">
        <f>F32/$L$32</f>
        <v>0.08012746425756284</v>
      </c>
      <c r="H32" s="29">
        <v>22203.77</v>
      </c>
      <c r="I32" s="19">
        <f>H32/$L$32</f>
        <v>0.012409182443026932</v>
      </c>
      <c r="J32" s="29">
        <v>5703.959</v>
      </c>
      <c r="K32" s="19">
        <f>J32/$L$32</f>
        <v>0.003187813055104852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11" ht="12">
      <c r="F34" s="5"/>
      <c r="G34" s="5"/>
      <c r="H34" s="5"/>
      <c r="I34" s="5"/>
      <c r="J34" s="5"/>
      <c r="K34" s="5"/>
    </row>
    <row r="35" spans="1:12" ht="12">
      <c r="A35" s="222" t="s">
        <v>25</v>
      </c>
      <c r="B35" s="220" t="s">
        <v>77</v>
      </c>
      <c r="C35" s="221"/>
      <c r="D35" s="220">
        <v>2</v>
      </c>
      <c r="E35" s="221"/>
      <c r="F35" s="220">
        <v>3</v>
      </c>
      <c r="G35" s="221"/>
      <c r="H35" s="220">
        <v>4</v>
      </c>
      <c r="I35" s="221"/>
      <c r="J35" s="220" t="s">
        <v>78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892623.7</v>
      </c>
      <c r="C37" s="38">
        <f>B37/$L$37</f>
        <v>0.7059384247599232</v>
      </c>
      <c r="D37" s="37">
        <v>258131.74</v>
      </c>
      <c r="E37" s="38">
        <f>D37/$L$37</f>
        <v>0.20414550265261616</v>
      </c>
      <c r="F37" s="37">
        <v>99819.01</v>
      </c>
      <c r="G37" s="38">
        <f>F37/$L$37</f>
        <v>0.0789426436699978</v>
      </c>
      <c r="H37" s="37">
        <v>11967.94</v>
      </c>
      <c r="I37" s="38">
        <f>H37/$L$37</f>
        <v>0.009464938821612373</v>
      </c>
      <c r="J37" s="37">
        <v>1907.4347</v>
      </c>
      <c r="K37" s="38">
        <f>J37/$L$37</f>
        <v>0.0015085096300382981</v>
      </c>
      <c r="L37" s="45">
        <v>1264449.8</v>
      </c>
    </row>
    <row r="38" spans="1:12" ht="12">
      <c r="A38" s="21" t="s">
        <v>27</v>
      </c>
      <c r="B38" s="28">
        <v>1905506.2</v>
      </c>
      <c r="C38" s="18">
        <f>B38/$L$38</f>
        <v>0.7614603607324302</v>
      </c>
      <c r="D38" s="28">
        <v>373967.25</v>
      </c>
      <c r="E38" s="18">
        <f>D38/$L$38</f>
        <v>0.14944125455331234</v>
      </c>
      <c r="F38" s="28">
        <v>181741.6</v>
      </c>
      <c r="G38" s="18">
        <f>F38/$L$38</f>
        <v>0.07262585883797651</v>
      </c>
      <c r="H38" s="28">
        <v>28938.79</v>
      </c>
      <c r="I38" s="18">
        <f>H38/$L$38</f>
        <v>0.011564245486349005</v>
      </c>
      <c r="J38" s="28">
        <v>12282.62</v>
      </c>
      <c r="K38" s="18">
        <f>J38/$L$38</f>
        <v>0.00490826440551039</v>
      </c>
      <c r="L38" s="46">
        <v>2502436.5</v>
      </c>
    </row>
    <row r="39" spans="1:12" ht="12">
      <c r="A39" s="23" t="s">
        <v>28</v>
      </c>
      <c r="B39" s="34">
        <v>2239598.5</v>
      </c>
      <c r="C39" s="24">
        <f>B39/$L$39</f>
        <v>0.7636922341422762</v>
      </c>
      <c r="D39" s="34">
        <v>465792.56</v>
      </c>
      <c r="E39" s="24">
        <f>D39/$L$39</f>
        <v>0.15883300546649332</v>
      </c>
      <c r="F39" s="34">
        <v>185769.4</v>
      </c>
      <c r="G39" s="24">
        <f>F39/$L$39</f>
        <v>0.06334646505669214</v>
      </c>
      <c r="H39" s="34">
        <v>22714.96</v>
      </c>
      <c r="I39" s="24">
        <f>H39/$L$39</f>
        <v>0.007745691270489972</v>
      </c>
      <c r="J39" s="34">
        <v>18717.54</v>
      </c>
      <c r="K39" s="24">
        <f>J39/$L$39</f>
        <v>0.006382590424242301</v>
      </c>
      <c r="L39" s="45">
        <v>2932593</v>
      </c>
    </row>
    <row r="40" spans="1:12" ht="12">
      <c r="A40" s="25" t="s">
        <v>29</v>
      </c>
      <c r="B40" s="40">
        <v>4324205.9</v>
      </c>
      <c r="C40" s="26">
        <f>B40/$L$40</f>
        <v>0.7897673922506944</v>
      </c>
      <c r="D40" s="40">
        <v>795277.8</v>
      </c>
      <c r="E40" s="26">
        <f>D40/$L$40</f>
        <v>0.145248512384868</v>
      </c>
      <c r="F40" s="40">
        <v>271092.91</v>
      </c>
      <c r="G40" s="26">
        <f>F40/$L$40</f>
        <v>0.0495120596797558</v>
      </c>
      <c r="H40" s="40">
        <v>61780.89</v>
      </c>
      <c r="I40" s="26">
        <f>H40/$L$40</f>
        <v>0.01128358212226365</v>
      </c>
      <c r="J40" s="40">
        <v>22932.99</v>
      </c>
      <c r="K40" s="26">
        <f>J40/$L$40</f>
        <v>0.004188451736031175</v>
      </c>
      <c r="L40" s="33">
        <v>5475290.5</v>
      </c>
    </row>
    <row r="41" ht="12">
      <c r="A41" s="4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1"/>
  <sheetViews>
    <sheetView showGridLines="0" zoomScale="90" zoomScaleNormal="90" zoomScalePageLayoutView="0" workbookViewId="0" topLeftCell="A1">
      <selection activeCell="M14" sqref="M14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10.281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81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77</v>
      </c>
      <c r="C12" s="221"/>
      <c r="D12" s="220">
        <v>2</v>
      </c>
      <c r="E12" s="221"/>
      <c r="F12" s="220">
        <v>3</v>
      </c>
      <c r="G12" s="221"/>
      <c r="H12" s="220">
        <v>4</v>
      </c>
      <c r="I12" s="221"/>
      <c r="J12" s="220" t="s">
        <v>78</v>
      </c>
      <c r="K12" s="221"/>
      <c r="L12" s="223" t="s">
        <v>12</v>
      </c>
    </row>
    <row r="13" spans="1:14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  <c r="N13" s="51"/>
    </row>
    <row r="14" spans="1:14" ht="24">
      <c r="A14" s="20" t="s">
        <v>3</v>
      </c>
      <c r="B14" s="27">
        <v>8220632.1</v>
      </c>
      <c r="C14" s="17">
        <f>B14/$L$14</f>
        <v>0.6752186776423702</v>
      </c>
      <c r="D14" s="27">
        <v>2088630.9</v>
      </c>
      <c r="E14" s="17">
        <f>D14/$L$14</f>
        <v>0.17155403346428721</v>
      </c>
      <c r="F14" s="27">
        <v>1362463.8</v>
      </c>
      <c r="G14" s="17">
        <f>F14/$L$14</f>
        <v>0.11190879170612669</v>
      </c>
      <c r="H14" s="27">
        <v>352004.6</v>
      </c>
      <c r="I14" s="17">
        <f>H14/$L$14</f>
        <v>0.028912628328912986</v>
      </c>
      <c r="J14" s="27">
        <v>151038.3</v>
      </c>
      <c r="K14" s="17">
        <f>J14/$L$14</f>
        <v>0.012405844217180283</v>
      </c>
      <c r="L14" s="30">
        <v>12174770</v>
      </c>
      <c r="M14" s="43"/>
      <c r="N14" s="51"/>
    </row>
    <row r="15" spans="1:14" ht="12">
      <c r="A15" s="21" t="s">
        <v>5</v>
      </c>
      <c r="B15" s="28">
        <v>3066705.3</v>
      </c>
      <c r="C15" s="18">
        <f>B15/$L$15</f>
        <v>0.6540574440041461</v>
      </c>
      <c r="D15" s="28">
        <v>836709.07</v>
      </c>
      <c r="E15" s="18">
        <f>D15/$L$15</f>
        <v>0.17845072876721677</v>
      </c>
      <c r="F15" s="28">
        <v>615904.5</v>
      </c>
      <c r="G15" s="18">
        <f>F15/$L$15</f>
        <v>0.1313582113744844</v>
      </c>
      <c r="H15" s="28">
        <v>119126.2</v>
      </c>
      <c r="I15" s="18">
        <f>H15/$L$15</f>
        <v>0.02540686836975392</v>
      </c>
      <c r="J15" s="28">
        <v>50295</v>
      </c>
      <c r="K15" s="18">
        <f>J15/$L$15</f>
        <v>0.010726762413782807</v>
      </c>
      <c r="L15" s="31">
        <v>4688740</v>
      </c>
      <c r="N15" s="51"/>
    </row>
    <row r="16" spans="1:12" ht="12">
      <c r="A16" s="22" t="s">
        <v>6</v>
      </c>
      <c r="B16" s="29">
        <v>5153926.8</v>
      </c>
      <c r="C16" s="19">
        <f>B16/$L$16</f>
        <v>0.6884726626184772</v>
      </c>
      <c r="D16" s="29">
        <v>1251921.9</v>
      </c>
      <c r="E16" s="19">
        <f>D16/$L$16</f>
        <v>0.1672344286852081</v>
      </c>
      <c r="F16" s="29">
        <v>746559.2</v>
      </c>
      <c r="G16" s="19">
        <f>F16/$L$16</f>
        <v>0.09972698879353897</v>
      </c>
      <c r="H16" s="29">
        <v>232878.4</v>
      </c>
      <c r="I16" s="19">
        <f>H16/$L$16</f>
        <v>0.031108399155830226</v>
      </c>
      <c r="J16" s="29">
        <v>100743.3</v>
      </c>
      <c r="K16" s="19">
        <f>J16/$L$16</f>
        <v>0.013457507388729703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77</v>
      </c>
      <c r="C19" s="221"/>
      <c r="D19" s="220">
        <v>2</v>
      </c>
      <c r="E19" s="221"/>
      <c r="F19" s="220">
        <v>3</v>
      </c>
      <c r="G19" s="221"/>
      <c r="H19" s="220">
        <v>4</v>
      </c>
      <c r="I19" s="221"/>
      <c r="J19" s="220" t="s">
        <v>78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502531.6</v>
      </c>
      <c r="C21" s="17">
        <f>B21/$L$21</f>
        <v>0.7022525868170674</v>
      </c>
      <c r="D21" s="37">
        <v>112587.2</v>
      </c>
      <c r="E21" s="17">
        <f>D21/$L$21</f>
        <v>0.1573326979686263</v>
      </c>
      <c r="F21" s="37">
        <v>72873.54</v>
      </c>
      <c r="G21" s="17">
        <f>F21/$L$21</f>
        <v>0.10183564968952605</v>
      </c>
      <c r="H21" s="37">
        <v>21273.408</v>
      </c>
      <c r="I21" s="17">
        <f>H21/$L$21</f>
        <v>0.029728092319796198</v>
      </c>
      <c r="J21" s="37">
        <v>6333.794</v>
      </c>
      <c r="K21" s="17">
        <f>J21/$L$21</f>
        <v>0.00885103189703179</v>
      </c>
      <c r="L21" s="39">
        <v>715599.5</v>
      </c>
    </row>
    <row r="22" spans="1:12" ht="12">
      <c r="A22" s="21" t="s">
        <v>17</v>
      </c>
      <c r="B22" s="28">
        <v>4864841.9</v>
      </c>
      <c r="C22" s="18">
        <f>B22/$L$22</f>
        <v>0.67578250725764</v>
      </c>
      <c r="D22" s="28">
        <v>1179855.8</v>
      </c>
      <c r="E22" s="18">
        <f>D22/$L$22</f>
        <v>0.16389554421624034</v>
      </c>
      <c r="F22" s="28">
        <v>871021.8</v>
      </c>
      <c r="G22" s="18">
        <f>F22/$L$22</f>
        <v>0.12099494864983436</v>
      </c>
      <c r="H22" s="28">
        <v>193616.2</v>
      </c>
      <c r="I22" s="18">
        <f>H22/$L$22</f>
        <v>0.026895517628578367</v>
      </c>
      <c r="J22" s="28">
        <v>89492.14</v>
      </c>
      <c r="K22" s="18">
        <f>J22/$L$22</f>
        <v>0.012431487804167229</v>
      </c>
      <c r="L22" s="31">
        <v>7198827.8</v>
      </c>
    </row>
    <row r="23" spans="1:12" ht="12">
      <c r="A23" s="22" t="s">
        <v>18</v>
      </c>
      <c r="B23" s="29">
        <v>2853258.6</v>
      </c>
      <c r="C23" s="19">
        <f>B23/$L$23</f>
        <v>0.6697251845297693</v>
      </c>
      <c r="D23" s="29">
        <v>796187.9</v>
      </c>
      <c r="E23" s="19">
        <f>D23/$L$23</f>
        <v>0.1868835472003377</v>
      </c>
      <c r="F23" s="29">
        <v>418568.4</v>
      </c>
      <c r="G23" s="19">
        <f>F23/$L$23</f>
        <v>0.09824759624954088</v>
      </c>
      <c r="H23" s="29">
        <v>137115</v>
      </c>
      <c r="I23" s="19">
        <f>H23/$L$23</f>
        <v>0.03218403290777755</v>
      </c>
      <c r="J23" s="29">
        <v>55212.4</v>
      </c>
      <c r="K23" s="19">
        <f>J23/$L$23</f>
        <v>0.012959615640282808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222" t="s">
        <v>19</v>
      </c>
      <c r="B26" s="220" t="s">
        <v>77</v>
      </c>
      <c r="C26" s="221"/>
      <c r="D26" s="220">
        <v>2</v>
      </c>
      <c r="E26" s="221"/>
      <c r="F26" s="220">
        <v>3</v>
      </c>
      <c r="G26" s="221"/>
      <c r="H26" s="220">
        <v>4</v>
      </c>
      <c r="I26" s="221"/>
      <c r="J26" s="220" t="s">
        <v>78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1015364.6</v>
      </c>
      <c r="C28" s="38">
        <f>B28/$L$28</f>
        <v>0.7089282410300415</v>
      </c>
      <c r="D28" s="37">
        <v>231299.7</v>
      </c>
      <c r="E28" s="38">
        <f>D28/$L$28</f>
        <v>0.16149360483099007</v>
      </c>
      <c r="F28" s="37">
        <v>126446.5</v>
      </c>
      <c r="G28" s="38">
        <f>F28/$L$28</f>
        <v>0.08828503064751828</v>
      </c>
      <c r="H28" s="37">
        <v>50275.3</v>
      </c>
      <c r="I28" s="38">
        <f>H28/$L$28</f>
        <v>0.035102247996687735</v>
      </c>
      <c r="J28" s="37">
        <v>8866.851</v>
      </c>
      <c r="K28" s="38">
        <f>J28/$L$28</f>
        <v>0.006190841282929762</v>
      </c>
      <c r="L28" s="45">
        <v>1432253</v>
      </c>
    </row>
    <row r="29" spans="1:12" ht="12">
      <c r="A29" s="21" t="s">
        <v>21</v>
      </c>
      <c r="B29" s="28">
        <v>2368000.9</v>
      </c>
      <c r="C29" s="18">
        <f>B29/$L$29</f>
        <v>0.7126202531173211</v>
      </c>
      <c r="D29" s="28">
        <v>532767.2</v>
      </c>
      <c r="E29" s="18">
        <f>D29/$L$29</f>
        <v>0.16032962526180056</v>
      </c>
      <c r="F29" s="28">
        <v>280596.9</v>
      </c>
      <c r="G29" s="18">
        <f>F29/$L$29</f>
        <v>0.08444212749325208</v>
      </c>
      <c r="H29" s="28">
        <v>84012.13</v>
      </c>
      <c r="I29" s="18">
        <f>H29/$L$29</f>
        <v>0.025282399742975307</v>
      </c>
      <c r="J29" s="28">
        <v>57572.09</v>
      </c>
      <c r="K29" s="18">
        <f>J29/$L$29</f>
        <v>0.017325600403400688</v>
      </c>
      <c r="L29" s="46">
        <v>3322949.2</v>
      </c>
    </row>
    <row r="30" spans="1:12" ht="12">
      <c r="A30" s="23" t="s">
        <v>22</v>
      </c>
      <c r="B30" s="34">
        <v>2849046.7</v>
      </c>
      <c r="C30" s="24">
        <f>B30/$L$30</f>
        <v>0.69063907769172</v>
      </c>
      <c r="D30" s="34">
        <v>708340.6</v>
      </c>
      <c r="E30" s="24">
        <f>D30/$L$30</f>
        <v>0.17170925933772846</v>
      </c>
      <c r="F30" s="34">
        <v>420278.5</v>
      </c>
      <c r="G30" s="24">
        <f>F30/$L$30</f>
        <v>0.10187995711465857</v>
      </c>
      <c r="H30" s="34">
        <v>93400.74</v>
      </c>
      <c r="I30" s="24">
        <f>H30/$L$30</f>
        <v>0.022641328037664013</v>
      </c>
      <c r="J30" s="34">
        <v>54165.78</v>
      </c>
      <c r="K30" s="24">
        <f>J30/$L$30</f>
        <v>0.013130358425382288</v>
      </c>
      <c r="L30" s="45">
        <v>4125232.4</v>
      </c>
    </row>
    <row r="31" spans="1:12" ht="12">
      <c r="A31" s="21" t="s">
        <v>23</v>
      </c>
      <c r="B31" s="28">
        <v>1026027.4</v>
      </c>
      <c r="C31" s="18">
        <f>B31/$L$31</f>
        <v>0.6817305606997743</v>
      </c>
      <c r="D31" s="28">
        <v>292241.95</v>
      </c>
      <c r="E31" s="18">
        <f>D31/$L$31</f>
        <v>0.1941763625742309</v>
      </c>
      <c r="F31" s="28">
        <v>127304.5</v>
      </c>
      <c r="G31" s="18">
        <f>F31/$L$31</f>
        <v>0.08458581921360427</v>
      </c>
      <c r="H31" s="28">
        <v>44750.26</v>
      </c>
      <c r="I31" s="18">
        <f>H31/$L$31</f>
        <v>0.02973372820380887</v>
      </c>
      <c r="J31" s="28">
        <v>14709.5</v>
      </c>
      <c r="K31" s="18">
        <f>J31/$L$31</f>
        <v>0.009773535952951481</v>
      </c>
      <c r="L31" s="46">
        <v>1505033.6</v>
      </c>
    </row>
    <row r="32" spans="1:12" ht="12">
      <c r="A32" s="22" t="s">
        <v>24</v>
      </c>
      <c r="B32" s="29">
        <v>962192.5</v>
      </c>
      <c r="C32" s="19">
        <f>B32/$L$32</f>
        <v>0.5377475211557403</v>
      </c>
      <c r="D32" s="29">
        <v>323981.5</v>
      </c>
      <c r="E32" s="19">
        <f>D32/$L$32</f>
        <v>0.18106589744289056</v>
      </c>
      <c r="F32" s="29">
        <v>407837.3</v>
      </c>
      <c r="G32" s="19">
        <f>F32/$L$32</f>
        <v>0.22793099832918048</v>
      </c>
      <c r="H32" s="29">
        <v>79566.182</v>
      </c>
      <c r="I32" s="19">
        <f>H32/$L$32</f>
        <v>0.04446773087331951</v>
      </c>
      <c r="J32" s="29">
        <v>15724.11</v>
      </c>
      <c r="K32" s="19">
        <f>J32/$L$32</f>
        <v>0.008787847727850911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11" ht="12">
      <c r="F34" s="5"/>
      <c r="G34" s="5"/>
      <c r="H34" s="5"/>
      <c r="I34" s="5"/>
      <c r="J34" s="5"/>
      <c r="K34" s="5"/>
    </row>
    <row r="35" spans="1:12" ht="12">
      <c r="A35" s="222" t="s">
        <v>25</v>
      </c>
      <c r="B35" s="220" t="s">
        <v>77</v>
      </c>
      <c r="C35" s="221"/>
      <c r="D35" s="220">
        <v>2</v>
      </c>
      <c r="E35" s="221"/>
      <c r="F35" s="220">
        <v>3</v>
      </c>
      <c r="G35" s="221"/>
      <c r="H35" s="220">
        <v>4</v>
      </c>
      <c r="I35" s="221"/>
      <c r="J35" s="220" t="s">
        <v>78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747944.8</v>
      </c>
      <c r="C37" s="38">
        <f>B37/$L$37</f>
        <v>0.5915179867164359</v>
      </c>
      <c r="D37" s="37">
        <v>281719</v>
      </c>
      <c r="E37" s="38">
        <f>D37/$L$37</f>
        <v>0.2227996714460313</v>
      </c>
      <c r="F37" s="37">
        <v>185707.9</v>
      </c>
      <c r="G37" s="38">
        <f>F37/$L$37</f>
        <v>0.14686854314026543</v>
      </c>
      <c r="H37" s="37">
        <v>39677.78</v>
      </c>
      <c r="I37" s="38">
        <f>H37/$L$37</f>
        <v>0.03137948220641104</v>
      </c>
      <c r="J37" s="37">
        <v>9400.258</v>
      </c>
      <c r="K37" s="38">
        <f>J37/$L$37</f>
        <v>0.007434267457672103</v>
      </c>
      <c r="L37" s="45">
        <v>1264449.8</v>
      </c>
    </row>
    <row r="38" spans="1:12" ht="12">
      <c r="A38" s="21" t="s">
        <v>27</v>
      </c>
      <c r="B38" s="28">
        <v>1659751.8</v>
      </c>
      <c r="C38" s="18">
        <f>B38/$L$38</f>
        <v>0.6632543123471865</v>
      </c>
      <c r="D38" s="28">
        <v>399023.3</v>
      </c>
      <c r="E38" s="18">
        <f>D38/$L$38</f>
        <v>0.15945391621325855</v>
      </c>
      <c r="F38" s="28">
        <v>304890.8</v>
      </c>
      <c r="G38" s="18">
        <f>F38/$L$38</f>
        <v>0.12183757709736091</v>
      </c>
      <c r="H38" s="28">
        <v>87799.497</v>
      </c>
      <c r="I38" s="18">
        <f>H38/$L$38</f>
        <v>0.03508560436998102</v>
      </c>
      <c r="J38" s="28">
        <v>50971.1</v>
      </c>
      <c r="K38" s="18">
        <f>J38/$L$38</f>
        <v>0.020368588773381463</v>
      </c>
      <c r="L38" s="46">
        <v>2502436.5</v>
      </c>
    </row>
    <row r="39" spans="1:12" ht="12">
      <c r="A39" s="23" t="s">
        <v>28</v>
      </c>
      <c r="B39" s="34">
        <v>1992784.4</v>
      </c>
      <c r="C39" s="24">
        <f>B39/$L$39</f>
        <v>0.6795298222426365</v>
      </c>
      <c r="D39" s="34">
        <v>469817.3</v>
      </c>
      <c r="E39" s="24">
        <f>D39/$L$39</f>
        <v>0.16020542230033283</v>
      </c>
      <c r="F39" s="34">
        <v>366600.59</v>
      </c>
      <c r="G39" s="24">
        <f>F39/$L$39</f>
        <v>0.1250090244367357</v>
      </c>
      <c r="H39" s="34">
        <v>70478.07</v>
      </c>
      <c r="I39" s="24">
        <f>H39/$L$39</f>
        <v>0.02403268029351499</v>
      </c>
      <c r="J39" s="34">
        <v>32912.68</v>
      </c>
      <c r="K39" s="24">
        <f>J39/$L$39</f>
        <v>0.011223064366586159</v>
      </c>
      <c r="L39" s="45">
        <v>2932593</v>
      </c>
    </row>
    <row r="40" spans="1:12" ht="12">
      <c r="A40" s="25" t="s">
        <v>29</v>
      </c>
      <c r="B40" s="40">
        <v>3820151</v>
      </c>
      <c r="C40" s="26">
        <f>B40/$L$40</f>
        <v>0.6977074549743069</v>
      </c>
      <c r="D40" s="40">
        <v>938071.4</v>
      </c>
      <c r="E40" s="26">
        <f>D40/$L$40</f>
        <v>0.1713281514469415</v>
      </c>
      <c r="F40" s="40">
        <v>505264.5</v>
      </c>
      <c r="G40" s="26">
        <f>F40/$L$40</f>
        <v>0.09228085706137419</v>
      </c>
      <c r="H40" s="40">
        <v>154049.3</v>
      </c>
      <c r="I40" s="26">
        <f>H40/$L$40</f>
        <v>0.028135365602975766</v>
      </c>
      <c r="J40" s="40">
        <v>57754.3</v>
      </c>
      <c r="K40" s="26">
        <f>J40/$L$40</f>
        <v>0.010548170914401711</v>
      </c>
      <c r="L40" s="33">
        <v>5475290.5</v>
      </c>
    </row>
    <row r="41" ht="12">
      <c r="A41" s="4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1"/>
  <sheetViews>
    <sheetView showGridLines="0" zoomScale="90" zoomScaleNormal="90" zoomScalePageLayoutView="0" workbookViewId="0" topLeftCell="A1">
      <selection activeCell="N34" sqref="N34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82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77</v>
      </c>
      <c r="C12" s="221"/>
      <c r="D12" s="220">
        <v>2</v>
      </c>
      <c r="E12" s="221"/>
      <c r="F12" s="220">
        <v>3</v>
      </c>
      <c r="G12" s="221"/>
      <c r="H12" s="220">
        <v>4</v>
      </c>
      <c r="I12" s="221"/>
      <c r="J12" s="220" t="s">
        <v>78</v>
      </c>
      <c r="K12" s="221"/>
      <c r="L12" s="223" t="s">
        <v>12</v>
      </c>
    </row>
    <row r="13" spans="1:14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  <c r="N13" s="51"/>
    </row>
    <row r="14" spans="1:14" ht="24">
      <c r="A14" s="20" t="s">
        <v>3</v>
      </c>
      <c r="B14" s="27">
        <v>1186941.8</v>
      </c>
      <c r="C14" s="17">
        <f>B14/$L$14</f>
        <v>0.09749192797892692</v>
      </c>
      <c r="D14" s="27">
        <v>1073747.8</v>
      </c>
      <c r="E14" s="17">
        <f>D14/$L$14</f>
        <v>0.08819450387974476</v>
      </c>
      <c r="F14" s="27">
        <v>3421571.1</v>
      </c>
      <c r="G14" s="17">
        <f>F14/$L$14</f>
        <v>0.28103784301469353</v>
      </c>
      <c r="H14" s="27">
        <v>3872748.8</v>
      </c>
      <c r="I14" s="17">
        <f>H14/$L$14</f>
        <v>0.31809625972400296</v>
      </c>
      <c r="J14" s="27">
        <v>2619760.2</v>
      </c>
      <c r="K14" s="17">
        <f>J14/$L$14</f>
        <v>0.21517944076150927</v>
      </c>
      <c r="L14" s="30">
        <v>12174770</v>
      </c>
      <c r="N14" s="51"/>
    </row>
    <row r="15" spans="1:14" ht="12">
      <c r="A15" s="21" t="s">
        <v>5</v>
      </c>
      <c r="B15" s="28">
        <v>437015</v>
      </c>
      <c r="C15" s="18">
        <f>B15/$L$15</f>
        <v>0.09320521078157458</v>
      </c>
      <c r="D15" s="28">
        <v>386171.24</v>
      </c>
      <c r="E15" s="18">
        <f>D15/$L$15</f>
        <v>0.0823614105282016</v>
      </c>
      <c r="F15" s="28">
        <v>1251258.6</v>
      </c>
      <c r="G15" s="18">
        <f>F15/$L$15</f>
        <v>0.2668645734248434</v>
      </c>
      <c r="H15" s="28">
        <v>1647136.3</v>
      </c>
      <c r="I15" s="18">
        <f>H15/$L$15</f>
        <v>0.35129614779237067</v>
      </c>
      <c r="J15" s="28">
        <v>967158.9</v>
      </c>
      <c r="K15" s="18">
        <f>J15/$L$15</f>
        <v>0.2062726660040864</v>
      </c>
      <c r="L15" s="31">
        <v>4688740</v>
      </c>
      <c r="N15" s="51"/>
    </row>
    <row r="16" spans="1:12" ht="12">
      <c r="A16" s="22" t="s">
        <v>6</v>
      </c>
      <c r="B16" s="29">
        <v>749926.8</v>
      </c>
      <c r="C16" s="19">
        <f>B16/$L$16</f>
        <v>0.10017684006783997</v>
      </c>
      <c r="D16" s="29">
        <v>687576.6</v>
      </c>
      <c r="E16" s="19">
        <f>D16/$L$16</f>
        <v>0.09184796581824942</v>
      </c>
      <c r="F16" s="29">
        <v>2170312.6</v>
      </c>
      <c r="G16" s="19">
        <f>F16/$L$16</f>
        <v>0.289915040011129</v>
      </c>
      <c r="H16" s="29">
        <v>2225612.5</v>
      </c>
      <c r="I16" s="19">
        <f>H16/$L$16</f>
        <v>0.29730211997422346</v>
      </c>
      <c r="J16" s="29">
        <v>1652601.3</v>
      </c>
      <c r="K16" s="19">
        <f>J16/$L$16</f>
        <v>0.22075804748677394</v>
      </c>
      <c r="L16" s="32">
        <v>7486029.7</v>
      </c>
    </row>
    <row r="17" spans="1:11" ht="12">
      <c r="A17" s="4" t="s">
        <v>31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2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2" ht="12">
      <c r="A19" s="222" t="s">
        <v>15</v>
      </c>
      <c r="B19" s="220" t="s">
        <v>77</v>
      </c>
      <c r="C19" s="221"/>
      <c r="D19" s="220">
        <v>2</v>
      </c>
      <c r="E19" s="221"/>
      <c r="F19" s="220">
        <v>3</v>
      </c>
      <c r="G19" s="221"/>
      <c r="H19" s="220">
        <v>4</v>
      </c>
      <c r="I19" s="221"/>
      <c r="J19" s="220" t="s">
        <v>78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4" ht="12">
      <c r="A21" s="36" t="s">
        <v>16</v>
      </c>
      <c r="B21" s="37">
        <v>47308.37</v>
      </c>
      <c r="C21" s="17">
        <f>B21/$L$21</f>
        <v>0.06611012165324319</v>
      </c>
      <c r="D21" s="37">
        <v>89087.31</v>
      </c>
      <c r="E21" s="17">
        <f>D21/$L$21</f>
        <v>0.12449325355872942</v>
      </c>
      <c r="F21" s="37">
        <v>228871.1</v>
      </c>
      <c r="G21" s="17">
        <f>F21/$L$21</f>
        <v>0.3198312743371118</v>
      </c>
      <c r="H21" s="37">
        <v>215566.2</v>
      </c>
      <c r="I21" s="17">
        <f>H21/$L$21</f>
        <v>0.30123861182127715</v>
      </c>
      <c r="J21" s="37">
        <v>134766.6</v>
      </c>
      <c r="K21" s="17">
        <f>J21/$L$21</f>
        <v>0.18832685042401512</v>
      </c>
      <c r="L21" s="39">
        <v>715599.5</v>
      </c>
      <c r="N21" s="4" t="s">
        <v>0</v>
      </c>
    </row>
    <row r="22" spans="1:12" ht="12">
      <c r="A22" s="21" t="s">
        <v>17</v>
      </c>
      <c r="B22" s="28">
        <v>757351.07</v>
      </c>
      <c r="C22" s="18">
        <f>B22/$L$22</f>
        <v>0.10520477653320169</v>
      </c>
      <c r="D22" s="28">
        <v>652581.5</v>
      </c>
      <c r="E22" s="18">
        <f>D22/$L$22</f>
        <v>0.09065107794355076</v>
      </c>
      <c r="F22" s="28">
        <v>2021182.4</v>
      </c>
      <c r="G22" s="18">
        <f>F22/$L$22</f>
        <v>0.2807654879590258</v>
      </c>
      <c r="H22" s="28">
        <v>2199723.1</v>
      </c>
      <c r="I22" s="18">
        <f>H22/$L$22</f>
        <v>0.3055668452022147</v>
      </c>
      <c r="J22" s="28">
        <v>1567989.9</v>
      </c>
      <c r="K22" s="18">
        <f>J22/$L$22</f>
        <v>0.2178118359769628</v>
      </c>
      <c r="L22" s="31">
        <v>7198827.8</v>
      </c>
    </row>
    <row r="23" spans="1:12" ht="12">
      <c r="A23" s="22" t="s">
        <v>18</v>
      </c>
      <c r="B23" s="29">
        <v>382282.4</v>
      </c>
      <c r="C23" s="19">
        <f>B23/$L$23</f>
        <v>0.08973044044535011</v>
      </c>
      <c r="D23" s="29">
        <v>332079.1</v>
      </c>
      <c r="E23" s="19">
        <f>D23/$L$23</f>
        <v>0.07794657537384787</v>
      </c>
      <c r="F23" s="29">
        <v>1171517.6</v>
      </c>
      <c r="G23" s="19">
        <f>F23/$L$23</f>
        <v>0.27498202961339446</v>
      </c>
      <c r="H23" s="29">
        <v>1457459.5</v>
      </c>
      <c r="I23" s="19">
        <f>H23/$L$23</f>
        <v>0.34209914677280395</v>
      </c>
      <c r="J23" s="29">
        <v>917003.7</v>
      </c>
      <c r="K23" s="19">
        <f>J23/$L$23</f>
        <v>0.21524178432231172</v>
      </c>
      <c r="L23" s="32">
        <v>4260342.4</v>
      </c>
    </row>
    <row r="24" spans="1:11" ht="12">
      <c r="A24" s="4" t="s">
        <v>31</v>
      </c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  <row r="26" spans="1:12" ht="12">
      <c r="A26" s="222" t="s">
        <v>19</v>
      </c>
      <c r="B26" s="220" t="s">
        <v>77</v>
      </c>
      <c r="C26" s="221"/>
      <c r="D26" s="220">
        <v>2</v>
      </c>
      <c r="E26" s="221"/>
      <c r="F26" s="220">
        <v>3</v>
      </c>
      <c r="G26" s="221"/>
      <c r="H26" s="220">
        <v>4</v>
      </c>
      <c r="I26" s="221"/>
      <c r="J26" s="220" t="s">
        <v>78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207208.8</v>
      </c>
      <c r="C28" s="38">
        <f>B28/$L$28</f>
        <v>0.1446733223808922</v>
      </c>
      <c r="D28" s="37">
        <v>162318.9</v>
      </c>
      <c r="E28" s="38">
        <f>D28/$L$28</f>
        <v>0.11333116425659433</v>
      </c>
      <c r="F28" s="37">
        <v>425404.5</v>
      </c>
      <c r="G28" s="38">
        <f>F28/$L$28</f>
        <v>0.297017705670716</v>
      </c>
      <c r="H28" s="37">
        <v>359673</v>
      </c>
      <c r="I28" s="38">
        <f>H28/$L$28</f>
        <v>0.25112392852380133</v>
      </c>
      <c r="J28" s="37">
        <v>277647.8</v>
      </c>
      <c r="K28" s="38">
        <f>J28/$L$28</f>
        <v>0.19385387916799615</v>
      </c>
      <c r="L28" s="45">
        <v>1432253</v>
      </c>
    </row>
    <row r="29" spans="1:12" ht="12">
      <c r="A29" s="21" t="s">
        <v>21</v>
      </c>
      <c r="B29" s="28">
        <v>414581.9</v>
      </c>
      <c r="C29" s="18">
        <f>B29/$L$29</f>
        <v>0.12476323742776448</v>
      </c>
      <c r="D29" s="28">
        <v>303059.5</v>
      </c>
      <c r="E29" s="18">
        <f>D29/$L$29</f>
        <v>0.0912019660126011</v>
      </c>
      <c r="F29" s="28">
        <v>935128.37</v>
      </c>
      <c r="G29" s="18">
        <f>F29/$L$29</f>
        <v>0.2814151868466722</v>
      </c>
      <c r="H29" s="28">
        <v>1038010.1</v>
      </c>
      <c r="I29" s="18">
        <f>H29/$L$29</f>
        <v>0.3123761566983931</v>
      </c>
      <c r="J29" s="28">
        <v>632169.4</v>
      </c>
      <c r="K29" s="18">
        <f>J29/$L$29</f>
        <v>0.19024347408019357</v>
      </c>
      <c r="L29" s="46">
        <v>3322949.2</v>
      </c>
    </row>
    <row r="30" spans="1:12" ht="12">
      <c r="A30" s="23" t="s">
        <v>22</v>
      </c>
      <c r="B30" s="34">
        <v>400706.3</v>
      </c>
      <c r="C30" s="24">
        <f>B30/$L$30</f>
        <v>0.09713544865981369</v>
      </c>
      <c r="D30" s="34">
        <v>355236.49</v>
      </c>
      <c r="E30" s="24">
        <f>D30/$L$30</f>
        <v>0.08611308541065468</v>
      </c>
      <c r="F30" s="34">
        <v>1221830.7</v>
      </c>
      <c r="G30" s="24">
        <f>F30/$L$30</f>
        <v>0.2961846949519741</v>
      </c>
      <c r="H30" s="34">
        <v>1293260.3</v>
      </c>
      <c r="I30" s="24">
        <f>H30/$L$30</f>
        <v>0.31349998608563245</v>
      </c>
      <c r="J30" s="34">
        <v>854198.5</v>
      </c>
      <c r="K30" s="24">
        <f>J30/$L$30</f>
        <v>0.20706675822676077</v>
      </c>
      <c r="L30" s="45">
        <v>4125232.4</v>
      </c>
    </row>
    <row r="31" spans="1:12" ht="12">
      <c r="A31" s="21" t="s">
        <v>23</v>
      </c>
      <c r="B31" s="28">
        <v>98011.01</v>
      </c>
      <c r="C31" s="18">
        <f>B31/$L$31</f>
        <v>0.06512214079473043</v>
      </c>
      <c r="D31" s="28">
        <v>136139.1</v>
      </c>
      <c r="E31" s="18">
        <f>D31/$L$31</f>
        <v>0.09045585427461553</v>
      </c>
      <c r="F31" s="28">
        <v>400435.5</v>
      </c>
      <c r="G31" s="18">
        <f>F31/$L$31</f>
        <v>0.26606415963072183</v>
      </c>
      <c r="H31" s="28">
        <v>478733.2</v>
      </c>
      <c r="I31" s="18">
        <f>H31/$L$31</f>
        <v>0.31808804800105456</v>
      </c>
      <c r="J31" s="28">
        <v>391714.7</v>
      </c>
      <c r="K31" s="18">
        <f>J31/$L$31</f>
        <v>0.2602697374995482</v>
      </c>
      <c r="L31" s="46">
        <v>1505033.6</v>
      </c>
    </row>
    <row r="32" spans="1:12" ht="12">
      <c r="A32" s="22" t="s">
        <v>24</v>
      </c>
      <c r="B32" s="29">
        <v>66433.78</v>
      </c>
      <c r="C32" s="19">
        <f>B32/$L$32</f>
        <v>0.037128329846684315</v>
      </c>
      <c r="D32" s="29">
        <v>116993.8</v>
      </c>
      <c r="E32" s="19">
        <f>D32/$L$32</f>
        <v>0.06538517598151145</v>
      </c>
      <c r="F32" s="29">
        <v>438772.1</v>
      </c>
      <c r="G32" s="19">
        <f>F32/$L$32</f>
        <v>0.2452197550150293</v>
      </c>
      <c r="H32" s="29">
        <v>703072.14</v>
      </c>
      <c r="I32" s="19">
        <f>H32/$L$32</f>
        <v>0.39293104080385327</v>
      </c>
      <c r="J32" s="29">
        <v>464029.8</v>
      </c>
      <c r="K32" s="19">
        <f>J32/$L$32</f>
        <v>0.2593357095304671</v>
      </c>
      <c r="L32" s="32">
        <v>1789301.6</v>
      </c>
    </row>
    <row r="33" spans="1:11" ht="12">
      <c r="A33" s="4" t="s">
        <v>31</v>
      </c>
      <c r="F33" s="5"/>
      <c r="G33" s="5"/>
      <c r="H33" s="5"/>
      <c r="I33" s="5"/>
      <c r="J33" s="5"/>
      <c r="K33" s="5"/>
    </row>
    <row r="34" spans="6:11" ht="12">
      <c r="F34" s="5"/>
      <c r="G34" s="5"/>
      <c r="H34" s="5"/>
      <c r="I34" s="5"/>
      <c r="J34" s="5"/>
      <c r="K34" s="5"/>
    </row>
    <row r="35" spans="1:12" ht="12">
      <c r="A35" s="222" t="s">
        <v>25</v>
      </c>
      <c r="B35" s="220" t="s">
        <v>77</v>
      </c>
      <c r="C35" s="221"/>
      <c r="D35" s="220">
        <v>2</v>
      </c>
      <c r="E35" s="221"/>
      <c r="F35" s="220">
        <v>3</v>
      </c>
      <c r="G35" s="221"/>
      <c r="H35" s="220">
        <v>4</v>
      </c>
      <c r="I35" s="221"/>
      <c r="J35" s="220" t="s">
        <v>78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116728.26</v>
      </c>
      <c r="C37" s="38">
        <f>B37/$L$37</f>
        <v>0.09231545609798032</v>
      </c>
      <c r="D37" s="37">
        <v>110421.9</v>
      </c>
      <c r="E37" s="38">
        <f>D37/$L$37</f>
        <v>0.0873280220377274</v>
      </c>
      <c r="F37" s="37">
        <v>328054.8</v>
      </c>
      <c r="G37" s="38">
        <f>F37/$L$37</f>
        <v>0.25944470077024806</v>
      </c>
      <c r="H37" s="37">
        <v>468678.7</v>
      </c>
      <c r="I37" s="38">
        <f>H37/$L$37</f>
        <v>0.37065821039316865</v>
      </c>
      <c r="J37" s="37">
        <v>240566.1</v>
      </c>
      <c r="K37" s="38">
        <f>J37/$L$37</f>
        <v>0.19025357906656318</v>
      </c>
      <c r="L37" s="45">
        <v>1264449.8</v>
      </c>
    </row>
    <row r="38" spans="1:12" ht="12">
      <c r="A38" s="21" t="s">
        <v>27</v>
      </c>
      <c r="B38" s="28">
        <v>207265.7</v>
      </c>
      <c r="C38" s="18">
        <f>B38/$L$38</f>
        <v>0.0828255582109676</v>
      </c>
      <c r="D38" s="28">
        <v>226262.1</v>
      </c>
      <c r="E38" s="18">
        <f>D38/$L$38</f>
        <v>0.09041671986481975</v>
      </c>
      <c r="F38" s="28">
        <v>618136.2</v>
      </c>
      <c r="G38" s="18">
        <f>F38/$L$38</f>
        <v>0.24701374040859775</v>
      </c>
      <c r="H38" s="28">
        <v>911920.7</v>
      </c>
      <c r="I38" s="18">
        <f>H38/$L$38</f>
        <v>0.36441312297035305</v>
      </c>
      <c r="J38" s="28">
        <v>538851.8</v>
      </c>
      <c r="K38" s="18">
        <f>J38/$L$38</f>
        <v>0.2153308585452618</v>
      </c>
      <c r="L38" s="46">
        <v>2502436.5</v>
      </c>
    </row>
    <row r="39" spans="1:12" ht="12">
      <c r="A39" s="23" t="s">
        <v>28</v>
      </c>
      <c r="B39" s="34">
        <v>269077.97</v>
      </c>
      <c r="C39" s="24">
        <f>B39/$L$39</f>
        <v>0.09175428366636625</v>
      </c>
      <c r="D39" s="34">
        <v>251233.3</v>
      </c>
      <c r="E39" s="24">
        <f>D39/$L$39</f>
        <v>0.08566933768170353</v>
      </c>
      <c r="F39" s="34">
        <v>829099.3</v>
      </c>
      <c r="G39" s="24">
        <f>F39/$L$39</f>
        <v>0.2827188430170842</v>
      </c>
      <c r="H39" s="34">
        <v>1002529</v>
      </c>
      <c r="I39" s="24">
        <f>H39/$L$39</f>
        <v>0.34185753017892356</v>
      </c>
      <c r="J39" s="34">
        <v>580653.5</v>
      </c>
      <c r="K39" s="24">
        <f>J39/$L$39</f>
        <v>0.1980000293255832</v>
      </c>
      <c r="L39" s="45">
        <v>2932593</v>
      </c>
    </row>
    <row r="40" spans="1:12" ht="12">
      <c r="A40" s="25" t="s">
        <v>29</v>
      </c>
      <c r="B40" s="40">
        <v>593870</v>
      </c>
      <c r="C40" s="26">
        <f>B40/$L$40</f>
        <v>0.1084636513806893</v>
      </c>
      <c r="D40" s="40">
        <v>485830.49</v>
      </c>
      <c r="E40" s="26">
        <f>D40/$L$40</f>
        <v>0.08873145452282395</v>
      </c>
      <c r="F40" s="40">
        <v>1646280.9</v>
      </c>
      <c r="G40" s="26">
        <f>F40/$L$40</f>
        <v>0.30067462173924836</v>
      </c>
      <c r="H40" s="40">
        <v>1489620.4</v>
      </c>
      <c r="I40" s="26">
        <f>H40/$L$40</f>
        <v>0.2720623499337615</v>
      </c>
      <c r="J40" s="40">
        <v>1259688.8</v>
      </c>
      <c r="K40" s="26">
        <f>J40/$L$40</f>
        <v>0.2300679388609609</v>
      </c>
      <c r="L40" s="33">
        <v>5475290.5</v>
      </c>
    </row>
    <row r="41" ht="12">
      <c r="A41" s="4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L41"/>
  <sheetViews>
    <sheetView showGridLines="0" zoomScale="90" zoomScaleNormal="90" zoomScalePageLayoutView="0" workbookViewId="0" topLeftCell="A1">
      <selection activeCell="L32" sqref="L32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3.140625" style="61" customWidth="1"/>
    <col min="9" max="16384" width="11.421875" style="61" customWidth="1"/>
  </cols>
  <sheetData>
    <row r="1" ht="12"/>
    <row r="2" ht="12"/>
    <row r="3" ht="12"/>
    <row r="4" ht="12"/>
    <row r="5" ht="12"/>
    <row r="6" spans="1:12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 customHeight="1">
      <c r="A7" s="60" t="s">
        <v>83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0"/>
      <c r="J10" s="60"/>
      <c r="K10" s="60"/>
      <c r="L10" s="60"/>
    </row>
    <row r="11" spans="1:12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2" ht="20.25" customHeight="1">
      <c r="A12" s="238"/>
      <c r="B12" s="233" t="s">
        <v>77</v>
      </c>
      <c r="C12" s="234"/>
      <c r="D12" s="233">
        <v>2</v>
      </c>
      <c r="E12" s="234"/>
      <c r="F12" s="233">
        <v>3</v>
      </c>
      <c r="G12" s="234"/>
      <c r="H12" s="233">
        <v>4</v>
      </c>
      <c r="I12" s="234"/>
      <c r="J12" s="233" t="s">
        <v>78</v>
      </c>
      <c r="K12" s="234"/>
      <c r="L12" s="241" t="s">
        <v>12</v>
      </c>
    </row>
    <row r="13" spans="1:12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63" t="s">
        <v>30</v>
      </c>
      <c r="I13" s="64" t="s">
        <v>13</v>
      </c>
      <c r="J13" s="63" t="s">
        <v>30</v>
      </c>
      <c r="K13" s="64" t="s">
        <v>13</v>
      </c>
      <c r="L13" s="242"/>
    </row>
    <row r="14" spans="1:12" ht="24">
      <c r="A14" s="65" t="s">
        <v>3</v>
      </c>
      <c r="B14" s="66">
        <v>2928252.4548981893</v>
      </c>
      <c r="C14" s="67">
        <v>0.24051809751360578</v>
      </c>
      <c r="D14" s="66">
        <v>3121988.7456014054</v>
      </c>
      <c r="E14" s="68">
        <v>0.2564310301507272</v>
      </c>
      <c r="F14" s="66">
        <v>3806248.204729085</v>
      </c>
      <c r="G14" s="68">
        <v>0.31263410206817244</v>
      </c>
      <c r="H14" s="66">
        <v>1525678.2532331168</v>
      </c>
      <c r="I14" s="67">
        <v>0.12531475224128819</v>
      </c>
      <c r="J14" s="66">
        <v>792602.0789071025</v>
      </c>
      <c r="K14" s="67">
        <v>0.06510201802620642</v>
      </c>
      <c r="L14" s="69">
        <v>12174769.737368898</v>
      </c>
    </row>
    <row r="15" spans="1:12" ht="12">
      <c r="A15" s="70" t="s">
        <v>5</v>
      </c>
      <c r="B15" s="71">
        <v>1233111.1622629066</v>
      </c>
      <c r="C15" s="72">
        <v>0.26299414296102624</v>
      </c>
      <c r="D15" s="71">
        <v>1190646.522080572</v>
      </c>
      <c r="E15" s="73">
        <v>0.2539374155607107</v>
      </c>
      <c r="F15" s="71">
        <v>1377579.9192881712</v>
      </c>
      <c r="G15" s="74">
        <v>0.29380599358832893</v>
      </c>
      <c r="H15" s="71">
        <v>554402.803670059</v>
      </c>
      <c r="I15" s="72">
        <v>0.11824131892442544</v>
      </c>
      <c r="J15" s="71">
        <v>332999.609412824</v>
      </c>
      <c r="K15" s="72">
        <v>0.07102112896550863</v>
      </c>
      <c r="L15" s="75">
        <v>4688740.016714533</v>
      </c>
    </row>
    <row r="16" spans="1:12" ht="12">
      <c r="A16" s="76" t="s">
        <v>6</v>
      </c>
      <c r="B16" s="77">
        <v>1695141.2926352827</v>
      </c>
      <c r="C16" s="78">
        <v>0.22644063086715982</v>
      </c>
      <c r="D16" s="77">
        <v>1931342.223520833</v>
      </c>
      <c r="E16" s="79">
        <v>0.25799286078068245</v>
      </c>
      <c r="F16" s="77">
        <v>2428668.285440914</v>
      </c>
      <c r="G16" s="80">
        <v>0.3244267490336146</v>
      </c>
      <c r="H16" s="77">
        <v>971275.4495630579</v>
      </c>
      <c r="I16" s="78">
        <v>0.1297450699244829</v>
      </c>
      <c r="J16" s="77">
        <v>459602.4694942785</v>
      </c>
      <c r="K16" s="78">
        <v>0.06139468939406026</v>
      </c>
      <c r="L16" s="81">
        <v>7486029.720654366</v>
      </c>
    </row>
    <row r="17" spans="1:8" ht="12">
      <c r="A17" s="61" t="s">
        <v>31</v>
      </c>
      <c r="B17" s="82"/>
      <c r="C17" s="82"/>
      <c r="D17" s="82"/>
      <c r="E17" s="82"/>
      <c r="F17" s="83"/>
      <c r="G17" s="83"/>
      <c r="H17" s="83"/>
    </row>
    <row r="18" spans="2:8" ht="12">
      <c r="B18" s="82"/>
      <c r="C18" s="82"/>
      <c r="D18" s="82"/>
      <c r="E18" s="82"/>
      <c r="F18" s="83"/>
      <c r="G18" s="83"/>
      <c r="H18" s="83"/>
    </row>
    <row r="19" spans="1:12" ht="12">
      <c r="A19" s="243" t="s">
        <v>15</v>
      </c>
      <c r="B19" s="233" t="s">
        <v>77</v>
      </c>
      <c r="C19" s="234"/>
      <c r="D19" s="233">
        <v>2</v>
      </c>
      <c r="E19" s="234"/>
      <c r="F19" s="233">
        <v>3</v>
      </c>
      <c r="G19" s="234"/>
      <c r="H19" s="233">
        <v>4</v>
      </c>
      <c r="I19" s="234"/>
      <c r="J19" s="233" t="s">
        <v>78</v>
      </c>
      <c r="K19" s="234"/>
      <c r="L19" s="235" t="s">
        <v>12</v>
      </c>
    </row>
    <row r="20" spans="1:12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63" t="s">
        <v>30</v>
      </c>
      <c r="I20" s="64" t="s">
        <v>13</v>
      </c>
      <c r="J20" s="63" t="s">
        <v>30</v>
      </c>
      <c r="K20" s="64" t="s">
        <v>13</v>
      </c>
      <c r="L20" s="235"/>
    </row>
    <row r="21" spans="1:12" ht="12">
      <c r="A21" s="84" t="s">
        <v>16</v>
      </c>
      <c r="B21" s="85">
        <v>186353.08080452555</v>
      </c>
      <c r="C21" s="86">
        <v>0.2604153154497783</v>
      </c>
      <c r="D21" s="85">
        <v>244561.69628322808</v>
      </c>
      <c r="E21" s="86">
        <v>0.34175775903235334</v>
      </c>
      <c r="F21" s="85">
        <v>190878.79772788074</v>
      </c>
      <c r="G21" s="87">
        <v>0.2667396863436955</v>
      </c>
      <c r="H21" s="85">
        <v>70242.02597054408</v>
      </c>
      <c r="I21" s="86">
        <v>0.09815828786934945</v>
      </c>
      <c r="J21" s="85">
        <v>23563.942515122388</v>
      </c>
      <c r="K21" s="86">
        <v>0.03292895130482339</v>
      </c>
      <c r="L21" s="88">
        <v>715599.5433013008</v>
      </c>
    </row>
    <row r="22" spans="1:12" ht="12">
      <c r="A22" s="70" t="s">
        <v>17</v>
      </c>
      <c r="B22" s="71">
        <v>1919810.3390730529</v>
      </c>
      <c r="C22" s="72">
        <v>0.2666837410614285</v>
      </c>
      <c r="D22" s="71">
        <v>1794830.78670706</v>
      </c>
      <c r="E22" s="72">
        <v>0.24932264350778238</v>
      </c>
      <c r="F22" s="71">
        <v>2204929.2548295385</v>
      </c>
      <c r="G22" s="72">
        <v>0.3062900383887107</v>
      </c>
      <c r="H22" s="71">
        <v>834276.636482558</v>
      </c>
      <c r="I22" s="72">
        <v>0.115890622093815</v>
      </c>
      <c r="J22" s="71">
        <v>444980.8208255112</v>
      </c>
      <c r="K22" s="72">
        <v>0.06181295494826321</v>
      </c>
      <c r="L22" s="75">
        <v>7198827.837917722</v>
      </c>
    </row>
    <row r="23" spans="1:12" ht="12">
      <c r="A23" s="76" t="s">
        <v>18</v>
      </c>
      <c r="B23" s="77">
        <v>822089.0350206109</v>
      </c>
      <c r="C23" s="78">
        <v>0.19296313917915786</v>
      </c>
      <c r="D23" s="77">
        <v>1082596.2626111172</v>
      </c>
      <c r="E23" s="78">
        <v>0.254110156440449</v>
      </c>
      <c r="F23" s="77">
        <v>1410440.152171669</v>
      </c>
      <c r="G23" s="78">
        <v>0.33106263165345695</v>
      </c>
      <c r="H23" s="77">
        <v>621159.590780015</v>
      </c>
      <c r="I23" s="78">
        <v>0.1458003932203617</v>
      </c>
      <c r="J23" s="77">
        <v>324057.3155664688</v>
      </c>
      <c r="K23" s="78">
        <v>0.07606367950657444</v>
      </c>
      <c r="L23" s="81">
        <v>4260342.356149881</v>
      </c>
    </row>
    <row r="24" ht="12">
      <c r="A24" s="61" t="s">
        <v>31</v>
      </c>
    </row>
    <row r="26" spans="1:12" ht="12">
      <c r="A26" s="243" t="s">
        <v>19</v>
      </c>
      <c r="B26" s="233" t="s">
        <v>77</v>
      </c>
      <c r="C26" s="234"/>
      <c r="D26" s="233">
        <v>2</v>
      </c>
      <c r="E26" s="234"/>
      <c r="F26" s="233">
        <v>3</v>
      </c>
      <c r="G26" s="234"/>
      <c r="H26" s="233">
        <v>4</v>
      </c>
      <c r="I26" s="234"/>
      <c r="J26" s="233" t="s">
        <v>78</v>
      </c>
      <c r="K26" s="234"/>
      <c r="L26" s="235" t="s">
        <v>12</v>
      </c>
    </row>
    <row r="27" spans="1:12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63" t="s">
        <v>30</v>
      </c>
      <c r="I27" s="64" t="s">
        <v>13</v>
      </c>
      <c r="J27" s="63" t="s">
        <v>30</v>
      </c>
      <c r="K27" s="64" t="s">
        <v>13</v>
      </c>
      <c r="L27" s="235"/>
    </row>
    <row r="28" spans="1:12" ht="12">
      <c r="A28" s="84" t="s">
        <v>20</v>
      </c>
      <c r="B28" s="85">
        <v>296031.33378367603</v>
      </c>
      <c r="C28" s="86">
        <v>0.20668927741791374</v>
      </c>
      <c r="D28" s="85">
        <v>347698.505685527</v>
      </c>
      <c r="E28" s="86">
        <v>0.24276333177603918</v>
      </c>
      <c r="F28" s="85">
        <v>450091.41415411385</v>
      </c>
      <c r="G28" s="87">
        <v>0.31425412970473404</v>
      </c>
      <c r="H28" s="85">
        <v>214015.97801362682</v>
      </c>
      <c r="I28" s="86">
        <v>0.1494261005622097</v>
      </c>
      <c r="J28" s="85">
        <v>124415.74965882937</v>
      </c>
      <c r="K28" s="86">
        <v>0.0868671605391034</v>
      </c>
      <c r="L28" s="88">
        <v>1432252.981295773</v>
      </c>
    </row>
    <row r="29" spans="1:12" ht="12">
      <c r="A29" s="70" t="s">
        <v>21</v>
      </c>
      <c r="B29" s="71">
        <v>695392.8810695154</v>
      </c>
      <c r="C29" s="72">
        <v>0.2092697897686275</v>
      </c>
      <c r="D29" s="71">
        <v>843356.3804961155</v>
      </c>
      <c r="E29" s="72">
        <v>0.25379755423295725</v>
      </c>
      <c r="F29" s="71">
        <v>1066670.0894012798</v>
      </c>
      <c r="G29" s="72">
        <v>0.32100102177947726</v>
      </c>
      <c r="H29" s="71">
        <v>463499.3895149055</v>
      </c>
      <c r="I29" s="72">
        <v>0.13948434394739678</v>
      </c>
      <c r="J29" s="71">
        <v>254030.4622595564</v>
      </c>
      <c r="K29" s="72">
        <v>0.07644729027154129</v>
      </c>
      <c r="L29" s="75">
        <v>3322949.2027413724</v>
      </c>
    </row>
    <row r="30" spans="1:12" ht="12">
      <c r="A30" s="89" t="s">
        <v>22</v>
      </c>
      <c r="B30" s="90">
        <v>1063031.3356897163</v>
      </c>
      <c r="C30" s="91">
        <v>0.25769005050754656</v>
      </c>
      <c r="D30" s="90">
        <v>1089348.0688731256</v>
      </c>
      <c r="E30" s="91">
        <v>0.26406950525694617</v>
      </c>
      <c r="F30" s="90">
        <v>1229003.25143065</v>
      </c>
      <c r="G30" s="91">
        <v>0.2979234000939591</v>
      </c>
      <c r="H30" s="90">
        <v>497627.83607050614</v>
      </c>
      <c r="I30" s="91">
        <v>0.12063025604769136</v>
      </c>
      <c r="J30" s="90">
        <v>246221.8698217974</v>
      </c>
      <c r="K30" s="91">
        <v>0.05968678809385668</v>
      </c>
      <c r="L30" s="92">
        <v>4125232.361885796</v>
      </c>
    </row>
    <row r="31" spans="1:12" ht="12">
      <c r="A31" s="70" t="s">
        <v>23</v>
      </c>
      <c r="B31" s="71">
        <v>394612.3214325042</v>
      </c>
      <c r="C31" s="72">
        <v>0.2621950245902379</v>
      </c>
      <c r="D31" s="71">
        <v>424040.5218352727</v>
      </c>
      <c r="E31" s="72">
        <v>0.2817482096003772</v>
      </c>
      <c r="F31" s="71">
        <v>422232.2811071126</v>
      </c>
      <c r="G31" s="72">
        <v>0.2805467475667947</v>
      </c>
      <c r="H31" s="71">
        <v>167708.55467887435</v>
      </c>
      <c r="I31" s="72">
        <v>0.11143176791437794</v>
      </c>
      <c r="J31" s="71">
        <v>96439.91969285598</v>
      </c>
      <c r="K31" s="72">
        <v>0.0640782503282122</v>
      </c>
      <c r="L31" s="75">
        <v>1505033.59874662</v>
      </c>
    </row>
    <row r="32" spans="1:12" ht="12">
      <c r="A32" s="76" t="s">
        <v>24</v>
      </c>
      <c r="B32" s="77">
        <v>479184.5829227797</v>
      </c>
      <c r="C32" s="78">
        <v>0.2678053743862613</v>
      </c>
      <c r="D32" s="77">
        <v>417545.2687113616</v>
      </c>
      <c r="E32" s="78">
        <v>0.23335656236769647</v>
      </c>
      <c r="F32" s="77">
        <v>638251.168635929</v>
      </c>
      <c r="G32" s="78">
        <v>0.356704074506</v>
      </c>
      <c r="H32" s="77">
        <v>182826.4949552047</v>
      </c>
      <c r="I32" s="78">
        <v>0.1021775734740128</v>
      </c>
      <c r="J32" s="77">
        <v>71494.07747406283</v>
      </c>
      <c r="K32" s="78">
        <v>0.03995641526602956</v>
      </c>
      <c r="L32" s="81">
        <v>1789301.5926993378</v>
      </c>
    </row>
    <row r="33" ht="12">
      <c r="A33" s="61" t="s">
        <v>31</v>
      </c>
    </row>
    <row r="35" spans="1:12" ht="12">
      <c r="A35" s="243" t="s">
        <v>25</v>
      </c>
      <c r="B35" s="233" t="s">
        <v>77</v>
      </c>
      <c r="C35" s="234"/>
      <c r="D35" s="233">
        <v>2</v>
      </c>
      <c r="E35" s="234"/>
      <c r="F35" s="233">
        <v>3</v>
      </c>
      <c r="G35" s="234"/>
      <c r="H35" s="233">
        <v>4</v>
      </c>
      <c r="I35" s="234"/>
      <c r="J35" s="233" t="s">
        <v>78</v>
      </c>
      <c r="K35" s="234"/>
      <c r="L35" s="235" t="s">
        <v>12</v>
      </c>
    </row>
    <row r="36" spans="1:12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63" t="s">
        <v>30</v>
      </c>
      <c r="K36" s="64" t="s">
        <v>13</v>
      </c>
      <c r="L36" s="235"/>
    </row>
    <row r="37" spans="1:12" ht="12">
      <c r="A37" s="84" t="s">
        <v>26</v>
      </c>
      <c r="B37" s="85">
        <v>307313.9561344139</v>
      </c>
      <c r="C37" s="86">
        <v>0.2430416433666173</v>
      </c>
      <c r="D37" s="85">
        <v>370680.2827724555</v>
      </c>
      <c r="E37" s="86">
        <v>0.2931553978928826</v>
      </c>
      <c r="F37" s="85">
        <v>396715.3758044543</v>
      </c>
      <c r="G37" s="87">
        <v>0.31374545463905973</v>
      </c>
      <c r="H37" s="85">
        <v>133698.19593525675</v>
      </c>
      <c r="I37" s="86">
        <v>0.1057362628889017</v>
      </c>
      <c r="J37" s="85">
        <v>56041.98436589285</v>
      </c>
      <c r="K37" s="86">
        <v>0.04432124121253862</v>
      </c>
      <c r="L37" s="88">
        <v>1264449.7950124734</v>
      </c>
    </row>
    <row r="38" spans="1:12" ht="12">
      <c r="A38" s="70" t="s">
        <v>27</v>
      </c>
      <c r="B38" s="71">
        <v>640147.1698293436</v>
      </c>
      <c r="C38" s="72">
        <v>0.2558095597744235</v>
      </c>
      <c r="D38" s="71">
        <v>664608.8738949544</v>
      </c>
      <c r="E38" s="72">
        <v>0.2655847146814183</v>
      </c>
      <c r="F38" s="71">
        <v>812904.0550102012</v>
      </c>
      <c r="G38" s="72">
        <v>0.32484503291085426</v>
      </c>
      <c r="H38" s="71">
        <v>270715.2348688716</v>
      </c>
      <c r="I38" s="72">
        <v>0.10818066269745037</v>
      </c>
      <c r="J38" s="71">
        <v>114061.128872209</v>
      </c>
      <c r="K38" s="72">
        <v>0.045580029935853805</v>
      </c>
      <c r="L38" s="75">
        <v>2502436.462475579</v>
      </c>
    </row>
    <row r="39" spans="1:12" ht="12">
      <c r="A39" s="89" t="s">
        <v>28</v>
      </c>
      <c r="B39" s="90">
        <v>630583.0230020328</v>
      </c>
      <c r="C39" s="91">
        <v>0.2150257566970715</v>
      </c>
      <c r="D39" s="90">
        <v>781785.9365630776</v>
      </c>
      <c r="E39" s="91">
        <v>0.26658521788979817</v>
      </c>
      <c r="F39" s="90">
        <v>938929.9449798369</v>
      </c>
      <c r="G39" s="91">
        <v>0.3201705636534054</v>
      </c>
      <c r="H39" s="90">
        <v>375982.150901153</v>
      </c>
      <c r="I39" s="91">
        <v>0.1282080924367866</v>
      </c>
      <c r="J39" s="90">
        <v>205311.91708043628</v>
      </c>
      <c r="K39" s="91">
        <v>0.07001036932293829</v>
      </c>
      <c r="L39" s="92">
        <v>2932592.972526537</v>
      </c>
    </row>
    <row r="40" spans="1:12" ht="12">
      <c r="A40" s="93" t="s">
        <v>29</v>
      </c>
      <c r="B40" s="94">
        <v>1350208.3059323998</v>
      </c>
      <c r="C40" s="95">
        <v>0.24660030442564193</v>
      </c>
      <c r="D40" s="94">
        <v>1304913.6523709157</v>
      </c>
      <c r="E40" s="95">
        <v>0.238327747289058</v>
      </c>
      <c r="F40" s="94">
        <v>1657698.8289345927</v>
      </c>
      <c r="G40" s="95">
        <v>0.3027599771570116</v>
      </c>
      <c r="H40" s="94">
        <v>745282.6715278355</v>
      </c>
      <c r="I40" s="95">
        <v>0.13611746637494135</v>
      </c>
      <c r="J40" s="94">
        <v>417187.04858856375</v>
      </c>
      <c r="K40" s="95">
        <v>0.07619450475334705</v>
      </c>
      <c r="L40" s="96">
        <v>5475290.507354308</v>
      </c>
    </row>
    <row r="41" ht="12">
      <c r="A41" s="61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6:L41"/>
  <sheetViews>
    <sheetView showGridLines="0" zoomScale="90" zoomScaleNormal="90" zoomScalePageLayoutView="0" workbookViewId="0" topLeftCell="A1">
      <selection activeCell="O30" sqref="O30"/>
    </sheetView>
  </sheetViews>
  <sheetFormatPr defaultColWidth="11.421875" defaultRowHeight="12.75"/>
  <cols>
    <col min="1" max="1" width="24.00390625" style="99" customWidth="1"/>
    <col min="2" max="2" width="19.421875" style="99" customWidth="1"/>
    <col min="3" max="3" width="6.421875" style="99" customWidth="1"/>
    <col min="4" max="4" width="14.140625" style="99" customWidth="1"/>
    <col min="5" max="5" width="12.140625" style="99" customWidth="1"/>
    <col min="6" max="6" width="12.8515625" style="99" customWidth="1"/>
    <col min="7" max="7" width="14.421875" style="99" customWidth="1"/>
    <col min="8" max="8" width="13.140625" style="99" customWidth="1"/>
    <col min="9" max="16384" width="11.421875" style="99" customWidth="1"/>
  </cols>
  <sheetData>
    <row r="1" ht="12"/>
    <row r="2" ht="12"/>
    <row r="3" ht="12"/>
    <row r="4" ht="12"/>
    <row r="5" ht="12"/>
    <row r="6" spans="1:12" s="97" customFormat="1" ht="16.5">
      <c r="A6" s="247" t="s">
        <v>1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ht="15" customHeight="1">
      <c r="A7" s="98" t="s">
        <v>215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5" customHeight="1">
      <c r="A8" s="98" t="s">
        <v>33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5" customHeight="1">
      <c r="A9" s="98" t="s">
        <v>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5" customHeight="1">
      <c r="A10" s="100" t="s">
        <v>202</v>
      </c>
      <c r="B10" s="100"/>
      <c r="C10" s="100"/>
      <c r="D10" s="100"/>
      <c r="E10" s="100"/>
      <c r="F10" s="100"/>
      <c r="G10" s="100"/>
      <c r="H10" s="100"/>
      <c r="I10" s="98"/>
      <c r="J10" s="98"/>
      <c r="K10" s="98"/>
      <c r="L10" s="98"/>
    </row>
    <row r="11" spans="1:12" ht="14.25">
      <c r="A11" s="248" t="s">
        <v>14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</row>
    <row r="12" spans="1:12" ht="20.25" customHeight="1">
      <c r="A12" s="249"/>
      <c r="B12" s="244" t="s">
        <v>77</v>
      </c>
      <c r="C12" s="245"/>
      <c r="D12" s="244">
        <v>2</v>
      </c>
      <c r="E12" s="245"/>
      <c r="F12" s="244">
        <v>3</v>
      </c>
      <c r="G12" s="245"/>
      <c r="H12" s="244">
        <v>4</v>
      </c>
      <c r="I12" s="245"/>
      <c r="J12" s="244" t="s">
        <v>78</v>
      </c>
      <c r="K12" s="245"/>
      <c r="L12" s="252" t="s">
        <v>12</v>
      </c>
    </row>
    <row r="13" spans="1:12" ht="17.25" customHeight="1">
      <c r="A13" s="250"/>
      <c r="B13" s="101" t="s">
        <v>30</v>
      </c>
      <c r="C13" s="102" t="s">
        <v>13</v>
      </c>
      <c r="D13" s="101" t="s">
        <v>30</v>
      </c>
      <c r="E13" s="102" t="s">
        <v>13</v>
      </c>
      <c r="F13" s="101" t="s">
        <v>30</v>
      </c>
      <c r="G13" s="102" t="s">
        <v>13</v>
      </c>
      <c r="H13" s="101" t="s">
        <v>30</v>
      </c>
      <c r="I13" s="102" t="s">
        <v>13</v>
      </c>
      <c r="J13" s="101" t="s">
        <v>30</v>
      </c>
      <c r="K13" s="102" t="s">
        <v>13</v>
      </c>
      <c r="L13" s="253"/>
    </row>
    <row r="14" spans="1:12" ht="24">
      <c r="A14" s="103" t="s">
        <v>3</v>
      </c>
      <c r="B14" s="104">
        <v>489339.46437223675</v>
      </c>
      <c r="C14" s="105">
        <v>0.04019291328938007</v>
      </c>
      <c r="D14" s="104">
        <v>470275.0136512072</v>
      </c>
      <c r="E14" s="106">
        <v>0.03862701503156632</v>
      </c>
      <c r="F14" s="104">
        <v>1861168.0786549344</v>
      </c>
      <c r="G14" s="106">
        <v>0.15287090588188432</v>
      </c>
      <c r="H14" s="104">
        <v>3688041.7862899387</v>
      </c>
      <c r="I14" s="105">
        <v>0.30292497236887905</v>
      </c>
      <c r="J14" s="104">
        <v>5665945.394400582</v>
      </c>
      <c r="K14" s="105">
        <v>0.46538419342829024</v>
      </c>
      <c r="L14" s="107">
        <v>12174769.737368898</v>
      </c>
    </row>
    <row r="15" spans="1:12" ht="12">
      <c r="A15" s="108" t="s">
        <v>5</v>
      </c>
      <c r="B15" s="109">
        <v>182471.66409982668</v>
      </c>
      <c r="C15" s="110">
        <v>0.038916993360550364</v>
      </c>
      <c r="D15" s="109">
        <v>197447.66596045098</v>
      </c>
      <c r="E15" s="111">
        <v>0.04211102881724821</v>
      </c>
      <c r="F15" s="109">
        <v>634883.5373901967</v>
      </c>
      <c r="G15" s="112">
        <v>0.13540600142617149</v>
      </c>
      <c r="H15" s="109">
        <v>1459088.4255545703</v>
      </c>
      <c r="I15" s="110">
        <v>0.31118987624674727</v>
      </c>
      <c r="J15" s="109">
        <v>2214848.7237094985</v>
      </c>
      <c r="K15" s="110">
        <v>0.4723761001492827</v>
      </c>
      <c r="L15" s="113">
        <v>4688740.016714543</v>
      </c>
    </row>
    <row r="16" spans="1:12" ht="12">
      <c r="A16" s="114" t="s">
        <v>6</v>
      </c>
      <c r="B16" s="115">
        <v>306867.80027241004</v>
      </c>
      <c r="C16" s="116">
        <v>0.040992062778717725</v>
      </c>
      <c r="D16" s="115">
        <v>272827.34769075626</v>
      </c>
      <c r="E16" s="78">
        <v>0.03644486568601392</v>
      </c>
      <c r="F16" s="115">
        <v>1226284.5412647377</v>
      </c>
      <c r="G16" s="117">
        <v>0.16380973453543116</v>
      </c>
      <c r="H16" s="115">
        <v>2228953.3607353684</v>
      </c>
      <c r="I16" s="116">
        <v>0.29774839853835566</v>
      </c>
      <c r="J16" s="115">
        <v>3451096.6706910837</v>
      </c>
      <c r="K16" s="116">
        <v>0.46100493846148166</v>
      </c>
      <c r="L16" s="118">
        <v>7486029.720654355</v>
      </c>
    </row>
    <row r="17" spans="1:8" ht="12">
      <c r="A17" s="99" t="s">
        <v>31</v>
      </c>
      <c r="B17" s="119"/>
      <c r="C17" s="119"/>
      <c r="D17" s="119"/>
      <c r="E17" s="119"/>
      <c r="F17" s="120"/>
      <c r="G17" s="120"/>
      <c r="H17" s="120"/>
    </row>
    <row r="18" spans="2:8" ht="12">
      <c r="B18" s="119"/>
      <c r="C18" s="119"/>
      <c r="D18" s="119"/>
      <c r="E18" s="119"/>
      <c r="F18" s="120"/>
      <c r="G18" s="120"/>
      <c r="H18" s="120"/>
    </row>
    <row r="19" spans="1:12" ht="12">
      <c r="A19" s="254" t="s">
        <v>15</v>
      </c>
      <c r="B19" s="244" t="s">
        <v>77</v>
      </c>
      <c r="C19" s="245"/>
      <c r="D19" s="244">
        <v>2</v>
      </c>
      <c r="E19" s="245"/>
      <c r="F19" s="244">
        <v>3</v>
      </c>
      <c r="G19" s="245"/>
      <c r="H19" s="244">
        <v>4</v>
      </c>
      <c r="I19" s="245"/>
      <c r="J19" s="244" t="s">
        <v>78</v>
      </c>
      <c r="K19" s="245"/>
      <c r="L19" s="246" t="s">
        <v>12</v>
      </c>
    </row>
    <row r="20" spans="1:12" ht="12">
      <c r="A20" s="254"/>
      <c r="B20" s="101" t="s">
        <v>30</v>
      </c>
      <c r="C20" s="102" t="s">
        <v>13</v>
      </c>
      <c r="D20" s="101" t="s">
        <v>30</v>
      </c>
      <c r="E20" s="102" t="s">
        <v>13</v>
      </c>
      <c r="F20" s="101" t="s">
        <v>30</v>
      </c>
      <c r="G20" s="102" t="s">
        <v>13</v>
      </c>
      <c r="H20" s="101" t="s">
        <v>30</v>
      </c>
      <c r="I20" s="102" t="s">
        <v>13</v>
      </c>
      <c r="J20" s="101" t="s">
        <v>30</v>
      </c>
      <c r="K20" s="102" t="s">
        <v>13</v>
      </c>
      <c r="L20" s="246"/>
    </row>
    <row r="21" spans="1:12" ht="12">
      <c r="A21" s="121" t="s">
        <v>16</v>
      </c>
      <c r="B21" s="122">
        <v>37060.423051034646</v>
      </c>
      <c r="C21" s="123">
        <v>0.051789333011676444</v>
      </c>
      <c r="D21" s="122">
        <v>19759.753420813573</v>
      </c>
      <c r="E21" s="123">
        <v>0.027612864773019836</v>
      </c>
      <c r="F21" s="122">
        <v>154481.21429515255</v>
      </c>
      <c r="G21" s="124">
        <v>0.21587662504992508</v>
      </c>
      <c r="H21" s="122">
        <v>265011.8278408234</v>
      </c>
      <c r="I21" s="123">
        <v>0.3703353786647695</v>
      </c>
      <c r="J21" s="122">
        <v>239286.3246934767</v>
      </c>
      <c r="K21" s="123">
        <v>0.3343857985006091</v>
      </c>
      <c r="L21" s="125">
        <v>715599.5433013008</v>
      </c>
    </row>
    <row r="22" spans="1:12" ht="12">
      <c r="A22" s="108" t="s">
        <v>17</v>
      </c>
      <c r="B22" s="109">
        <v>311901.5106429229</v>
      </c>
      <c r="C22" s="110">
        <v>0.04332670785653092</v>
      </c>
      <c r="D22" s="109">
        <v>312895.85741583165</v>
      </c>
      <c r="E22" s="110">
        <v>0.04346483406197666</v>
      </c>
      <c r="F22" s="109">
        <v>1103887.773985124</v>
      </c>
      <c r="G22" s="110">
        <v>0.15334271062446014</v>
      </c>
      <c r="H22" s="109">
        <v>2231433.191148975</v>
      </c>
      <c r="I22" s="110">
        <v>0.30997174003739264</v>
      </c>
      <c r="J22" s="109">
        <v>3238709.50472486</v>
      </c>
      <c r="K22" s="110">
        <v>0.44989400741963964</v>
      </c>
      <c r="L22" s="113">
        <v>7198827.837917713</v>
      </c>
    </row>
    <row r="23" spans="1:12" ht="12">
      <c r="A23" s="114" t="s">
        <v>18</v>
      </c>
      <c r="B23" s="115">
        <v>140377.5306782794</v>
      </c>
      <c r="C23" s="116">
        <v>0.03294982396793576</v>
      </c>
      <c r="D23" s="115">
        <v>137619.4028145618</v>
      </c>
      <c r="E23" s="116">
        <v>0.032302428140758586</v>
      </c>
      <c r="F23" s="115">
        <v>602799.0903746551</v>
      </c>
      <c r="G23" s="116">
        <v>0.1414907629440867</v>
      </c>
      <c r="H23" s="115">
        <v>1191596.7673001399</v>
      </c>
      <c r="I23" s="116">
        <v>0.2796950732327996</v>
      </c>
      <c r="J23" s="115">
        <v>2187949.5649822485</v>
      </c>
      <c r="K23" s="116">
        <v>0.5135619117144193</v>
      </c>
      <c r="L23" s="118">
        <v>4260342.356149885</v>
      </c>
    </row>
    <row r="24" ht="12">
      <c r="A24" s="99" t="s">
        <v>31</v>
      </c>
    </row>
    <row r="26" spans="1:12" ht="12">
      <c r="A26" s="254" t="s">
        <v>19</v>
      </c>
      <c r="B26" s="244" t="s">
        <v>77</v>
      </c>
      <c r="C26" s="245"/>
      <c r="D26" s="244">
        <v>2</v>
      </c>
      <c r="E26" s="245"/>
      <c r="F26" s="244">
        <v>3</v>
      </c>
      <c r="G26" s="245"/>
      <c r="H26" s="244">
        <v>4</v>
      </c>
      <c r="I26" s="245"/>
      <c r="J26" s="244" t="s">
        <v>78</v>
      </c>
      <c r="K26" s="245"/>
      <c r="L26" s="246" t="s">
        <v>12</v>
      </c>
    </row>
    <row r="27" spans="1:12" ht="12">
      <c r="A27" s="254"/>
      <c r="B27" s="101" t="s">
        <v>30</v>
      </c>
      <c r="C27" s="102" t="s">
        <v>13</v>
      </c>
      <c r="D27" s="101" t="s">
        <v>30</v>
      </c>
      <c r="E27" s="102" t="s">
        <v>13</v>
      </c>
      <c r="F27" s="101" t="s">
        <v>30</v>
      </c>
      <c r="G27" s="102" t="s">
        <v>13</v>
      </c>
      <c r="H27" s="101" t="s">
        <v>30</v>
      </c>
      <c r="I27" s="102" t="s">
        <v>13</v>
      </c>
      <c r="J27" s="101" t="s">
        <v>30</v>
      </c>
      <c r="K27" s="102" t="s">
        <v>13</v>
      </c>
      <c r="L27" s="246"/>
    </row>
    <row r="28" spans="1:12" ht="12">
      <c r="A28" s="121" t="s">
        <v>20</v>
      </c>
      <c r="B28" s="122">
        <v>62382.94564161887</v>
      </c>
      <c r="C28" s="123">
        <v>0.043555814829011885</v>
      </c>
      <c r="D28" s="122">
        <v>88053.09200863747</v>
      </c>
      <c r="E28" s="123">
        <v>0.06147872838007643</v>
      </c>
      <c r="F28" s="122">
        <v>230125.19519845524</v>
      </c>
      <c r="G28" s="124">
        <v>0.16067356689337028</v>
      </c>
      <c r="H28" s="122">
        <v>434505.967855864</v>
      </c>
      <c r="I28" s="123">
        <v>0.30337236056074574</v>
      </c>
      <c r="J28" s="122">
        <v>617185.7805911966</v>
      </c>
      <c r="K28" s="123">
        <v>0.4309195293367957</v>
      </c>
      <c r="L28" s="125">
        <v>1432252.9812957721</v>
      </c>
    </row>
    <row r="29" spans="1:12" ht="12">
      <c r="A29" s="108" t="s">
        <v>21</v>
      </c>
      <c r="B29" s="109">
        <v>146219.96601988032</v>
      </c>
      <c r="C29" s="110">
        <v>0.044003069893229614</v>
      </c>
      <c r="D29" s="109">
        <v>112765.08520117193</v>
      </c>
      <c r="E29" s="110">
        <v>0.03393524195559256</v>
      </c>
      <c r="F29" s="109">
        <v>493127.73696966714</v>
      </c>
      <c r="G29" s="110">
        <v>0.14840062453041578</v>
      </c>
      <c r="H29" s="109">
        <v>895380.221564339</v>
      </c>
      <c r="I29" s="110">
        <v>0.26945347850206863</v>
      </c>
      <c r="J29" s="109">
        <v>1675456.1929863156</v>
      </c>
      <c r="K29" s="110">
        <v>0.5042075851186933</v>
      </c>
      <c r="L29" s="113">
        <v>3322949.2027413743</v>
      </c>
    </row>
    <row r="30" spans="1:12" ht="12">
      <c r="A30" s="126" t="s">
        <v>22</v>
      </c>
      <c r="B30" s="127">
        <v>175917.2407550287</v>
      </c>
      <c r="C30" s="128">
        <v>0.042644201664948284</v>
      </c>
      <c r="D30" s="127">
        <v>163179.59693668605</v>
      </c>
      <c r="E30" s="128">
        <v>0.03955646194487108</v>
      </c>
      <c r="F30" s="127">
        <v>691799.1041134613</v>
      </c>
      <c r="G30" s="128">
        <v>0.16769942718989403</v>
      </c>
      <c r="H30" s="127">
        <v>1278680.786368885</v>
      </c>
      <c r="I30" s="128">
        <v>0.3099657605188459</v>
      </c>
      <c r="J30" s="127">
        <v>1815655.633711733</v>
      </c>
      <c r="K30" s="128">
        <v>0.44013414868144074</v>
      </c>
      <c r="L30" s="129">
        <v>4125232.361885794</v>
      </c>
    </row>
    <row r="31" spans="1:12" ht="12">
      <c r="A31" s="108" t="s">
        <v>23</v>
      </c>
      <c r="B31" s="109">
        <v>76449.8418489743</v>
      </c>
      <c r="C31" s="110">
        <v>0.05079610309872229</v>
      </c>
      <c r="D31" s="109">
        <v>70486.17454837175</v>
      </c>
      <c r="E31" s="110">
        <v>0.0468336219251664</v>
      </c>
      <c r="F31" s="109">
        <v>198761.40858423605</v>
      </c>
      <c r="G31" s="110">
        <v>0.13206443281383423</v>
      </c>
      <c r="H31" s="109">
        <v>489497.9163963339</v>
      </c>
      <c r="I31" s="110">
        <v>0.32524052406802356</v>
      </c>
      <c r="J31" s="109">
        <v>669838.257368703</v>
      </c>
      <c r="K31" s="110">
        <v>0.4450653180942534</v>
      </c>
      <c r="L31" s="113">
        <v>1505033.5987466192</v>
      </c>
    </row>
    <row r="32" spans="1:12" ht="12">
      <c r="A32" s="114" t="s">
        <v>24</v>
      </c>
      <c r="B32" s="115">
        <v>28369.470106734596</v>
      </c>
      <c r="C32" s="116">
        <v>0.015855052173701183</v>
      </c>
      <c r="D32" s="115">
        <v>35791.06495634015</v>
      </c>
      <c r="E32" s="116">
        <v>0.02000281288653292</v>
      </c>
      <c r="F32" s="115">
        <v>247354.63378911195</v>
      </c>
      <c r="G32" s="116">
        <v>0.13824088392832276</v>
      </c>
      <c r="H32" s="115">
        <v>589976.8941045145</v>
      </c>
      <c r="I32" s="116">
        <v>0.329724679456903</v>
      </c>
      <c r="J32" s="115">
        <v>887809.5297426347</v>
      </c>
      <c r="K32" s="116">
        <v>0.4961765715545402</v>
      </c>
      <c r="L32" s="118">
        <v>1789301.592699336</v>
      </c>
    </row>
    <row r="33" ht="12">
      <c r="A33" s="99" t="s">
        <v>31</v>
      </c>
    </row>
    <row r="35" spans="1:12" ht="12">
      <c r="A35" s="254" t="s">
        <v>25</v>
      </c>
      <c r="B35" s="244" t="s">
        <v>77</v>
      </c>
      <c r="C35" s="245"/>
      <c r="D35" s="244">
        <v>2</v>
      </c>
      <c r="E35" s="245"/>
      <c r="F35" s="244">
        <v>3</v>
      </c>
      <c r="G35" s="245"/>
      <c r="H35" s="244">
        <v>4</v>
      </c>
      <c r="I35" s="245"/>
      <c r="J35" s="244" t="s">
        <v>78</v>
      </c>
      <c r="K35" s="245"/>
      <c r="L35" s="246" t="s">
        <v>12</v>
      </c>
    </row>
    <row r="36" spans="1:12" ht="12">
      <c r="A36" s="254"/>
      <c r="B36" s="101" t="s">
        <v>30</v>
      </c>
      <c r="C36" s="102" t="s">
        <v>13</v>
      </c>
      <c r="D36" s="101" t="s">
        <v>30</v>
      </c>
      <c r="E36" s="102" t="s">
        <v>13</v>
      </c>
      <c r="F36" s="101" t="s">
        <v>30</v>
      </c>
      <c r="G36" s="102" t="s">
        <v>13</v>
      </c>
      <c r="H36" s="101" t="s">
        <v>30</v>
      </c>
      <c r="I36" s="102" t="s">
        <v>13</v>
      </c>
      <c r="J36" s="101" t="s">
        <v>30</v>
      </c>
      <c r="K36" s="102" t="s">
        <v>13</v>
      </c>
      <c r="L36" s="246"/>
    </row>
    <row r="37" spans="1:12" ht="12">
      <c r="A37" s="121" t="s">
        <v>26</v>
      </c>
      <c r="B37" s="122">
        <v>55056.86363063386</v>
      </c>
      <c r="C37" s="123">
        <v>0.04354215078194604</v>
      </c>
      <c r="D37" s="122">
        <v>35902.07608658704</v>
      </c>
      <c r="E37" s="123">
        <v>0.028393437389289847</v>
      </c>
      <c r="F37" s="122">
        <v>200560.85247135046</v>
      </c>
      <c r="G37" s="124">
        <v>0.15861511723316152</v>
      </c>
      <c r="H37" s="122">
        <v>404112.40537614684</v>
      </c>
      <c r="I37" s="123">
        <v>0.31959545327156347</v>
      </c>
      <c r="J37" s="122">
        <v>568817.5974477548</v>
      </c>
      <c r="K37" s="123">
        <v>0.44985384132403905</v>
      </c>
      <c r="L37" s="125">
        <v>1264449.7950124731</v>
      </c>
    </row>
    <row r="38" spans="1:12" ht="12">
      <c r="A38" s="108" t="s">
        <v>27</v>
      </c>
      <c r="B38" s="109">
        <v>52615.728281715565</v>
      </c>
      <c r="C38" s="110">
        <v>0.02102579988371195</v>
      </c>
      <c r="D38" s="109">
        <v>76846.95172154017</v>
      </c>
      <c r="E38" s="110">
        <v>0.03070885230209521</v>
      </c>
      <c r="F38" s="109">
        <v>399851.11002757284</v>
      </c>
      <c r="G38" s="110">
        <v>0.15978472022103338</v>
      </c>
      <c r="H38" s="109">
        <v>836943.0410297883</v>
      </c>
      <c r="I38" s="110">
        <v>0.3344512652288593</v>
      </c>
      <c r="J38" s="109">
        <v>1136179.631414962</v>
      </c>
      <c r="K38" s="110">
        <v>0.4540293623643002</v>
      </c>
      <c r="L38" s="113">
        <v>2502436.4624755788</v>
      </c>
    </row>
    <row r="39" spans="1:12" ht="12">
      <c r="A39" s="126" t="s">
        <v>28</v>
      </c>
      <c r="B39" s="127">
        <v>121881.51221853415</v>
      </c>
      <c r="C39" s="128">
        <v>0.04156100534931335</v>
      </c>
      <c r="D39" s="127">
        <v>108961.07851185127</v>
      </c>
      <c r="E39" s="128">
        <v>0.03715520003376987</v>
      </c>
      <c r="F39" s="127">
        <v>511442.16520423134</v>
      </c>
      <c r="G39" s="128">
        <v>0.17439930123122577</v>
      </c>
      <c r="H39" s="127">
        <v>937877.4829067315</v>
      </c>
      <c r="I39" s="128">
        <v>0.3198116791839392</v>
      </c>
      <c r="J39" s="127">
        <v>1252430.7336851887</v>
      </c>
      <c r="K39" s="128">
        <v>0.42707281420175175</v>
      </c>
      <c r="L39" s="129">
        <v>2932592.9725265373</v>
      </c>
    </row>
    <row r="40" spans="1:12" ht="12">
      <c r="A40" s="130" t="s">
        <v>29</v>
      </c>
      <c r="B40" s="131">
        <v>259785.3602413532</v>
      </c>
      <c r="C40" s="132">
        <v>0.047446863302031954</v>
      </c>
      <c r="D40" s="131">
        <v>248564.9073312288</v>
      </c>
      <c r="E40" s="132">
        <v>0.04539757424694834</v>
      </c>
      <c r="F40" s="131">
        <v>749313.9509517768</v>
      </c>
      <c r="G40" s="132">
        <v>0.13685373405215884</v>
      </c>
      <c r="H40" s="131">
        <v>1509108.8569772714</v>
      </c>
      <c r="I40" s="132">
        <v>0.2756216962278556</v>
      </c>
      <c r="J40" s="131">
        <v>2708517.431852681</v>
      </c>
      <c r="K40" s="132">
        <v>0.4946801321710052</v>
      </c>
      <c r="L40" s="133">
        <v>5475290.507354312</v>
      </c>
    </row>
    <row r="41" ht="12">
      <c r="A41" s="99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S41"/>
  <sheetViews>
    <sheetView showGridLines="0" zoomScale="90" zoomScaleNormal="90" zoomScalePageLayoutView="0" workbookViewId="0" topLeftCell="A1">
      <selection activeCell="M34" sqref="M34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3.140625" style="61" customWidth="1"/>
    <col min="9" max="16384" width="11.421875" style="61" customWidth="1"/>
  </cols>
  <sheetData>
    <row r="1" ht="12"/>
    <row r="2" ht="12"/>
    <row r="3" ht="12"/>
    <row r="4" ht="12"/>
    <row r="5" ht="12"/>
    <row r="6" spans="1:12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 customHeight="1">
      <c r="A7" s="60" t="s">
        <v>90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0"/>
      <c r="J10" s="60"/>
      <c r="K10" s="60"/>
      <c r="L10" s="60"/>
    </row>
    <row r="11" spans="1:12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2" ht="20.25" customHeight="1">
      <c r="A12" s="238"/>
      <c r="B12" s="233" t="s">
        <v>84</v>
      </c>
      <c r="C12" s="234"/>
      <c r="D12" s="233" t="s">
        <v>85</v>
      </c>
      <c r="E12" s="234"/>
      <c r="F12" s="233" t="s">
        <v>86</v>
      </c>
      <c r="G12" s="234"/>
      <c r="H12" s="233" t="s">
        <v>87</v>
      </c>
      <c r="I12" s="234"/>
      <c r="J12" s="233" t="s">
        <v>88</v>
      </c>
      <c r="K12" s="234"/>
      <c r="L12" s="241" t="s">
        <v>12</v>
      </c>
    </row>
    <row r="13" spans="1:12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63" t="s">
        <v>30</v>
      </c>
      <c r="I13" s="64" t="s">
        <v>13</v>
      </c>
      <c r="J13" s="63" t="s">
        <v>30</v>
      </c>
      <c r="K13" s="64" t="s">
        <v>13</v>
      </c>
      <c r="L13" s="242"/>
    </row>
    <row r="14" spans="1:19" ht="24">
      <c r="A14" s="65" t="s">
        <v>3</v>
      </c>
      <c r="B14" s="66">
        <v>283123.4712124733</v>
      </c>
      <c r="C14" s="67">
        <v>0.023254934370008012</v>
      </c>
      <c r="D14" s="66">
        <v>3008857.20611469</v>
      </c>
      <c r="E14" s="67">
        <v>0.24713873617497575</v>
      </c>
      <c r="F14" s="66">
        <v>3197183.181675637</v>
      </c>
      <c r="G14" s="106">
        <v>0.2626072813403849</v>
      </c>
      <c r="H14" s="66">
        <v>978236.9623426507</v>
      </c>
      <c r="I14" s="67">
        <v>0.08034952475035959</v>
      </c>
      <c r="J14" s="66">
        <v>4707368.916023441</v>
      </c>
      <c r="K14" s="67">
        <v>0.3866495233642716</v>
      </c>
      <c r="L14" s="69">
        <v>12174769.737368893</v>
      </c>
      <c r="N14" s="135"/>
      <c r="O14" s="135"/>
      <c r="P14" s="135"/>
      <c r="Q14" s="135"/>
      <c r="R14" s="135"/>
      <c r="S14" s="136"/>
    </row>
    <row r="15" spans="1:19" ht="12">
      <c r="A15" s="70" t="s">
        <v>5</v>
      </c>
      <c r="B15" s="71">
        <v>136569.1301483879</v>
      </c>
      <c r="C15" s="72">
        <v>0.02912704258746336</v>
      </c>
      <c r="D15" s="71">
        <v>1441716.833796181</v>
      </c>
      <c r="E15" s="72">
        <v>0.3074849167701161</v>
      </c>
      <c r="F15" s="71">
        <v>1329659.7852966073</v>
      </c>
      <c r="G15" s="198">
        <v>0.2835857353055627</v>
      </c>
      <c r="H15" s="71">
        <v>358138.8735361425</v>
      </c>
      <c r="I15" s="72">
        <v>0.07638275363092012</v>
      </c>
      <c r="J15" s="71">
        <v>1422655.3939372152</v>
      </c>
      <c r="K15" s="72">
        <v>0.3034195517059378</v>
      </c>
      <c r="L15" s="75">
        <v>4688740.016714534</v>
      </c>
      <c r="N15" s="135"/>
      <c r="O15" s="135"/>
      <c r="P15" s="135"/>
      <c r="Q15" s="135"/>
      <c r="R15" s="135"/>
      <c r="S15" s="139"/>
    </row>
    <row r="16" spans="1:19" ht="12">
      <c r="A16" s="76" t="s">
        <v>6</v>
      </c>
      <c r="B16" s="77">
        <v>146554.3410640854</v>
      </c>
      <c r="C16" s="78">
        <v>0.019577045046953807</v>
      </c>
      <c r="D16" s="77">
        <v>1567140.372318509</v>
      </c>
      <c r="E16" s="78">
        <v>0.20934199178967786</v>
      </c>
      <c r="F16" s="77">
        <v>1867523.3963790296</v>
      </c>
      <c r="G16" s="117">
        <v>0.2494678041721411</v>
      </c>
      <c r="H16" s="77">
        <v>620098.0888065082</v>
      </c>
      <c r="I16" s="78">
        <v>0.08283404046548523</v>
      </c>
      <c r="J16" s="77">
        <v>3284713.522086226</v>
      </c>
      <c r="K16" s="78">
        <v>0.43877911852574203</v>
      </c>
      <c r="L16" s="81">
        <v>7486029.720654358</v>
      </c>
      <c r="N16" s="135"/>
      <c r="O16" s="135"/>
      <c r="P16" s="135"/>
      <c r="Q16" s="135"/>
      <c r="R16" s="135"/>
      <c r="S16" s="139"/>
    </row>
    <row r="17" spans="1:19" ht="12">
      <c r="A17" s="61" t="s">
        <v>31</v>
      </c>
      <c r="B17" s="82"/>
      <c r="C17" s="82"/>
      <c r="D17" s="82"/>
      <c r="E17" s="82"/>
      <c r="F17" s="83"/>
      <c r="G17" s="83"/>
      <c r="H17" s="83"/>
      <c r="N17" s="139"/>
      <c r="O17" s="139"/>
      <c r="P17" s="139"/>
      <c r="Q17" s="139"/>
      <c r="R17" s="139"/>
      <c r="S17" s="136"/>
    </row>
    <row r="18" spans="2:8" ht="12">
      <c r="B18" s="82"/>
      <c r="C18" s="82"/>
      <c r="D18" s="82"/>
      <c r="E18" s="82"/>
      <c r="F18" s="83"/>
      <c r="G18" s="83"/>
      <c r="H18" s="83"/>
    </row>
    <row r="19" spans="1:12" ht="12">
      <c r="A19" s="243" t="s">
        <v>15</v>
      </c>
      <c r="B19" s="233" t="s">
        <v>84</v>
      </c>
      <c r="C19" s="234"/>
      <c r="D19" s="233" t="s">
        <v>85</v>
      </c>
      <c r="E19" s="234"/>
      <c r="F19" s="233" t="s">
        <v>86</v>
      </c>
      <c r="G19" s="234"/>
      <c r="H19" s="233" t="s">
        <v>87</v>
      </c>
      <c r="I19" s="234"/>
      <c r="J19" s="233" t="s">
        <v>88</v>
      </c>
      <c r="K19" s="234"/>
      <c r="L19" s="235" t="s">
        <v>12</v>
      </c>
    </row>
    <row r="20" spans="1:12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63" t="s">
        <v>30</v>
      </c>
      <c r="I20" s="64" t="s">
        <v>13</v>
      </c>
      <c r="J20" s="63" t="s">
        <v>30</v>
      </c>
      <c r="K20" s="64" t="s">
        <v>13</v>
      </c>
      <c r="L20" s="235"/>
    </row>
    <row r="21" spans="1:12" ht="12">
      <c r="A21" s="84" t="s">
        <v>16</v>
      </c>
      <c r="B21" s="85">
        <v>44755.19668559464</v>
      </c>
      <c r="C21" s="86">
        <v>0.06254223763073395</v>
      </c>
      <c r="D21" s="85">
        <v>198477.06479174914</v>
      </c>
      <c r="E21" s="86">
        <v>0.2773577298220564</v>
      </c>
      <c r="F21" s="85">
        <v>181591.7686446919</v>
      </c>
      <c r="G21" s="87">
        <v>0.2537617167933732</v>
      </c>
      <c r="H21" s="85">
        <v>109001.58511257173</v>
      </c>
      <c r="I21" s="86">
        <v>0.15232204398805352</v>
      </c>
      <c r="J21" s="85">
        <v>181773.92806669336</v>
      </c>
      <c r="K21" s="86">
        <v>0.25401627176578295</v>
      </c>
      <c r="L21" s="88">
        <v>715599.5433013007</v>
      </c>
    </row>
    <row r="22" spans="1:12" ht="12">
      <c r="A22" s="70" t="s">
        <v>17</v>
      </c>
      <c r="B22" s="71">
        <v>182441.0209353809</v>
      </c>
      <c r="C22" s="72">
        <v>0.02534315655868671</v>
      </c>
      <c r="D22" s="71">
        <v>2067333.9910457816</v>
      </c>
      <c r="E22" s="72">
        <v>0.28717647339150204</v>
      </c>
      <c r="F22" s="71">
        <v>2153466.3677003696</v>
      </c>
      <c r="G22" s="72">
        <v>0.2991412513517292</v>
      </c>
      <c r="H22" s="71">
        <v>632490.4597294467</v>
      </c>
      <c r="I22" s="72">
        <v>0.08786020085075355</v>
      </c>
      <c r="J22" s="71">
        <v>2163095.9985067393</v>
      </c>
      <c r="K22" s="72">
        <v>0.3004789178473285</v>
      </c>
      <c r="L22" s="75">
        <v>7198827.837917718</v>
      </c>
    </row>
    <row r="23" spans="1:12" ht="12">
      <c r="A23" s="76" t="s">
        <v>18</v>
      </c>
      <c r="B23" s="77">
        <v>55927.25359149776</v>
      </c>
      <c r="C23" s="78">
        <v>0.013127408296369818</v>
      </c>
      <c r="D23" s="77">
        <v>743046.1502771557</v>
      </c>
      <c r="E23" s="78">
        <v>0.17440996243049672</v>
      </c>
      <c r="F23" s="77">
        <v>862125.0453305793</v>
      </c>
      <c r="G23" s="78">
        <v>0.20236050844272763</v>
      </c>
      <c r="H23" s="77">
        <v>236744.9175006323</v>
      </c>
      <c r="I23" s="78">
        <v>0.055569458440091424</v>
      </c>
      <c r="J23" s="77">
        <v>2362498.989450022</v>
      </c>
      <c r="K23" s="78">
        <v>0.5545326623903145</v>
      </c>
      <c r="L23" s="81">
        <v>4260342.356149887</v>
      </c>
    </row>
    <row r="24" ht="12">
      <c r="A24" s="61" t="s">
        <v>31</v>
      </c>
    </row>
    <row r="26" spans="1:12" ht="12">
      <c r="A26" s="243" t="s">
        <v>19</v>
      </c>
      <c r="B26" s="233" t="s">
        <v>84</v>
      </c>
      <c r="C26" s="234"/>
      <c r="D26" s="233" t="s">
        <v>85</v>
      </c>
      <c r="E26" s="234"/>
      <c r="F26" s="233" t="s">
        <v>86</v>
      </c>
      <c r="G26" s="234"/>
      <c r="H26" s="233" t="s">
        <v>87</v>
      </c>
      <c r="I26" s="234"/>
      <c r="J26" s="233" t="s">
        <v>88</v>
      </c>
      <c r="K26" s="234"/>
      <c r="L26" s="235" t="s">
        <v>12</v>
      </c>
    </row>
    <row r="27" spans="1:12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63" t="s">
        <v>30</v>
      </c>
      <c r="I27" s="64" t="s">
        <v>13</v>
      </c>
      <c r="J27" s="63" t="s">
        <v>30</v>
      </c>
      <c r="K27" s="64" t="s">
        <v>13</v>
      </c>
      <c r="L27" s="235"/>
    </row>
    <row r="28" spans="1:12" ht="12">
      <c r="A28" s="84" t="s">
        <v>20</v>
      </c>
      <c r="B28" s="85">
        <v>23058.124479733524</v>
      </c>
      <c r="C28" s="86">
        <v>0.016099198103167935</v>
      </c>
      <c r="D28" s="85">
        <v>271425.4566316871</v>
      </c>
      <c r="E28" s="86">
        <v>0.18950943735241937</v>
      </c>
      <c r="F28" s="85">
        <v>223386.5598295758</v>
      </c>
      <c r="G28" s="87">
        <v>0.1559686471222953</v>
      </c>
      <c r="H28" s="85">
        <v>100984.77258370943</v>
      </c>
      <c r="I28" s="86">
        <v>0.07050763650172161</v>
      </c>
      <c r="J28" s="85">
        <v>813398.0677710668</v>
      </c>
      <c r="K28" s="86">
        <v>0.5679150809203957</v>
      </c>
      <c r="L28" s="88">
        <v>1432252.9812957728</v>
      </c>
    </row>
    <row r="29" spans="1:12" ht="12">
      <c r="A29" s="70" t="s">
        <v>21</v>
      </c>
      <c r="B29" s="71">
        <v>70175.51670803211</v>
      </c>
      <c r="C29" s="72">
        <v>0.02111844401657978</v>
      </c>
      <c r="D29" s="71">
        <v>670283.1209773266</v>
      </c>
      <c r="E29" s="72">
        <v>0.20171332153508548</v>
      </c>
      <c r="F29" s="71">
        <v>908351.7155968543</v>
      </c>
      <c r="G29" s="72">
        <v>0.2733570873871561</v>
      </c>
      <c r="H29" s="71">
        <v>233407.8875925057</v>
      </c>
      <c r="I29" s="72">
        <v>0.0702411843671725</v>
      </c>
      <c r="J29" s="71">
        <v>1440730.9618666552</v>
      </c>
      <c r="K29" s="72">
        <v>0.4335699626940062</v>
      </c>
      <c r="L29" s="75">
        <v>3322949.202741374</v>
      </c>
    </row>
    <row r="30" spans="1:12" ht="12">
      <c r="A30" s="89" t="s">
        <v>22</v>
      </c>
      <c r="B30" s="90">
        <v>100523.62908938968</v>
      </c>
      <c r="C30" s="91">
        <v>0.024367991974986986</v>
      </c>
      <c r="D30" s="90">
        <v>1087265.3907240299</v>
      </c>
      <c r="E30" s="91">
        <v>0.26356464202346186</v>
      </c>
      <c r="F30" s="90">
        <v>1218716.2916257363</v>
      </c>
      <c r="G30" s="91">
        <v>0.2954297321251053</v>
      </c>
      <c r="H30" s="90">
        <v>374723.5161844549</v>
      </c>
      <c r="I30" s="91">
        <v>0.09083694767030165</v>
      </c>
      <c r="J30" s="90">
        <v>1344003.5342621852</v>
      </c>
      <c r="K30" s="91">
        <v>0.32580068620614416</v>
      </c>
      <c r="L30" s="92">
        <v>4125232.361885796</v>
      </c>
    </row>
    <row r="31" spans="1:12" ht="12">
      <c r="A31" s="70" t="s">
        <v>23</v>
      </c>
      <c r="B31" s="71">
        <v>56158.64595478153</v>
      </c>
      <c r="C31" s="72">
        <v>0.03731388189708855</v>
      </c>
      <c r="D31" s="71">
        <v>485828.96563286416</v>
      </c>
      <c r="E31" s="72">
        <v>0.3228027374521464</v>
      </c>
      <c r="F31" s="71">
        <v>348463.30846268666</v>
      </c>
      <c r="G31" s="72">
        <v>0.2315319131432575</v>
      </c>
      <c r="H31" s="71">
        <v>144926.11584450884</v>
      </c>
      <c r="I31" s="72">
        <v>0.09629427274261662</v>
      </c>
      <c r="J31" s="71">
        <v>469656.5628517787</v>
      </c>
      <c r="K31" s="72">
        <v>0.31205719476489097</v>
      </c>
      <c r="L31" s="75">
        <v>1505033.59874662</v>
      </c>
    </row>
    <row r="32" spans="1:12" ht="12">
      <c r="A32" s="76" t="s">
        <v>24</v>
      </c>
      <c r="B32" s="77">
        <v>33207.55498053648</v>
      </c>
      <c r="C32" s="78">
        <v>0.018558947868838372</v>
      </c>
      <c r="D32" s="77">
        <v>494054.27214878146</v>
      </c>
      <c r="E32" s="78">
        <v>0.2761157057952717</v>
      </c>
      <c r="F32" s="77">
        <v>498265.306160785</v>
      </c>
      <c r="G32" s="78">
        <v>0.2784691570128783</v>
      </c>
      <c r="H32" s="77">
        <v>124194.67013747191</v>
      </c>
      <c r="I32" s="78">
        <v>0.06940957893527162</v>
      </c>
      <c r="J32" s="77">
        <v>639579.7892717628</v>
      </c>
      <c r="K32" s="78">
        <v>0.35744661038774</v>
      </c>
      <c r="L32" s="81">
        <v>1789301.5926993378</v>
      </c>
    </row>
    <row r="33" ht="12">
      <c r="A33" s="61" t="s">
        <v>31</v>
      </c>
    </row>
    <row r="35" spans="1:12" ht="12">
      <c r="A35" s="243" t="s">
        <v>25</v>
      </c>
      <c r="B35" s="233" t="s">
        <v>84</v>
      </c>
      <c r="C35" s="234"/>
      <c r="D35" s="233" t="s">
        <v>85</v>
      </c>
      <c r="E35" s="234"/>
      <c r="F35" s="233" t="s">
        <v>86</v>
      </c>
      <c r="G35" s="234"/>
      <c r="H35" s="233" t="s">
        <v>87</v>
      </c>
      <c r="I35" s="234"/>
      <c r="J35" s="233" t="s">
        <v>88</v>
      </c>
      <c r="K35" s="234"/>
      <c r="L35" s="235" t="s">
        <v>12</v>
      </c>
    </row>
    <row r="36" spans="1:12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63" t="s">
        <v>30</v>
      </c>
      <c r="K36" s="64" t="s">
        <v>13</v>
      </c>
      <c r="L36" s="235"/>
    </row>
    <row r="37" spans="1:12" ht="12">
      <c r="A37" s="84" t="s">
        <v>26</v>
      </c>
      <c r="B37" s="85">
        <v>23719.940511856843</v>
      </c>
      <c r="C37" s="86">
        <v>0.018759100286479036</v>
      </c>
      <c r="D37" s="85">
        <v>384769.37136110384</v>
      </c>
      <c r="E37" s="86">
        <v>0.30429786368648054</v>
      </c>
      <c r="F37" s="85">
        <v>261758.04318221798</v>
      </c>
      <c r="G37" s="87">
        <v>0.20701339366315916</v>
      </c>
      <c r="H37" s="85">
        <v>75961.54477373345</v>
      </c>
      <c r="I37" s="86">
        <v>0.06007478119997965</v>
      </c>
      <c r="J37" s="85">
        <v>518240.895183561</v>
      </c>
      <c r="K37" s="86">
        <v>0.40985486116390163</v>
      </c>
      <c r="L37" s="88">
        <v>1264449.7950124731</v>
      </c>
    </row>
    <row r="38" spans="1:12" ht="12">
      <c r="A38" s="70" t="s">
        <v>27</v>
      </c>
      <c r="B38" s="71">
        <v>60897.763635551164</v>
      </c>
      <c r="C38" s="72">
        <v>0.02433538854980836</v>
      </c>
      <c r="D38" s="71">
        <v>660079.8012495475</v>
      </c>
      <c r="E38" s="72">
        <v>0.2637748494907047</v>
      </c>
      <c r="F38" s="71">
        <v>623318.6573927664</v>
      </c>
      <c r="G38" s="72">
        <v>0.24908470873867358</v>
      </c>
      <c r="H38" s="71">
        <v>177430.61882593308</v>
      </c>
      <c r="I38" s="72">
        <v>0.07090314638814313</v>
      </c>
      <c r="J38" s="71">
        <v>980709.6213717816</v>
      </c>
      <c r="K38" s="72">
        <v>0.39190190683267023</v>
      </c>
      <c r="L38" s="75">
        <v>2502436.4624755797</v>
      </c>
    </row>
    <row r="39" spans="1:12" ht="12">
      <c r="A39" s="89" t="s">
        <v>28</v>
      </c>
      <c r="B39" s="90">
        <v>85580.24717625485</v>
      </c>
      <c r="C39" s="91">
        <v>0.029182449790338374</v>
      </c>
      <c r="D39" s="90">
        <v>690406.9814080758</v>
      </c>
      <c r="E39" s="91">
        <v>0.2354254367639927</v>
      </c>
      <c r="F39" s="90">
        <v>759753.4385999161</v>
      </c>
      <c r="G39" s="91">
        <v>0.25907224279589003</v>
      </c>
      <c r="H39" s="90">
        <v>243679.47903193076</v>
      </c>
      <c r="I39" s="91">
        <v>0.08309352212011606</v>
      </c>
      <c r="J39" s="90">
        <v>1153172.8263103603</v>
      </c>
      <c r="K39" s="91">
        <v>0.3932263485296629</v>
      </c>
      <c r="L39" s="92">
        <v>2932592.9725265377</v>
      </c>
    </row>
    <row r="40" spans="1:12" ht="12">
      <c r="A40" s="93" t="s">
        <v>29</v>
      </c>
      <c r="B40" s="94">
        <v>112925.51988881044</v>
      </c>
      <c r="C40" s="95">
        <v>0.02062457137883935</v>
      </c>
      <c r="D40" s="94">
        <v>1273601.0520959627</v>
      </c>
      <c r="E40" s="95">
        <v>0.2326088543402922</v>
      </c>
      <c r="F40" s="94">
        <v>1552353.0425007367</v>
      </c>
      <c r="G40" s="95">
        <v>0.28351975852525907</v>
      </c>
      <c r="H40" s="94">
        <v>481165.3197110537</v>
      </c>
      <c r="I40" s="95">
        <v>0.08787941371599578</v>
      </c>
      <c r="J40" s="94">
        <v>2055245.573157745</v>
      </c>
      <c r="K40" s="95">
        <v>0.3753674020396137</v>
      </c>
      <c r="L40" s="96">
        <v>5475290.507354308</v>
      </c>
    </row>
    <row r="41" ht="12">
      <c r="A41" s="61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41"/>
  <sheetViews>
    <sheetView showGridLines="0" zoomScale="90" zoomScaleNormal="90" zoomScalePageLayoutView="0" workbookViewId="0" topLeftCell="A1">
      <selection activeCell="M24" sqref="M24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3.140625" style="61" customWidth="1"/>
    <col min="9" max="16384" width="11.421875" style="61" customWidth="1"/>
  </cols>
  <sheetData>
    <row r="1" ht="12"/>
    <row r="2" ht="12"/>
    <row r="3" ht="12"/>
    <row r="4" ht="12"/>
    <row r="5" ht="12"/>
    <row r="6" spans="1:12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 customHeight="1">
      <c r="A7" s="60" t="s">
        <v>89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0"/>
      <c r="J10" s="60"/>
      <c r="K10" s="60"/>
      <c r="L10" s="60"/>
    </row>
    <row r="11" spans="1:12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2" ht="20.25" customHeight="1">
      <c r="A12" s="238"/>
      <c r="B12" s="233" t="s">
        <v>84</v>
      </c>
      <c r="C12" s="234"/>
      <c r="D12" s="233" t="s">
        <v>85</v>
      </c>
      <c r="E12" s="234"/>
      <c r="F12" s="233" t="s">
        <v>86</v>
      </c>
      <c r="G12" s="234"/>
      <c r="H12" s="233" t="s">
        <v>87</v>
      </c>
      <c r="I12" s="234"/>
      <c r="J12" s="233" t="s">
        <v>91</v>
      </c>
      <c r="K12" s="234"/>
      <c r="L12" s="241" t="s">
        <v>12</v>
      </c>
    </row>
    <row r="13" spans="1:12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63" t="s">
        <v>30</v>
      </c>
      <c r="I13" s="64" t="s">
        <v>13</v>
      </c>
      <c r="J13" s="63" t="s">
        <v>30</v>
      </c>
      <c r="K13" s="64" t="s">
        <v>13</v>
      </c>
      <c r="L13" s="242"/>
    </row>
    <row r="14" spans="1:12" ht="24">
      <c r="A14" s="65" t="s">
        <v>3</v>
      </c>
      <c r="B14" s="66">
        <v>515771.26573310187</v>
      </c>
      <c r="C14" s="67">
        <v>0.04236394419436185</v>
      </c>
      <c r="D14" s="66">
        <v>6874287.464058389</v>
      </c>
      <c r="E14" s="67">
        <f>D14/L14</f>
        <v>0.56463387910809</v>
      </c>
      <c r="F14" s="66">
        <v>3754597.5248094033</v>
      </c>
      <c r="G14" s="134">
        <v>0.3083916661918577</v>
      </c>
      <c r="H14" s="66">
        <v>472040.39556362096</v>
      </c>
      <c r="I14" s="67">
        <v>0.038772018341731176</v>
      </c>
      <c r="J14" s="66">
        <v>558073.0872043903</v>
      </c>
      <c r="K14" s="67">
        <v>0.045838492163959035</v>
      </c>
      <c r="L14" s="69">
        <v>12174769.737368908</v>
      </c>
    </row>
    <row r="15" spans="1:12" ht="12">
      <c r="A15" s="70" t="s">
        <v>5</v>
      </c>
      <c r="B15" s="71">
        <v>255287.10430033944</v>
      </c>
      <c r="C15" s="72">
        <v>0.05444684571767369</v>
      </c>
      <c r="D15" s="71">
        <v>2761250.056391986</v>
      </c>
      <c r="E15" s="197">
        <v>0.5889108900362593</v>
      </c>
      <c r="F15" s="71">
        <v>1361066.9178736818</v>
      </c>
      <c r="G15" s="195">
        <v>0.2902841516103932</v>
      </c>
      <c r="H15" s="71">
        <v>190562.32177395522</v>
      </c>
      <c r="I15" s="72">
        <v>0.04064254385925296</v>
      </c>
      <c r="J15" s="71">
        <v>120573.61637457945</v>
      </c>
      <c r="K15" s="72">
        <v>0.02571556877642085</v>
      </c>
      <c r="L15" s="75">
        <v>4688740.016714542</v>
      </c>
    </row>
    <row r="16" spans="1:12" ht="12">
      <c r="A16" s="76" t="s">
        <v>6</v>
      </c>
      <c r="B16" s="77">
        <v>260484.16143276243</v>
      </c>
      <c r="C16" s="78">
        <v>0.034796036237215625</v>
      </c>
      <c r="D16" s="77">
        <v>4113037.407666403</v>
      </c>
      <c r="E16" s="19">
        <v>0.5494284101381949</v>
      </c>
      <c r="F16" s="77">
        <v>2393530.606935722</v>
      </c>
      <c r="G16" s="196">
        <v>0.3197329821349547</v>
      </c>
      <c r="H16" s="77">
        <v>281478.07378966577</v>
      </c>
      <c r="I16" s="78">
        <v>0.03760044834086784</v>
      </c>
      <c r="J16" s="77">
        <v>437499.47082981083</v>
      </c>
      <c r="K16" s="78">
        <v>0.05844212314876682</v>
      </c>
      <c r="L16" s="81">
        <v>7486029.720654365</v>
      </c>
    </row>
    <row r="17" spans="1:8" ht="12">
      <c r="A17" s="61" t="s">
        <v>31</v>
      </c>
      <c r="B17" s="82"/>
      <c r="C17" s="82"/>
      <c r="D17" s="82"/>
      <c r="E17" s="82"/>
      <c r="F17" s="83"/>
      <c r="G17" s="83"/>
      <c r="H17" s="83"/>
    </row>
    <row r="18" spans="2:8" ht="12">
      <c r="B18" s="82"/>
      <c r="C18" s="82"/>
      <c r="D18" s="82"/>
      <c r="E18" s="82"/>
      <c r="F18" s="83"/>
      <c r="G18" s="83"/>
      <c r="H18" s="83"/>
    </row>
    <row r="19" spans="1:12" ht="12">
      <c r="A19" s="243" t="s">
        <v>15</v>
      </c>
      <c r="B19" s="233" t="s">
        <v>84</v>
      </c>
      <c r="C19" s="234"/>
      <c r="D19" s="233" t="s">
        <v>85</v>
      </c>
      <c r="E19" s="234"/>
      <c r="F19" s="233" t="s">
        <v>86</v>
      </c>
      <c r="G19" s="234"/>
      <c r="H19" s="233" t="s">
        <v>87</v>
      </c>
      <c r="I19" s="234"/>
      <c r="J19" s="233" t="s">
        <v>91</v>
      </c>
      <c r="K19" s="234"/>
      <c r="L19" s="235" t="s">
        <v>12</v>
      </c>
    </row>
    <row r="20" spans="1:12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63" t="s">
        <v>30</v>
      </c>
      <c r="I20" s="64" t="s">
        <v>13</v>
      </c>
      <c r="J20" s="63" t="s">
        <v>30</v>
      </c>
      <c r="K20" s="64" t="s">
        <v>13</v>
      </c>
      <c r="L20" s="235"/>
    </row>
    <row r="21" spans="1:12" ht="12">
      <c r="A21" s="84" t="s">
        <v>16</v>
      </c>
      <c r="B21" s="85">
        <v>45676.58299543104</v>
      </c>
      <c r="C21" s="86">
        <v>0.06382981015430728</v>
      </c>
      <c r="D21" s="85">
        <v>422540.47395688965</v>
      </c>
      <c r="E21" s="86">
        <v>0.5904705752152503</v>
      </c>
      <c r="F21" s="85">
        <v>212755.9220793899</v>
      </c>
      <c r="G21" s="87">
        <v>0.2973114279781054</v>
      </c>
      <c r="H21" s="85">
        <v>29469.22863201939</v>
      </c>
      <c r="I21" s="86">
        <v>0.04118117305674615</v>
      </c>
      <c r="J21" s="85">
        <v>5157.335637571165</v>
      </c>
      <c r="K21" s="86">
        <v>0.007207013595590968</v>
      </c>
      <c r="L21" s="88">
        <v>715599.5433013011</v>
      </c>
    </row>
    <row r="22" spans="1:12" ht="12">
      <c r="A22" s="70" t="s">
        <v>17</v>
      </c>
      <c r="B22" s="71">
        <v>329272.90647066466</v>
      </c>
      <c r="C22" s="72">
        <v>0.045739794572710255</v>
      </c>
      <c r="D22" s="71">
        <v>4111006.0367731084</v>
      </c>
      <c r="E22" s="72">
        <v>0.5710660303778322</v>
      </c>
      <c r="F22" s="71">
        <v>2356245.1085615302</v>
      </c>
      <c r="G22" s="72">
        <v>0.32730955116757987</v>
      </c>
      <c r="H22" s="71">
        <v>290373.6343344835</v>
      </c>
      <c r="I22" s="72">
        <v>0.04033623818658714</v>
      </c>
      <c r="J22" s="71">
        <v>111930.15177793833</v>
      </c>
      <c r="K22" s="72">
        <v>0.015548385695290406</v>
      </c>
      <c r="L22" s="75">
        <v>7198827.837917726</v>
      </c>
    </row>
    <row r="23" spans="1:12" ht="12">
      <c r="A23" s="76" t="s">
        <v>18</v>
      </c>
      <c r="B23" s="77">
        <v>140821.77626700615</v>
      </c>
      <c r="C23" s="78">
        <v>0.03305409858992371</v>
      </c>
      <c r="D23" s="77">
        <v>2340740.953328393</v>
      </c>
      <c r="E23" s="78">
        <v>0.549425552608346</v>
      </c>
      <c r="F23" s="77">
        <v>1185596.4941684864</v>
      </c>
      <c r="G23" s="78">
        <v>0.2782866715997731</v>
      </c>
      <c r="H23" s="77">
        <v>152197.53259711788</v>
      </c>
      <c r="I23" s="78">
        <v>0.035724249338182384</v>
      </c>
      <c r="J23" s="77">
        <v>440985.59978888056</v>
      </c>
      <c r="K23" s="78">
        <v>0.10350942786377475</v>
      </c>
      <c r="L23" s="81">
        <v>4260342.356149884</v>
      </c>
    </row>
    <row r="24" ht="12">
      <c r="A24" s="61" t="s">
        <v>31</v>
      </c>
    </row>
    <row r="26" spans="1:12" ht="12">
      <c r="A26" s="243" t="s">
        <v>19</v>
      </c>
      <c r="B26" s="233" t="s">
        <v>84</v>
      </c>
      <c r="C26" s="234"/>
      <c r="D26" s="233" t="s">
        <v>85</v>
      </c>
      <c r="E26" s="234"/>
      <c r="F26" s="233" t="s">
        <v>86</v>
      </c>
      <c r="G26" s="234"/>
      <c r="H26" s="233" t="s">
        <v>87</v>
      </c>
      <c r="I26" s="234"/>
      <c r="J26" s="233" t="s">
        <v>91</v>
      </c>
      <c r="K26" s="234"/>
      <c r="L26" s="235" t="s">
        <v>12</v>
      </c>
    </row>
    <row r="27" spans="1:12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63" t="s">
        <v>30</v>
      </c>
      <c r="I27" s="64" t="s">
        <v>13</v>
      </c>
      <c r="J27" s="63" t="s">
        <v>30</v>
      </c>
      <c r="K27" s="64" t="s">
        <v>13</v>
      </c>
      <c r="L27" s="235"/>
    </row>
    <row r="28" spans="1:12" ht="12">
      <c r="A28" s="84" t="s">
        <v>20</v>
      </c>
      <c r="B28" s="85">
        <v>35732.62622561271</v>
      </c>
      <c r="C28" s="86">
        <v>0.024948543792371835</v>
      </c>
      <c r="D28" s="85">
        <v>790193.4781246696</v>
      </c>
      <c r="E28" s="86">
        <v>0.5517136207388266</v>
      </c>
      <c r="F28" s="85">
        <v>351677.2843634542</v>
      </c>
      <c r="G28" s="87">
        <v>0.24554131773933432</v>
      </c>
      <c r="H28" s="85">
        <v>61028.10110126716</v>
      </c>
      <c r="I28" s="86">
        <v>0.042609861454820964</v>
      </c>
      <c r="J28" s="85">
        <v>193621.49148076895</v>
      </c>
      <c r="K28" s="86">
        <v>0.1351866562746462</v>
      </c>
      <c r="L28" s="88">
        <v>1432252.9812957728</v>
      </c>
    </row>
    <row r="29" spans="1:12" ht="12">
      <c r="A29" s="70" t="s">
        <v>21</v>
      </c>
      <c r="B29" s="71">
        <v>122051.6422511659</v>
      </c>
      <c r="C29" s="72">
        <v>0.03672991514600209</v>
      </c>
      <c r="D29" s="71">
        <v>1836185.4692219708</v>
      </c>
      <c r="E29" s="72">
        <v>0.5525770504427667</v>
      </c>
      <c r="F29" s="71">
        <v>1048762.9546228207</v>
      </c>
      <c r="G29" s="72">
        <v>0.31561209354558006</v>
      </c>
      <c r="H29" s="71">
        <v>120241.46245017629</v>
      </c>
      <c r="I29" s="72">
        <v>0.03618516417614187</v>
      </c>
      <c r="J29" s="71">
        <v>195707.674195239</v>
      </c>
      <c r="K29" s="72">
        <v>0.05889577668950935</v>
      </c>
      <c r="L29" s="75">
        <v>3322949.2027413724</v>
      </c>
    </row>
    <row r="30" spans="1:12" ht="12">
      <c r="A30" s="89" t="s">
        <v>22</v>
      </c>
      <c r="B30" s="90">
        <v>159548.7875018933</v>
      </c>
      <c r="C30" s="91">
        <v>0.03867631529705098</v>
      </c>
      <c r="D30" s="90">
        <v>2405226.13983703</v>
      </c>
      <c r="E30" s="91">
        <v>0.5830522813840995</v>
      </c>
      <c r="F30" s="90">
        <v>1299100.1792653298</v>
      </c>
      <c r="G30" s="91">
        <v>0.3149156375451936</v>
      </c>
      <c r="H30" s="90">
        <v>164321.11637596585</v>
      </c>
      <c r="I30" s="91">
        <v>0.039833178342673685</v>
      </c>
      <c r="J30" s="90">
        <v>97036.13890557624</v>
      </c>
      <c r="K30" s="91">
        <v>0.023522587430982303</v>
      </c>
      <c r="L30" s="92">
        <v>4125232.361885795</v>
      </c>
    </row>
    <row r="31" spans="1:12" ht="12">
      <c r="A31" s="70" t="s">
        <v>23</v>
      </c>
      <c r="B31" s="71">
        <v>115458.91272006842</v>
      </c>
      <c r="C31" s="72">
        <v>0.0767151728813375</v>
      </c>
      <c r="D31" s="71">
        <v>840828.1398684072</v>
      </c>
      <c r="E31" s="72">
        <v>0.558677321601752</v>
      </c>
      <c r="F31" s="71">
        <v>450821.37969061383</v>
      </c>
      <c r="G31" s="72">
        <v>0.2995424022866031</v>
      </c>
      <c r="H31" s="71">
        <v>78657.89165373302</v>
      </c>
      <c r="I31" s="72">
        <v>0.052263213073275396</v>
      </c>
      <c r="J31" s="71">
        <v>19267.274813796656</v>
      </c>
      <c r="K31" s="72">
        <v>0.012801890157031908</v>
      </c>
      <c r="L31" s="75">
        <v>1505033.5987466192</v>
      </c>
    </row>
    <row r="32" spans="1:12" ht="12">
      <c r="A32" s="76" t="s">
        <v>24</v>
      </c>
      <c r="B32" s="77">
        <v>82979.29703436157</v>
      </c>
      <c r="C32" s="78">
        <v>0.04637524348770023</v>
      </c>
      <c r="D32" s="77">
        <v>1001854.2370063082</v>
      </c>
      <c r="E32" s="78">
        <v>0.5599135668878006</v>
      </c>
      <c r="F32" s="77">
        <v>604235.7268671795</v>
      </c>
      <c r="G32" s="78">
        <v>0.33769361706968065</v>
      </c>
      <c r="H32" s="77">
        <v>47791.82398247853</v>
      </c>
      <c r="I32" s="78">
        <v>0.026709764400522258</v>
      </c>
      <c r="J32" s="77">
        <v>52440.50780900893</v>
      </c>
      <c r="K32" s="78">
        <v>0.02930780815429627</v>
      </c>
      <c r="L32" s="81">
        <v>1789301.5926993368</v>
      </c>
    </row>
    <row r="33" ht="12">
      <c r="A33" s="61" t="s">
        <v>31</v>
      </c>
    </row>
    <row r="35" spans="1:12" ht="12">
      <c r="A35" s="243" t="s">
        <v>25</v>
      </c>
      <c r="B35" s="233" t="s">
        <v>84</v>
      </c>
      <c r="C35" s="234"/>
      <c r="D35" s="233" t="s">
        <v>85</v>
      </c>
      <c r="E35" s="234"/>
      <c r="F35" s="233" t="s">
        <v>86</v>
      </c>
      <c r="G35" s="234"/>
      <c r="H35" s="233" t="s">
        <v>87</v>
      </c>
      <c r="I35" s="234"/>
      <c r="J35" s="233" t="s">
        <v>91</v>
      </c>
      <c r="K35" s="234"/>
      <c r="L35" s="235" t="s">
        <v>12</v>
      </c>
    </row>
    <row r="36" spans="1:12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63" t="s">
        <v>30</v>
      </c>
      <c r="K36" s="64" t="s">
        <v>13</v>
      </c>
      <c r="L36" s="235"/>
    </row>
    <row r="37" spans="1:12" ht="12">
      <c r="A37" s="84" t="s">
        <v>26</v>
      </c>
      <c r="B37" s="85">
        <v>55384.221275811055</v>
      </c>
      <c r="C37" s="86">
        <v>0.04380104413340091</v>
      </c>
      <c r="D37" s="85">
        <v>782779.7427891743</v>
      </c>
      <c r="E37" s="86">
        <v>0.6190674757327577</v>
      </c>
      <c r="F37" s="85">
        <v>301338.0922113408</v>
      </c>
      <c r="G37" s="87">
        <v>0.23831558469141778</v>
      </c>
      <c r="H37" s="85">
        <v>64701.852374581</v>
      </c>
      <c r="I37" s="86">
        <v>0.051169965489964574</v>
      </c>
      <c r="J37" s="85">
        <v>60245.88636156567</v>
      </c>
      <c r="K37" s="86">
        <v>0.0476459299524592</v>
      </c>
      <c r="L37" s="88">
        <v>1264449.7950124727</v>
      </c>
    </row>
    <row r="38" spans="1:12" ht="12">
      <c r="A38" s="70" t="s">
        <v>27</v>
      </c>
      <c r="B38" s="71">
        <v>86361.22062335175</v>
      </c>
      <c r="C38" s="72">
        <v>0.034510854488556064</v>
      </c>
      <c r="D38" s="71">
        <v>1414113.0470257648</v>
      </c>
      <c r="E38" s="72">
        <v>0.5650944862059866</v>
      </c>
      <c r="F38" s="71">
        <v>733972.8597160715</v>
      </c>
      <c r="G38" s="72">
        <v>0.2933032948976357</v>
      </c>
      <c r="H38" s="71">
        <v>94922.00280948261</v>
      </c>
      <c r="I38" s="72">
        <v>0.03793183332837922</v>
      </c>
      <c r="J38" s="71">
        <v>173067.33230090994</v>
      </c>
      <c r="K38" s="72">
        <v>0.06915953107944245</v>
      </c>
      <c r="L38" s="75">
        <v>2502436.4624755806</v>
      </c>
    </row>
    <row r="39" spans="1:12" ht="12">
      <c r="A39" s="89" t="s">
        <v>28</v>
      </c>
      <c r="B39" s="90">
        <v>145562.51370383037</v>
      </c>
      <c r="C39" s="91">
        <v>0.0496361121599575</v>
      </c>
      <c r="D39" s="90">
        <v>1692430.9560579043</v>
      </c>
      <c r="E39" s="91">
        <v>0.5771107589471622</v>
      </c>
      <c r="F39" s="90">
        <v>908143.1994913042</v>
      </c>
      <c r="G39" s="91">
        <v>0.3096724325534018</v>
      </c>
      <c r="H39" s="90">
        <v>84820.34712774042</v>
      </c>
      <c r="I39" s="91">
        <v>0.028923327554271724</v>
      </c>
      <c r="J39" s="90">
        <v>101635.956145758</v>
      </c>
      <c r="K39" s="91">
        <v>0.03465736878520679</v>
      </c>
      <c r="L39" s="92">
        <v>2932592.9725265373</v>
      </c>
    </row>
    <row r="40" spans="1:12" ht="12">
      <c r="A40" s="93" t="s">
        <v>29</v>
      </c>
      <c r="B40" s="94">
        <v>228463.31013010873</v>
      </c>
      <c r="C40" s="95">
        <v>0.04172624444734779</v>
      </c>
      <c r="D40" s="94">
        <v>2984963.7181855384</v>
      </c>
      <c r="E40" s="95">
        <v>0.5451699255365887</v>
      </c>
      <c r="F40" s="94">
        <v>1811143.3733906867</v>
      </c>
      <c r="G40" s="95">
        <v>0.33078489094925523</v>
      </c>
      <c r="H40" s="94">
        <v>227596.1932518168</v>
      </c>
      <c r="I40" s="95">
        <v>0.04156787533850741</v>
      </c>
      <c r="J40" s="94">
        <v>223123.91239615605</v>
      </c>
      <c r="K40" s="95">
        <v>0.04075106372830085</v>
      </c>
      <c r="L40" s="96">
        <v>5475290.507354307</v>
      </c>
    </row>
    <row r="41" ht="12">
      <c r="A41" s="61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U43"/>
  <sheetViews>
    <sheetView showGridLines="0" zoomScale="90" zoomScaleNormal="90" zoomScalePageLayoutView="0" workbookViewId="0" topLeftCell="A3">
      <selection activeCell="K16" activeCellId="4" sqref="C16 E16 G16 I16 K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6" t="s">
        <v>2</v>
      </c>
      <c r="B7" s="6"/>
      <c r="C7" s="6"/>
      <c r="D7" s="6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6" t="s">
        <v>3</v>
      </c>
      <c r="B9" s="6"/>
      <c r="C9" s="6"/>
      <c r="D9" s="6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7" t="s">
        <v>202</v>
      </c>
      <c r="B10" s="7"/>
      <c r="C10" s="7"/>
      <c r="D10" s="7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111945.3</v>
      </c>
      <c r="C14" s="17">
        <v>0.009194222910994298</v>
      </c>
      <c r="D14" s="27">
        <v>283253.8</v>
      </c>
      <c r="E14" s="17">
        <v>0.023264027856338732</v>
      </c>
      <c r="F14" s="27">
        <v>3241887.2</v>
      </c>
      <c r="G14" s="17">
        <v>0.26626069668935765</v>
      </c>
      <c r="H14" s="27">
        <v>7323555.9</v>
      </c>
      <c r="I14" s="17">
        <v>0.6014938139048933</v>
      </c>
      <c r="J14" s="27">
        <v>1214970.8</v>
      </c>
      <c r="K14" s="17">
        <v>0.09978723863841599</v>
      </c>
      <c r="L14" s="30">
        <v>12175613</v>
      </c>
    </row>
    <row r="15" spans="1:12" ht="12">
      <c r="A15" s="21" t="s">
        <v>5</v>
      </c>
      <c r="B15" s="28">
        <v>47110.35</v>
      </c>
      <c r="C15" s="18">
        <v>0.010047550088083366</v>
      </c>
      <c r="D15" s="28">
        <v>147343.5</v>
      </c>
      <c r="E15" s="18">
        <v>0.031424967048716716</v>
      </c>
      <c r="F15" s="28">
        <v>1242099.7</v>
      </c>
      <c r="G15" s="18">
        <v>0.26491119149281045</v>
      </c>
      <c r="H15" s="28">
        <v>2788772.7</v>
      </c>
      <c r="I15" s="18">
        <v>0.5947808366426801</v>
      </c>
      <c r="J15" s="28">
        <v>463413.7</v>
      </c>
      <c r="K15" s="18">
        <v>0.09883544406386365</v>
      </c>
      <c r="L15" s="31">
        <v>4688740</v>
      </c>
    </row>
    <row r="16" spans="1:12" ht="12">
      <c r="A16" s="22" t="s">
        <v>6</v>
      </c>
      <c r="B16" s="29">
        <v>64834.96</v>
      </c>
      <c r="C16" s="19">
        <v>0.008659818209019732</v>
      </c>
      <c r="D16" s="29">
        <v>135910.3</v>
      </c>
      <c r="E16" s="19">
        <v>0.018153145937520966</v>
      </c>
      <c r="F16" s="29">
        <v>1999787.5</v>
      </c>
      <c r="G16" s="19">
        <v>0.26710583621351885</v>
      </c>
      <c r="H16" s="29">
        <v>4534783.2</v>
      </c>
      <c r="I16" s="19">
        <v>0.6056978847417622</v>
      </c>
      <c r="J16" s="29">
        <v>751557</v>
      </c>
      <c r="K16" s="19">
        <v>0.10038329619878292</v>
      </c>
      <c r="L16" s="32">
        <v>7486873.1</v>
      </c>
    </row>
    <row r="17" spans="1:8" ht="12">
      <c r="A17" s="4" t="s">
        <v>31</v>
      </c>
      <c r="B17" s="13"/>
      <c r="C17" s="13"/>
      <c r="D17" s="13"/>
      <c r="E17" s="13"/>
      <c r="F17" s="28"/>
      <c r="G17" s="10"/>
      <c r="H17" s="10"/>
    </row>
    <row r="18" spans="2:21" ht="12">
      <c r="B18" s="13"/>
      <c r="C18" s="13"/>
      <c r="D18" s="13"/>
      <c r="E18" s="13"/>
      <c r="F18" s="10"/>
      <c r="G18" s="10"/>
      <c r="H18" s="10"/>
      <c r="P18" s="42"/>
      <c r="Q18" s="42"/>
      <c r="U18" s="43"/>
    </row>
    <row r="19" spans="1:12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21070.81</v>
      </c>
      <c r="C21" s="38">
        <v>0.02944497585590823</v>
      </c>
      <c r="D21" s="37">
        <v>14135.334</v>
      </c>
      <c r="E21" s="38">
        <v>0.019753135657585005</v>
      </c>
      <c r="F21" s="37">
        <v>185868.9</v>
      </c>
      <c r="G21" s="38">
        <v>0.25973872256758146</v>
      </c>
      <c r="H21" s="37">
        <v>416252.8</v>
      </c>
      <c r="I21" s="38">
        <v>0.5816840285662581</v>
      </c>
      <c r="J21" s="37">
        <v>78271.71</v>
      </c>
      <c r="K21" s="38">
        <v>0.10937921281387146</v>
      </c>
      <c r="L21" s="39">
        <v>715599.5</v>
      </c>
    </row>
    <row r="22" spans="1:12" ht="12">
      <c r="A22" s="21" t="s">
        <v>17</v>
      </c>
      <c r="B22" s="28">
        <v>66198.42</v>
      </c>
      <c r="C22" s="18">
        <v>0.009194644888783254</v>
      </c>
      <c r="D22" s="28">
        <v>202313</v>
      </c>
      <c r="E22" s="18">
        <v>0.0281003110253146</v>
      </c>
      <c r="F22" s="28">
        <v>1801236.9</v>
      </c>
      <c r="G22" s="18">
        <v>0.2501832167002293</v>
      </c>
      <c r="H22" s="28">
        <v>4391289.2</v>
      </c>
      <c r="I22" s="18">
        <v>0.609929131208103</v>
      </c>
      <c r="J22" s="28">
        <v>738633.7</v>
      </c>
      <c r="K22" s="18">
        <v>0.10259269895547452</v>
      </c>
      <c r="L22" s="31">
        <v>7199671.2</v>
      </c>
    </row>
    <row r="23" spans="1:12" ht="12">
      <c r="A23" s="22" t="s">
        <v>18</v>
      </c>
      <c r="B23" s="29">
        <v>24676.08</v>
      </c>
      <c r="C23" s="19">
        <v>0.00579204150351859</v>
      </c>
      <c r="D23" s="29">
        <v>66805.56</v>
      </c>
      <c r="E23" s="19">
        <v>0.01568079598484854</v>
      </c>
      <c r="F23" s="29">
        <v>1254781.4</v>
      </c>
      <c r="G23" s="19">
        <v>0.29452595171693235</v>
      </c>
      <c r="H23" s="29">
        <v>2516013.9</v>
      </c>
      <c r="I23" s="19">
        <v>0.5905661244504666</v>
      </c>
      <c r="J23" s="29">
        <v>398065.4</v>
      </c>
      <c r="K23" s="19">
        <v>0.09343507226085865</v>
      </c>
      <c r="L23" s="32">
        <v>4260342.4</v>
      </c>
    </row>
    <row r="24" ht="12">
      <c r="A24" s="4" t="s">
        <v>31</v>
      </c>
    </row>
    <row r="26" spans="1:20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  <c r="O26" s="42"/>
      <c r="P26" s="42"/>
      <c r="T26" s="43"/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15181.65</v>
      </c>
      <c r="C28" s="38">
        <v>0.010599838157085375</v>
      </c>
      <c r="D28" s="37">
        <v>16300.24</v>
      </c>
      <c r="E28" s="38">
        <v>0.011380838441253047</v>
      </c>
      <c r="F28" s="37">
        <v>284224.6</v>
      </c>
      <c r="G28" s="38">
        <v>0.19844580531512238</v>
      </c>
      <c r="H28" s="37">
        <v>971022.4</v>
      </c>
      <c r="I28" s="38">
        <v>0.6779684874110928</v>
      </c>
      <c r="J28" s="37">
        <v>145524.1</v>
      </c>
      <c r="K28" s="38">
        <v>0.10160502369343964</v>
      </c>
      <c r="L28" s="39">
        <v>1432253</v>
      </c>
    </row>
    <row r="29" spans="1:12" ht="12">
      <c r="A29" s="21" t="s">
        <v>21</v>
      </c>
      <c r="B29" s="28">
        <v>13168.81</v>
      </c>
      <c r="C29" s="18">
        <v>0.003961983186375202</v>
      </c>
      <c r="D29" s="28">
        <v>53078.132</v>
      </c>
      <c r="E29" s="18">
        <v>0.01596914729183606</v>
      </c>
      <c r="F29" s="28">
        <v>719833.3</v>
      </c>
      <c r="G29" s="18">
        <v>0.21656986710211304</v>
      </c>
      <c r="H29" s="28">
        <v>2201641.7</v>
      </c>
      <c r="I29" s="18">
        <v>0.6623884312874526</v>
      </c>
      <c r="J29" s="28">
        <v>336070.5</v>
      </c>
      <c r="K29" s="18">
        <v>0.1011105536822771</v>
      </c>
      <c r="L29" s="31">
        <v>3323792.5</v>
      </c>
    </row>
    <row r="30" spans="1:12" ht="12">
      <c r="A30" s="23" t="s">
        <v>22</v>
      </c>
      <c r="B30" s="34">
        <v>41992.99</v>
      </c>
      <c r="C30" s="24">
        <v>0.01017954527846722</v>
      </c>
      <c r="D30" s="34">
        <v>92914.99</v>
      </c>
      <c r="E30" s="24">
        <v>0.02252357709592313</v>
      </c>
      <c r="F30" s="34">
        <v>978727.9</v>
      </c>
      <c r="G30" s="24">
        <v>0.2372540029502338</v>
      </c>
      <c r="H30" s="34">
        <v>2571331.4</v>
      </c>
      <c r="I30" s="24">
        <v>0.6233179493111709</v>
      </c>
      <c r="J30" s="34">
        <v>440265.1</v>
      </c>
      <c r="K30" s="24">
        <v>0.10672492051599324</v>
      </c>
      <c r="L30" s="44">
        <v>4125232.4</v>
      </c>
    </row>
    <row r="31" spans="1:12" ht="12">
      <c r="A31" s="21" t="s">
        <v>23</v>
      </c>
      <c r="B31" s="28">
        <v>23229.26</v>
      </c>
      <c r="C31" s="18">
        <v>0.01543437967099206</v>
      </c>
      <c r="D31" s="28">
        <v>53162.08</v>
      </c>
      <c r="E31" s="18">
        <v>0.03532285259279261</v>
      </c>
      <c r="F31" s="28">
        <v>476052.7</v>
      </c>
      <c r="G31" s="18">
        <v>0.316307024640513</v>
      </c>
      <c r="H31" s="28">
        <v>755746.1</v>
      </c>
      <c r="I31" s="18">
        <v>0.5021456663824647</v>
      </c>
      <c r="J31" s="28">
        <v>196843.47</v>
      </c>
      <c r="K31" s="18">
        <v>0.13079008335760742</v>
      </c>
      <c r="L31" s="31">
        <v>1505033.6</v>
      </c>
    </row>
    <row r="32" spans="1:12" ht="12">
      <c r="A32" s="22" t="s">
        <v>24</v>
      </c>
      <c r="B32" s="29">
        <v>18372.59</v>
      </c>
      <c r="C32" s="19">
        <v>0.01026802300964801</v>
      </c>
      <c r="D32" s="29">
        <v>67798.41</v>
      </c>
      <c r="E32" s="19">
        <v>0.037890990540666816</v>
      </c>
      <c r="F32" s="29">
        <v>783048.7</v>
      </c>
      <c r="G32" s="19">
        <v>0.4376281226149912</v>
      </c>
      <c r="H32" s="29">
        <v>823814.4</v>
      </c>
      <c r="I32" s="19">
        <v>0.46041114589066484</v>
      </c>
      <c r="J32" s="29">
        <v>96267.51</v>
      </c>
      <c r="K32" s="19">
        <v>0.05380172353280184</v>
      </c>
      <c r="L32" s="32">
        <v>1789301.6</v>
      </c>
    </row>
    <row r="33" ht="12">
      <c r="A33" s="4" t="s">
        <v>31</v>
      </c>
    </row>
    <row r="35" spans="1:12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23443.611</v>
      </c>
      <c r="C37" s="38">
        <v>0.01854056285983042</v>
      </c>
      <c r="D37" s="37">
        <v>30922.17</v>
      </c>
      <c r="E37" s="38">
        <v>0.02445503965440146</v>
      </c>
      <c r="F37" s="37">
        <v>468405.7</v>
      </c>
      <c r="G37" s="38">
        <v>0.3704423062109702</v>
      </c>
      <c r="H37" s="37">
        <v>609962.4</v>
      </c>
      <c r="I37" s="38">
        <v>0.48239352799929264</v>
      </c>
      <c r="J37" s="37">
        <v>131716</v>
      </c>
      <c r="K37" s="38">
        <v>0.10416862733498791</v>
      </c>
      <c r="L37" s="39">
        <v>1264449.8</v>
      </c>
    </row>
    <row r="38" spans="1:12" ht="12">
      <c r="A38" s="21" t="s">
        <v>27</v>
      </c>
      <c r="B38" s="28">
        <v>35182.3</v>
      </c>
      <c r="C38" s="18">
        <v>0.014059217886248063</v>
      </c>
      <c r="D38" s="28">
        <v>54696.87</v>
      </c>
      <c r="E38" s="18">
        <v>0.021857445733388242</v>
      </c>
      <c r="F38" s="28">
        <v>867510.1</v>
      </c>
      <c r="G38" s="18">
        <v>0.34666617914180836</v>
      </c>
      <c r="H38" s="28">
        <v>1322782.8</v>
      </c>
      <c r="I38" s="18">
        <v>0.528597948439451</v>
      </c>
      <c r="J38" s="28">
        <v>222264.5</v>
      </c>
      <c r="K38" s="18">
        <v>0.08881923677184217</v>
      </c>
      <c r="L38" s="31">
        <v>2502436.5</v>
      </c>
    </row>
    <row r="39" spans="1:12" ht="12">
      <c r="A39" s="23" t="s">
        <v>28</v>
      </c>
      <c r="B39" s="34">
        <v>22179.73</v>
      </c>
      <c r="C39" s="24">
        <v>0.0075631804345164845</v>
      </c>
      <c r="D39" s="34">
        <v>64536.5</v>
      </c>
      <c r="E39" s="24">
        <v>0.02200663371971494</v>
      </c>
      <c r="F39" s="34">
        <v>772545</v>
      </c>
      <c r="G39" s="24">
        <v>0.26343410081112517</v>
      </c>
      <c r="H39" s="34">
        <v>1843398.5</v>
      </c>
      <c r="I39" s="24">
        <v>0.6285899543509789</v>
      </c>
      <c r="J39" s="34">
        <v>229933.2</v>
      </c>
      <c r="K39" s="24">
        <v>0.07840610681400385</v>
      </c>
      <c r="L39" s="44">
        <v>2932593</v>
      </c>
    </row>
    <row r="40" spans="1:12" ht="12">
      <c r="A40" s="25" t="s">
        <v>29</v>
      </c>
      <c r="B40" s="35">
        <v>31139.67</v>
      </c>
      <c r="C40" s="26">
        <v>0.005686433373852187</v>
      </c>
      <c r="D40" s="35">
        <v>133098.3</v>
      </c>
      <c r="E40" s="26">
        <v>0.0243051585043448</v>
      </c>
      <c r="F40" s="35">
        <v>1133426.5</v>
      </c>
      <c r="G40" s="26">
        <v>0.2069756768908751</v>
      </c>
      <c r="H40" s="35">
        <v>3547412.3</v>
      </c>
      <c r="I40" s="26">
        <v>0.6477950374404657</v>
      </c>
      <c r="J40" s="35">
        <v>631057.1</v>
      </c>
      <c r="K40" s="26">
        <v>0.11523770657320316</v>
      </c>
      <c r="L40" s="33">
        <v>5476133.8</v>
      </c>
    </row>
    <row r="41" spans="1:20" ht="12">
      <c r="A41" s="4" t="s">
        <v>31</v>
      </c>
      <c r="O41" s="42"/>
      <c r="P41" s="42"/>
      <c r="T41" s="43"/>
    </row>
    <row r="43" ht="12">
      <c r="E43" s="5" t="s">
        <v>0</v>
      </c>
    </row>
  </sheetData>
  <sheetProtection/>
  <mergeCells count="30">
    <mergeCell ref="L26:L27"/>
    <mergeCell ref="A35:A36"/>
    <mergeCell ref="B35:C35"/>
    <mergeCell ref="D35:E35"/>
    <mergeCell ref="F35:G35"/>
    <mergeCell ref="H35:I35"/>
    <mergeCell ref="J35:K35"/>
    <mergeCell ref="L35:L36"/>
    <mergeCell ref="A26:A27"/>
    <mergeCell ref="B26:C26"/>
    <mergeCell ref="D26:E26"/>
    <mergeCell ref="F26:G26"/>
    <mergeCell ref="H26:I26"/>
    <mergeCell ref="J26:K26"/>
    <mergeCell ref="B11:L11"/>
    <mergeCell ref="A6:L6"/>
    <mergeCell ref="B12:C12"/>
    <mergeCell ref="D12:E12"/>
    <mergeCell ref="F12:G12"/>
    <mergeCell ref="A11:A13"/>
    <mergeCell ref="B19:C19"/>
    <mergeCell ref="D19:E19"/>
    <mergeCell ref="A19:A20"/>
    <mergeCell ref="H12:I12"/>
    <mergeCell ref="J12:K12"/>
    <mergeCell ref="L12:L13"/>
    <mergeCell ref="F19:G19"/>
    <mergeCell ref="H19:I19"/>
    <mergeCell ref="J19:K19"/>
    <mergeCell ref="L19:L20"/>
  </mergeCells>
  <printOptions/>
  <pageMargins left="0.75" right="0.75" top="1" bottom="1" header="0" footer="0"/>
  <pageSetup horizontalDpi="600" verticalDpi="600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R41"/>
  <sheetViews>
    <sheetView showGridLines="0" zoomScale="90" zoomScaleNormal="90" zoomScalePageLayoutView="0" workbookViewId="0" topLeftCell="A1">
      <selection activeCell="K37" sqref="K37:K40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3.140625" style="61" customWidth="1"/>
    <col min="9" max="16384" width="11.421875" style="61" customWidth="1"/>
  </cols>
  <sheetData>
    <row r="1" ht="12"/>
    <row r="2" ht="12"/>
    <row r="3" ht="12"/>
    <row r="4" ht="12"/>
    <row r="5" ht="12"/>
    <row r="6" spans="1:10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" customHeight="1">
      <c r="A7" s="60" t="s">
        <v>92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>
      <c r="A8" s="60" t="s">
        <v>33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0"/>
      <c r="J10" s="60"/>
    </row>
    <row r="11" spans="1:10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0.25" customHeight="1">
      <c r="A12" s="238"/>
      <c r="B12" s="233" t="s">
        <v>93</v>
      </c>
      <c r="C12" s="234"/>
      <c r="D12" s="233" t="s">
        <v>94</v>
      </c>
      <c r="E12" s="234"/>
      <c r="F12" s="233" t="s">
        <v>95</v>
      </c>
      <c r="G12" s="234"/>
      <c r="H12" s="233" t="s">
        <v>96</v>
      </c>
      <c r="I12" s="234"/>
      <c r="J12" s="241" t="s">
        <v>12</v>
      </c>
    </row>
    <row r="13" spans="1:10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63" t="s">
        <v>30</v>
      </c>
      <c r="I13" s="64" t="s">
        <v>13</v>
      </c>
      <c r="J13" s="242"/>
    </row>
    <row r="14" spans="1:10" ht="24">
      <c r="A14" s="65" t="s">
        <v>3</v>
      </c>
      <c r="B14" s="66">
        <v>1819216</v>
      </c>
      <c r="C14" s="67">
        <f>+B14/$J$14</f>
        <v>0.1494250815415815</v>
      </c>
      <c r="D14" s="66">
        <v>3917413.1</v>
      </c>
      <c r="E14" s="67">
        <f>+D14/$J$14</f>
        <v>0.321764854695407</v>
      </c>
      <c r="F14" s="66">
        <v>3602544</v>
      </c>
      <c r="G14" s="67">
        <f>+F14/$J$14</f>
        <v>0.29590242772553405</v>
      </c>
      <c r="H14" s="66">
        <v>2835596.6</v>
      </c>
      <c r="I14" s="67">
        <f>+H14/$J$14</f>
        <v>0.23290761139635494</v>
      </c>
      <c r="J14" s="69">
        <v>12174770</v>
      </c>
    </row>
    <row r="15" spans="1:10" ht="12">
      <c r="A15" s="70" t="s">
        <v>5</v>
      </c>
      <c r="B15" s="71">
        <v>670198.6</v>
      </c>
      <c r="C15" s="72">
        <f>+B15/$J$15</f>
        <v>0.14293788949696506</v>
      </c>
      <c r="D15" s="71">
        <v>1474347.4</v>
      </c>
      <c r="E15" s="72">
        <f>+D15/$J$15</f>
        <v>0.31444426434393885</v>
      </c>
      <c r="F15" s="71">
        <v>1436642.8</v>
      </c>
      <c r="G15" s="72">
        <f>+F15/$J$15</f>
        <v>0.30640274359422787</v>
      </c>
      <c r="H15" s="71">
        <v>1107551.2</v>
      </c>
      <c r="I15" s="72">
        <f>+H15/$J$15</f>
        <v>0.23621510256486816</v>
      </c>
      <c r="J15" s="75">
        <v>4688740</v>
      </c>
    </row>
    <row r="16" spans="1:17" ht="12">
      <c r="A16" s="76" t="s">
        <v>6</v>
      </c>
      <c r="B16" s="77">
        <v>1149017.5</v>
      </c>
      <c r="C16" s="78">
        <f>+B16/$J$16</f>
        <v>0.1534882368954534</v>
      </c>
      <c r="D16" s="77">
        <v>2443065.7</v>
      </c>
      <c r="E16" s="78">
        <f>+D16/$J$16</f>
        <v>0.3263499876309601</v>
      </c>
      <c r="F16" s="77">
        <v>2165901.1</v>
      </c>
      <c r="G16" s="78">
        <f>+F16/$J$16</f>
        <v>0.28932574232239555</v>
      </c>
      <c r="H16" s="77">
        <v>1728045.4</v>
      </c>
      <c r="I16" s="78">
        <f>+H16/$J$16</f>
        <v>0.23083603315119092</v>
      </c>
      <c r="J16" s="81">
        <v>7486029.7</v>
      </c>
      <c r="M16" s="142"/>
      <c r="Q16" s="143"/>
    </row>
    <row r="17" spans="1:8" ht="12">
      <c r="A17" s="61" t="s">
        <v>31</v>
      </c>
      <c r="B17" s="82"/>
      <c r="C17" s="82"/>
      <c r="D17" s="82"/>
      <c r="E17" s="82"/>
      <c r="F17" s="83"/>
      <c r="G17" s="83"/>
      <c r="H17" s="83"/>
    </row>
    <row r="18" spans="2:8" ht="12">
      <c r="B18" s="82"/>
      <c r="C18" s="82"/>
      <c r="D18" s="82"/>
      <c r="E18" s="82"/>
      <c r="F18" s="83"/>
      <c r="G18" s="83"/>
      <c r="H18" s="83"/>
    </row>
    <row r="19" spans="1:17" ht="12">
      <c r="A19" s="243" t="s">
        <v>15</v>
      </c>
      <c r="B19" s="233" t="s">
        <v>93</v>
      </c>
      <c r="C19" s="234"/>
      <c r="D19" s="233" t="s">
        <v>94</v>
      </c>
      <c r="E19" s="234"/>
      <c r="F19" s="233" t="s">
        <v>95</v>
      </c>
      <c r="G19" s="234"/>
      <c r="H19" s="233" t="s">
        <v>96</v>
      </c>
      <c r="I19" s="234"/>
      <c r="J19" s="235" t="s">
        <v>12</v>
      </c>
      <c r="M19" s="143"/>
      <c r="O19" s="143"/>
      <c r="Q19" s="143"/>
    </row>
    <row r="20" spans="1:10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63" t="s">
        <v>30</v>
      </c>
      <c r="I20" s="64" t="s">
        <v>13</v>
      </c>
      <c r="J20" s="235"/>
    </row>
    <row r="21" spans="1:10" ht="12">
      <c r="A21" s="84" t="s">
        <v>16</v>
      </c>
      <c r="B21" s="85">
        <v>47598.382</v>
      </c>
      <c r="C21" s="86">
        <f>+B21/$J$21</f>
        <v>0.06651539303758597</v>
      </c>
      <c r="D21" s="85">
        <v>208085.7</v>
      </c>
      <c r="E21" s="86">
        <f>+D21/$J$21</f>
        <v>0.29078513889403224</v>
      </c>
      <c r="F21" s="85">
        <v>314567.7</v>
      </c>
      <c r="G21" s="86">
        <f>+F21/$J$21</f>
        <v>0.4395862490121919</v>
      </c>
      <c r="H21" s="85">
        <v>145347.8</v>
      </c>
      <c r="I21" s="86">
        <f>+H21/$J$21</f>
        <v>0.20311333364542594</v>
      </c>
      <c r="J21" s="88">
        <v>715599.5</v>
      </c>
    </row>
    <row r="22" spans="1:18" ht="12">
      <c r="A22" s="70" t="s">
        <v>17</v>
      </c>
      <c r="B22" s="71">
        <v>1084390.1</v>
      </c>
      <c r="C22" s="72">
        <f>+B22/$J$22</f>
        <v>0.15063426020552959</v>
      </c>
      <c r="D22" s="71">
        <v>2246972</v>
      </c>
      <c r="E22" s="72">
        <f>+D22/$J$22</f>
        <v>0.3121302609849898</v>
      </c>
      <c r="F22" s="71">
        <v>2124451.2</v>
      </c>
      <c r="G22" s="72">
        <f>+F22/$J$22</f>
        <v>0.295110712330138</v>
      </c>
      <c r="H22" s="71">
        <v>1743014.4</v>
      </c>
      <c r="I22" s="72">
        <f>+H22/$J$22</f>
        <v>0.2421247525881922</v>
      </c>
      <c r="J22" s="75">
        <v>7198827.8</v>
      </c>
      <c r="N22" s="142"/>
      <c r="O22" s="142"/>
      <c r="P22" s="142"/>
      <c r="Q22" s="142"/>
      <c r="R22" s="142"/>
    </row>
    <row r="23" spans="1:15" ht="12">
      <c r="A23" s="76" t="s">
        <v>18</v>
      </c>
      <c r="B23" s="77">
        <v>687227.5</v>
      </c>
      <c r="C23" s="78">
        <f>+B23/$J$23</f>
        <v>0.16130804416095756</v>
      </c>
      <c r="D23" s="77">
        <v>1462355.4</v>
      </c>
      <c r="E23" s="78">
        <f>+D23/$J$23</f>
        <v>0.3432483267072618</v>
      </c>
      <c r="F23" s="77">
        <v>1163525.1</v>
      </c>
      <c r="G23" s="78">
        <f>+F23/$J$23</f>
        <v>0.2731060066909176</v>
      </c>
      <c r="H23" s="77">
        <v>947234.36</v>
      </c>
      <c r="I23" s="78">
        <f>+H23/$J$23</f>
        <v>0.22233761305194621</v>
      </c>
      <c r="J23" s="81">
        <v>4260342.4</v>
      </c>
      <c r="O23" s="143"/>
    </row>
    <row r="24" spans="1:17" ht="12">
      <c r="A24" s="61" t="s">
        <v>31</v>
      </c>
      <c r="N24" s="142"/>
      <c r="Q24" s="142"/>
    </row>
    <row r="26" spans="1:18" ht="12">
      <c r="A26" s="243" t="s">
        <v>19</v>
      </c>
      <c r="B26" s="233" t="s">
        <v>93</v>
      </c>
      <c r="C26" s="234"/>
      <c r="D26" s="233" t="s">
        <v>94</v>
      </c>
      <c r="E26" s="234"/>
      <c r="F26" s="233" t="s">
        <v>95</v>
      </c>
      <c r="G26" s="234"/>
      <c r="H26" s="233" t="s">
        <v>96</v>
      </c>
      <c r="I26" s="234"/>
      <c r="J26" s="235" t="s">
        <v>12</v>
      </c>
      <c r="N26" s="143"/>
      <c r="P26" s="143"/>
      <c r="R26" s="143"/>
    </row>
    <row r="27" spans="1:10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63" t="s">
        <v>30</v>
      </c>
      <c r="I27" s="64" t="s">
        <v>13</v>
      </c>
      <c r="J27" s="235"/>
    </row>
    <row r="28" spans="1:10" ht="12">
      <c r="A28" s="84" t="s">
        <v>20</v>
      </c>
      <c r="B28" s="85">
        <v>154018</v>
      </c>
      <c r="C28" s="86">
        <f>+B28/$J$28</f>
        <v>0.10753547033938836</v>
      </c>
      <c r="D28" s="85">
        <v>428899</v>
      </c>
      <c r="E28" s="86">
        <f>+D28/$J$28</f>
        <v>0.29945756790176037</v>
      </c>
      <c r="F28" s="85">
        <v>504431.9</v>
      </c>
      <c r="G28" s="86">
        <f>+F28/$J$28</f>
        <v>0.35219468906680595</v>
      </c>
      <c r="H28" s="85">
        <v>344904</v>
      </c>
      <c r="I28" s="86">
        <f>+H28/$J$28</f>
        <v>0.24081220287197863</v>
      </c>
      <c r="J28" s="88">
        <v>1432253</v>
      </c>
    </row>
    <row r="29" spans="1:10" ht="12">
      <c r="A29" s="70" t="s">
        <v>21</v>
      </c>
      <c r="B29" s="71">
        <v>382757.3</v>
      </c>
      <c r="C29" s="72">
        <f>+B29/$J$29</f>
        <v>0.1151860221034977</v>
      </c>
      <c r="D29" s="71">
        <v>864534.5</v>
      </c>
      <c r="E29" s="72">
        <f>+D29/$J$29</f>
        <v>0.26017084462200024</v>
      </c>
      <c r="F29" s="71">
        <v>1170422</v>
      </c>
      <c r="G29" s="72">
        <f>+F29/$J$29</f>
        <v>0.3522238618634314</v>
      </c>
      <c r="H29" s="71">
        <v>905235.3</v>
      </c>
      <c r="I29" s="72">
        <f>+H29/$J$29</f>
        <v>0.27241924131732137</v>
      </c>
      <c r="J29" s="75">
        <v>3322949.2</v>
      </c>
    </row>
    <row r="30" spans="1:10" ht="12">
      <c r="A30" s="89" t="s">
        <v>22</v>
      </c>
      <c r="B30" s="90">
        <v>563793.4</v>
      </c>
      <c r="C30" s="144">
        <f>+B30/$J$30</f>
        <v>0.13666948800266382</v>
      </c>
      <c r="D30" s="145">
        <v>1251858.3</v>
      </c>
      <c r="E30" s="144">
        <f>+D30/$J$30</f>
        <v>0.3034637030388882</v>
      </c>
      <c r="F30" s="90">
        <v>1287121.4</v>
      </c>
      <c r="G30" s="144">
        <f>+F30/$J$30</f>
        <v>0.3120118517444011</v>
      </c>
      <c r="H30" s="90">
        <v>1022459.3</v>
      </c>
      <c r="I30" s="144">
        <f>+H30/$J$30</f>
        <v>0.2478549572140469</v>
      </c>
      <c r="J30" s="92">
        <v>4125232.4</v>
      </c>
    </row>
    <row r="31" spans="1:10" ht="12">
      <c r="A31" s="70" t="s">
        <v>23</v>
      </c>
      <c r="B31" s="71">
        <v>209462.6</v>
      </c>
      <c r="C31" s="72">
        <f>+B31/$J$31</f>
        <v>0.13917470015287367</v>
      </c>
      <c r="D31" s="71">
        <v>583271.8</v>
      </c>
      <c r="E31" s="72">
        <f>+D31/$J$31</f>
        <v>0.38754736106888243</v>
      </c>
      <c r="F31" s="71">
        <v>365561.3</v>
      </c>
      <c r="G31" s="72">
        <f>+F31/$J$31</f>
        <v>0.2428924510389668</v>
      </c>
      <c r="H31" s="71">
        <v>346737.9</v>
      </c>
      <c r="I31" s="72">
        <f>+H31/$J$31</f>
        <v>0.23038548773927706</v>
      </c>
      <c r="J31" s="75">
        <v>1505033.6</v>
      </c>
    </row>
    <row r="32" spans="1:10" ht="12">
      <c r="A32" s="76" t="s">
        <v>24</v>
      </c>
      <c r="B32" s="77">
        <v>509184.7</v>
      </c>
      <c r="C32" s="78">
        <f>+B32/$J$32</f>
        <v>0.28457175693577874</v>
      </c>
      <c r="D32" s="77">
        <v>788849.5</v>
      </c>
      <c r="E32" s="78">
        <f>+D32/$J$32</f>
        <v>0.44087005790415656</v>
      </c>
      <c r="F32" s="77">
        <v>275007.2</v>
      </c>
      <c r="G32" s="78">
        <f>+F32/$J$32</f>
        <v>0.15369527417848394</v>
      </c>
      <c r="H32" s="77">
        <v>216260.1</v>
      </c>
      <c r="I32" s="78">
        <f>+H32/$J$32</f>
        <v>0.12086285509385337</v>
      </c>
      <c r="J32" s="81">
        <v>1789301.6</v>
      </c>
    </row>
    <row r="33" ht="12">
      <c r="A33" s="61" t="s">
        <v>31</v>
      </c>
    </row>
    <row r="35" spans="1:10" ht="12">
      <c r="A35" s="243" t="s">
        <v>25</v>
      </c>
      <c r="B35" s="233" t="s">
        <v>93</v>
      </c>
      <c r="C35" s="234"/>
      <c r="D35" s="233" t="s">
        <v>94</v>
      </c>
      <c r="E35" s="234"/>
      <c r="F35" s="233" t="s">
        <v>95</v>
      </c>
      <c r="G35" s="234"/>
      <c r="H35" s="233" t="s">
        <v>96</v>
      </c>
      <c r="I35" s="234"/>
      <c r="J35" s="235" t="s">
        <v>12</v>
      </c>
    </row>
    <row r="36" spans="1:10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235"/>
    </row>
    <row r="37" spans="1:10" ht="12">
      <c r="A37" s="84" t="s">
        <v>26</v>
      </c>
      <c r="B37" s="85">
        <v>204726.4</v>
      </c>
      <c r="C37" s="86">
        <f>+B37/$J$37</f>
        <v>0.16190947240451933</v>
      </c>
      <c r="D37" s="85">
        <v>453032.12</v>
      </c>
      <c r="E37" s="86">
        <f>+D37/$J$37</f>
        <v>0.3582839903964554</v>
      </c>
      <c r="F37" s="85">
        <v>297240.8</v>
      </c>
      <c r="G37" s="86">
        <f>+F37/$J$37</f>
        <v>0.2350752082051814</v>
      </c>
      <c r="H37" s="85">
        <v>309450.4</v>
      </c>
      <c r="I37" s="86">
        <f>+H37/$J$37</f>
        <v>0.244731265725219</v>
      </c>
      <c r="J37" s="88">
        <v>1264449.8</v>
      </c>
    </row>
    <row r="38" spans="1:10" ht="12">
      <c r="A38" s="70" t="s">
        <v>27</v>
      </c>
      <c r="B38" s="71">
        <v>449833.1</v>
      </c>
      <c r="C38" s="72">
        <f>+B38/$J$38</f>
        <v>0.17975804780660767</v>
      </c>
      <c r="D38" s="71">
        <v>858713</v>
      </c>
      <c r="E38" s="72">
        <f>+D38/$J$38</f>
        <v>0.34315076526417354</v>
      </c>
      <c r="F38" s="71">
        <v>686789.5</v>
      </c>
      <c r="G38" s="72">
        <f>+F38/$J$38</f>
        <v>0.27444832266473096</v>
      </c>
      <c r="H38" s="71">
        <v>507100.88</v>
      </c>
      <c r="I38" s="72">
        <f>+H38/$J$38</f>
        <v>0.20264285627227704</v>
      </c>
      <c r="J38" s="75">
        <v>2502436.5</v>
      </c>
    </row>
    <row r="39" spans="1:10" ht="12">
      <c r="A39" s="89" t="s">
        <v>28</v>
      </c>
      <c r="B39" s="90">
        <v>441529.5</v>
      </c>
      <c r="C39" s="91">
        <f>+B39/$J$39</f>
        <v>0.15055941959896924</v>
      </c>
      <c r="D39" s="90">
        <v>916083</v>
      </c>
      <c r="E39" s="91">
        <f>+D39/$J$39</f>
        <v>0.3123798631450051</v>
      </c>
      <c r="F39" s="90">
        <v>936811.2</v>
      </c>
      <c r="G39" s="91">
        <f>+F39/$J$39</f>
        <v>0.3194480788844548</v>
      </c>
      <c r="H39" s="90">
        <v>638169.2</v>
      </c>
      <c r="I39" s="91">
        <f>+H39/$J$39</f>
        <v>0.21761260427205548</v>
      </c>
      <c r="J39" s="92">
        <v>2932593</v>
      </c>
    </row>
    <row r="40" spans="1:10" ht="12">
      <c r="A40" s="93" t="s">
        <v>29</v>
      </c>
      <c r="B40" s="94">
        <v>723127</v>
      </c>
      <c r="C40" s="95">
        <f>+B40/$J$40</f>
        <v>0.13207098326563677</v>
      </c>
      <c r="D40" s="94">
        <v>1689585</v>
      </c>
      <c r="E40" s="95">
        <f>+D40/$J$40</f>
        <v>0.3085836267500327</v>
      </c>
      <c r="F40" s="94">
        <v>1681702.4</v>
      </c>
      <c r="G40" s="95">
        <f>+F40/$J$40</f>
        <v>0.30714395884565393</v>
      </c>
      <c r="H40" s="94">
        <v>1380876.1</v>
      </c>
      <c r="I40" s="95">
        <f>+H40/$J$40</f>
        <v>0.2522014311386766</v>
      </c>
      <c r="J40" s="96">
        <v>5475290.5</v>
      </c>
    </row>
    <row r="41" ht="12">
      <c r="A41" s="61" t="s">
        <v>31</v>
      </c>
    </row>
  </sheetData>
  <sheetProtection/>
  <mergeCells count="26">
    <mergeCell ref="A35:A36"/>
    <mergeCell ref="B35:C35"/>
    <mergeCell ref="D35:E35"/>
    <mergeCell ref="F35:G35"/>
    <mergeCell ref="H35:I35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D19:E19"/>
    <mergeCell ref="F19:G19"/>
    <mergeCell ref="H19:I19"/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</mergeCells>
  <printOptions/>
  <pageMargins left="0.75" right="0.75" top="1" bottom="1" header="0" footer="0"/>
  <pageSetup horizontalDpi="600" verticalDpi="600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N41"/>
  <sheetViews>
    <sheetView showGridLines="0" zoomScale="90" zoomScaleNormal="90" zoomScalePageLayoutView="0" workbookViewId="0" topLeftCell="A2">
      <selection activeCell="L16" sqref="L16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16384" width="11.421875" style="61" customWidth="1"/>
  </cols>
  <sheetData>
    <row r="1" ht="12"/>
    <row r="2" ht="12"/>
    <row r="3" ht="12"/>
    <row r="4" ht="12"/>
    <row r="5" ht="12"/>
    <row r="6" spans="1:8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</row>
    <row r="7" spans="1:8" ht="15" customHeight="1">
      <c r="A7" s="60" t="s">
        <v>98</v>
      </c>
      <c r="B7" s="60"/>
      <c r="C7" s="60"/>
      <c r="D7" s="60"/>
      <c r="E7" s="60"/>
      <c r="F7" s="60"/>
      <c r="G7" s="60"/>
      <c r="H7" s="60"/>
    </row>
    <row r="8" spans="1:8" ht="15" customHeight="1">
      <c r="A8" s="60" t="s">
        <v>33</v>
      </c>
      <c r="B8" s="60"/>
      <c r="C8" s="60"/>
      <c r="D8" s="60"/>
      <c r="E8" s="60"/>
      <c r="F8" s="60"/>
      <c r="G8" s="60"/>
      <c r="H8" s="60"/>
    </row>
    <row r="9" spans="1:8" ht="15" customHeight="1">
      <c r="A9" s="60" t="s">
        <v>3</v>
      </c>
      <c r="B9" s="60"/>
      <c r="C9" s="60"/>
      <c r="D9" s="60"/>
      <c r="E9" s="60"/>
      <c r="F9" s="60"/>
      <c r="G9" s="60"/>
      <c r="H9" s="60"/>
    </row>
    <row r="10" spans="1:8" ht="15" customHeight="1">
      <c r="A10" s="62" t="s">
        <v>202</v>
      </c>
      <c r="B10" s="62"/>
      <c r="C10" s="62"/>
      <c r="D10" s="62"/>
      <c r="E10" s="62"/>
      <c r="F10" s="62"/>
      <c r="G10" s="62"/>
      <c r="H10" s="60"/>
    </row>
    <row r="11" spans="1:8" ht="14.25">
      <c r="A11" s="237" t="s">
        <v>14</v>
      </c>
      <c r="B11" s="240"/>
      <c r="C11" s="240"/>
      <c r="D11" s="240"/>
      <c r="E11" s="240"/>
      <c r="F11" s="240"/>
      <c r="G11" s="240"/>
      <c r="H11" s="240"/>
    </row>
    <row r="12" spans="1:8" ht="20.25" customHeight="1">
      <c r="A12" s="238"/>
      <c r="B12" s="233" t="s">
        <v>45</v>
      </c>
      <c r="C12" s="234"/>
      <c r="D12" s="233" t="s">
        <v>44</v>
      </c>
      <c r="E12" s="234"/>
      <c r="F12" s="233" t="s">
        <v>97</v>
      </c>
      <c r="G12" s="234"/>
      <c r="H12" s="241" t="s">
        <v>12</v>
      </c>
    </row>
    <row r="13" spans="1:8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242"/>
    </row>
    <row r="14" spans="1:8" ht="24">
      <c r="A14" s="65" t="s">
        <v>3</v>
      </c>
      <c r="B14" s="66">
        <v>2415585.502799381</v>
      </c>
      <c r="C14" s="67">
        <v>0.19840913256741521</v>
      </c>
      <c r="D14" s="66">
        <v>5021941.888134608</v>
      </c>
      <c r="E14" s="67">
        <v>0.41248762781282006</v>
      </c>
      <c r="F14" s="66">
        <v>4737242.346434912</v>
      </c>
      <c r="G14" s="106">
        <v>0.3891032396197648</v>
      </c>
      <c r="H14" s="69">
        <v>12174769.7373689</v>
      </c>
    </row>
    <row r="15" spans="1:8" ht="12">
      <c r="A15" s="70" t="s">
        <v>5</v>
      </c>
      <c r="B15" s="71">
        <v>1035127.6469621762</v>
      </c>
      <c r="C15" s="72">
        <v>0.22076882985026403</v>
      </c>
      <c r="D15" s="71">
        <v>2224187.7524365988</v>
      </c>
      <c r="E15" s="197">
        <v>0.4743678993733408</v>
      </c>
      <c r="F15" s="71">
        <v>1429424.6173157643</v>
      </c>
      <c r="G15" s="195">
        <v>0.3048632707763952</v>
      </c>
      <c r="H15" s="75">
        <v>4688740.016714539</v>
      </c>
    </row>
    <row r="16" spans="1:8" ht="12">
      <c r="A16" s="76" t="s">
        <v>6</v>
      </c>
      <c r="B16" s="77">
        <v>1380457.8558372047</v>
      </c>
      <c r="C16" s="78">
        <v>0.18440453850035443</v>
      </c>
      <c r="D16" s="77">
        <v>2797754.1356980097</v>
      </c>
      <c r="E16" s="19">
        <v>0.3737300331548049</v>
      </c>
      <c r="F16" s="77">
        <v>3307817.729119147</v>
      </c>
      <c r="G16" s="196">
        <v>0.4418654283448406</v>
      </c>
      <c r="H16" s="81">
        <v>7486029.720654362</v>
      </c>
    </row>
    <row r="17" spans="1:7" ht="12">
      <c r="A17" s="61" t="s">
        <v>31</v>
      </c>
      <c r="B17" s="82"/>
      <c r="C17" s="82"/>
      <c r="D17" s="82"/>
      <c r="E17" s="82"/>
      <c r="F17" s="83"/>
      <c r="G17" s="83"/>
    </row>
    <row r="18" spans="2:7" ht="12">
      <c r="B18" s="82"/>
      <c r="C18" s="82"/>
      <c r="D18" s="82"/>
      <c r="E18" s="82"/>
      <c r="F18" s="83"/>
      <c r="G18" s="83"/>
    </row>
    <row r="19" spans="1:8" ht="12">
      <c r="A19" s="243" t="s">
        <v>15</v>
      </c>
      <c r="B19" s="233" t="s">
        <v>45</v>
      </c>
      <c r="C19" s="234"/>
      <c r="D19" s="233" t="s">
        <v>44</v>
      </c>
      <c r="E19" s="234"/>
      <c r="F19" s="233" t="s">
        <v>97</v>
      </c>
      <c r="G19" s="234"/>
      <c r="H19" s="235" t="s">
        <v>12</v>
      </c>
    </row>
    <row r="20" spans="1:8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235"/>
    </row>
    <row r="21" spans="1:8" ht="12">
      <c r="A21" s="84" t="s">
        <v>16</v>
      </c>
      <c r="B21" s="85">
        <v>131214.84948840816</v>
      </c>
      <c r="C21" s="86">
        <v>0.18336351764992753</v>
      </c>
      <c r="D21" s="85">
        <v>341917.6784984128</v>
      </c>
      <c r="E21" s="86">
        <v>0.4778058925541397</v>
      </c>
      <c r="F21" s="85">
        <v>242467.01531447988</v>
      </c>
      <c r="G21" s="87">
        <v>0.3388305897959327</v>
      </c>
      <c r="H21" s="88">
        <v>715599.5433013008</v>
      </c>
    </row>
    <row r="22" spans="1:8" ht="12">
      <c r="A22" s="70" t="s">
        <v>17</v>
      </c>
      <c r="B22" s="71">
        <v>1954975.8156972309</v>
      </c>
      <c r="C22" s="72">
        <v>0.2715686302983894</v>
      </c>
      <c r="D22" s="71">
        <v>3148181.7062431886</v>
      </c>
      <c r="E22" s="72">
        <v>0.43731865480391996</v>
      </c>
      <c r="F22" s="71">
        <v>2095670.3159772998</v>
      </c>
      <c r="G22" s="72">
        <v>0.29111271489769064</v>
      </c>
      <c r="H22" s="75">
        <v>7198827.837917719</v>
      </c>
    </row>
    <row r="23" spans="1:8" ht="12">
      <c r="A23" s="76" t="s">
        <v>18</v>
      </c>
      <c r="B23" s="77">
        <v>329394.83761374094</v>
      </c>
      <c r="C23" s="78">
        <v>0.07731651826953602</v>
      </c>
      <c r="D23" s="77">
        <v>1531842.503393008</v>
      </c>
      <c r="E23" s="78">
        <v>0.359558546082984</v>
      </c>
      <c r="F23" s="77">
        <v>2399105.0151431393</v>
      </c>
      <c r="G23" s="78">
        <v>0.5631249356474801</v>
      </c>
      <c r="H23" s="81">
        <v>4260342.356149888</v>
      </c>
    </row>
    <row r="24" ht="12">
      <c r="A24" s="61" t="s">
        <v>31</v>
      </c>
    </row>
    <row r="26" spans="1:8" ht="12">
      <c r="A26" s="243" t="s">
        <v>19</v>
      </c>
      <c r="B26" s="233" t="s">
        <v>45</v>
      </c>
      <c r="C26" s="234"/>
      <c r="D26" s="233" t="s">
        <v>44</v>
      </c>
      <c r="E26" s="234"/>
      <c r="F26" s="233" t="s">
        <v>97</v>
      </c>
      <c r="G26" s="234"/>
      <c r="H26" s="235" t="s">
        <v>12</v>
      </c>
    </row>
    <row r="27" spans="1:8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235"/>
    </row>
    <row r="28" spans="1:8" ht="12">
      <c r="A28" s="84" t="s">
        <v>20</v>
      </c>
      <c r="B28" s="85">
        <v>87430.76294568488</v>
      </c>
      <c r="C28" s="86">
        <v>0.061044217807517134</v>
      </c>
      <c r="D28" s="85">
        <v>562716.7645051248</v>
      </c>
      <c r="E28" s="86">
        <v>0.39288922547469923</v>
      </c>
      <c r="F28" s="85">
        <v>782105.4538449625</v>
      </c>
      <c r="G28" s="87">
        <v>0.5460665567177837</v>
      </c>
      <c r="H28" s="88">
        <v>1432252.9812957721</v>
      </c>
    </row>
    <row r="29" spans="1:8" ht="12">
      <c r="A29" s="70" t="s">
        <v>21</v>
      </c>
      <c r="B29" s="71">
        <v>356424.2239144268</v>
      </c>
      <c r="C29" s="72">
        <v>0.10726141212763143</v>
      </c>
      <c r="D29" s="71">
        <v>1380218.3672715805</v>
      </c>
      <c r="E29" s="72">
        <v>0.4153594542260607</v>
      </c>
      <c r="F29" s="71">
        <v>1586306.6115553665</v>
      </c>
      <c r="G29" s="72">
        <v>0.4773791336463079</v>
      </c>
      <c r="H29" s="75">
        <v>3322949.202741374</v>
      </c>
    </row>
    <row r="30" spans="1:8" ht="12">
      <c r="A30" s="89" t="s">
        <v>22</v>
      </c>
      <c r="B30" s="90">
        <v>833192.4224620814</v>
      </c>
      <c r="C30" s="91">
        <v>0.2019746645450049</v>
      </c>
      <c r="D30" s="90">
        <v>1791548.13826473</v>
      </c>
      <c r="E30" s="91">
        <v>0.4342902365494264</v>
      </c>
      <c r="F30" s="90">
        <v>1500491.8011589819</v>
      </c>
      <c r="G30" s="91">
        <v>0.3637350989055687</v>
      </c>
      <c r="H30" s="92">
        <v>4125232.3618857935</v>
      </c>
    </row>
    <row r="31" spans="1:8" ht="12">
      <c r="A31" s="70" t="s">
        <v>23</v>
      </c>
      <c r="B31" s="71">
        <v>387818.9889246606</v>
      </c>
      <c r="C31" s="72">
        <v>0.2576812831604778</v>
      </c>
      <c r="D31" s="71">
        <v>652899.2273114978</v>
      </c>
      <c r="E31" s="72">
        <v>0.4338103998842466</v>
      </c>
      <c r="F31" s="71">
        <v>464315.38251046115</v>
      </c>
      <c r="G31" s="72">
        <v>0.30850831695527553</v>
      </c>
      <c r="H31" s="75">
        <v>1505033.5987466197</v>
      </c>
    </row>
    <row r="32" spans="1:8" ht="12">
      <c r="A32" s="76" t="s">
        <v>24</v>
      </c>
      <c r="B32" s="77">
        <v>750719.1045525264</v>
      </c>
      <c r="C32" s="78">
        <v>0.41955984816399366</v>
      </c>
      <c r="D32" s="77">
        <v>634559.3907816726</v>
      </c>
      <c r="E32" s="78">
        <v>0.3546408237553609</v>
      </c>
      <c r="F32" s="77">
        <v>404023.0973651394</v>
      </c>
      <c r="G32" s="78">
        <v>0.2257993280806455</v>
      </c>
      <c r="H32" s="81">
        <v>1789301.5926993382</v>
      </c>
    </row>
    <row r="33" ht="12">
      <c r="A33" s="61" t="s">
        <v>31</v>
      </c>
    </row>
    <row r="35" spans="1:8" ht="12">
      <c r="A35" s="243" t="s">
        <v>25</v>
      </c>
      <c r="B35" s="233" t="s">
        <v>45</v>
      </c>
      <c r="C35" s="234"/>
      <c r="D35" s="233" t="s">
        <v>44</v>
      </c>
      <c r="E35" s="234"/>
      <c r="F35" s="233" t="s">
        <v>97</v>
      </c>
      <c r="G35" s="234"/>
      <c r="H35" s="235" t="s">
        <v>12</v>
      </c>
    </row>
    <row r="36" spans="1:8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235"/>
    </row>
    <row r="37" spans="1:13" ht="12">
      <c r="A37" s="84" t="s">
        <v>26</v>
      </c>
      <c r="B37" s="85">
        <v>198929.5</v>
      </c>
      <c r="C37" s="86">
        <f>+B37/$H$37</f>
        <v>0.15732494876427675</v>
      </c>
      <c r="D37" s="85">
        <v>595194.4</v>
      </c>
      <c r="E37" s="86">
        <f>+D37/$H$37</f>
        <v>0.4707141398575096</v>
      </c>
      <c r="F37" s="85">
        <v>470325.9</v>
      </c>
      <c r="G37" s="86">
        <f>+F37/$H$37</f>
        <v>0.3719609113782137</v>
      </c>
      <c r="H37" s="88">
        <v>1264449.8</v>
      </c>
      <c r="K37" s="142"/>
      <c r="L37" s="142"/>
      <c r="M37" s="142"/>
    </row>
    <row r="38" spans="1:12" ht="12">
      <c r="A38" s="70" t="s">
        <v>27</v>
      </c>
      <c r="B38" s="71">
        <v>499078.5</v>
      </c>
      <c r="C38" s="72">
        <f>+B38/$H$38</f>
        <v>0.19943702867185642</v>
      </c>
      <c r="D38" s="71">
        <v>982534.9</v>
      </c>
      <c r="E38" s="72">
        <f>+D38/$H$38</f>
        <v>0.39263130153352543</v>
      </c>
      <c r="F38" s="71">
        <v>1020823.1</v>
      </c>
      <c r="G38" s="72">
        <f>+F38/$H$38</f>
        <v>0.40793166979461815</v>
      </c>
      <c r="H38" s="75">
        <v>2502436.5</v>
      </c>
      <c r="K38" s="142"/>
      <c r="L38" s="142"/>
    </row>
    <row r="39" spans="1:14" ht="12">
      <c r="A39" s="89" t="s">
        <v>28</v>
      </c>
      <c r="B39" s="90">
        <v>562910</v>
      </c>
      <c r="C39" s="91">
        <f>+B39/$H$39</f>
        <v>0.19194958182059357</v>
      </c>
      <c r="D39" s="90">
        <v>1256712.3</v>
      </c>
      <c r="E39" s="91">
        <f>+D39/$H$39</f>
        <v>0.42853280356326295</v>
      </c>
      <c r="F39" s="90">
        <v>1112970.7</v>
      </c>
      <c r="G39" s="91">
        <f>+F39/$H$39</f>
        <v>0.3795176146161434</v>
      </c>
      <c r="H39" s="92">
        <v>2932593</v>
      </c>
      <c r="K39" s="143"/>
      <c r="N39" s="143"/>
    </row>
    <row r="40" spans="1:8" ht="12">
      <c r="A40" s="93" t="s">
        <v>29</v>
      </c>
      <c r="B40" s="94">
        <v>1154667.5</v>
      </c>
      <c r="C40" s="95">
        <f>+B40/$H$40</f>
        <v>0.21088698398742495</v>
      </c>
      <c r="D40" s="94">
        <v>2187500.4</v>
      </c>
      <c r="E40" s="95">
        <f>+D40/$H$40</f>
        <v>0.3995222536594177</v>
      </c>
      <c r="F40" s="94">
        <v>2133122.6</v>
      </c>
      <c r="G40" s="95">
        <f>+F40/$H$40</f>
        <v>0.38959076235315737</v>
      </c>
      <c r="H40" s="96">
        <v>5475290.5</v>
      </c>
    </row>
    <row r="41" ht="12">
      <c r="A41" s="61" t="s">
        <v>31</v>
      </c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6:H41"/>
  <sheetViews>
    <sheetView showGridLines="0" zoomScale="90" zoomScaleNormal="90" zoomScalePageLayoutView="0" workbookViewId="0" topLeftCell="A1">
      <selection activeCell="J27" sqref="J27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16384" width="11.421875" style="61" customWidth="1"/>
  </cols>
  <sheetData>
    <row r="1" ht="12"/>
    <row r="2" ht="12"/>
    <row r="3" ht="12"/>
    <row r="4" ht="12"/>
    <row r="5" ht="12"/>
    <row r="6" spans="1:8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</row>
    <row r="7" spans="1:8" ht="15" customHeight="1">
      <c r="A7" s="60" t="s">
        <v>99</v>
      </c>
      <c r="B7" s="60"/>
      <c r="C7" s="60"/>
      <c r="D7" s="60"/>
      <c r="E7" s="60"/>
      <c r="F7" s="60"/>
      <c r="G7" s="60"/>
      <c r="H7" s="60"/>
    </row>
    <row r="8" spans="1:8" ht="15" customHeight="1">
      <c r="A8" s="60" t="s">
        <v>33</v>
      </c>
      <c r="B8" s="60"/>
      <c r="C8" s="60"/>
      <c r="D8" s="60"/>
      <c r="E8" s="60"/>
      <c r="F8" s="60"/>
      <c r="G8" s="60"/>
      <c r="H8" s="60"/>
    </row>
    <row r="9" spans="1:8" ht="15" customHeight="1">
      <c r="A9" s="60" t="s">
        <v>3</v>
      </c>
      <c r="B9" s="60"/>
      <c r="C9" s="60"/>
      <c r="D9" s="60"/>
      <c r="E9" s="60"/>
      <c r="F9" s="60"/>
      <c r="G9" s="60"/>
      <c r="H9" s="60"/>
    </row>
    <row r="10" spans="1:8" ht="15" customHeight="1">
      <c r="A10" s="62" t="s">
        <v>202</v>
      </c>
      <c r="B10" s="62"/>
      <c r="C10" s="62"/>
      <c r="D10" s="62"/>
      <c r="E10" s="62"/>
      <c r="F10" s="62"/>
      <c r="G10" s="62"/>
      <c r="H10" s="60"/>
    </row>
    <row r="11" spans="1:8" ht="14.25">
      <c r="A11" s="237" t="s">
        <v>14</v>
      </c>
      <c r="B11" s="240"/>
      <c r="C11" s="240"/>
      <c r="D11" s="240"/>
      <c r="E11" s="240"/>
      <c r="F11" s="240"/>
      <c r="G11" s="240"/>
      <c r="H11" s="240"/>
    </row>
    <row r="12" spans="1:8" ht="24.75" customHeight="1">
      <c r="A12" s="238"/>
      <c r="B12" s="233" t="s">
        <v>45</v>
      </c>
      <c r="C12" s="234"/>
      <c r="D12" s="233" t="s">
        <v>44</v>
      </c>
      <c r="E12" s="234"/>
      <c r="F12" s="255" t="s">
        <v>100</v>
      </c>
      <c r="G12" s="256"/>
      <c r="H12" s="241" t="s">
        <v>12</v>
      </c>
    </row>
    <row r="13" spans="1:8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242"/>
    </row>
    <row r="14" spans="1:8" ht="24">
      <c r="A14" s="65" t="s">
        <v>3</v>
      </c>
      <c r="B14" s="66">
        <v>3905094.809962238</v>
      </c>
      <c r="C14" s="67">
        <v>0.3207530732984663</v>
      </c>
      <c r="D14" s="66">
        <v>7495492.649984234</v>
      </c>
      <c r="E14" s="67">
        <v>0.615657857329143</v>
      </c>
      <c r="F14" s="66">
        <v>774182.2774224335</v>
      </c>
      <c r="G14" s="106">
        <v>0.06358906937239063</v>
      </c>
      <c r="H14" s="69">
        <v>12174769.737368906</v>
      </c>
    </row>
    <row r="15" spans="1:8" ht="12">
      <c r="A15" s="70" t="s">
        <v>5</v>
      </c>
      <c r="B15" s="71">
        <v>938750.4599996123</v>
      </c>
      <c r="C15" s="72">
        <v>0.20021380086187937</v>
      </c>
      <c r="D15" s="71">
        <v>3164595.7945607556</v>
      </c>
      <c r="E15" s="72">
        <v>0.674935224234979</v>
      </c>
      <c r="F15" s="71">
        <v>585393.7621541838</v>
      </c>
      <c r="G15" s="198">
        <v>0.1248509749031415</v>
      </c>
      <c r="H15" s="75">
        <v>4688740.016714552</v>
      </c>
    </row>
    <row r="16" spans="1:8" ht="12">
      <c r="A16" s="76" t="s">
        <v>6</v>
      </c>
      <c r="B16" s="77">
        <v>2966344.3499626257</v>
      </c>
      <c r="C16" s="78">
        <v>0.3962506776827674</v>
      </c>
      <c r="D16" s="77">
        <v>4330896.855423478</v>
      </c>
      <c r="E16" s="78">
        <v>0.5785305451665926</v>
      </c>
      <c r="F16" s="77">
        <v>188788.51526824964</v>
      </c>
      <c r="G16" s="117">
        <v>0.02521877715063996</v>
      </c>
      <c r="H16" s="81">
        <v>7486029.7206543535</v>
      </c>
    </row>
    <row r="17" spans="1:7" ht="12">
      <c r="A17" s="61" t="s">
        <v>31</v>
      </c>
      <c r="B17" s="82"/>
      <c r="C17" s="82"/>
      <c r="D17" s="82"/>
      <c r="E17" s="82"/>
      <c r="F17" s="83"/>
      <c r="G17" s="83"/>
    </row>
    <row r="18" spans="2:7" ht="12">
      <c r="B18" s="82"/>
      <c r="C18" s="82"/>
      <c r="D18" s="82"/>
      <c r="E18" s="82"/>
      <c r="F18" s="83"/>
      <c r="G18" s="83"/>
    </row>
    <row r="19" spans="1:8" ht="36" customHeight="1">
      <c r="A19" s="243" t="s">
        <v>15</v>
      </c>
      <c r="B19" s="233" t="s">
        <v>45</v>
      </c>
      <c r="C19" s="234"/>
      <c r="D19" s="233" t="s">
        <v>44</v>
      </c>
      <c r="E19" s="234"/>
      <c r="F19" s="255" t="s">
        <v>100</v>
      </c>
      <c r="G19" s="256"/>
      <c r="H19" s="235" t="s">
        <v>12</v>
      </c>
    </row>
    <row r="20" spans="1:8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235"/>
    </row>
    <row r="21" spans="1:8" ht="12">
      <c r="A21" s="84" t="s">
        <v>16</v>
      </c>
      <c r="B21" s="85">
        <v>304717.8980712347</v>
      </c>
      <c r="C21" s="86">
        <v>0.42582181741685965</v>
      </c>
      <c r="D21" s="85">
        <v>381692.6275364394</v>
      </c>
      <c r="E21" s="86">
        <v>0.533388584592387</v>
      </c>
      <c r="F21" s="85">
        <v>29189.017693626636</v>
      </c>
      <c r="G21" s="87">
        <v>0.040789597990753185</v>
      </c>
      <c r="H21" s="88">
        <v>715599.5433013008</v>
      </c>
    </row>
    <row r="22" spans="1:8" ht="12">
      <c r="A22" s="70" t="s">
        <v>17</v>
      </c>
      <c r="B22" s="71">
        <v>2790819.569731284</v>
      </c>
      <c r="C22" s="72">
        <v>0.3876769430477918</v>
      </c>
      <c r="D22" s="71">
        <v>4102345.6628252664</v>
      </c>
      <c r="E22" s="72">
        <v>0.5698630048099448</v>
      </c>
      <c r="F22" s="71">
        <v>305662.6053611641</v>
      </c>
      <c r="G22" s="72">
        <v>0.04246005214226349</v>
      </c>
      <c r="H22" s="75">
        <v>7198827.837917713</v>
      </c>
    </row>
    <row r="23" spans="1:8" ht="12">
      <c r="A23" s="76" t="s">
        <v>18</v>
      </c>
      <c r="B23" s="77">
        <v>809557.3421597199</v>
      </c>
      <c r="C23" s="78">
        <v>0.1900216636325268</v>
      </c>
      <c r="D23" s="77">
        <v>3011454.3596225213</v>
      </c>
      <c r="E23" s="78">
        <v>0.7068573621261752</v>
      </c>
      <c r="F23" s="77">
        <v>439330.6543676424</v>
      </c>
      <c r="G23" s="78">
        <v>0.10312097424129786</v>
      </c>
      <c r="H23" s="81">
        <v>4260342.356149884</v>
      </c>
    </row>
    <row r="24" ht="12">
      <c r="A24" s="61" t="s">
        <v>31</v>
      </c>
    </row>
    <row r="26" spans="1:8" ht="31.5" customHeight="1">
      <c r="A26" s="243" t="s">
        <v>19</v>
      </c>
      <c r="B26" s="233" t="s">
        <v>45</v>
      </c>
      <c r="C26" s="234"/>
      <c r="D26" s="233" t="s">
        <v>44</v>
      </c>
      <c r="E26" s="234"/>
      <c r="F26" s="255" t="s">
        <v>100</v>
      </c>
      <c r="G26" s="256"/>
      <c r="H26" s="235" t="s">
        <v>12</v>
      </c>
    </row>
    <row r="27" spans="1:8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235"/>
    </row>
    <row r="28" spans="1:8" ht="12">
      <c r="A28" s="84" t="s">
        <v>20</v>
      </c>
      <c r="B28" s="85">
        <v>299345.29484499607</v>
      </c>
      <c r="C28" s="86">
        <v>0.20900308727175812</v>
      </c>
      <c r="D28" s="85">
        <v>971236.1058268478</v>
      </c>
      <c r="E28" s="86">
        <v>0.6781177058176983</v>
      </c>
      <c r="F28" s="85">
        <v>161671.5806239284</v>
      </c>
      <c r="G28" s="87">
        <v>0.11287920691054358</v>
      </c>
      <c r="H28" s="88">
        <v>1432252.9812957724</v>
      </c>
    </row>
    <row r="29" spans="1:8" ht="12">
      <c r="A29" s="70" t="s">
        <v>21</v>
      </c>
      <c r="B29" s="71">
        <v>915773.1567813546</v>
      </c>
      <c r="C29" s="72">
        <v>0.27559047728621844</v>
      </c>
      <c r="D29" s="71">
        <v>2142978.9635257293</v>
      </c>
      <c r="E29" s="72">
        <v>0.6449027152620356</v>
      </c>
      <c r="F29" s="71">
        <v>264197.08243429137</v>
      </c>
      <c r="G29" s="72">
        <v>0.07950680745174599</v>
      </c>
      <c r="H29" s="75">
        <v>3322949.202741375</v>
      </c>
    </row>
    <row r="30" spans="1:8" ht="12">
      <c r="A30" s="89" t="s">
        <v>22</v>
      </c>
      <c r="B30" s="90">
        <v>1385818.2329524674</v>
      </c>
      <c r="C30" s="91">
        <v>0.33593701187754627</v>
      </c>
      <c r="D30" s="90">
        <v>2530215.804287727</v>
      </c>
      <c r="E30" s="91">
        <v>0.6133510993623329</v>
      </c>
      <c r="F30" s="90">
        <v>209198.3246456035</v>
      </c>
      <c r="G30" s="91">
        <v>0.050711888760120935</v>
      </c>
      <c r="H30" s="92">
        <v>4125232.3618857977</v>
      </c>
    </row>
    <row r="31" spans="1:8" ht="12">
      <c r="A31" s="70" t="s">
        <v>23</v>
      </c>
      <c r="B31" s="71">
        <v>559927.1866806642</v>
      </c>
      <c r="C31" s="72">
        <v>0.3720363366950529</v>
      </c>
      <c r="D31" s="71">
        <v>875771.2329978725</v>
      </c>
      <c r="E31" s="72">
        <v>0.5818948053566436</v>
      </c>
      <c r="F31" s="71">
        <v>69335.1790680819</v>
      </c>
      <c r="G31" s="72">
        <v>0.04606885794830344</v>
      </c>
      <c r="H31" s="75">
        <v>1505033.5987466187</v>
      </c>
    </row>
    <row r="32" spans="1:8" ht="12">
      <c r="A32" s="76" t="s">
        <v>24</v>
      </c>
      <c r="B32" s="77">
        <v>744230.9387027555</v>
      </c>
      <c r="C32" s="78">
        <v>0.41593375970789265</v>
      </c>
      <c r="D32" s="77">
        <v>975290.543346053</v>
      </c>
      <c r="E32" s="78">
        <v>0.5450677221355019</v>
      </c>
      <c r="F32" s="77">
        <v>69780.11065052793</v>
      </c>
      <c r="G32" s="78">
        <v>0.03899851815660534</v>
      </c>
      <c r="H32" s="81">
        <v>1789301.5926993366</v>
      </c>
    </row>
    <row r="33" ht="12">
      <c r="A33" s="61" t="s">
        <v>31</v>
      </c>
    </row>
    <row r="35" spans="1:8" ht="33.75" customHeight="1">
      <c r="A35" s="243" t="s">
        <v>25</v>
      </c>
      <c r="B35" s="233" t="s">
        <v>45</v>
      </c>
      <c r="C35" s="234"/>
      <c r="D35" s="233" t="s">
        <v>44</v>
      </c>
      <c r="E35" s="234"/>
      <c r="F35" s="255" t="s">
        <v>100</v>
      </c>
      <c r="G35" s="256"/>
      <c r="H35" s="235" t="s">
        <v>12</v>
      </c>
    </row>
    <row r="36" spans="1:8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235"/>
    </row>
    <row r="37" spans="1:8" ht="12">
      <c r="A37" s="84" t="s">
        <v>26</v>
      </c>
      <c r="B37" s="85">
        <v>224539.4</v>
      </c>
      <c r="C37" s="86">
        <f>+B37/$H$37</f>
        <v>0.17757873819901746</v>
      </c>
      <c r="D37" s="85">
        <v>1007090</v>
      </c>
      <c r="E37" s="86">
        <f>+D37/$H$37</f>
        <v>0.7964649921254288</v>
      </c>
      <c r="F37" s="85">
        <v>32820.34</v>
      </c>
      <c r="G37" s="86">
        <f>+F37/$H$37</f>
        <v>0.025956222224085126</v>
      </c>
      <c r="H37" s="88">
        <v>1264449.8</v>
      </c>
    </row>
    <row r="38" spans="1:8" ht="12">
      <c r="A38" s="70" t="s">
        <v>27</v>
      </c>
      <c r="B38" s="71">
        <v>702918.3</v>
      </c>
      <c r="C38" s="72">
        <f>+B38/$H$38</f>
        <v>0.28089356113531755</v>
      </c>
      <c r="D38" s="71">
        <v>1657418</v>
      </c>
      <c r="E38" s="72">
        <f>+D38/$H$38</f>
        <v>0.6623217012699423</v>
      </c>
      <c r="F38" s="71">
        <v>142100.2</v>
      </c>
      <c r="G38" s="72">
        <f>+F38/$H$38</f>
        <v>0.05678473759474017</v>
      </c>
      <c r="H38" s="75">
        <v>2502436.5</v>
      </c>
    </row>
    <row r="39" spans="1:8" ht="12">
      <c r="A39" s="89" t="s">
        <v>28</v>
      </c>
      <c r="B39" s="90">
        <v>885886</v>
      </c>
      <c r="C39" s="91">
        <f>+B39/$H$39</f>
        <v>0.3020828324967017</v>
      </c>
      <c r="D39" s="90">
        <v>1848728</v>
      </c>
      <c r="E39" s="91">
        <f>+D39/$H$39</f>
        <v>0.6304072880212154</v>
      </c>
      <c r="F39" s="90">
        <v>197979</v>
      </c>
      <c r="G39" s="91">
        <f>+F39/$H$39</f>
        <v>0.06750987948208292</v>
      </c>
      <c r="H39" s="92">
        <v>2932593</v>
      </c>
    </row>
    <row r="40" spans="1:8" ht="12">
      <c r="A40" s="93" t="s">
        <v>29</v>
      </c>
      <c r="B40" s="94">
        <v>2091751.1</v>
      </c>
      <c r="C40" s="95">
        <f>+B40/$H$40</f>
        <v>0.38203472491550905</v>
      </c>
      <c r="D40" s="94">
        <v>2982256.6</v>
      </c>
      <c r="E40" s="95">
        <f>+D40/$H$40</f>
        <v>0.5446755016925586</v>
      </c>
      <c r="F40" s="94">
        <v>401282.78</v>
      </c>
      <c r="G40" s="95">
        <f>+F40/$H$40</f>
        <v>0.07328976973915814</v>
      </c>
      <c r="H40" s="96">
        <v>5475290.5</v>
      </c>
    </row>
    <row r="41" ht="12">
      <c r="A41" s="61" t="s">
        <v>31</v>
      </c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6:N41"/>
  <sheetViews>
    <sheetView showGridLines="0" zoomScale="90" zoomScaleNormal="90" zoomScalePageLayoutView="0" workbookViewId="0" topLeftCell="A1">
      <selection activeCell="K21" sqref="K21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3.140625" style="61" customWidth="1"/>
    <col min="9" max="16384" width="11.421875" style="61" customWidth="1"/>
  </cols>
  <sheetData>
    <row r="1" ht="12"/>
    <row r="2" ht="12"/>
    <row r="3" ht="12"/>
    <row r="4" ht="12"/>
    <row r="5" ht="12"/>
    <row r="6" spans="1:14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4" ht="15" customHeight="1">
      <c r="A7" s="60" t="s">
        <v>156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60" t="s">
        <v>125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0"/>
      <c r="J10" s="60"/>
      <c r="K10" s="60"/>
      <c r="L10" s="60"/>
      <c r="M10" s="60"/>
      <c r="N10" s="60"/>
    </row>
    <row r="11" spans="1:14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14" ht="20.25" customHeight="1">
      <c r="A12" s="238"/>
      <c r="B12" s="233" t="s">
        <v>157</v>
      </c>
      <c r="C12" s="234"/>
      <c r="D12" s="233" t="s">
        <v>158</v>
      </c>
      <c r="E12" s="234"/>
      <c r="F12" s="233" t="s">
        <v>159</v>
      </c>
      <c r="G12" s="234"/>
      <c r="H12" s="233" t="s">
        <v>160</v>
      </c>
      <c r="I12" s="234"/>
      <c r="J12" s="255" t="s">
        <v>161</v>
      </c>
      <c r="K12" s="234" t="s">
        <v>115</v>
      </c>
      <c r="L12" s="233" t="s">
        <v>115</v>
      </c>
      <c r="M12" s="234"/>
      <c r="N12" s="241" t="s">
        <v>12</v>
      </c>
    </row>
    <row r="13" spans="1:14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63" t="s">
        <v>126</v>
      </c>
      <c r="I13" s="64" t="s">
        <v>13</v>
      </c>
      <c r="J13" s="63" t="s">
        <v>126</v>
      </c>
      <c r="K13" s="64" t="s">
        <v>13</v>
      </c>
      <c r="L13" s="63" t="s">
        <v>126</v>
      </c>
      <c r="M13" s="64" t="s">
        <v>13</v>
      </c>
      <c r="N13" s="242"/>
    </row>
    <row r="14" spans="1:14" ht="24">
      <c r="A14" s="65" t="s">
        <v>3</v>
      </c>
      <c r="B14" s="66">
        <f>+SUM(B15:B16)</f>
        <v>325669.0200561783</v>
      </c>
      <c r="C14" s="17">
        <f>+B14/$N$14</f>
        <v>0.04100379517405557</v>
      </c>
      <c r="D14" s="66">
        <f>+SUM(D15:D16)</f>
        <v>116670.63993725473</v>
      </c>
      <c r="E14" s="17">
        <f>+D14/$N$14</f>
        <v>0.014689573549206322</v>
      </c>
      <c r="F14" s="66">
        <f>+SUM(F15:F16)</f>
        <v>37709.15741946762</v>
      </c>
      <c r="G14" s="17">
        <f>+F14/$N$14</f>
        <v>0.0047478220886572</v>
      </c>
      <c r="H14" s="66">
        <f>+SUM(H15:H16)</f>
        <v>245687.19896993018</v>
      </c>
      <c r="I14" s="17">
        <f>+H14/$N$14</f>
        <v>0.030933576616261064</v>
      </c>
      <c r="J14" s="66">
        <f>+SUM(J15:J16)</f>
        <v>36232.85601194028</v>
      </c>
      <c r="K14" s="17">
        <f>+J14/$N$14</f>
        <v>0.004561946378038552</v>
      </c>
      <c r="L14" s="66">
        <f>+SUM(L15:L16)</f>
        <v>7216916.9403853025</v>
      </c>
      <c r="M14" s="17">
        <f>+L14/$N14</f>
        <v>0.908655615940024</v>
      </c>
      <c r="N14" s="69">
        <f>+SUM(N15:N16)</f>
        <v>7942411.63955086</v>
      </c>
    </row>
    <row r="15" spans="1:14" ht="12">
      <c r="A15" s="70" t="s">
        <v>5</v>
      </c>
      <c r="B15" s="71">
        <v>173370.6775459056</v>
      </c>
      <c r="C15" s="18">
        <f>4.38209289777761/100</f>
        <v>0.0438209289777761</v>
      </c>
      <c r="D15" s="71">
        <v>41075.853490311725</v>
      </c>
      <c r="E15" s="197">
        <f>1.03822750420058/100</f>
        <v>0.0103822750420058</v>
      </c>
      <c r="F15" s="71">
        <v>22319.06543583584</v>
      </c>
      <c r="G15" s="195">
        <f>56.4133563505934%/100</f>
        <v>0.00564133563505934</v>
      </c>
      <c r="H15" s="71">
        <v>95225.25164240676</v>
      </c>
      <c r="I15" s="18">
        <f>240.690008724679%/100</f>
        <v>0.0240690008724679</v>
      </c>
      <c r="J15" s="71">
        <v>13911.946038494827</v>
      </c>
      <c r="K15" s="18">
        <f>35.1636394299788%/100</f>
        <v>0.00351636394299788</v>
      </c>
      <c r="L15" s="71">
        <v>3629530.5326204174</v>
      </c>
      <c r="M15" s="18">
        <f>91.7395040176361/100</f>
        <v>0.917395040176361</v>
      </c>
      <c r="N15" s="75">
        <v>3956344.185077207</v>
      </c>
    </row>
    <row r="16" spans="1:14" ht="12">
      <c r="A16" s="76" t="s">
        <v>6</v>
      </c>
      <c r="B16" s="77">
        <v>152298.34251027275</v>
      </c>
      <c r="C16" s="19">
        <f>3.8207668146545/100</f>
        <v>0.038207668146545</v>
      </c>
      <c r="D16" s="77">
        <v>75594.786446943</v>
      </c>
      <c r="E16" s="19">
        <f>1.89647534343909/100</f>
        <v>0.0189647534343909</v>
      </c>
      <c r="F16" s="77">
        <v>15390.09198363178</v>
      </c>
      <c r="G16" s="196">
        <f>38.6097128546059%/100</f>
        <v>0.0038609712854605904</v>
      </c>
      <c r="H16" s="77">
        <v>150461.94732752343</v>
      </c>
      <c r="I16" s="19">
        <f>377.469646577748%/100</f>
        <v>0.0377469646577748</v>
      </c>
      <c r="J16" s="77">
        <v>22320.909973445454</v>
      </c>
      <c r="K16" s="19">
        <f>55.9973212404978%/100</f>
        <v>0.00559973212404978</v>
      </c>
      <c r="L16" s="77">
        <v>3587386.4077648856</v>
      </c>
      <c r="M16" s="19">
        <f>89.9981359758145/100</f>
        <v>0.8999813597581451</v>
      </c>
      <c r="N16" s="81">
        <v>3986067.454473653</v>
      </c>
    </row>
    <row r="17" spans="1:8" ht="12">
      <c r="A17" s="61" t="s">
        <v>31</v>
      </c>
      <c r="B17" s="82"/>
      <c r="C17" s="82"/>
      <c r="D17" s="82"/>
      <c r="E17" s="82"/>
      <c r="F17" s="83"/>
      <c r="G17" s="83"/>
      <c r="H17" s="83"/>
    </row>
    <row r="18" spans="2:8" ht="12">
      <c r="B18" s="82"/>
      <c r="C18" s="82"/>
      <c r="D18" s="82"/>
      <c r="E18" s="82"/>
      <c r="F18" s="83"/>
      <c r="G18" s="83"/>
      <c r="H18" s="83"/>
    </row>
    <row r="19" spans="1:14" ht="12">
      <c r="A19" s="243" t="s">
        <v>15</v>
      </c>
      <c r="B19" s="233" t="s">
        <v>157</v>
      </c>
      <c r="C19" s="234"/>
      <c r="D19" s="233" t="s">
        <v>158</v>
      </c>
      <c r="E19" s="234"/>
      <c r="F19" s="233" t="s">
        <v>159</v>
      </c>
      <c r="G19" s="234"/>
      <c r="H19" s="233" t="s">
        <v>160</v>
      </c>
      <c r="I19" s="234"/>
      <c r="J19" s="233" t="s">
        <v>161</v>
      </c>
      <c r="K19" s="234" t="s">
        <v>115</v>
      </c>
      <c r="L19" s="233" t="s">
        <v>115</v>
      </c>
      <c r="M19" s="234"/>
      <c r="N19" s="235" t="s">
        <v>12</v>
      </c>
    </row>
    <row r="20" spans="1:14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63" t="s">
        <v>126</v>
      </c>
      <c r="I20" s="64" t="s">
        <v>13</v>
      </c>
      <c r="J20" s="63" t="s">
        <v>126</v>
      </c>
      <c r="K20" s="64" t="s">
        <v>13</v>
      </c>
      <c r="L20" s="63" t="s">
        <v>126</v>
      </c>
      <c r="M20" s="64" t="s">
        <v>13</v>
      </c>
      <c r="N20" s="235"/>
    </row>
    <row r="21" spans="1:14" ht="12">
      <c r="A21" s="84" t="s">
        <v>16</v>
      </c>
      <c r="B21" s="85">
        <v>6884.910031535459</v>
      </c>
      <c r="C21" s="38">
        <f>1.58905021511002/100</f>
        <v>0.015890502151100203</v>
      </c>
      <c r="D21" s="85">
        <v>2769.7984144785073</v>
      </c>
      <c r="E21" s="38">
        <f>0.639274695846226/100</f>
        <v>0.00639274695846226</v>
      </c>
      <c r="F21" s="85">
        <v>153.562189033472</v>
      </c>
      <c r="G21" s="200">
        <f>0.0354424427332689/100</f>
        <v>0.00035442442733268903</v>
      </c>
      <c r="H21" s="85">
        <v>19022.189810077893</v>
      </c>
      <c r="I21" s="38">
        <f>4.39035726990127/100</f>
        <v>0.043903572699012704</v>
      </c>
      <c r="J21" s="85" t="s">
        <v>216</v>
      </c>
      <c r="K21" s="38" t="s">
        <v>216</v>
      </c>
      <c r="L21" s="85">
        <v>405729.853554023</v>
      </c>
      <c r="M21" s="38">
        <f>93.6432151057159/100</f>
        <v>0.9364321510571589</v>
      </c>
      <c r="N21" s="88">
        <v>433272.02413542237</v>
      </c>
    </row>
    <row r="22" spans="1:14" ht="12">
      <c r="A22" s="70" t="s">
        <v>17</v>
      </c>
      <c r="B22" s="71">
        <v>181415.9824301769</v>
      </c>
      <c r="C22" s="18">
        <f>4.19299055508518/100</f>
        <v>0.0419299055508518</v>
      </c>
      <c r="D22" s="71">
        <v>61025.072825420895</v>
      </c>
      <c r="E22" s="18">
        <f>1.4104465910486/100</f>
        <v>0.014104465910486</v>
      </c>
      <c r="F22" s="71">
        <v>28506.507826029276</v>
      </c>
      <c r="G22" s="18">
        <f>0.658858808754658/100</f>
        <v>0.00658858808754658</v>
      </c>
      <c r="H22" s="71">
        <v>176977.8313981156</v>
      </c>
      <c r="I22" s="18">
        <f>4.09041345515057/100</f>
        <v>0.040904134551505704</v>
      </c>
      <c r="J22" s="71">
        <v>16220.581559676173</v>
      </c>
      <c r="K22" s="18">
        <f>J22/N22</f>
        <v>0.0037489941275646757</v>
      </c>
      <c r="L22" s="71">
        <v>3893024.776876285</v>
      </c>
      <c r="M22" s="18">
        <f>89.9778283119976/100</f>
        <v>0.899778283119976</v>
      </c>
      <c r="N22" s="75">
        <v>4326648.964428484</v>
      </c>
    </row>
    <row r="23" spans="1:14" ht="12">
      <c r="A23" s="76" t="s">
        <v>18</v>
      </c>
      <c r="B23" s="77">
        <v>137368.1275944661</v>
      </c>
      <c r="C23" s="19">
        <f>4.3163717559348/100</f>
        <v>0.043163717559348</v>
      </c>
      <c r="D23" s="77">
        <v>52875.76869735536</v>
      </c>
      <c r="E23" s="19">
        <f>1.6614587282749/100</f>
        <v>0.016614587282749</v>
      </c>
      <c r="F23" s="77">
        <v>9049.087404404869</v>
      </c>
      <c r="G23" s="19">
        <f>0.284339795361177/100</f>
        <v>0.00284339795361177</v>
      </c>
      <c r="H23" s="77">
        <v>49687.177761736544</v>
      </c>
      <c r="I23" s="19">
        <f>1.56126704555527/100</f>
        <v>0.0156126704555527</v>
      </c>
      <c r="J23" s="77">
        <v>20012.274452264108</v>
      </c>
      <c r="K23" s="19">
        <f>0.462535200262256/100</f>
        <v>0.004625352002622559</v>
      </c>
      <c r="L23" s="77">
        <v>2918162.3099549823</v>
      </c>
      <c r="M23" s="19">
        <f>91.6942932432499/100</f>
        <v>0.916942932432499</v>
      </c>
      <c r="N23" s="81">
        <v>3182490.6509869434</v>
      </c>
    </row>
    <row r="24" ht="12">
      <c r="A24" s="61" t="s">
        <v>31</v>
      </c>
    </row>
    <row r="26" spans="1:14" ht="12">
      <c r="A26" s="243" t="s">
        <v>19</v>
      </c>
      <c r="B26" s="233" t="s">
        <v>157</v>
      </c>
      <c r="C26" s="234"/>
      <c r="D26" s="233" t="s">
        <v>158</v>
      </c>
      <c r="E26" s="234"/>
      <c r="F26" s="233" t="s">
        <v>159</v>
      </c>
      <c r="G26" s="234"/>
      <c r="H26" s="233" t="s">
        <v>160</v>
      </c>
      <c r="I26" s="234"/>
      <c r="J26" s="233" t="s">
        <v>161</v>
      </c>
      <c r="K26" s="234" t="s">
        <v>115</v>
      </c>
      <c r="L26" s="233" t="s">
        <v>115</v>
      </c>
      <c r="M26" s="234"/>
      <c r="N26" s="235" t="s">
        <v>12</v>
      </c>
    </row>
    <row r="27" spans="1:14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63" t="s">
        <v>126</v>
      </c>
      <c r="I27" s="64" t="s">
        <v>13</v>
      </c>
      <c r="J27" s="63" t="s">
        <v>126</v>
      </c>
      <c r="K27" s="64" t="s">
        <v>13</v>
      </c>
      <c r="L27" s="63" t="s">
        <v>126</v>
      </c>
      <c r="M27" s="64" t="s">
        <v>13</v>
      </c>
      <c r="N27" s="235"/>
    </row>
    <row r="28" spans="1:14" ht="12">
      <c r="A28" s="84" t="s">
        <v>20</v>
      </c>
      <c r="B28" s="85">
        <v>6464.209434607392</v>
      </c>
      <c r="C28" s="38">
        <f>0.603517670826943/100</f>
        <v>0.00603517670826943</v>
      </c>
      <c r="D28" s="85">
        <v>20836.544921785473</v>
      </c>
      <c r="E28" s="38">
        <f>1.94536132940759/100</f>
        <v>0.0194536132940759</v>
      </c>
      <c r="F28" s="85">
        <v>7014.398062994479</v>
      </c>
      <c r="G28" s="200">
        <f>0.654884904961091/100</f>
        <v>0.00654884904961091</v>
      </c>
      <c r="H28" s="85">
        <v>26429.138384290738</v>
      </c>
      <c r="I28" s="38">
        <f>2.46750236065315/100</f>
        <v>0.0246750236065315</v>
      </c>
      <c r="J28" s="85">
        <v>11086.07505970076</v>
      </c>
      <c r="K28" s="38">
        <f>1.03502868623402/100</f>
        <v>0.0103502868623402</v>
      </c>
      <c r="L28" s="85">
        <v>999635.9319399892</v>
      </c>
      <c r="M28" s="38">
        <f>93.3289608609323/100</f>
        <v>0.933289608609323</v>
      </c>
      <c r="N28" s="88">
        <v>1071088.6767822555</v>
      </c>
    </row>
    <row r="29" spans="1:14" ht="12">
      <c r="A29" s="70" t="s">
        <v>21</v>
      </c>
      <c r="B29" s="71">
        <v>45039.32532008329</v>
      </c>
      <c r="C29" s="18">
        <f>2.07616735111348/100</f>
        <v>0.0207616735111348</v>
      </c>
      <c r="D29" s="71">
        <v>36649.100872316194</v>
      </c>
      <c r="E29" s="199">
        <f>1.68940511737281/100</f>
        <v>0.016894051173728098</v>
      </c>
      <c r="F29" s="71">
        <v>7066.672840145685</v>
      </c>
      <c r="G29" s="18">
        <f>0.325750781732263/100</f>
        <v>0.0032575078173226303</v>
      </c>
      <c r="H29" s="71">
        <v>58466.80082065355</v>
      </c>
      <c r="I29" s="18">
        <f>2.69513058033684/100</f>
        <v>0.0269513058033684</v>
      </c>
      <c r="J29" s="71">
        <v>15237.206302830991</v>
      </c>
      <c r="K29" s="18">
        <f>0.702385970999703/100</f>
        <v>0.00702385970999703</v>
      </c>
      <c r="L29" s="71">
        <v>2010695.5887734245</v>
      </c>
      <c r="M29" s="18">
        <f>92.6865690099009/100</f>
        <v>0.9268656900990089</v>
      </c>
      <c r="N29" s="75">
        <v>2169349.4648168925</v>
      </c>
    </row>
    <row r="30" spans="1:14" ht="12">
      <c r="A30" s="89" t="s">
        <v>22</v>
      </c>
      <c r="B30" s="90">
        <v>82610.35097399497</v>
      </c>
      <c r="C30" s="24">
        <f>3.24792127432659/100</f>
        <v>0.0324792127432659</v>
      </c>
      <c r="D30" s="90">
        <v>38018.03705254772</v>
      </c>
      <c r="E30" s="24">
        <f>1.49472299651622/100</f>
        <v>0.014947229965162201</v>
      </c>
      <c r="F30" s="90">
        <v>5786.934841121722</v>
      </c>
      <c r="G30" s="24">
        <f>0.227520020941899/100</f>
        <v>0.0022752002094189898</v>
      </c>
      <c r="H30" s="90">
        <v>95056.176607498</v>
      </c>
      <c r="I30" s="24">
        <f>3.73724327060207/100</f>
        <v>0.0373724327060207</v>
      </c>
      <c r="J30" s="90">
        <v>4308.7687274716445</v>
      </c>
      <c r="K30" s="24">
        <f>0.16940421449745/100</f>
        <v>0.0016940421449745</v>
      </c>
      <c r="L30" s="90">
        <v>2329123.4399853344</v>
      </c>
      <c r="M30" s="24">
        <f>91.5721756664904/100</f>
        <v>0.915721756664904</v>
      </c>
      <c r="N30" s="92">
        <v>2543483.7853673995</v>
      </c>
    </row>
    <row r="31" spans="1:14" ht="12">
      <c r="A31" s="70" t="s">
        <v>23</v>
      </c>
      <c r="B31" s="71">
        <v>32502.950761383338</v>
      </c>
      <c r="C31" s="18">
        <f>3.33678150974036/100</f>
        <v>0.0333678150974036</v>
      </c>
      <c r="D31" s="71">
        <v>10052.015711666376</v>
      </c>
      <c r="E31" s="18">
        <f>1.03194877316057/100</f>
        <v>0.010319487731605702</v>
      </c>
      <c r="F31" s="71">
        <v>10326.99909481423</v>
      </c>
      <c r="G31" s="18">
        <f>1.06017880910745/100</f>
        <v>0.0106017880910745</v>
      </c>
      <c r="H31" s="71">
        <v>28648.072890723823</v>
      </c>
      <c r="I31" s="18">
        <f>2.94103635738311/100</f>
        <v>0.029410363573831103</v>
      </c>
      <c r="J31" s="71">
        <v>4019.183187521688</v>
      </c>
      <c r="K31" s="18">
        <f>0.412612880683911/100</f>
        <v>0.00412612880683911</v>
      </c>
      <c r="L31" s="71">
        <v>897148.951714123</v>
      </c>
      <c r="M31" s="18">
        <f>92.1021003766622/100</f>
        <v>0.9210210037666219</v>
      </c>
      <c r="N31" s="75">
        <v>974080.8820267167</v>
      </c>
    </row>
    <row r="32" spans="1:14" ht="12">
      <c r="A32" s="76" t="s">
        <v>24</v>
      </c>
      <c r="B32" s="77">
        <v>159052.1835661094</v>
      </c>
      <c r="C32" s="19">
        <f>13.4288245293841/100</f>
        <v>0.134288245293841</v>
      </c>
      <c r="D32" s="77">
        <v>11114.941378938982</v>
      </c>
      <c r="E32" s="19">
        <f>0.938437901860822/100</f>
        <v>0.009384379018608219</v>
      </c>
      <c r="F32" s="77">
        <v>7514.152580391508</v>
      </c>
      <c r="G32" s="19">
        <f>0.634422201737048/100</f>
        <v>0.00634422201737048</v>
      </c>
      <c r="H32" s="77">
        <v>37087.01026676404</v>
      </c>
      <c r="I32" s="19">
        <f>3.13126762566472/100</f>
        <v>0.0313126762566472</v>
      </c>
      <c r="J32" s="77">
        <v>1581.6227344151948</v>
      </c>
      <c r="K32" s="19">
        <f>0.133536891452473/100</f>
        <v>0.00133536891452473</v>
      </c>
      <c r="L32" s="77">
        <v>980313.0279724114</v>
      </c>
      <c r="M32" s="19">
        <f>82.7681289332249/100</f>
        <v>0.827681289332249</v>
      </c>
      <c r="N32" s="81">
        <v>1184408.8305575943</v>
      </c>
    </row>
    <row r="33" ht="12">
      <c r="A33" s="61" t="s">
        <v>31</v>
      </c>
    </row>
    <row r="35" spans="1:14" ht="12">
      <c r="A35" s="243" t="s">
        <v>25</v>
      </c>
      <c r="B35" s="233" t="s">
        <v>157</v>
      </c>
      <c r="C35" s="234"/>
      <c r="D35" s="233" t="s">
        <v>158</v>
      </c>
      <c r="E35" s="234"/>
      <c r="F35" s="233" t="s">
        <v>159</v>
      </c>
      <c r="G35" s="234"/>
      <c r="H35" s="233" t="s">
        <v>160</v>
      </c>
      <c r="I35" s="234"/>
      <c r="J35" s="233" t="s">
        <v>161</v>
      </c>
      <c r="K35" s="234" t="s">
        <v>115</v>
      </c>
      <c r="L35" s="233" t="s">
        <v>115</v>
      </c>
      <c r="M35" s="234"/>
      <c r="N35" s="235" t="s">
        <v>12</v>
      </c>
    </row>
    <row r="36" spans="1:14" ht="12">
      <c r="A36" s="243"/>
      <c r="B36" s="63" t="s">
        <v>126</v>
      </c>
      <c r="C36" s="64" t="s">
        <v>13</v>
      </c>
      <c r="D36" s="63" t="s">
        <v>126</v>
      </c>
      <c r="E36" s="64" t="s">
        <v>13</v>
      </c>
      <c r="F36" s="63" t="s">
        <v>126</v>
      </c>
      <c r="G36" s="64" t="s">
        <v>13</v>
      </c>
      <c r="H36" s="63" t="s">
        <v>126</v>
      </c>
      <c r="I36" s="64" t="s">
        <v>13</v>
      </c>
      <c r="J36" s="63" t="s">
        <v>126</v>
      </c>
      <c r="K36" s="64" t="s">
        <v>13</v>
      </c>
      <c r="L36" s="63" t="s">
        <v>126</v>
      </c>
      <c r="M36" s="64" t="s">
        <v>13</v>
      </c>
      <c r="N36" s="235"/>
    </row>
    <row r="37" spans="1:14" ht="12">
      <c r="A37" s="84" t="s">
        <v>26</v>
      </c>
      <c r="B37" s="85">
        <v>27715.88854078113</v>
      </c>
      <c r="C37" s="38">
        <f>2.26803174811145/100</f>
        <v>0.022680317481114497</v>
      </c>
      <c r="D37" s="85">
        <v>4138.502577770882</v>
      </c>
      <c r="E37" s="38">
        <f>0.33865972661185/100</f>
        <v>0.0033865972661185</v>
      </c>
      <c r="F37" s="85">
        <v>6459.984098976933</v>
      </c>
      <c r="G37" s="200">
        <f>0.52862995920974/100</f>
        <v>0.0052862995920974</v>
      </c>
      <c r="H37" s="85">
        <v>223.994391203304</v>
      </c>
      <c r="I37" s="38">
        <f>0.0183297890630668/100</f>
        <v>0.000183297890630668</v>
      </c>
      <c r="J37" s="85">
        <v>3906.752421823178</v>
      </c>
      <c r="K37" s="38">
        <f>0.319695271961739/100</f>
        <v>0.0031969527196173903</v>
      </c>
      <c r="L37" s="85">
        <v>1180046.967738262</v>
      </c>
      <c r="M37" s="38">
        <f>96.5649715019959/100</f>
        <v>0.965649715019959</v>
      </c>
      <c r="N37" s="88">
        <v>1222023.8347130576</v>
      </c>
    </row>
    <row r="38" spans="1:14" ht="12">
      <c r="A38" s="70" t="s">
        <v>27</v>
      </c>
      <c r="B38" s="71">
        <v>85817.78680032211</v>
      </c>
      <c r="C38" s="18">
        <f>4.88321389527171/100</f>
        <v>0.0488321389527171</v>
      </c>
      <c r="D38" s="71">
        <v>30613.528870137445</v>
      </c>
      <c r="E38" s="18">
        <f>1.74197465508858/100</f>
        <v>0.0174197465508858</v>
      </c>
      <c r="F38" s="71">
        <v>6280.640250831563</v>
      </c>
      <c r="G38" s="18">
        <f>0.357381737371353/100</f>
        <v>0.0035738173737135297</v>
      </c>
      <c r="H38" s="71">
        <v>16592.87780252445</v>
      </c>
      <c r="I38" s="18">
        <f>0.944169903103685/100</f>
        <v>0.00944169903103685</v>
      </c>
      <c r="J38" s="71">
        <v>6880.668801690939</v>
      </c>
      <c r="K38" s="18">
        <f>0.391524633225028/100</f>
        <v>0.00391524633225028</v>
      </c>
      <c r="L38" s="71">
        <v>1614537.2097723996</v>
      </c>
      <c r="M38" s="18">
        <f>91.8705880348361/100</f>
        <v>0.918705880348361</v>
      </c>
      <c r="N38" s="75">
        <v>1757403.8049698647</v>
      </c>
    </row>
    <row r="39" spans="1:14" ht="12">
      <c r="A39" s="89" t="s">
        <v>28</v>
      </c>
      <c r="B39" s="90">
        <v>103798.13851636813</v>
      </c>
      <c r="C39" s="24">
        <f>5.47111172671121/100</f>
        <v>0.0547111172671121</v>
      </c>
      <c r="D39" s="90">
        <v>22104.62118478659</v>
      </c>
      <c r="E39" s="24">
        <f>1.16511580946631/100</f>
        <v>0.0116511580946631</v>
      </c>
      <c r="F39" s="90">
        <v>8944.522987596974</v>
      </c>
      <c r="G39" s="24">
        <f>0.471458210202516/100</f>
        <v>0.00471458210202516</v>
      </c>
      <c r="H39" s="90">
        <v>52392.3570217129</v>
      </c>
      <c r="I39" s="24">
        <f>2.76155664242796/100</f>
        <v>0.0276155664242796</v>
      </c>
      <c r="J39" s="90">
        <v>5827.843055333313</v>
      </c>
      <c r="K39" s="24">
        <f>0.307180657930957/100</f>
        <v>0.00307180657930957</v>
      </c>
      <c r="L39" s="90">
        <v>1713761.1345170266</v>
      </c>
      <c r="M39" s="24">
        <f>90.3308939240704/100</f>
        <v>0.903308939240704</v>
      </c>
      <c r="N39" s="92">
        <v>1897203.780533343</v>
      </c>
    </row>
    <row r="40" spans="1:14" ht="12">
      <c r="A40" s="93" t="s">
        <v>29</v>
      </c>
      <c r="B40" s="94">
        <v>108337.20619870706</v>
      </c>
      <c r="C40" s="26">
        <f>3.53375644853697/100</f>
        <v>0.035337564485369705</v>
      </c>
      <c r="D40" s="94">
        <v>59813.98730455983</v>
      </c>
      <c r="E40" s="26">
        <f>1.95102006749662/100</f>
        <v>0.0195102006749662</v>
      </c>
      <c r="F40" s="94">
        <v>16024.01008206215</v>
      </c>
      <c r="G40" s="26">
        <f>0.522673151226086/10</f>
        <v>0.052267315122608606</v>
      </c>
      <c r="H40" s="94">
        <v>176477.96975448946</v>
      </c>
      <c r="I40" s="26">
        <f>5.75638033807892/100</f>
        <v>0.057563803380789196</v>
      </c>
      <c r="J40" s="94">
        <v>19617.59173309285</v>
      </c>
      <c r="K40" s="26">
        <f>0.639889043884258/100</f>
        <v>0.00639889043884258</v>
      </c>
      <c r="L40" s="94">
        <v>2708571.6283576027</v>
      </c>
      <c r="M40" s="26">
        <f>88.3485258100295/100</f>
        <v>0.883485258100295</v>
      </c>
      <c r="N40" s="96">
        <v>3065780.2193345944</v>
      </c>
    </row>
    <row r="41" ht="12">
      <c r="A41" s="61" t="s">
        <v>31</v>
      </c>
    </row>
  </sheetData>
  <sheetProtection/>
  <mergeCells count="34"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rintOptions/>
  <pageMargins left="0.75" right="0.75" top="1" bottom="1" header="0" footer="0"/>
  <pageSetup horizontalDpi="600" verticalDpi="600" orientation="portrait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6:H41"/>
  <sheetViews>
    <sheetView showGridLines="0" zoomScale="90" zoomScaleNormal="90" zoomScalePageLayoutView="0" workbookViewId="0" topLeftCell="A1">
      <selection activeCell="E21" sqref="E21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16384" width="11.421875" style="61" customWidth="1"/>
  </cols>
  <sheetData>
    <row r="1" ht="12"/>
    <row r="2" ht="12"/>
    <row r="3" ht="12"/>
    <row r="4" ht="12"/>
    <row r="5" ht="12"/>
    <row r="6" spans="1:8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</row>
    <row r="7" spans="1:8" ht="15" customHeight="1">
      <c r="A7" s="60" t="s">
        <v>101</v>
      </c>
      <c r="B7" s="60"/>
      <c r="C7" s="60"/>
      <c r="D7" s="60"/>
      <c r="E7" s="60"/>
      <c r="F7" s="60"/>
      <c r="G7" s="60"/>
      <c r="H7" s="60"/>
    </row>
    <row r="8" spans="1:8" ht="15" customHeight="1">
      <c r="A8" s="60" t="s">
        <v>33</v>
      </c>
      <c r="B8" s="60"/>
      <c r="C8" s="60"/>
      <c r="D8" s="60"/>
      <c r="E8" s="60"/>
      <c r="F8" s="60"/>
      <c r="G8" s="60"/>
      <c r="H8" s="60"/>
    </row>
    <row r="9" spans="1:8" ht="15" customHeight="1">
      <c r="A9" s="60" t="s">
        <v>3</v>
      </c>
      <c r="B9" s="60"/>
      <c r="C9" s="60"/>
      <c r="D9" s="60"/>
      <c r="E9" s="60"/>
      <c r="F9" s="60"/>
      <c r="G9" s="60"/>
      <c r="H9" s="60"/>
    </row>
    <row r="10" spans="1:8" ht="15" customHeight="1">
      <c r="A10" s="62" t="s">
        <v>202</v>
      </c>
      <c r="B10" s="62"/>
      <c r="C10" s="62"/>
      <c r="D10" s="62"/>
      <c r="E10" s="62"/>
      <c r="F10" s="62"/>
      <c r="G10" s="62"/>
      <c r="H10" s="60"/>
    </row>
    <row r="11" spans="1:8" ht="14.25">
      <c r="A11" s="237" t="s">
        <v>14</v>
      </c>
      <c r="B11" s="240"/>
      <c r="C11" s="240"/>
      <c r="D11" s="240"/>
      <c r="E11" s="240"/>
      <c r="F11" s="240"/>
      <c r="G11" s="240"/>
      <c r="H11" s="240"/>
    </row>
    <row r="12" spans="1:8" ht="20.25" customHeight="1">
      <c r="A12" s="238"/>
      <c r="B12" s="233" t="s">
        <v>102</v>
      </c>
      <c r="C12" s="234"/>
      <c r="D12" s="233" t="s">
        <v>103</v>
      </c>
      <c r="E12" s="234"/>
      <c r="F12" s="233" t="s">
        <v>104</v>
      </c>
      <c r="G12" s="234"/>
      <c r="H12" s="241" t="s">
        <v>12</v>
      </c>
    </row>
    <row r="13" spans="1:8" ht="17.25" customHeight="1">
      <c r="A13" s="239"/>
      <c r="B13" s="63" t="s">
        <v>30</v>
      </c>
      <c r="C13" s="64" t="s">
        <v>13</v>
      </c>
      <c r="D13" s="63" t="s">
        <v>30</v>
      </c>
      <c r="E13" s="64" t="s">
        <v>13</v>
      </c>
      <c r="F13" s="63" t="s">
        <v>30</v>
      </c>
      <c r="G13" s="64" t="s">
        <v>13</v>
      </c>
      <c r="H13" s="242"/>
    </row>
    <row r="14" spans="1:8" ht="24">
      <c r="A14" s="65" t="s">
        <v>3</v>
      </c>
      <c r="B14" s="66">
        <v>2069398.411726648</v>
      </c>
      <c r="C14" s="67">
        <v>0.1699820074481266</v>
      </c>
      <c r="D14" s="66">
        <v>1198133.240004058</v>
      </c>
      <c r="E14" s="194">
        <v>0.0984156033812207</v>
      </c>
      <c r="F14" s="66">
        <v>8906688.683666652</v>
      </c>
      <c r="G14" s="194">
        <v>0.7316023891706528</v>
      </c>
      <c r="H14" s="69">
        <v>12174220.335397357</v>
      </c>
    </row>
    <row r="15" spans="1:8" ht="12">
      <c r="A15" s="70" t="s">
        <v>5</v>
      </c>
      <c r="B15" s="71">
        <v>716493.7840619725</v>
      </c>
      <c r="C15" s="72">
        <v>0.15281158296424951</v>
      </c>
      <c r="D15" s="71">
        <v>428007.9193797298</v>
      </c>
      <c r="E15" s="197">
        <v>0.09128420809299621</v>
      </c>
      <c r="F15" s="71">
        <v>3544238.31327285</v>
      </c>
      <c r="G15" s="195">
        <v>0.7559042089427542</v>
      </c>
      <c r="H15" s="75">
        <v>4688740.016714552</v>
      </c>
    </row>
    <row r="16" spans="1:8" ht="12">
      <c r="A16" s="76" t="s">
        <v>6</v>
      </c>
      <c r="B16" s="77">
        <v>1352904.6276646755</v>
      </c>
      <c r="C16" s="78">
        <v>0.18073718319557905</v>
      </c>
      <c r="D16" s="77">
        <v>770125.3206243282</v>
      </c>
      <c r="E16" s="19">
        <v>0.10288255233297369</v>
      </c>
      <c r="F16" s="77">
        <v>5362450.3703938015</v>
      </c>
      <c r="G16" s="196">
        <v>0.7163802644714473</v>
      </c>
      <c r="H16" s="81">
        <v>7485480.318682805</v>
      </c>
    </row>
    <row r="17" spans="1:7" ht="12">
      <c r="A17" s="61" t="s">
        <v>31</v>
      </c>
      <c r="B17" s="82"/>
      <c r="C17" s="82"/>
      <c r="D17" s="82"/>
      <c r="E17" s="82"/>
      <c r="F17" s="83"/>
      <c r="G17" s="83"/>
    </row>
    <row r="18" spans="2:7" ht="12">
      <c r="B18" s="82"/>
      <c r="C18" s="82"/>
      <c r="D18" s="82"/>
      <c r="E18" s="82"/>
      <c r="F18" s="83"/>
      <c r="G18" s="83"/>
    </row>
    <row r="19" spans="1:8" ht="12">
      <c r="A19" s="243" t="s">
        <v>15</v>
      </c>
      <c r="B19" s="233" t="s">
        <v>102</v>
      </c>
      <c r="C19" s="234"/>
      <c r="D19" s="233" t="s">
        <v>103</v>
      </c>
      <c r="E19" s="234"/>
      <c r="F19" s="233" t="s">
        <v>104</v>
      </c>
      <c r="G19" s="234"/>
      <c r="H19" s="235" t="s">
        <v>12</v>
      </c>
    </row>
    <row r="20" spans="1:8" ht="12">
      <c r="A20" s="243"/>
      <c r="B20" s="63" t="s">
        <v>30</v>
      </c>
      <c r="C20" s="64" t="s">
        <v>13</v>
      </c>
      <c r="D20" s="63" t="s">
        <v>30</v>
      </c>
      <c r="E20" s="64" t="s">
        <v>13</v>
      </c>
      <c r="F20" s="63" t="s">
        <v>30</v>
      </c>
      <c r="G20" s="64" t="s">
        <v>13</v>
      </c>
      <c r="H20" s="235"/>
    </row>
    <row r="21" spans="1:8" ht="12">
      <c r="A21" s="84" t="s">
        <v>16</v>
      </c>
      <c r="B21" s="85">
        <v>164407.37936063827</v>
      </c>
      <c r="C21" s="86">
        <v>0.2297477421550214</v>
      </c>
      <c r="D21" s="85">
        <v>66677.49642716847</v>
      </c>
      <c r="E21" s="86">
        <v>0.09317710869345001</v>
      </c>
      <c r="F21" s="85">
        <v>484514.6675134939</v>
      </c>
      <c r="G21" s="87">
        <v>0.6770751491515287</v>
      </c>
      <c r="H21" s="88">
        <v>715599.5433013006</v>
      </c>
    </row>
    <row r="22" spans="1:8" ht="12">
      <c r="A22" s="70" t="s">
        <v>17</v>
      </c>
      <c r="B22" s="71">
        <v>1388614.293511934</v>
      </c>
      <c r="C22" s="72">
        <v>0.19290922209643682</v>
      </c>
      <c r="D22" s="71">
        <v>784786.387023908</v>
      </c>
      <c r="E22" s="72">
        <v>0.10902417765682762</v>
      </c>
      <c r="F22" s="71">
        <v>5024877.755410341</v>
      </c>
      <c r="G22" s="72">
        <v>0.6980666002467355</v>
      </c>
      <c r="H22" s="75">
        <v>7198278.435946183</v>
      </c>
    </row>
    <row r="23" spans="1:8" ht="12">
      <c r="A23" s="76" t="s">
        <v>18</v>
      </c>
      <c r="B23" s="77">
        <v>516376.7388540747</v>
      </c>
      <c r="C23" s="78">
        <v>0.12120545620205268</v>
      </c>
      <c r="D23" s="77">
        <v>346669.3565529814</v>
      </c>
      <c r="E23" s="78">
        <v>0.08137124380451673</v>
      </c>
      <c r="F23" s="77">
        <v>3397296.260742828</v>
      </c>
      <c r="G23" s="78">
        <v>0.7974232999934305</v>
      </c>
      <c r="H23" s="81">
        <v>4260342.356149884</v>
      </c>
    </row>
    <row r="24" ht="12">
      <c r="A24" s="61" t="s">
        <v>31</v>
      </c>
    </row>
    <row r="26" spans="1:8" ht="12">
      <c r="A26" s="243" t="s">
        <v>19</v>
      </c>
      <c r="B26" s="233" t="s">
        <v>102</v>
      </c>
      <c r="C26" s="234"/>
      <c r="D26" s="233" t="s">
        <v>103</v>
      </c>
      <c r="E26" s="234"/>
      <c r="F26" s="233" t="s">
        <v>104</v>
      </c>
      <c r="G26" s="234"/>
      <c r="H26" s="235" t="s">
        <v>12</v>
      </c>
    </row>
    <row r="27" spans="1:8" ht="12">
      <c r="A27" s="243"/>
      <c r="B27" s="63" t="s">
        <v>30</v>
      </c>
      <c r="C27" s="64" t="s">
        <v>13</v>
      </c>
      <c r="D27" s="63" t="s">
        <v>30</v>
      </c>
      <c r="E27" s="64" t="s">
        <v>13</v>
      </c>
      <c r="F27" s="63" t="s">
        <v>30</v>
      </c>
      <c r="G27" s="64" t="s">
        <v>13</v>
      </c>
      <c r="H27" s="235"/>
    </row>
    <row r="28" spans="1:8" ht="12">
      <c r="A28" s="84" t="s">
        <v>20</v>
      </c>
      <c r="B28" s="85">
        <v>144727.25777961925</v>
      </c>
      <c r="C28" s="86">
        <v>0.10104866924325272</v>
      </c>
      <c r="D28" s="85">
        <v>136275.10696062696</v>
      </c>
      <c r="E28" s="86">
        <v>0.095147371826266</v>
      </c>
      <c r="F28" s="85">
        <v>1151250.6165555273</v>
      </c>
      <c r="G28" s="87">
        <v>0.8038039589304813</v>
      </c>
      <c r="H28" s="88">
        <v>1432252.9812957735</v>
      </c>
    </row>
    <row r="29" spans="1:8" ht="12">
      <c r="A29" s="70" t="s">
        <v>21</v>
      </c>
      <c r="B29" s="71">
        <v>548399.5076485609</v>
      </c>
      <c r="C29" s="72">
        <v>0.16503397259161842</v>
      </c>
      <c r="D29" s="71">
        <v>285623.9641863617</v>
      </c>
      <c r="E29" s="72">
        <v>0.08595495951329217</v>
      </c>
      <c r="F29" s="71">
        <v>2488925.730906456</v>
      </c>
      <c r="G29" s="72">
        <v>0.7490110678950894</v>
      </c>
      <c r="H29" s="75">
        <v>3322949.2027413785</v>
      </c>
    </row>
    <row r="30" spans="1:8" ht="12">
      <c r="A30" s="89" t="s">
        <v>22</v>
      </c>
      <c r="B30" s="90">
        <v>752740.2622127213</v>
      </c>
      <c r="C30" s="91">
        <v>0.18249651416320425</v>
      </c>
      <c r="D30" s="90">
        <v>378265.44436379394</v>
      </c>
      <c r="E30" s="91">
        <v>0.09170776227893557</v>
      </c>
      <c r="F30" s="90">
        <v>2993677.2533377516</v>
      </c>
      <c r="G30" s="91">
        <v>0.7257957235578602</v>
      </c>
      <c r="H30" s="92">
        <v>4124682.959914267</v>
      </c>
    </row>
    <row r="31" spans="1:8" ht="12">
      <c r="A31" s="70" t="s">
        <v>23</v>
      </c>
      <c r="B31" s="71">
        <v>296303.11931499303</v>
      </c>
      <c r="C31" s="72">
        <v>0.19687475386712427</v>
      </c>
      <c r="D31" s="71">
        <v>211761.69063742177</v>
      </c>
      <c r="E31" s="72">
        <v>0.14070230114050294</v>
      </c>
      <c r="F31" s="71">
        <v>996968.7887942047</v>
      </c>
      <c r="G31" s="72">
        <v>0.6624229449923726</v>
      </c>
      <c r="H31" s="75">
        <v>1505033.5987466197</v>
      </c>
    </row>
    <row r="32" spans="1:8" ht="12">
      <c r="A32" s="76" t="s">
        <v>24</v>
      </c>
      <c r="B32" s="77">
        <v>327228.26477075234</v>
      </c>
      <c r="C32" s="78">
        <v>0.18288044123243455</v>
      </c>
      <c r="D32" s="77">
        <v>186207.0338558544</v>
      </c>
      <c r="E32" s="78">
        <v>0.10406687984608731</v>
      </c>
      <c r="F32" s="77">
        <v>1275866.2940727286</v>
      </c>
      <c r="G32" s="78">
        <v>0.7130526789214781</v>
      </c>
      <c r="H32" s="81">
        <v>1789301.5926993354</v>
      </c>
    </row>
    <row r="33" ht="12">
      <c r="A33" s="61" t="s">
        <v>31</v>
      </c>
    </row>
    <row r="35" spans="1:8" ht="12">
      <c r="A35" s="243" t="s">
        <v>25</v>
      </c>
      <c r="B35" s="233" t="s">
        <v>102</v>
      </c>
      <c r="C35" s="234"/>
      <c r="D35" s="233" t="s">
        <v>103</v>
      </c>
      <c r="E35" s="234"/>
      <c r="F35" s="233" t="s">
        <v>104</v>
      </c>
      <c r="G35" s="234"/>
      <c r="H35" s="235" t="s">
        <v>12</v>
      </c>
    </row>
    <row r="36" spans="1:8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235"/>
    </row>
    <row r="37" spans="1:8" ht="12">
      <c r="A37" s="84" t="s">
        <v>26</v>
      </c>
      <c r="B37" s="85">
        <v>107765</v>
      </c>
      <c r="C37" s="86">
        <f>+B37/$H$37</f>
        <v>0.08522679192167218</v>
      </c>
      <c r="D37" s="85">
        <v>32121.92</v>
      </c>
      <c r="E37" s="86">
        <f>+D37/$H$37</f>
        <v>0.0254038713122498</v>
      </c>
      <c r="F37" s="85">
        <v>1124562.9</v>
      </c>
      <c r="G37" s="86">
        <f>+F37/$H$37</f>
        <v>0.8893693525832341</v>
      </c>
      <c r="H37" s="88">
        <v>1264449.8</v>
      </c>
    </row>
    <row r="38" spans="1:8" ht="12">
      <c r="A38" s="70" t="s">
        <v>27</v>
      </c>
      <c r="B38" s="71">
        <v>347990.83</v>
      </c>
      <c r="C38" s="72">
        <f>+B38/$H$38</f>
        <v>0.1390608033410638</v>
      </c>
      <c r="D38" s="71">
        <v>218101.4</v>
      </c>
      <c r="E38" s="72">
        <f>+D38/$H$38</f>
        <v>0.08715561813456604</v>
      </c>
      <c r="F38" s="71">
        <v>1936344.2</v>
      </c>
      <c r="G38" s="72">
        <f>+F38/$H$38</f>
        <v>0.7737835505516324</v>
      </c>
      <c r="H38" s="75">
        <v>2502436.5</v>
      </c>
    </row>
    <row r="39" spans="1:8" ht="12">
      <c r="A39" s="89" t="s">
        <v>28</v>
      </c>
      <c r="B39" s="90">
        <v>505400.6</v>
      </c>
      <c r="C39" s="91">
        <f>+B39/$H$39</f>
        <v>0.17233915514358794</v>
      </c>
      <c r="D39" s="90">
        <v>329697.5</v>
      </c>
      <c r="E39" s="91">
        <f>+D39/$H$39</f>
        <v>0.11242524959992743</v>
      </c>
      <c r="F39" s="90">
        <v>2097494.9</v>
      </c>
      <c r="G39" s="91">
        <f>+F39/$H$39</f>
        <v>0.7152355952564846</v>
      </c>
      <c r="H39" s="92">
        <v>2932593</v>
      </c>
    </row>
    <row r="40" spans="1:8" ht="12">
      <c r="A40" s="93" t="s">
        <v>29</v>
      </c>
      <c r="B40" s="94">
        <v>1108242</v>
      </c>
      <c r="C40" s="95">
        <f>+B40/$H$40</f>
        <v>0.20242820249527418</v>
      </c>
      <c r="D40" s="94">
        <v>618212.5</v>
      </c>
      <c r="E40" s="95">
        <f>+D40/$H$40</f>
        <v>0.11292086487888899</v>
      </c>
      <c r="F40" s="94">
        <v>3748286.6</v>
      </c>
      <c r="G40" s="95">
        <f>+F40/$H$40</f>
        <v>0.6846509326258369</v>
      </c>
      <c r="H40" s="96">
        <v>5474741.1</v>
      </c>
    </row>
    <row r="41" ht="12">
      <c r="A41" s="61" t="s">
        <v>31</v>
      </c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42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1" width="22.8515625" style="52" bestFit="1" customWidth="1"/>
    <col min="2" max="2" width="14.421875" style="52" customWidth="1"/>
    <col min="3" max="3" width="6.00390625" style="52" bestFit="1" customWidth="1"/>
    <col min="4" max="5" width="13.00390625" style="52" customWidth="1"/>
    <col min="6" max="6" width="22.8515625" style="52" customWidth="1"/>
    <col min="7" max="7" width="6.00390625" style="52" bestFit="1" customWidth="1"/>
    <col min="8" max="8" width="13.140625" style="52" bestFit="1" customWidth="1"/>
    <col min="9" max="9" width="7.00390625" style="52" bestFit="1" customWidth="1"/>
    <col min="10" max="11" width="13.140625" style="52" bestFit="1" customWidth="1"/>
    <col min="12" max="16384" width="9.140625" style="52" customWidth="1"/>
  </cols>
  <sheetData>
    <row r="1" spans="2:5" s="4" customFormat="1" ht="12">
      <c r="B1" s="5"/>
      <c r="C1" s="5"/>
      <c r="D1" s="5"/>
      <c r="E1" s="5"/>
    </row>
    <row r="2" spans="2:5" s="4" customFormat="1" ht="12">
      <c r="B2" s="5"/>
      <c r="C2" s="5"/>
      <c r="D2" s="5"/>
      <c r="E2" s="5"/>
    </row>
    <row r="3" spans="2:5" s="4" customFormat="1" ht="12">
      <c r="B3" s="5"/>
      <c r="C3" s="5"/>
      <c r="D3" s="5"/>
      <c r="E3" s="5"/>
    </row>
    <row r="4" spans="2:5" s="4" customFormat="1" ht="12">
      <c r="B4" s="5"/>
      <c r="C4" s="5"/>
      <c r="D4" s="5"/>
      <c r="E4" s="5"/>
    </row>
    <row r="5" spans="2:5" s="4" customFormat="1" ht="12">
      <c r="B5" s="5"/>
      <c r="C5" s="5"/>
      <c r="D5" s="5"/>
      <c r="E5" s="5"/>
    </row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s="4" customFormat="1" ht="15" customHeight="1">
      <c r="A7" s="11" t="s">
        <v>211</v>
      </c>
      <c r="B7" s="11"/>
      <c r="C7" s="11"/>
      <c r="D7" s="11"/>
      <c r="E7" s="11"/>
      <c r="F7" s="11"/>
      <c r="G7" s="11"/>
      <c r="H7" s="11"/>
    </row>
    <row r="8" spans="1:8" s="4" customFormat="1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s="4" customFormat="1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s="4" customFormat="1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s="4" customFormat="1" ht="15" customHeight="1">
      <c r="A11" s="12"/>
      <c r="B11" s="12"/>
      <c r="C11" s="12"/>
      <c r="D11" s="12"/>
      <c r="E11" s="12"/>
      <c r="F11" s="12"/>
      <c r="G11" s="12"/>
      <c r="H11" s="11"/>
    </row>
    <row r="12" spans="1:10" s="4" customFormat="1" ht="15" customHeight="1">
      <c r="A12" s="228" t="s">
        <v>14</v>
      </c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0" ht="15">
      <c r="A13" s="229"/>
      <c r="B13" s="220" t="s">
        <v>204</v>
      </c>
      <c r="C13" s="221"/>
      <c r="D13" s="220" t="s">
        <v>205</v>
      </c>
      <c r="E13" s="221"/>
      <c r="F13" s="220" t="s">
        <v>206</v>
      </c>
      <c r="G13" s="221"/>
      <c r="H13" s="220" t="s">
        <v>207</v>
      </c>
      <c r="I13" s="221"/>
      <c r="J13" s="223" t="s">
        <v>12</v>
      </c>
    </row>
    <row r="14" spans="1:10" s="53" customFormat="1" ht="12.75">
      <c r="A14" s="230"/>
      <c r="B14" s="15" t="s">
        <v>30</v>
      </c>
      <c r="C14" s="16" t="s">
        <v>13</v>
      </c>
      <c r="D14" s="15" t="s">
        <v>30</v>
      </c>
      <c r="E14" s="16" t="s">
        <v>13</v>
      </c>
      <c r="F14" s="15" t="s">
        <v>30</v>
      </c>
      <c r="G14" s="16" t="s">
        <v>13</v>
      </c>
      <c r="H14" s="15" t="s">
        <v>30</v>
      </c>
      <c r="I14" s="16" t="s">
        <v>13</v>
      </c>
      <c r="J14" s="224"/>
    </row>
    <row r="15" spans="1:10" s="53" customFormat="1" ht="24">
      <c r="A15" s="20" t="s">
        <v>3</v>
      </c>
      <c r="B15" s="27">
        <f>SUM(B16:B17)</f>
        <v>183893.50562135363</v>
      </c>
      <c r="C15" s="17">
        <f>B15/J15</f>
        <v>0.015105156679863192</v>
      </c>
      <c r="D15" s="27">
        <f>SUM(D16:D17)</f>
        <v>93143.37008332551</v>
      </c>
      <c r="E15" s="17">
        <f>D15/J15</f>
        <v>0.007650869420566094</v>
      </c>
      <c r="F15" s="27">
        <f>SUM(F16:F17)</f>
        <v>163470.6748477922</v>
      </c>
      <c r="G15" s="17">
        <f>F15/J15</f>
        <v>0.013427609353552635</v>
      </c>
      <c r="H15" s="27">
        <f>SUM(H16:H17)</f>
        <v>11745397.327338804</v>
      </c>
      <c r="I15" s="17">
        <f>H15/J15</f>
        <v>0.96477614202433</v>
      </c>
      <c r="J15" s="30">
        <f>SUM(J16:J17)</f>
        <v>12174220.335397353</v>
      </c>
    </row>
    <row r="16" spans="1:10" s="53" customFormat="1" ht="12.75">
      <c r="A16" s="21" t="s">
        <v>200</v>
      </c>
      <c r="B16" s="28">
        <v>68382.30465901276</v>
      </c>
      <c r="C16" s="18">
        <f>(B16/J16)</f>
        <v>0.014584366890730099</v>
      </c>
      <c r="D16" s="28">
        <v>18078.992031194408</v>
      </c>
      <c r="E16" s="18">
        <f>(D16/J16)</f>
        <v>0.0038558316235803164</v>
      </c>
      <c r="F16" s="28">
        <v>63586.711236935385</v>
      </c>
      <c r="G16" s="18">
        <f>(F16/J16)</f>
        <v>0.013561577526213847</v>
      </c>
      <c r="H16" s="28">
        <v>4542766.258384898</v>
      </c>
      <c r="I16" s="18">
        <f>(H16/J16)</f>
        <v>0.9688671673393563</v>
      </c>
      <c r="J16" s="31">
        <v>4688740.016714536</v>
      </c>
    </row>
    <row r="17" spans="1:10" s="53" customFormat="1" ht="12.75">
      <c r="A17" s="22" t="s">
        <v>201</v>
      </c>
      <c r="B17" s="29">
        <v>115511.20096234085</v>
      </c>
      <c r="C17" s="19">
        <f>(B17/J17)</f>
        <v>0.015431367934271287</v>
      </c>
      <c r="D17" s="29">
        <v>75064.3780521311</v>
      </c>
      <c r="E17" s="19">
        <f>(D17/J17)</f>
        <v>0.010027997517377723</v>
      </c>
      <c r="F17" s="29">
        <v>99883.9636108568</v>
      </c>
      <c r="G17" s="19">
        <f>(F17/J17)</f>
        <v>0.013343694640617647</v>
      </c>
      <c r="H17" s="29">
        <v>7202631.068953906</v>
      </c>
      <c r="I17" s="19">
        <f>(H17/J17)</f>
        <v>0.9622136138648371</v>
      </c>
      <c r="J17" s="32">
        <v>7485480.318682818</v>
      </c>
    </row>
    <row r="18" spans="1:10" s="53" customFormat="1" ht="15">
      <c r="A18" s="57" t="s">
        <v>31</v>
      </c>
      <c r="B18" s="54"/>
      <c r="C18" s="54"/>
      <c r="D18" s="54"/>
      <c r="E18" s="54"/>
      <c r="F18" s="54"/>
      <c r="G18" s="54"/>
      <c r="H18" s="54"/>
      <c r="I18" s="56"/>
      <c r="J18" s="54"/>
    </row>
    <row r="19" spans="1:10" s="53" customFormat="1" ht="15">
      <c r="A19" s="54"/>
      <c r="B19" s="54"/>
      <c r="C19" s="54"/>
      <c r="D19" s="54"/>
      <c r="E19" s="54"/>
      <c r="F19" s="54"/>
      <c r="G19" s="54"/>
      <c r="H19" s="54"/>
      <c r="I19" s="56"/>
      <c r="J19" s="54"/>
    </row>
    <row r="20" spans="1:10" s="53" customFormat="1" ht="12.75">
      <c r="A20" s="222" t="s">
        <v>15</v>
      </c>
      <c r="B20" s="220" t="s">
        <v>204</v>
      </c>
      <c r="C20" s="221"/>
      <c r="D20" s="220" t="s">
        <v>205</v>
      </c>
      <c r="E20" s="221"/>
      <c r="F20" s="220" t="s">
        <v>206</v>
      </c>
      <c r="G20" s="221"/>
      <c r="H20" s="220" t="s">
        <v>207</v>
      </c>
      <c r="I20" s="221"/>
      <c r="J20" s="257" t="s">
        <v>12</v>
      </c>
    </row>
    <row r="21" spans="1:14" s="53" customFormat="1" ht="12.75">
      <c r="A21" s="222"/>
      <c r="B21" s="15" t="s">
        <v>30</v>
      </c>
      <c r="C21" s="16" t="s">
        <v>13</v>
      </c>
      <c r="D21" s="15" t="s">
        <v>30</v>
      </c>
      <c r="E21" s="16" t="s">
        <v>13</v>
      </c>
      <c r="F21" s="15" t="s">
        <v>30</v>
      </c>
      <c r="G21" s="16" t="s">
        <v>13</v>
      </c>
      <c r="H21" s="15" t="s">
        <v>30</v>
      </c>
      <c r="I21" s="16" t="s">
        <v>13</v>
      </c>
      <c r="J21" s="258"/>
      <c r="N21" s="53" t="s">
        <v>212</v>
      </c>
    </row>
    <row r="22" spans="1:10" s="53" customFormat="1" ht="12.75">
      <c r="A22" s="36" t="s">
        <v>16</v>
      </c>
      <c r="B22" s="37">
        <v>16728.492385763955</v>
      </c>
      <c r="C22" s="17">
        <f>(B22/J22)</f>
        <v>0.023376890807657324</v>
      </c>
      <c r="D22" s="37">
        <v>836.452201153404</v>
      </c>
      <c r="E22" s="17">
        <f>(D22/J22)</f>
        <v>0.0011688830840983623</v>
      </c>
      <c r="F22" s="37">
        <v>7502.6126951845545</v>
      </c>
      <c r="G22" s="17">
        <f>(F22/J22)</f>
        <v>0.01048437322999465</v>
      </c>
      <c r="H22" s="37">
        <v>691368.4382203526</v>
      </c>
      <c r="I22" s="17">
        <f>(H22/J22)</f>
        <v>0.9661387359623486</v>
      </c>
      <c r="J22" s="39">
        <v>715599.5433013007</v>
      </c>
    </row>
    <row r="23" spans="1:10" s="53" customFormat="1" ht="12.75">
      <c r="A23" s="21" t="s">
        <v>17</v>
      </c>
      <c r="B23" s="28">
        <v>132061.244679369</v>
      </c>
      <c r="C23" s="18">
        <f>(B23/J23)</f>
        <v>0.018346226233746765</v>
      </c>
      <c r="D23" s="28">
        <v>52903.84873528132</v>
      </c>
      <c r="E23" s="18">
        <f>(D23/J23)</f>
        <v>0.007349514082574875</v>
      </c>
      <c r="F23" s="28">
        <v>94439.18866443416</v>
      </c>
      <c r="G23" s="18">
        <f>(F23/J23)</f>
        <v>0.013119690979558625</v>
      </c>
      <c r="H23" s="28">
        <v>6928446.160566267</v>
      </c>
      <c r="I23" s="18">
        <f>(H23/J23)</f>
        <v>0.9625143320335563</v>
      </c>
      <c r="J23" s="31">
        <v>7198278.435946156</v>
      </c>
    </row>
    <row r="24" spans="1:10" s="53" customFormat="1" ht="12.75">
      <c r="A24" s="22" t="s">
        <v>18</v>
      </c>
      <c r="B24" s="29">
        <v>35103.768556220704</v>
      </c>
      <c r="C24" s="19">
        <f>(B24/J24)</f>
        <v>0.008239659074709754</v>
      </c>
      <c r="D24" s="29">
        <v>39403.06914689076</v>
      </c>
      <c r="E24" s="19">
        <f>(D24/J24)</f>
        <v>0.009248803465292341</v>
      </c>
      <c r="F24" s="29">
        <v>61528.873488173456</v>
      </c>
      <c r="G24" s="19">
        <f>(F24/J24)</f>
        <v>0.014442236877831053</v>
      </c>
      <c r="H24" s="29">
        <v>4125582.7285521817</v>
      </c>
      <c r="I24" s="19">
        <f>(H24/J24)</f>
        <v>0.9683688266500059</v>
      </c>
      <c r="J24" s="32">
        <v>4260342.356149881</v>
      </c>
    </row>
    <row r="25" spans="1:10" s="53" customFormat="1" ht="15">
      <c r="A25" s="57" t="s">
        <v>31</v>
      </c>
      <c r="B25" s="54"/>
      <c r="C25" s="54"/>
      <c r="D25" s="54"/>
      <c r="E25" s="54"/>
      <c r="F25" s="54"/>
      <c r="G25" s="54"/>
      <c r="H25" s="54"/>
      <c r="I25" s="56"/>
      <c r="J25" s="54"/>
    </row>
    <row r="26" spans="1:10" s="53" customFormat="1" ht="15">
      <c r="A26" s="54"/>
      <c r="B26" s="54"/>
      <c r="C26" s="54"/>
      <c r="D26" s="54"/>
      <c r="E26" s="54"/>
      <c r="F26" s="54"/>
      <c r="G26" s="54"/>
      <c r="H26" s="54"/>
      <c r="I26" s="56"/>
      <c r="J26" s="54"/>
    </row>
    <row r="27" spans="1:10" s="53" customFormat="1" ht="12.75">
      <c r="A27" s="222" t="s">
        <v>208</v>
      </c>
      <c r="B27" s="220" t="s">
        <v>204</v>
      </c>
      <c r="C27" s="221"/>
      <c r="D27" s="220" t="s">
        <v>205</v>
      </c>
      <c r="E27" s="221"/>
      <c r="F27" s="220" t="s">
        <v>206</v>
      </c>
      <c r="G27" s="221"/>
      <c r="H27" s="220" t="s">
        <v>207</v>
      </c>
      <c r="I27" s="221"/>
      <c r="J27" s="257" t="s">
        <v>12</v>
      </c>
    </row>
    <row r="28" spans="1:10" s="53" customFormat="1" ht="12.75">
      <c r="A28" s="222"/>
      <c r="B28" s="15" t="s">
        <v>30</v>
      </c>
      <c r="C28" s="16" t="s">
        <v>13</v>
      </c>
      <c r="D28" s="15" t="s">
        <v>30</v>
      </c>
      <c r="E28" s="16" t="s">
        <v>13</v>
      </c>
      <c r="F28" s="15" t="s">
        <v>30</v>
      </c>
      <c r="G28" s="16" t="s">
        <v>13</v>
      </c>
      <c r="H28" s="15" t="s">
        <v>30</v>
      </c>
      <c r="I28" s="16" t="s">
        <v>13</v>
      </c>
      <c r="J28" s="258"/>
    </row>
    <row r="29" spans="1:10" s="53" customFormat="1" ht="12.75">
      <c r="A29" s="36" t="s">
        <v>20</v>
      </c>
      <c r="B29" s="37">
        <v>12605.040139840188</v>
      </c>
      <c r="C29" s="38">
        <f>(B29/J29)</f>
        <v>0.008800847548898998</v>
      </c>
      <c r="D29" s="37">
        <v>7429.537894571016</v>
      </c>
      <c r="E29" s="38">
        <f>(D29/J29)</f>
        <v>0.005187308381686482</v>
      </c>
      <c r="F29" s="37">
        <v>23466.81395000765</v>
      </c>
      <c r="G29" s="38">
        <f>(F29/J29)</f>
        <v>0.016384545367660534</v>
      </c>
      <c r="H29" s="37">
        <v>1388751.5893113548</v>
      </c>
      <c r="I29" s="38">
        <f>(H29/J29)</f>
        <v>0.9696272987017542</v>
      </c>
      <c r="J29" s="45">
        <v>1432252.9812957733</v>
      </c>
    </row>
    <row r="30" spans="1:10" s="53" customFormat="1" ht="12.75">
      <c r="A30" s="21" t="s">
        <v>21</v>
      </c>
      <c r="B30" s="28">
        <v>42348.02662631787</v>
      </c>
      <c r="C30" s="18">
        <f>(B30/J30)</f>
        <v>0.012744108935334172</v>
      </c>
      <c r="D30" s="28">
        <v>38821.795914095725</v>
      </c>
      <c r="E30" s="18">
        <f>(D30/J30)</f>
        <v>0.011682933907646999</v>
      </c>
      <c r="F30" s="28">
        <v>51268.409033765915</v>
      </c>
      <c r="G30" s="18">
        <f>(F30/J30)</f>
        <v>0.015428586447084546</v>
      </c>
      <c r="H30" s="28">
        <v>3195187.4745248677</v>
      </c>
      <c r="I30" s="18">
        <f>(H30/J30)</f>
        <v>0.9615517059029665</v>
      </c>
      <c r="J30" s="46">
        <v>3322949.202741371</v>
      </c>
    </row>
    <row r="31" spans="1:10" s="53" customFormat="1" ht="12.75">
      <c r="A31" s="23" t="s">
        <v>22</v>
      </c>
      <c r="B31" s="34">
        <v>51095.3017676828</v>
      </c>
      <c r="C31" s="24">
        <f>(B31/J31)</f>
        <v>0.012387691918203764</v>
      </c>
      <c r="D31" s="34">
        <v>37229.882354853624</v>
      </c>
      <c r="E31" s="24">
        <f>(D31/J31)</f>
        <v>0.009026119756760025</v>
      </c>
      <c r="F31" s="34">
        <v>53311.07008564672</v>
      </c>
      <c r="G31" s="24">
        <f>(F31/J31)</f>
        <v>0.012924889162088412</v>
      </c>
      <c r="H31" s="34">
        <v>3988896.7617928814</v>
      </c>
      <c r="I31" s="24">
        <f>(H31/J31)</f>
        <v>0.9670796035862566</v>
      </c>
      <c r="J31" s="45">
        <v>4124682.9599142717</v>
      </c>
    </row>
    <row r="32" spans="1:10" s="53" customFormat="1" ht="12.75">
      <c r="A32" s="21" t="s">
        <v>209</v>
      </c>
      <c r="B32" s="28">
        <v>39245.162197346785</v>
      </c>
      <c r="C32" s="18">
        <f>(B32/J32)</f>
        <v>0.026075937593705446</v>
      </c>
      <c r="D32" s="28">
        <v>3467.7561637825333</v>
      </c>
      <c r="E32" s="18">
        <f>(D32/J32)</f>
        <v>0.0023041054808812596</v>
      </c>
      <c r="F32" s="28">
        <v>15418.924579932142</v>
      </c>
      <c r="G32" s="18">
        <f>(F32/J32)</f>
        <v>0.010244903896346833</v>
      </c>
      <c r="H32" s="28">
        <v>1447586.3020538064</v>
      </c>
      <c r="I32" s="18">
        <f>(H32/J32)</f>
        <v>0.9618298908804062</v>
      </c>
      <c r="J32" s="46">
        <v>1505033.59874662</v>
      </c>
    </row>
    <row r="33" spans="1:10" s="53" customFormat="1" ht="12.75">
      <c r="A33" s="22" t="s">
        <v>24</v>
      </c>
      <c r="B33" s="29">
        <v>38599.97489016598</v>
      </c>
      <c r="C33" s="19">
        <f>(B33/J33)</f>
        <v>0.02157264881876854</v>
      </c>
      <c r="D33" s="29">
        <v>6194.397756022587</v>
      </c>
      <c r="E33" s="19">
        <f>(D33/J33)</f>
        <v>0.0034619081441031618</v>
      </c>
      <c r="F33" s="29">
        <v>20005.457198439766</v>
      </c>
      <c r="G33" s="19">
        <f>(F33/J33)</f>
        <v>0.011180595423412994</v>
      </c>
      <c r="H33" s="29">
        <v>1724975.1996559256</v>
      </c>
      <c r="I33" s="19">
        <f>(H33/J33)</f>
        <v>0.96404944068352</v>
      </c>
      <c r="J33" s="32">
        <v>1789301.5926993352</v>
      </c>
    </row>
    <row r="34" spans="1:10" s="53" customFormat="1" ht="15">
      <c r="A34" s="57" t="s">
        <v>31</v>
      </c>
      <c r="B34" s="54"/>
      <c r="C34" s="54"/>
      <c r="D34" s="54"/>
      <c r="E34" s="54"/>
      <c r="F34" s="54"/>
      <c r="G34" s="54"/>
      <c r="H34" s="54"/>
      <c r="I34" s="56"/>
      <c r="J34" s="54"/>
    </row>
    <row r="35" spans="1:10" s="53" customFormat="1" ht="15">
      <c r="A35" s="54"/>
      <c r="B35" s="54"/>
      <c r="C35" s="54"/>
      <c r="D35" s="54"/>
      <c r="E35" s="54"/>
      <c r="F35" s="54"/>
      <c r="G35" s="54"/>
      <c r="H35" s="54"/>
      <c r="I35" s="56"/>
      <c r="J35" s="54"/>
    </row>
    <row r="36" spans="1:10" s="53" customFormat="1" ht="12.75">
      <c r="A36" s="222" t="s">
        <v>25</v>
      </c>
      <c r="B36" s="220" t="s">
        <v>204</v>
      </c>
      <c r="C36" s="221"/>
      <c r="D36" s="220" t="s">
        <v>205</v>
      </c>
      <c r="E36" s="221"/>
      <c r="F36" s="220" t="s">
        <v>206</v>
      </c>
      <c r="G36" s="221"/>
      <c r="H36" s="220" t="s">
        <v>207</v>
      </c>
      <c r="I36" s="221"/>
      <c r="J36" s="257" t="s">
        <v>12</v>
      </c>
    </row>
    <row r="37" spans="1:10" s="53" customFormat="1" ht="12.75">
      <c r="A37" s="222"/>
      <c r="B37" s="15" t="s">
        <v>30</v>
      </c>
      <c r="C37" s="16" t="s">
        <v>13</v>
      </c>
      <c r="D37" s="15" t="s">
        <v>30</v>
      </c>
      <c r="E37" s="16" t="s">
        <v>13</v>
      </c>
      <c r="F37" s="15" t="s">
        <v>30</v>
      </c>
      <c r="G37" s="16" t="s">
        <v>13</v>
      </c>
      <c r="H37" s="15" t="s">
        <v>30</v>
      </c>
      <c r="I37" s="16" t="s">
        <v>13</v>
      </c>
      <c r="J37" s="258"/>
    </row>
    <row r="38" spans="1:10" s="53" customFormat="1" ht="12.75">
      <c r="A38" s="36" t="s">
        <v>26</v>
      </c>
      <c r="B38" s="37">
        <v>1969.9705486936123</v>
      </c>
      <c r="C38" s="38">
        <f>(B38/J38)</f>
        <v>0.001557966600543584</v>
      </c>
      <c r="D38" s="37">
        <v>4870.84636489903</v>
      </c>
      <c r="E38" s="38">
        <f>(D38/J38)</f>
        <v>0.0038521469054063843</v>
      </c>
      <c r="F38" s="37">
        <v>6527.09402631725</v>
      </c>
      <c r="G38" s="38">
        <f>(F38/J38)</f>
        <v>0.005162003309315156</v>
      </c>
      <c r="H38" s="37">
        <v>1251081.8840725617</v>
      </c>
      <c r="I38" s="38">
        <f>(H38/J38)</f>
        <v>0.9894278831847348</v>
      </c>
      <c r="J38" s="45">
        <v>1264449.7950124717</v>
      </c>
    </row>
    <row r="39" spans="1:10" s="53" customFormat="1" ht="12.75">
      <c r="A39" s="21" t="s">
        <v>27</v>
      </c>
      <c r="B39" s="28">
        <v>21309.65867095487</v>
      </c>
      <c r="C39" s="18">
        <f>(B39/J39)</f>
        <v>0.008515564327205297</v>
      </c>
      <c r="D39" s="28">
        <v>21616.65737737019</v>
      </c>
      <c r="E39" s="18">
        <f>(D39/J39)</f>
        <v>0.008638244247762248</v>
      </c>
      <c r="F39" s="28">
        <v>16410.34512530013</v>
      </c>
      <c r="G39" s="18">
        <f>(F39/J39)</f>
        <v>0.006557746968354953</v>
      </c>
      <c r="H39" s="28">
        <v>2443099.801301954</v>
      </c>
      <c r="I39" s="18">
        <f>(H39/J39)</f>
        <v>0.9762884444566771</v>
      </c>
      <c r="J39" s="46">
        <v>2502436.46247558</v>
      </c>
    </row>
    <row r="40" spans="1:10" s="53" customFormat="1" ht="12.75">
      <c r="A40" s="23" t="s">
        <v>28</v>
      </c>
      <c r="B40" s="34">
        <v>32088.932022174493</v>
      </c>
      <c r="C40" s="24">
        <f>(B40/J40)</f>
        <v>0.01094217040100477</v>
      </c>
      <c r="D40" s="34">
        <v>18996.9028478717</v>
      </c>
      <c r="E40" s="24">
        <f>(D40/J40)</f>
        <v>0.006477851862103166</v>
      </c>
      <c r="F40" s="34">
        <v>49901.83811292445</v>
      </c>
      <c r="G40" s="24">
        <f>(F40/J40)</f>
        <v>0.017016285103463282</v>
      </c>
      <c r="H40" s="34">
        <v>2832800.4122673343</v>
      </c>
      <c r="I40" s="24">
        <f>(H40/J40)</f>
        <v>0.9659712202838603</v>
      </c>
      <c r="J40" s="45">
        <v>2932592.972526539</v>
      </c>
    </row>
    <row r="41" spans="1:10" s="53" customFormat="1" ht="12.75">
      <c r="A41" s="25" t="s">
        <v>29</v>
      </c>
      <c r="B41" s="40">
        <v>128524.94437953067</v>
      </c>
      <c r="C41" s="26">
        <f>(B41/J41)</f>
        <v>0.023475985787376377</v>
      </c>
      <c r="D41" s="40">
        <v>47658.963493184565</v>
      </c>
      <c r="E41" s="26">
        <f>(D41/J41)</f>
        <v>0.008705245156949322</v>
      </c>
      <c r="F41" s="40">
        <v>90631.39758325038</v>
      </c>
      <c r="G41" s="26">
        <f>(F41/J41)</f>
        <v>0.016554462729596812</v>
      </c>
      <c r="H41" s="40">
        <v>5218415.229696957</v>
      </c>
      <c r="I41" s="26">
        <f>(H41/J41)</f>
        <v>0.9531802745094606</v>
      </c>
      <c r="J41" s="33">
        <v>5474741.10538275</v>
      </c>
    </row>
    <row r="42" s="53" customFormat="1" ht="12.75">
      <c r="A42" s="57" t="s">
        <v>31</v>
      </c>
    </row>
    <row r="43" s="53" customFormat="1" ht="12.75"/>
    <row r="44" s="53" customFormat="1" ht="12.75"/>
    <row r="45" s="53" customFormat="1" ht="12.75"/>
    <row r="46" s="53" customFormat="1" ht="12.75"/>
  </sheetData>
  <sheetProtection/>
  <mergeCells count="26">
    <mergeCell ref="A6:H6"/>
    <mergeCell ref="A12:A14"/>
    <mergeCell ref="B12:J12"/>
    <mergeCell ref="B13:C13"/>
    <mergeCell ref="D13:E13"/>
    <mergeCell ref="F13:G13"/>
    <mergeCell ref="H13:I13"/>
    <mergeCell ref="J13:J14"/>
    <mergeCell ref="A20:A21"/>
    <mergeCell ref="B20:C20"/>
    <mergeCell ref="D20:E20"/>
    <mergeCell ref="F20:G20"/>
    <mergeCell ref="H20:I20"/>
    <mergeCell ref="J20:J21"/>
    <mergeCell ref="A27:A28"/>
    <mergeCell ref="B27:C27"/>
    <mergeCell ref="D27:E27"/>
    <mergeCell ref="F27:G27"/>
    <mergeCell ref="H27:I27"/>
    <mergeCell ref="J27:J28"/>
    <mergeCell ref="A36:A37"/>
    <mergeCell ref="B36:C36"/>
    <mergeCell ref="D36:E36"/>
    <mergeCell ref="F36:G36"/>
    <mergeCell ref="H36:I36"/>
    <mergeCell ref="J36:J37"/>
  </mergeCells>
  <printOptions/>
  <pageMargins left="0.7" right="0.7" top="0.75" bottom="0.75" header="0.3" footer="0.3"/>
  <pageSetup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Q41"/>
  <sheetViews>
    <sheetView showGridLines="0" zoomScalePageLayoutView="0" workbookViewId="0" topLeftCell="A1">
      <selection activeCell="C41" sqref="C41"/>
    </sheetView>
  </sheetViews>
  <sheetFormatPr defaultColWidth="9.140625" defaultRowHeight="12.75"/>
  <cols>
    <col min="1" max="1" width="22.8515625" style="52" bestFit="1" customWidth="1"/>
    <col min="2" max="2" width="13.140625" style="52" bestFit="1" customWidth="1"/>
    <col min="3" max="3" width="9.8515625" style="52" customWidth="1"/>
    <col min="4" max="4" width="13.140625" style="52" bestFit="1" customWidth="1"/>
    <col min="5" max="5" width="7.00390625" style="52" bestFit="1" customWidth="1"/>
    <col min="6" max="6" width="21.8515625" style="52" customWidth="1"/>
    <col min="7" max="7" width="7.00390625" style="52" bestFit="1" customWidth="1"/>
    <col min="8" max="8" width="11.421875" style="52" bestFit="1" customWidth="1"/>
    <col min="9" max="9" width="7.00390625" style="52" bestFit="1" customWidth="1"/>
    <col min="10" max="10" width="13.140625" style="52" bestFit="1" customWidth="1"/>
    <col min="11" max="16384" width="9.140625" style="52" customWidth="1"/>
  </cols>
  <sheetData>
    <row r="1" spans="2:5" s="4" customFormat="1" ht="12">
      <c r="B1" s="5"/>
      <c r="C1" s="5"/>
      <c r="D1" s="5"/>
      <c r="E1" s="5"/>
    </row>
    <row r="2" spans="2:5" s="4" customFormat="1" ht="12">
      <c r="B2" s="5"/>
      <c r="C2" s="5"/>
      <c r="D2" s="5"/>
      <c r="E2" s="5"/>
    </row>
    <row r="3" spans="2:5" s="4" customFormat="1" ht="12">
      <c r="B3" s="5"/>
      <c r="C3" s="5"/>
      <c r="D3" s="5"/>
      <c r="E3" s="5"/>
    </row>
    <row r="4" spans="2:5" s="4" customFormat="1" ht="12">
      <c r="B4" s="5"/>
      <c r="C4" s="5"/>
      <c r="D4" s="5"/>
      <c r="E4" s="5"/>
    </row>
    <row r="5" spans="2:5" s="4" customFormat="1" ht="12">
      <c r="B5" s="5"/>
      <c r="C5" s="5"/>
      <c r="D5" s="5"/>
      <c r="E5" s="5"/>
    </row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s="4" customFormat="1" ht="15" customHeight="1">
      <c r="A7" s="11" t="s">
        <v>203</v>
      </c>
      <c r="B7" s="11"/>
      <c r="C7" s="11"/>
      <c r="D7" s="11"/>
      <c r="E7" s="11"/>
      <c r="F7" s="11"/>
      <c r="G7" s="11"/>
      <c r="H7" s="11"/>
    </row>
    <row r="8" spans="1:8" s="4" customFormat="1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s="4" customFormat="1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s="4" customFormat="1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10" ht="1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</row>
    <row r="12" spans="1:10" s="53" customFormat="1" ht="12" customHeight="1">
      <c r="A12" s="229"/>
      <c r="B12" s="220" t="s">
        <v>204</v>
      </c>
      <c r="C12" s="221"/>
      <c r="D12" s="220" t="s">
        <v>205</v>
      </c>
      <c r="E12" s="221"/>
      <c r="F12" s="220" t="s">
        <v>206</v>
      </c>
      <c r="G12" s="221"/>
      <c r="H12" s="220" t="s">
        <v>207</v>
      </c>
      <c r="I12" s="221"/>
      <c r="J12" s="223" t="s">
        <v>12</v>
      </c>
    </row>
    <row r="13" spans="1:10" s="53" customFormat="1" ht="12.75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224"/>
    </row>
    <row r="14" spans="1:10" s="53" customFormat="1" ht="24">
      <c r="A14" s="20" t="s">
        <v>3</v>
      </c>
      <c r="B14" s="27">
        <v>6144764.751562318</v>
      </c>
      <c r="C14" s="17">
        <v>0.504735792705838</v>
      </c>
      <c r="D14" s="27">
        <v>6620506.465163723</v>
      </c>
      <c r="E14" s="17">
        <v>0.5438135899277393</v>
      </c>
      <c r="F14" s="27">
        <v>3550002.820157583</v>
      </c>
      <c r="G14" s="17">
        <v>0.2916000139931519</v>
      </c>
      <c r="H14" s="27">
        <v>1569190.6163407578</v>
      </c>
      <c r="I14" s="17">
        <v>0.12889454709294457</v>
      </c>
      <c r="J14" s="30">
        <v>12174220.335397355</v>
      </c>
    </row>
    <row r="15" spans="1:10" s="53" customFormat="1" ht="12.75">
      <c r="A15" s="21" t="s">
        <v>200</v>
      </c>
      <c r="B15" s="28">
        <v>2800509.679266263</v>
      </c>
      <c r="C15" s="18">
        <f>B15/J15</f>
        <v>0.5972840612366938</v>
      </c>
      <c r="D15" s="28">
        <v>2066990.54030441</v>
      </c>
      <c r="E15" s="18">
        <f>D15/J15</f>
        <v>0.44084136312441086</v>
      </c>
      <c r="F15" s="28">
        <v>1301394.882561778</v>
      </c>
      <c r="G15" s="18">
        <f>(F15/J15)</f>
        <v>0.277557484083684</v>
      </c>
      <c r="H15" s="28">
        <v>780517.1625382123</v>
      </c>
      <c r="I15" s="18">
        <f>(H15/J15)</f>
        <v>0.16646629153158526</v>
      </c>
      <c r="J15" s="31">
        <v>4688740.016714538</v>
      </c>
    </row>
    <row r="16" spans="1:10" s="53" customFormat="1" ht="12.75">
      <c r="A16" s="22" t="s">
        <v>201</v>
      </c>
      <c r="B16" s="29">
        <v>3344255.0722960546</v>
      </c>
      <c r="C16" s="19">
        <f>B16/J16</f>
        <v>0.4467655955155228</v>
      </c>
      <c r="D16" s="29">
        <v>4553515.924859312</v>
      </c>
      <c r="E16" s="19">
        <f>(D16/J16)</f>
        <v>0.6083131250100691</v>
      </c>
      <c r="F16" s="29">
        <v>2248607.9375958047</v>
      </c>
      <c r="G16" s="19">
        <f>(F16/J16)</f>
        <v>0.3003959454657254</v>
      </c>
      <c r="H16" s="29">
        <v>788673.4538025456</v>
      </c>
      <c r="I16" s="19">
        <f>(H16/J16)</f>
        <v>0.10536043383002634</v>
      </c>
      <c r="J16" s="32">
        <v>7485480.318682818</v>
      </c>
    </row>
    <row r="17" spans="1:251" s="53" customFormat="1" ht="12.75">
      <c r="A17" s="4" t="s">
        <v>31</v>
      </c>
      <c r="J17" s="4"/>
      <c r="K17" s="55"/>
      <c r="U17" s="55"/>
      <c r="AE17" s="55"/>
      <c r="AO17" s="55"/>
      <c r="AY17" s="55"/>
      <c r="BI17" s="55"/>
      <c r="BS17" s="55"/>
      <c r="CC17" s="55"/>
      <c r="CM17" s="55"/>
      <c r="CW17" s="55"/>
      <c r="DG17" s="55"/>
      <c r="DQ17" s="55"/>
      <c r="EA17" s="55"/>
      <c r="EK17" s="55"/>
      <c r="EU17" s="55"/>
      <c r="FE17" s="55"/>
      <c r="FO17" s="55"/>
      <c r="FY17" s="55"/>
      <c r="GI17" s="55"/>
      <c r="GS17" s="55"/>
      <c r="HC17" s="55"/>
      <c r="HM17" s="55"/>
      <c r="HW17" s="55"/>
      <c r="IG17" s="55"/>
      <c r="IQ17" s="55"/>
    </row>
    <row r="18" spans="1:10" s="53" customFormat="1" ht="12.75">
      <c r="A18" s="55"/>
      <c r="J18" s="4"/>
    </row>
    <row r="19" spans="1:10" s="53" customFormat="1" ht="12.75">
      <c r="A19" s="222" t="s">
        <v>15</v>
      </c>
      <c r="B19" s="220" t="s">
        <v>204</v>
      </c>
      <c r="C19" s="221"/>
      <c r="D19" s="220" t="s">
        <v>205</v>
      </c>
      <c r="E19" s="221"/>
      <c r="F19" s="220" t="s">
        <v>206</v>
      </c>
      <c r="G19" s="221"/>
      <c r="H19" s="220" t="s">
        <v>207</v>
      </c>
      <c r="I19" s="221"/>
      <c r="J19" s="225" t="s">
        <v>12</v>
      </c>
    </row>
    <row r="20" spans="1:10" s="53" customFormat="1" ht="12.75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225"/>
    </row>
    <row r="21" spans="1:10" s="53" customFormat="1" ht="12.75">
      <c r="A21" s="36" t="s">
        <v>16</v>
      </c>
      <c r="B21" s="37">
        <v>363254.960452749</v>
      </c>
      <c r="C21" s="17">
        <f>B21/J21</f>
        <v>0.507623242431</v>
      </c>
      <c r="D21" s="37">
        <v>236588.32129138816</v>
      </c>
      <c r="E21" s="17">
        <f>(D21/J21)</f>
        <v>0.33061552862363064</v>
      </c>
      <c r="F21" s="37">
        <v>250672.3252872482</v>
      </c>
      <c r="G21" s="17">
        <f>(F21/J21)</f>
        <v>0.3502969330176103</v>
      </c>
      <c r="H21" s="37">
        <v>104276.67317535832</v>
      </c>
      <c r="I21" s="17">
        <f>(H21/J21)</f>
        <v>0.14571931208102099</v>
      </c>
      <c r="J21" s="39">
        <v>715599.5433013006</v>
      </c>
    </row>
    <row r="22" spans="1:10" s="53" customFormat="1" ht="12.75">
      <c r="A22" s="21" t="s">
        <v>17</v>
      </c>
      <c r="B22" s="28">
        <v>4078388.68597983</v>
      </c>
      <c r="C22" s="18">
        <f>B22/J22</f>
        <v>0.5665783454017979</v>
      </c>
      <c r="D22" s="28">
        <v>3895846.5167389642</v>
      </c>
      <c r="E22" s="18">
        <f>(D22/J22)</f>
        <v>0.5412192028144118</v>
      </c>
      <c r="F22" s="28">
        <v>2031669.1613427696</v>
      </c>
      <c r="G22" s="18">
        <f>(F22/J22)</f>
        <v>0.2822437586183363</v>
      </c>
      <c r="H22" s="28">
        <v>864782.9762470464</v>
      </c>
      <c r="I22" s="18">
        <f>(H22/J22)</f>
        <v>0.12013747230567837</v>
      </c>
      <c r="J22" s="31">
        <v>7198278.435946183</v>
      </c>
    </row>
    <row r="23" spans="1:10" s="53" customFormat="1" ht="12.75">
      <c r="A23" s="22" t="s">
        <v>18</v>
      </c>
      <c r="B23" s="29">
        <v>1703121.1051297367</v>
      </c>
      <c r="C23" s="19">
        <f>B23/J23</f>
        <v>0.39976155969513794</v>
      </c>
      <c r="D23" s="29">
        <v>2488071.627133386</v>
      </c>
      <c r="E23" s="19">
        <f>(D23/J23)</f>
        <v>0.5840074386373686</v>
      </c>
      <c r="F23" s="29">
        <v>1267661.3335275657</v>
      </c>
      <c r="G23" s="19">
        <f>(F23/J23)</f>
        <v>0.2975491703613144</v>
      </c>
      <c r="H23" s="29">
        <v>600130.9669183524</v>
      </c>
      <c r="I23" s="19">
        <f>(H23/J23)</f>
        <v>0.14086449321427233</v>
      </c>
      <c r="J23" s="32">
        <v>4260342.356149885</v>
      </c>
    </row>
    <row r="24" spans="1:10" s="53" customFormat="1" ht="12.75">
      <c r="A24" s="4" t="s">
        <v>31</v>
      </c>
      <c r="J24" s="4"/>
    </row>
    <row r="25" spans="1:10" s="53" customFormat="1" ht="12.75">
      <c r="A25" s="55"/>
      <c r="J25" s="4"/>
    </row>
    <row r="26" spans="1:10" s="53" customFormat="1" ht="12.75">
      <c r="A26" s="222" t="s">
        <v>210</v>
      </c>
      <c r="B26" s="220" t="s">
        <v>204</v>
      </c>
      <c r="C26" s="221"/>
      <c r="D26" s="220" t="s">
        <v>205</v>
      </c>
      <c r="E26" s="221"/>
      <c r="F26" s="220" t="s">
        <v>206</v>
      </c>
      <c r="G26" s="221"/>
      <c r="H26" s="220" t="s">
        <v>207</v>
      </c>
      <c r="I26" s="221"/>
      <c r="J26" s="225" t="s">
        <v>12</v>
      </c>
    </row>
    <row r="27" spans="1:10" s="53" customFormat="1" ht="12.75">
      <c r="A27" s="222" t="s">
        <v>208</v>
      </c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225"/>
    </row>
    <row r="28" spans="1:10" s="53" customFormat="1" ht="12.75">
      <c r="A28" s="36" t="s">
        <v>20</v>
      </c>
      <c r="B28" s="37">
        <v>591849.3008777609</v>
      </c>
      <c r="C28" s="38">
        <f>B28/J28</f>
        <v>0.413229582068881</v>
      </c>
      <c r="D28" s="37">
        <v>910454.1683543948</v>
      </c>
      <c r="E28" s="38">
        <f>(D28/J28)</f>
        <v>0.635679715974966</v>
      </c>
      <c r="F28" s="37">
        <v>435711.44704246306</v>
      </c>
      <c r="G28" s="38">
        <f>(F28/J28)</f>
        <v>0.3042140269439488</v>
      </c>
      <c r="H28" s="37">
        <v>168395.78472396074</v>
      </c>
      <c r="I28" s="38">
        <f>(H28/J28)</f>
        <v>0.11757405075995131</v>
      </c>
      <c r="J28" s="45">
        <v>1432252.9812957724</v>
      </c>
    </row>
    <row r="29" spans="1:10" s="53" customFormat="1" ht="12.75">
      <c r="A29" s="21" t="s">
        <v>21</v>
      </c>
      <c r="B29" s="28">
        <v>1490180.9761472582</v>
      </c>
      <c r="C29" s="18">
        <f>B29/J29</f>
        <v>0.4484513259841244</v>
      </c>
      <c r="D29" s="28">
        <v>1917901.857040912</v>
      </c>
      <c r="E29" s="18">
        <f>(D29/J29)</f>
        <v>0.5771685752700273</v>
      </c>
      <c r="F29" s="28">
        <v>934035.3790167185</v>
      </c>
      <c r="G29" s="18">
        <f>(F29/J29)</f>
        <v>0.2810862646489317</v>
      </c>
      <c r="H29" s="28">
        <v>475001.9268485382</v>
      </c>
      <c r="I29" s="18">
        <f>(H29/J29)</f>
        <v>0.14294588868727517</v>
      </c>
      <c r="J29" s="46">
        <v>3322949.202741374</v>
      </c>
    </row>
    <row r="30" spans="1:10" s="53" customFormat="1" ht="12.75">
      <c r="A30" s="23" t="s">
        <v>22</v>
      </c>
      <c r="B30" s="34">
        <v>2189500.7346466766</v>
      </c>
      <c r="C30" s="24">
        <f>B30/J30</f>
        <v>0.5308288554357619</v>
      </c>
      <c r="D30" s="34">
        <v>2215780.7332652546</v>
      </c>
      <c r="E30" s="24">
        <f>(D30/J30)</f>
        <v>0.5372002538860138</v>
      </c>
      <c r="F30" s="34">
        <v>1228515.9287317656</v>
      </c>
      <c r="G30" s="24">
        <f>(F30/J30)</f>
        <v>0.29784493515528354</v>
      </c>
      <c r="H30" s="34">
        <v>522049.1384236982</v>
      </c>
      <c r="I30" s="24">
        <f>(H30/J30)</f>
        <v>0.12656709460999402</v>
      </c>
      <c r="J30" s="45">
        <v>4124682.959914259</v>
      </c>
    </row>
    <row r="31" spans="1:10" s="53" customFormat="1" ht="12.75">
      <c r="A31" s="21" t="s">
        <v>209</v>
      </c>
      <c r="B31" s="28">
        <v>822214.7574575704</v>
      </c>
      <c r="C31" s="18">
        <f>B31/J31</f>
        <v>0.5463099017472463</v>
      </c>
      <c r="D31" s="28">
        <v>740026.1796159217</v>
      </c>
      <c r="E31" s="18">
        <f>(D31/J31)</f>
        <v>0.4917007701570314</v>
      </c>
      <c r="F31" s="28">
        <v>428131.2168947997</v>
      </c>
      <c r="G31" s="18">
        <f>(F31/J31)</f>
        <v>0.2844662187285015</v>
      </c>
      <c r="H31" s="28">
        <v>169159.99047726186</v>
      </c>
      <c r="I31" s="18">
        <f>(H31/J31)</f>
        <v>0.11239615555303013</v>
      </c>
      <c r="J31" s="46">
        <v>1505033.5987466201</v>
      </c>
    </row>
    <row r="32" spans="1:10" s="53" customFormat="1" ht="12.75">
      <c r="A32" s="22" t="s">
        <v>24</v>
      </c>
      <c r="B32" s="29">
        <v>1051018.9824330471</v>
      </c>
      <c r="C32" s="19">
        <f>B32/J32</f>
        <v>0.5873906258851986</v>
      </c>
      <c r="D32" s="29">
        <v>836343.5268872452</v>
      </c>
      <c r="E32" s="19">
        <f>(D32/J32)</f>
        <v>0.4674133920741323</v>
      </c>
      <c r="F32" s="29">
        <v>523608.84847183415</v>
      </c>
      <c r="G32" s="19">
        <f>(F32/J32)</f>
        <v>0.29263308690287276</v>
      </c>
      <c r="H32" s="29">
        <v>234583.77586729795</v>
      </c>
      <c r="I32" s="19">
        <f>(H32/J32)</f>
        <v>0.13110354164129767</v>
      </c>
      <c r="J32" s="32">
        <v>1789301.5926993384</v>
      </c>
    </row>
    <row r="33" spans="1:10" s="53" customFormat="1" ht="15">
      <c r="A33" s="4" t="s">
        <v>31</v>
      </c>
      <c r="B33" s="54"/>
      <c r="C33" s="54"/>
      <c r="D33" s="54"/>
      <c r="E33" s="54"/>
      <c r="F33" s="54"/>
      <c r="G33" s="54"/>
      <c r="H33" s="54"/>
      <c r="I33" s="56"/>
      <c r="J33" s="4"/>
    </row>
    <row r="34" spans="1:10" s="53" customFormat="1" ht="15">
      <c r="A34" s="4"/>
      <c r="B34" s="54"/>
      <c r="C34" s="54"/>
      <c r="D34" s="54"/>
      <c r="E34" s="54"/>
      <c r="F34" s="54"/>
      <c r="G34" s="54"/>
      <c r="H34" s="54"/>
      <c r="I34" s="56"/>
      <c r="J34" s="4"/>
    </row>
    <row r="35" spans="1:10" s="53" customFormat="1" ht="12.75">
      <c r="A35" s="222" t="s">
        <v>25</v>
      </c>
      <c r="B35" s="220" t="s">
        <v>204</v>
      </c>
      <c r="C35" s="221"/>
      <c r="D35" s="220" t="s">
        <v>205</v>
      </c>
      <c r="E35" s="221"/>
      <c r="F35" s="220" t="s">
        <v>206</v>
      </c>
      <c r="G35" s="221"/>
      <c r="H35" s="220" t="s">
        <v>207</v>
      </c>
      <c r="I35" s="221"/>
      <c r="J35" s="225" t="s">
        <v>12</v>
      </c>
    </row>
    <row r="36" spans="1:10" s="53" customFormat="1" ht="12.75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225"/>
    </row>
    <row r="37" spans="1:10" s="53" customFormat="1" ht="12.75">
      <c r="A37" s="36" t="s">
        <v>26</v>
      </c>
      <c r="B37" s="37">
        <v>42262.67460346797</v>
      </c>
      <c r="C37" s="38">
        <f>(B37/J37)</f>
        <v>0.03342376642407626</v>
      </c>
      <c r="D37" s="37">
        <v>224195.2683432743</v>
      </c>
      <c r="E37" s="38">
        <f>(D37/J37)</f>
        <v>0.177306579689914</v>
      </c>
      <c r="F37" s="37">
        <v>340385.5074036778</v>
      </c>
      <c r="G37" s="38">
        <f>(F37/J37)</f>
        <v>0.2691965380881891</v>
      </c>
      <c r="H37" s="37">
        <v>717570.0966785882</v>
      </c>
      <c r="I37" s="38">
        <f>(H37/J37)</f>
        <v>0.5674959175990932</v>
      </c>
      <c r="J37" s="45">
        <v>1264449.795012472</v>
      </c>
    </row>
    <row r="38" spans="1:10" s="53" customFormat="1" ht="12.75">
      <c r="A38" s="21" t="s">
        <v>27</v>
      </c>
      <c r="B38" s="28">
        <v>1235652.5044313062</v>
      </c>
      <c r="C38" s="18">
        <f>(B38/J38)</f>
        <v>0.49377977141881774</v>
      </c>
      <c r="D38" s="28">
        <v>853614.7975547655</v>
      </c>
      <c r="E38" s="18">
        <f>(D38/J38)</f>
        <v>0.3411134749492549</v>
      </c>
      <c r="F38" s="28">
        <v>548497.579755716</v>
      </c>
      <c r="G38" s="18">
        <f>(F38/J38)</f>
        <v>0.219185417084718</v>
      </c>
      <c r="H38" s="28">
        <v>277774.4059647468</v>
      </c>
      <c r="I38" s="18">
        <f>(H38/J38)</f>
        <v>0.11100158191027701</v>
      </c>
      <c r="J38" s="46">
        <v>2502436.4624755788</v>
      </c>
    </row>
    <row r="39" spans="1:10" s="53" customFormat="1" ht="12.75">
      <c r="A39" s="23" t="s">
        <v>28</v>
      </c>
      <c r="B39" s="34">
        <v>1594017.4031012957</v>
      </c>
      <c r="C39" s="24">
        <f>(B39/J39)</f>
        <v>0.5435522140421661</v>
      </c>
      <c r="D39" s="34">
        <v>1841489.908175077</v>
      </c>
      <c r="E39" s="24">
        <f>(D39/J39)</f>
        <v>0.6279391396715264</v>
      </c>
      <c r="F39" s="34">
        <v>816181.4283800765</v>
      </c>
      <c r="G39" s="24">
        <f>(F39/J39)</f>
        <v>0.27831391400931665</v>
      </c>
      <c r="H39" s="34">
        <v>214443.42650030612</v>
      </c>
      <c r="I39" s="24">
        <f>(H39/J39)</f>
        <v>0.07312416980783913</v>
      </c>
      <c r="J39" s="45">
        <v>2932592.972526536</v>
      </c>
    </row>
    <row r="40" spans="1:10" s="53" customFormat="1" ht="12.75">
      <c r="A40" s="25" t="s">
        <v>29</v>
      </c>
      <c r="B40" s="40">
        <v>3272832.1694262433</v>
      </c>
      <c r="C40" s="26">
        <f>(B40/J40)</f>
        <v>0.597805833449985</v>
      </c>
      <c r="D40" s="40">
        <v>3701206.4910906143</v>
      </c>
      <c r="E40" s="26">
        <f>(D40/J40)</f>
        <v>0.6760514186600678</v>
      </c>
      <c r="F40" s="40">
        <v>1844938.3046181141</v>
      </c>
      <c r="G40" s="26">
        <f>(F40/J40)</f>
        <v>0.33699096799374983</v>
      </c>
      <c r="H40" s="40">
        <v>359402.68719711516</v>
      </c>
      <c r="I40" s="26">
        <f>(H40/J40)</f>
        <v>0.06564743067827437</v>
      </c>
      <c r="J40" s="33">
        <v>5474741.105382778</v>
      </c>
    </row>
    <row r="41" s="53" customFormat="1" ht="12.75">
      <c r="A41" s="57" t="s">
        <v>31</v>
      </c>
    </row>
    <row r="42" s="53" customFormat="1" ht="12.75"/>
    <row r="43" s="53" customFormat="1" ht="12.75"/>
    <row r="44" s="53" customFormat="1" ht="12.75"/>
    <row r="45" s="53" customFormat="1" ht="12.75"/>
    <row r="46" s="53" customFormat="1" ht="12.75"/>
    <row r="47" s="53" customFormat="1" ht="12.75"/>
  </sheetData>
  <sheetProtection/>
  <mergeCells count="26">
    <mergeCell ref="A6:H6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D19:E19"/>
    <mergeCell ref="F19:G19"/>
    <mergeCell ref="H19:I19"/>
    <mergeCell ref="J19:J20"/>
    <mergeCell ref="A35:A36"/>
    <mergeCell ref="B35:C35"/>
    <mergeCell ref="D35:E35"/>
    <mergeCell ref="F35:G35"/>
    <mergeCell ref="H35:I35"/>
    <mergeCell ref="J35:J36"/>
  </mergeCells>
  <printOptions/>
  <pageMargins left="0.7" right="0.7" top="0.75" bottom="0.75" header="0.3" footer="0.3"/>
  <pageSetup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6:H40"/>
  <sheetViews>
    <sheetView showGridLines="0" zoomScale="90" zoomScaleNormal="90" zoomScalePageLayoutView="0" workbookViewId="0" topLeftCell="A1">
      <selection activeCell="E27" sqref="E27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16384" width="11.421875" style="61" customWidth="1"/>
  </cols>
  <sheetData>
    <row r="1" ht="12"/>
    <row r="2" ht="12"/>
    <row r="3" ht="12"/>
    <row r="4" ht="12"/>
    <row r="5" ht="12"/>
    <row r="6" spans="1:8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</row>
    <row r="7" spans="1:8" ht="15" customHeight="1">
      <c r="A7" s="60" t="s">
        <v>123</v>
      </c>
      <c r="B7" s="60"/>
      <c r="C7" s="60"/>
      <c r="D7" s="60"/>
      <c r="E7" s="60"/>
      <c r="F7" s="60"/>
      <c r="G7" s="60"/>
      <c r="H7" s="60"/>
    </row>
    <row r="8" spans="1:8" ht="15" customHeight="1">
      <c r="A8" s="60" t="s">
        <v>125</v>
      </c>
      <c r="B8" s="60"/>
      <c r="C8" s="60"/>
      <c r="D8" s="60"/>
      <c r="E8" s="60"/>
      <c r="F8" s="60"/>
      <c r="G8" s="60"/>
      <c r="H8" s="60"/>
    </row>
    <row r="9" spans="1:8" ht="15" customHeight="1">
      <c r="A9" s="60" t="s">
        <v>3</v>
      </c>
      <c r="B9" s="60"/>
      <c r="C9" s="60"/>
      <c r="D9" s="60"/>
      <c r="E9" s="60"/>
      <c r="F9" s="60"/>
      <c r="G9" s="60"/>
      <c r="H9" s="60"/>
    </row>
    <row r="10" spans="1:8" ht="15" customHeight="1">
      <c r="A10" s="62" t="s">
        <v>202</v>
      </c>
      <c r="B10" s="62"/>
      <c r="C10" s="62"/>
      <c r="D10" s="62"/>
      <c r="E10" s="62"/>
      <c r="F10" s="62"/>
      <c r="G10" s="62"/>
      <c r="H10" s="60"/>
    </row>
    <row r="11" spans="1:8" ht="14.25">
      <c r="A11" s="237" t="s">
        <v>14</v>
      </c>
      <c r="B11" s="240"/>
      <c r="C11" s="240"/>
      <c r="D11" s="240"/>
      <c r="E11" s="240"/>
      <c r="F11" s="240"/>
      <c r="G11" s="240"/>
      <c r="H11" s="240"/>
    </row>
    <row r="12" spans="1:8" ht="20.25" customHeight="1">
      <c r="A12" s="238"/>
      <c r="B12" s="233" t="s">
        <v>45</v>
      </c>
      <c r="C12" s="234"/>
      <c r="D12" s="233" t="s">
        <v>44</v>
      </c>
      <c r="E12" s="234"/>
      <c r="F12" s="255" t="s">
        <v>124</v>
      </c>
      <c r="G12" s="256"/>
      <c r="H12" s="241" t="s">
        <v>12</v>
      </c>
    </row>
    <row r="13" spans="1:8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242"/>
    </row>
    <row r="14" spans="1:8" ht="24">
      <c r="A14" s="65" t="s">
        <v>3</v>
      </c>
      <c r="B14" s="66">
        <v>3330143.0600456004</v>
      </c>
      <c r="C14" s="67">
        <v>0.8742144843093387</v>
      </c>
      <c r="D14" s="66">
        <v>171861.28452821556</v>
      </c>
      <c r="E14" s="68">
        <v>0.04511626723463261</v>
      </c>
      <c r="F14" s="66">
        <v>307293.1674395373</v>
      </c>
      <c r="G14" s="68">
        <v>0.08066924845602873</v>
      </c>
      <c r="H14" s="69">
        <v>3809297.5120133534</v>
      </c>
    </row>
    <row r="15" spans="1:8" ht="12">
      <c r="A15" s="70" t="s">
        <v>5</v>
      </c>
      <c r="B15" s="71">
        <v>1573798.0493019298</v>
      </c>
      <c r="C15" s="72">
        <v>0.8639888682290762</v>
      </c>
      <c r="D15" s="71">
        <v>99232.04594173416</v>
      </c>
      <c r="E15" s="137">
        <v>0.0544767374081339</v>
      </c>
      <c r="F15" s="71">
        <v>148518.8936081881</v>
      </c>
      <c r="G15" s="138">
        <v>0.08153439436278992</v>
      </c>
      <c r="H15" s="75">
        <v>1821548.988851852</v>
      </c>
    </row>
    <row r="16" spans="1:8" ht="12">
      <c r="A16" s="76" t="s">
        <v>6</v>
      </c>
      <c r="B16" s="77">
        <v>1756345.0107436706</v>
      </c>
      <c r="C16" s="78">
        <v>0.8835851166676836</v>
      </c>
      <c r="D16" s="77">
        <v>72629.2385864814</v>
      </c>
      <c r="E16" s="140">
        <v>0.03653844424493148</v>
      </c>
      <c r="F16" s="77">
        <v>158774.2738313492</v>
      </c>
      <c r="G16" s="141">
        <v>0.07987643908738502</v>
      </c>
      <c r="H16" s="81">
        <v>1987748.5231615012</v>
      </c>
    </row>
    <row r="17" spans="1:7" ht="12">
      <c r="A17" s="61" t="s">
        <v>31</v>
      </c>
      <c r="B17" s="82"/>
      <c r="C17" s="82"/>
      <c r="D17" s="82"/>
      <c r="E17" s="82"/>
      <c r="F17" s="83"/>
      <c r="G17" s="83"/>
    </row>
    <row r="18" spans="2:7" ht="12">
      <c r="B18" s="82"/>
      <c r="C18" s="82"/>
      <c r="D18" s="82"/>
      <c r="E18" s="82"/>
      <c r="F18" s="83"/>
      <c r="G18" s="83"/>
    </row>
    <row r="19" spans="1:8" ht="12">
      <c r="A19" s="243" t="s">
        <v>15</v>
      </c>
      <c r="B19" s="233" t="s">
        <v>45</v>
      </c>
      <c r="C19" s="234"/>
      <c r="D19" s="233" t="s">
        <v>44</v>
      </c>
      <c r="E19" s="234"/>
      <c r="F19" s="255" t="s">
        <v>124</v>
      </c>
      <c r="G19" s="256"/>
      <c r="H19" s="235" t="s">
        <v>12</v>
      </c>
    </row>
    <row r="20" spans="1:8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235"/>
    </row>
    <row r="21" spans="1:8" ht="12">
      <c r="A21" s="84" t="s">
        <v>16</v>
      </c>
      <c r="B21" s="85">
        <v>145303.75728187896</v>
      </c>
      <c r="C21" s="86">
        <v>0.6644730871389696</v>
      </c>
      <c r="D21" s="85">
        <v>7414.580427361152</v>
      </c>
      <c r="E21" s="86">
        <v>0.03390682552586183</v>
      </c>
      <c r="F21" s="85">
        <v>65956.82023811218</v>
      </c>
      <c r="G21" s="87">
        <v>0.30162008733516854</v>
      </c>
      <c r="H21" s="88">
        <v>218675.1579473523</v>
      </c>
    </row>
    <row r="22" spans="1:8" ht="12">
      <c r="A22" s="70" t="s">
        <v>17</v>
      </c>
      <c r="B22" s="71">
        <v>2370225.4768053354</v>
      </c>
      <c r="C22" s="72">
        <v>0.885261827620067</v>
      </c>
      <c r="D22" s="71">
        <v>127679.02817597568</v>
      </c>
      <c r="E22" s="72">
        <v>0.04768718037077333</v>
      </c>
      <c r="F22" s="71">
        <v>179524.25434680388</v>
      </c>
      <c r="G22" s="72">
        <v>0.06705099200915973</v>
      </c>
      <c r="H22" s="75">
        <v>2677428.759328115</v>
      </c>
    </row>
    <row r="23" spans="1:8" ht="12">
      <c r="A23" s="76" t="s">
        <v>18</v>
      </c>
      <c r="B23" s="77">
        <v>814613.8259583939</v>
      </c>
      <c r="C23" s="78">
        <v>0.8920494303206381</v>
      </c>
      <c r="D23" s="77">
        <v>36767.67592487876</v>
      </c>
      <c r="E23" s="78">
        <v>0.04026273961703802</v>
      </c>
      <c r="F23" s="77">
        <v>61812.09285462107</v>
      </c>
      <c r="G23" s="78">
        <v>0.06768783006232372</v>
      </c>
      <c r="H23" s="81">
        <v>913193.5947378938</v>
      </c>
    </row>
    <row r="24" ht="12">
      <c r="A24" s="61" t="s">
        <v>31</v>
      </c>
    </row>
    <row r="26" spans="1:8" ht="12">
      <c r="A26" s="243" t="s">
        <v>19</v>
      </c>
      <c r="B26" s="233" t="s">
        <v>45</v>
      </c>
      <c r="C26" s="234"/>
      <c r="D26" s="233" t="s">
        <v>44</v>
      </c>
      <c r="E26" s="234"/>
      <c r="F26" s="255" t="s">
        <v>124</v>
      </c>
      <c r="G26" s="256"/>
      <c r="H26" s="235" t="s">
        <v>12</v>
      </c>
    </row>
    <row r="27" spans="1:8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235"/>
    </row>
    <row r="28" spans="1:8" ht="12">
      <c r="A28" s="84" t="s">
        <v>20</v>
      </c>
      <c r="B28" s="85">
        <v>352584.2836169371</v>
      </c>
      <c r="C28" s="86">
        <v>0.8886422950434215</v>
      </c>
      <c r="D28" s="85">
        <v>17832.40608546569</v>
      </c>
      <c r="E28" s="86">
        <v>0.04494423321247913</v>
      </c>
      <c r="F28" s="85">
        <v>26350.699812530096</v>
      </c>
      <c r="G28" s="87">
        <v>0.06641347174409945</v>
      </c>
      <c r="H28" s="88">
        <v>396767.3895149329</v>
      </c>
    </row>
    <row r="29" spans="1:8" ht="12">
      <c r="A29" s="70" t="s">
        <v>21</v>
      </c>
      <c r="B29" s="71">
        <v>882871.3258765806</v>
      </c>
      <c r="C29" s="72">
        <v>0.8524203182678898</v>
      </c>
      <c r="D29" s="71">
        <v>60227.00599895938</v>
      </c>
      <c r="E29" s="72">
        <v>0.0581497236542167</v>
      </c>
      <c r="F29" s="71">
        <v>92624.66411142446</v>
      </c>
      <c r="G29" s="72">
        <v>0.08942995807789347</v>
      </c>
      <c r="H29" s="75">
        <v>1035722.9959869644</v>
      </c>
    </row>
    <row r="30" spans="1:8" ht="12">
      <c r="A30" s="89" t="s">
        <v>22</v>
      </c>
      <c r="B30" s="90">
        <v>1265176.8332252144</v>
      </c>
      <c r="C30" s="91">
        <v>0.8871178072254481</v>
      </c>
      <c r="D30" s="90">
        <v>49161.94407619695</v>
      </c>
      <c r="E30" s="91">
        <v>0.034471415285591535</v>
      </c>
      <c r="F30" s="90">
        <v>111826.74763848884</v>
      </c>
      <c r="G30" s="91">
        <v>0.07841077748896035</v>
      </c>
      <c r="H30" s="92">
        <v>1426165.5249399003</v>
      </c>
    </row>
    <row r="31" spans="1:8" ht="12">
      <c r="A31" s="70" t="s">
        <v>23</v>
      </c>
      <c r="B31" s="71">
        <v>426889.5661426393</v>
      </c>
      <c r="C31" s="72">
        <v>0.8791012235694676</v>
      </c>
      <c r="D31" s="71">
        <v>23755.46129374823</v>
      </c>
      <c r="E31" s="72">
        <v>0.04892004102722266</v>
      </c>
      <c r="F31" s="71">
        <v>34952.71113723643</v>
      </c>
      <c r="G31" s="72">
        <v>0.07197873540330968</v>
      </c>
      <c r="H31" s="75">
        <v>485597.738573624</v>
      </c>
    </row>
    <row r="32" spans="1:8" ht="12">
      <c r="A32" s="76" t="s">
        <v>24</v>
      </c>
      <c r="B32" s="77">
        <v>402621.05118422955</v>
      </c>
      <c r="C32" s="78">
        <v>0.8657700557291723</v>
      </c>
      <c r="D32" s="77">
        <v>20884.467073845397</v>
      </c>
      <c r="E32" s="78">
        <v>0.044908596232648805</v>
      </c>
      <c r="F32" s="77">
        <v>41538.34473985751</v>
      </c>
      <c r="G32" s="78">
        <v>0.08932134803817889</v>
      </c>
      <c r="H32" s="81">
        <v>465043.8629979325</v>
      </c>
    </row>
    <row r="33" ht="12">
      <c r="A33" s="61" t="s">
        <v>31</v>
      </c>
    </row>
    <row r="35" spans="1:8" ht="12">
      <c r="A35" s="243" t="s">
        <v>25</v>
      </c>
      <c r="B35" s="233" t="s">
        <v>45</v>
      </c>
      <c r="C35" s="234"/>
      <c r="D35" s="233" t="s">
        <v>44</v>
      </c>
      <c r="E35" s="234"/>
      <c r="F35" s="255" t="s">
        <v>124</v>
      </c>
      <c r="G35" s="256"/>
      <c r="H35" s="235" t="s">
        <v>12</v>
      </c>
    </row>
    <row r="36" spans="1:8" ht="12">
      <c r="A36" s="243"/>
      <c r="B36" s="63" t="s">
        <v>126</v>
      </c>
      <c r="C36" s="64" t="s">
        <v>13</v>
      </c>
      <c r="D36" s="63" t="s">
        <v>126</v>
      </c>
      <c r="E36" s="64" t="s">
        <v>13</v>
      </c>
      <c r="F36" s="63" t="s">
        <v>126</v>
      </c>
      <c r="G36" s="64" t="s">
        <v>13</v>
      </c>
      <c r="H36" s="235"/>
    </row>
    <row r="37" spans="1:8" ht="12">
      <c r="A37" s="84" t="s">
        <v>27</v>
      </c>
      <c r="B37" s="85">
        <v>288449.097192924</v>
      </c>
      <c r="C37" s="86">
        <v>0.8031924249783327</v>
      </c>
      <c r="D37" s="85">
        <v>23635.403095962018</v>
      </c>
      <c r="E37" s="86">
        <v>0.06581326449875892</v>
      </c>
      <c r="F37" s="85">
        <v>47043.75867185477</v>
      </c>
      <c r="G37" s="87">
        <v>0.1309943105229085</v>
      </c>
      <c r="H37" s="88">
        <v>359128.25896074076</v>
      </c>
    </row>
    <row r="38" spans="1:8" ht="12">
      <c r="A38" s="70" t="s">
        <v>28</v>
      </c>
      <c r="B38" s="71">
        <v>828789.9467216404</v>
      </c>
      <c r="C38" s="72">
        <v>0.8474432323052</v>
      </c>
      <c r="D38" s="71">
        <v>29471.58876452047</v>
      </c>
      <c r="E38" s="72">
        <v>0.03013489550949293</v>
      </c>
      <c r="F38" s="71">
        <v>119727.21364477581</v>
      </c>
      <c r="G38" s="72">
        <v>0.122421872185307</v>
      </c>
      <c r="H38" s="75">
        <v>977988.7491309367</v>
      </c>
    </row>
    <row r="39" spans="1:8" ht="12">
      <c r="A39" s="152" t="s">
        <v>127</v>
      </c>
      <c r="B39" s="153">
        <v>2212904.0161310383</v>
      </c>
      <c r="C39" s="154">
        <v>0.8951223475068493</v>
      </c>
      <c r="D39" s="153">
        <v>118754.2926677331</v>
      </c>
      <c r="E39" s="154">
        <v>0.048036254828217585</v>
      </c>
      <c r="F39" s="153">
        <v>140522.19512290673</v>
      </c>
      <c r="G39" s="154">
        <v>0.05684139766493307</v>
      </c>
      <c r="H39" s="155">
        <v>2472180.5039216783</v>
      </c>
    </row>
    <row r="40" ht="12">
      <c r="A40" s="61" t="s">
        <v>31</v>
      </c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6:L40"/>
  <sheetViews>
    <sheetView showGridLines="0" zoomScale="90" zoomScaleNormal="90" zoomScalePageLayoutView="0" workbookViewId="0" topLeftCell="A1">
      <selection activeCell="G37" sqref="G37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2.8515625" style="61" customWidth="1"/>
    <col min="9" max="9" width="14.421875" style="61" customWidth="1"/>
    <col min="10" max="10" width="12.8515625" style="61" customWidth="1"/>
    <col min="11" max="11" width="14.421875" style="61" customWidth="1"/>
    <col min="12" max="16384" width="11.421875" style="61" customWidth="1"/>
  </cols>
  <sheetData>
    <row r="1" ht="12"/>
    <row r="2" ht="12"/>
    <row r="3" ht="12"/>
    <row r="4" ht="12"/>
    <row r="5" ht="12"/>
    <row r="6" spans="1:12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12" ht="15" customHeight="1">
      <c r="A7" s="60" t="s">
        <v>128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>
      <c r="A8" s="60" t="s">
        <v>125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0"/>
    </row>
    <row r="11" spans="1:12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</row>
    <row r="12" spans="1:12" ht="20.25" customHeight="1">
      <c r="A12" s="238"/>
      <c r="B12" s="233" t="s">
        <v>129</v>
      </c>
      <c r="C12" s="234"/>
      <c r="D12" s="233" t="s">
        <v>130</v>
      </c>
      <c r="E12" s="234"/>
      <c r="F12" s="255" t="s">
        <v>131</v>
      </c>
      <c r="G12" s="256"/>
      <c r="H12" s="255" t="s">
        <v>132</v>
      </c>
      <c r="I12" s="256"/>
      <c r="J12" s="255" t="s">
        <v>133</v>
      </c>
      <c r="K12" s="256"/>
      <c r="L12" s="241" t="s">
        <v>12</v>
      </c>
    </row>
    <row r="13" spans="1:12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63" t="s">
        <v>126</v>
      </c>
      <c r="I13" s="64" t="s">
        <v>13</v>
      </c>
      <c r="J13" s="63" t="s">
        <v>126</v>
      </c>
      <c r="K13" s="64" t="s">
        <v>13</v>
      </c>
      <c r="L13" s="242"/>
    </row>
    <row r="14" spans="1:12" ht="24">
      <c r="A14" s="65" t="s">
        <v>3</v>
      </c>
      <c r="B14" s="66">
        <v>2240298.5622451007</v>
      </c>
      <c r="C14" s="146">
        <v>0.6727334297207113</v>
      </c>
      <c r="D14" s="66">
        <v>2359434.570991074</v>
      </c>
      <c r="E14" s="146">
        <v>0.708508471993022</v>
      </c>
      <c r="F14" s="66">
        <v>179229.99872175</v>
      </c>
      <c r="G14" s="146">
        <v>0.0538205102573869</v>
      </c>
      <c r="H14" s="66">
        <v>66349.19417216051</v>
      </c>
      <c r="I14" s="146">
        <v>0.019923826987556504</v>
      </c>
      <c r="J14" s="66">
        <v>911502.9950643384</v>
      </c>
      <c r="K14" s="146">
        <v>0.2737128641710237</v>
      </c>
      <c r="L14" s="69">
        <f>+SUM(L15:L16)</f>
        <v>3330143.0600455995</v>
      </c>
    </row>
    <row r="15" spans="1:12" ht="12">
      <c r="A15" s="70" t="s">
        <v>5</v>
      </c>
      <c r="B15" s="71">
        <v>1040344.1681014809</v>
      </c>
      <c r="C15" s="147">
        <v>66.10404483363871</v>
      </c>
      <c r="D15" s="71">
        <v>1077315.0974963026</v>
      </c>
      <c r="E15" s="156">
        <v>68.45319817076607</v>
      </c>
      <c r="F15" s="71">
        <v>115529.09958952703</v>
      </c>
      <c r="G15" s="157">
        <v>7.34078299568173</v>
      </c>
      <c r="H15" s="71">
        <v>25147.771101739334</v>
      </c>
      <c r="I15" s="157">
        <v>1.597903308680156</v>
      </c>
      <c r="J15" s="71">
        <v>492571.94693114</v>
      </c>
      <c r="K15" s="157">
        <v>31.298294412654986</v>
      </c>
      <c r="L15" s="75">
        <v>1573798.0493019326</v>
      </c>
    </row>
    <row r="16" spans="1:12" ht="12">
      <c r="A16" s="76" t="s">
        <v>6</v>
      </c>
      <c r="B16" s="77">
        <v>1199954.39414362</v>
      </c>
      <c r="C16" s="148">
        <v>68.32110928111662</v>
      </c>
      <c r="D16" s="77">
        <v>1282119.4734947716</v>
      </c>
      <c r="E16" s="158">
        <v>72.99929487953509</v>
      </c>
      <c r="F16" s="77">
        <v>63700.89913222296</v>
      </c>
      <c r="G16" s="159">
        <v>3.6269012490462167</v>
      </c>
      <c r="H16" s="77">
        <v>41201.42307042118</v>
      </c>
      <c r="I16" s="159">
        <v>2.3458615942989347</v>
      </c>
      <c r="J16" s="77">
        <v>418931.04813319846</v>
      </c>
      <c r="K16" s="159">
        <v>23.852434776229746</v>
      </c>
      <c r="L16" s="81">
        <v>1756345.010743667</v>
      </c>
    </row>
    <row r="17" spans="1:11" ht="12">
      <c r="A17" s="61" t="s">
        <v>31</v>
      </c>
      <c r="B17" s="82"/>
      <c r="C17" s="82"/>
      <c r="D17" s="82"/>
      <c r="E17" s="82"/>
      <c r="F17" s="83"/>
      <c r="G17" s="83"/>
      <c r="H17" s="83"/>
      <c r="I17" s="83"/>
      <c r="J17" s="83"/>
      <c r="K17" s="83"/>
    </row>
    <row r="18" spans="2:11" ht="12">
      <c r="B18" s="82"/>
      <c r="C18" s="82"/>
      <c r="D18" s="82"/>
      <c r="E18" s="82"/>
      <c r="F18" s="83"/>
      <c r="G18" s="83"/>
      <c r="H18" s="83"/>
      <c r="I18" s="83"/>
      <c r="J18" s="83"/>
      <c r="K18" s="83"/>
    </row>
    <row r="19" spans="1:12" ht="12" customHeight="1">
      <c r="A19" s="243" t="s">
        <v>15</v>
      </c>
      <c r="B19" s="233" t="s">
        <v>129</v>
      </c>
      <c r="C19" s="234"/>
      <c r="D19" s="233" t="s">
        <v>130</v>
      </c>
      <c r="E19" s="234"/>
      <c r="F19" s="255" t="s">
        <v>131</v>
      </c>
      <c r="G19" s="256"/>
      <c r="H19" s="255" t="s">
        <v>132</v>
      </c>
      <c r="I19" s="256"/>
      <c r="J19" s="255" t="s">
        <v>133</v>
      </c>
      <c r="K19" s="256"/>
      <c r="L19" s="235" t="s">
        <v>12</v>
      </c>
    </row>
    <row r="20" spans="1:12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63" t="s">
        <v>126</v>
      </c>
      <c r="I20" s="64" t="s">
        <v>13</v>
      </c>
      <c r="J20" s="63" t="s">
        <v>126</v>
      </c>
      <c r="K20" s="64" t="s">
        <v>13</v>
      </c>
      <c r="L20" s="235"/>
    </row>
    <row r="21" spans="1:12" ht="12">
      <c r="A21" s="84" t="s">
        <v>16</v>
      </c>
      <c r="B21" s="85">
        <v>118573.59922202848</v>
      </c>
      <c r="C21" s="149">
        <v>81.60394572041528</v>
      </c>
      <c r="D21" s="85">
        <v>79559.09061852309</v>
      </c>
      <c r="E21" s="149">
        <v>54.75363618036669</v>
      </c>
      <c r="F21" s="85">
        <v>8437.30653267269</v>
      </c>
      <c r="G21" s="150">
        <v>5.806667831930124</v>
      </c>
      <c r="H21" s="85">
        <v>7563.247418488801</v>
      </c>
      <c r="I21" s="150">
        <v>5.205128594036724</v>
      </c>
      <c r="J21" s="85">
        <v>31010.03152698943</v>
      </c>
      <c r="K21" s="150">
        <v>21.341520761112992</v>
      </c>
      <c r="L21" s="88">
        <v>145303.75728187896</v>
      </c>
    </row>
    <row r="22" spans="1:12" ht="12">
      <c r="A22" s="70" t="s">
        <v>17</v>
      </c>
      <c r="B22" s="71">
        <v>1605209.6166279241</v>
      </c>
      <c r="C22" s="147">
        <v>67.72392045973123</v>
      </c>
      <c r="D22" s="71">
        <v>1661608.0899710748</v>
      </c>
      <c r="E22" s="147">
        <v>70.10337650284012</v>
      </c>
      <c r="F22" s="71">
        <v>138045.20614151517</v>
      </c>
      <c r="G22" s="147">
        <v>5.824138146028935</v>
      </c>
      <c r="H22" s="71">
        <v>55138.25646109975</v>
      </c>
      <c r="I22" s="147">
        <v>2.326287393358756</v>
      </c>
      <c r="J22" s="71">
        <v>652128.2927487089</v>
      </c>
      <c r="K22" s="147">
        <v>27.51334415777484</v>
      </c>
      <c r="L22" s="75">
        <v>2370225.4768053256</v>
      </c>
    </row>
    <row r="23" spans="1:12" ht="12">
      <c r="A23" s="76" t="s">
        <v>18</v>
      </c>
      <c r="B23" s="77">
        <v>516515.34639514604</v>
      </c>
      <c r="C23" s="148">
        <v>63.40616006455143</v>
      </c>
      <c r="D23" s="77">
        <v>618267.3904014762</v>
      </c>
      <c r="E23" s="148">
        <v>75.89699201018146</v>
      </c>
      <c r="F23" s="77">
        <v>32747.486047562164</v>
      </c>
      <c r="G23" s="148">
        <v>4.020001257532635</v>
      </c>
      <c r="H23" s="77">
        <v>3647.690292571975</v>
      </c>
      <c r="I23" s="148">
        <v>0.4477815348003039</v>
      </c>
      <c r="J23" s="77">
        <v>228364.67078863955</v>
      </c>
      <c r="K23" s="148">
        <v>28.033488201598857</v>
      </c>
      <c r="L23" s="81">
        <v>814613.8259583944</v>
      </c>
    </row>
    <row r="24" ht="12">
      <c r="A24" s="61" t="s">
        <v>31</v>
      </c>
    </row>
    <row r="26" spans="1:12" ht="12" customHeight="1">
      <c r="A26" s="243" t="s">
        <v>19</v>
      </c>
      <c r="B26" s="233" t="s">
        <v>129</v>
      </c>
      <c r="C26" s="234"/>
      <c r="D26" s="233" t="s">
        <v>130</v>
      </c>
      <c r="E26" s="234"/>
      <c r="F26" s="255" t="s">
        <v>131</v>
      </c>
      <c r="G26" s="256"/>
      <c r="H26" s="255" t="s">
        <v>132</v>
      </c>
      <c r="I26" s="256"/>
      <c r="J26" s="255" t="s">
        <v>133</v>
      </c>
      <c r="K26" s="256"/>
      <c r="L26" s="235" t="s">
        <v>12</v>
      </c>
    </row>
    <row r="27" spans="1:12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63" t="s">
        <v>126</v>
      </c>
      <c r="I27" s="64" t="s">
        <v>13</v>
      </c>
      <c r="J27" s="63" t="s">
        <v>126</v>
      </c>
      <c r="K27" s="64" t="s">
        <v>13</v>
      </c>
      <c r="L27" s="235"/>
    </row>
    <row r="28" spans="1:12" ht="12">
      <c r="A28" s="84" t="s">
        <v>20</v>
      </c>
      <c r="B28" s="85">
        <v>232775.7139369862</v>
      </c>
      <c r="C28" s="149">
        <v>66.01987801302107</v>
      </c>
      <c r="D28" s="85">
        <v>255876.47125677654</v>
      </c>
      <c r="E28" s="149">
        <v>72.57171778387371</v>
      </c>
      <c r="F28" s="85">
        <v>2219.895361353298</v>
      </c>
      <c r="G28" s="150">
        <v>0.6296070087358426</v>
      </c>
      <c r="H28" s="85">
        <v>5073.029487636911</v>
      </c>
      <c r="I28" s="150">
        <v>1.438813277663978</v>
      </c>
      <c r="J28" s="85">
        <v>99274.67428374998</v>
      </c>
      <c r="K28" s="150">
        <v>28.15629592599943</v>
      </c>
      <c r="L28" s="88">
        <v>352584.28361693723</v>
      </c>
    </row>
    <row r="29" spans="1:12" ht="12">
      <c r="A29" s="70" t="s">
        <v>21</v>
      </c>
      <c r="B29" s="71">
        <v>557599.1507479699</v>
      </c>
      <c r="C29" s="147">
        <v>63.157465239268475</v>
      </c>
      <c r="D29" s="71">
        <v>652368.4192723897</v>
      </c>
      <c r="E29" s="147">
        <v>73.89167596134916</v>
      </c>
      <c r="F29" s="71">
        <v>39658.77617417575</v>
      </c>
      <c r="G29" s="147">
        <v>4.49202222473355</v>
      </c>
      <c r="H29" s="71">
        <v>6790.087039745883</v>
      </c>
      <c r="I29" s="147">
        <v>0.7690913546211483</v>
      </c>
      <c r="J29" s="71">
        <v>181149.61461835058</v>
      </c>
      <c r="K29" s="147">
        <v>20.51823513902117</v>
      </c>
      <c r="L29" s="75">
        <v>882871.3258765802</v>
      </c>
    </row>
    <row r="30" spans="1:12" ht="12">
      <c r="A30" s="89" t="s">
        <v>22</v>
      </c>
      <c r="B30" s="90">
        <v>892944.6682377369</v>
      </c>
      <c r="C30" s="151">
        <v>70.57864519708473</v>
      </c>
      <c r="D30" s="90">
        <v>832468.1041366435</v>
      </c>
      <c r="E30" s="151">
        <v>65.79855734589279</v>
      </c>
      <c r="F30" s="90">
        <v>75320.63381415512</v>
      </c>
      <c r="G30" s="151">
        <v>5.953368085483055</v>
      </c>
      <c r="H30" s="90">
        <v>44270.071146454546</v>
      </c>
      <c r="I30" s="151">
        <v>3.4991212282634327</v>
      </c>
      <c r="J30" s="90">
        <v>382758.53963261854</v>
      </c>
      <c r="K30" s="151">
        <v>30.253362975109376</v>
      </c>
      <c r="L30" s="92">
        <v>1265176.833225215</v>
      </c>
    </row>
    <row r="31" spans="1:12" ht="12">
      <c r="A31" s="70" t="s">
        <v>23</v>
      </c>
      <c r="B31" s="71">
        <v>292965.4076090437</v>
      </c>
      <c r="C31" s="147">
        <v>68.62791476874688</v>
      </c>
      <c r="D31" s="71">
        <v>332680.22022367554</v>
      </c>
      <c r="E31" s="147">
        <v>77.93121373983526</v>
      </c>
      <c r="F31" s="71">
        <v>33016.80221197837</v>
      </c>
      <c r="G31" s="147">
        <v>7.734272474803536</v>
      </c>
      <c r="H31" s="71">
        <v>7873.536036672038</v>
      </c>
      <c r="I31" s="147">
        <v>1.8443964578045475</v>
      </c>
      <c r="J31" s="71">
        <v>121455.87384160873</v>
      </c>
      <c r="K31" s="147">
        <v>28.451356855376027</v>
      </c>
      <c r="L31" s="75">
        <v>426889.56614263915</v>
      </c>
    </row>
    <row r="32" spans="1:12" ht="12">
      <c r="A32" s="76" t="s">
        <v>24</v>
      </c>
      <c r="B32" s="77">
        <v>264013.62171336444</v>
      </c>
      <c r="C32" s="148">
        <v>65.57372520309637</v>
      </c>
      <c r="D32" s="77">
        <v>286041.35610159073</v>
      </c>
      <c r="E32" s="148">
        <v>71.04480882463979</v>
      </c>
      <c r="F32" s="77">
        <v>29013.89116008745</v>
      </c>
      <c r="G32" s="148">
        <v>7.206252895805846</v>
      </c>
      <c r="H32" s="77">
        <v>2342.470461651157</v>
      </c>
      <c r="I32" s="148">
        <v>0.5818052619854948</v>
      </c>
      <c r="J32" s="77">
        <v>126864.29268801016</v>
      </c>
      <c r="K32" s="148">
        <v>31.50960246983218</v>
      </c>
      <c r="L32" s="81">
        <v>402621.05118422915</v>
      </c>
    </row>
    <row r="33" ht="12">
      <c r="A33" s="61" t="s">
        <v>31</v>
      </c>
    </row>
    <row r="35" spans="1:12" ht="12" customHeight="1">
      <c r="A35" s="243" t="s">
        <v>25</v>
      </c>
      <c r="B35" s="233" t="s">
        <v>129</v>
      </c>
      <c r="C35" s="234"/>
      <c r="D35" s="233" t="s">
        <v>130</v>
      </c>
      <c r="E35" s="234"/>
      <c r="F35" s="255" t="s">
        <v>131</v>
      </c>
      <c r="G35" s="256"/>
      <c r="H35" s="255" t="s">
        <v>132</v>
      </c>
      <c r="I35" s="256"/>
      <c r="J35" s="255" t="s">
        <v>133</v>
      </c>
      <c r="K35" s="256"/>
      <c r="L35" s="235" t="s">
        <v>12</v>
      </c>
    </row>
    <row r="36" spans="1:12" ht="12">
      <c r="A36" s="243"/>
      <c r="B36" s="63" t="s">
        <v>126</v>
      </c>
      <c r="C36" s="64" t="s">
        <v>13</v>
      </c>
      <c r="D36" s="63" t="s">
        <v>126</v>
      </c>
      <c r="E36" s="64" t="s">
        <v>13</v>
      </c>
      <c r="F36" s="63" t="s">
        <v>126</v>
      </c>
      <c r="G36" s="64" t="s">
        <v>13</v>
      </c>
      <c r="H36" s="63" t="s">
        <v>126</v>
      </c>
      <c r="I36" s="64" t="s">
        <v>13</v>
      </c>
      <c r="J36" s="63" t="s">
        <v>126</v>
      </c>
      <c r="K36" s="64" t="s">
        <v>13</v>
      </c>
      <c r="L36" s="235"/>
    </row>
    <row r="37" spans="1:12" ht="12">
      <c r="A37" s="84" t="s">
        <v>27</v>
      </c>
      <c r="B37" s="85">
        <v>204457.80660357737</v>
      </c>
      <c r="C37" s="149">
        <v>70.88176340064237</v>
      </c>
      <c r="D37" s="85">
        <v>222086.59824981072</v>
      </c>
      <c r="E37" s="149">
        <v>76.99334142872081</v>
      </c>
      <c r="F37" s="85">
        <v>7880.295802720973</v>
      </c>
      <c r="G37" s="150">
        <v>2.7319537067056165</v>
      </c>
      <c r="H37" s="85">
        <v>1336.8962268565472</v>
      </c>
      <c r="I37" s="150">
        <v>0.4634773482970509</v>
      </c>
      <c r="J37" s="85">
        <v>66994.98761707035</v>
      </c>
      <c r="K37" s="150">
        <v>23.22593076873524</v>
      </c>
      <c r="L37" s="88">
        <v>288449.097192924</v>
      </c>
    </row>
    <row r="38" spans="1:12" ht="12">
      <c r="A38" s="70" t="s">
        <v>28</v>
      </c>
      <c r="B38" s="71">
        <v>560522.6773003095</v>
      </c>
      <c r="C38" s="147">
        <v>67.63145227780718</v>
      </c>
      <c r="D38" s="71">
        <v>567125.7697150955</v>
      </c>
      <c r="E38" s="147">
        <v>68.42816710777166</v>
      </c>
      <c r="F38" s="71">
        <v>23686.3853730867</v>
      </c>
      <c r="G38" s="147">
        <v>2.857947959767191</v>
      </c>
      <c r="H38" s="71">
        <v>26501.841927485977</v>
      </c>
      <c r="I38" s="147">
        <v>3.197654849979372</v>
      </c>
      <c r="J38" s="71">
        <v>230158.48467011188</v>
      </c>
      <c r="K38" s="147">
        <v>27.77042428911286</v>
      </c>
      <c r="L38" s="75">
        <v>828789.9467216401</v>
      </c>
    </row>
    <row r="39" spans="1:12" ht="12">
      <c r="A39" s="152" t="s">
        <v>127</v>
      </c>
      <c r="B39" s="153">
        <v>1475318.0783412098</v>
      </c>
      <c r="C39" s="160">
        <v>66.66886894265774</v>
      </c>
      <c r="D39" s="153">
        <v>1570222.2030261671</v>
      </c>
      <c r="E39" s="160">
        <v>70.95753776846992</v>
      </c>
      <c r="F39" s="153">
        <v>147663.31754594238</v>
      </c>
      <c r="G39" s="160">
        <v>6.672829750840789</v>
      </c>
      <c r="H39" s="153">
        <v>38510.456017818</v>
      </c>
      <c r="I39" s="160">
        <v>1.7402677991044704</v>
      </c>
      <c r="J39" s="153">
        <v>614349.522777155</v>
      </c>
      <c r="K39" s="160">
        <v>27.762140531122647</v>
      </c>
      <c r="L39" s="155">
        <v>2212904.0161310355</v>
      </c>
    </row>
    <row r="40" ht="12">
      <c r="A40" s="61" t="s">
        <v>31</v>
      </c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6:N40"/>
  <sheetViews>
    <sheetView showGridLines="0" zoomScale="90" zoomScaleNormal="90" zoomScalePageLayoutView="0" workbookViewId="0" topLeftCell="A1">
      <selection activeCell="E31" sqref="E31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2.8515625" style="61" customWidth="1"/>
    <col min="9" max="9" width="14.421875" style="61" customWidth="1"/>
    <col min="10" max="10" width="12.8515625" style="61" customWidth="1"/>
    <col min="11" max="11" width="14.421875" style="61" customWidth="1"/>
    <col min="12" max="12" width="12.8515625" style="61" customWidth="1"/>
    <col min="13" max="13" width="14.421875" style="61" customWidth="1"/>
    <col min="14" max="16384" width="11.421875" style="61" customWidth="1"/>
  </cols>
  <sheetData>
    <row r="1" ht="12"/>
    <row r="2" ht="12"/>
    <row r="3" ht="12"/>
    <row r="4" ht="12"/>
    <row r="5" ht="12"/>
    <row r="6" spans="1:14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14" ht="15" customHeight="1">
      <c r="A7" s="60" t="s">
        <v>140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5" customHeight="1">
      <c r="A8" s="60" t="s">
        <v>125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0"/>
    </row>
    <row r="11" spans="1:14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</row>
    <row r="12" spans="1:14" ht="20.25" customHeight="1">
      <c r="A12" s="238"/>
      <c r="B12" s="233" t="s">
        <v>134</v>
      </c>
      <c r="C12" s="234"/>
      <c r="D12" s="233" t="s">
        <v>135</v>
      </c>
      <c r="E12" s="234"/>
      <c r="F12" s="255" t="s">
        <v>136</v>
      </c>
      <c r="G12" s="256"/>
      <c r="H12" s="255" t="s">
        <v>137</v>
      </c>
      <c r="I12" s="256"/>
      <c r="J12" s="255" t="s">
        <v>138</v>
      </c>
      <c r="K12" s="256"/>
      <c r="L12" s="255" t="s">
        <v>139</v>
      </c>
      <c r="M12" s="256"/>
      <c r="N12" s="241" t="s">
        <v>12</v>
      </c>
    </row>
    <row r="13" spans="1:14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63" t="s">
        <v>126</v>
      </c>
      <c r="I13" s="64" t="s">
        <v>13</v>
      </c>
      <c r="J13" s="63" t="s">
        <v>126</v>
      </c>
      <c r="K13" s="64" t="s">
        <v>13</v>
      </c>
      <c r="L13" s="63" t="s">
        <v>126</v>
      </c>
      <c r="M13" s="64" t="s">
        <v>13</v>
      </c>
      <c r="N13" s="242"/>
    </row>
    <row r="14" spans="1:14" ht="24">
      <c r="A14" s="65" t="s">
        <v>3</v>
      </c>
      <c r="B14" s="66">
        <v>28866.99613486505</v>
      </c>
      <c r="C14" s="67">
        <v>0.16796683550475852</v>
      </c>
      <c r="D14" s="66">
        <v>104.994965578545</v>
      </c>
      <c r="E14" s="68">
        <v>0.0006109285507146757</v>
      </c>
      <c r="F14" s="66">
        <v>29548.562560361224</v>
      </c>
      <c r="G14" s="68">
        <v>0.1719326293525851</v>
      </c>
      <c r="H14" s="66">
        <v>39544.89985277659</v>
      </c>
      <c r="I14" s="68">
        <v>0.23009777870864448</v>
      </c>
      <c r="J14" s="66">
        <v>69921.19617465248</v>
      </c>
      <c r="K14" s="68">
        <v>0.40684669791392225</v>
      </c>
      <c r="L14" s="66">
        <v>3874.6349999999998</v>
      </c>
      <c r="M14" s="68">
        <v>0.022545129969375056</v>
      </c>
      <c r="N14" s="69">
        <v>171861.28468823386</v>
      </c>
    </row>
    <row r="15" spans="1:14" ht="12">
      <c r="A15" s="70" t="s">
        <v>5</v>
      </c>
      <c r="B15" s="71">
        <v>16380.029027140286</v>
      </c>
      <c r="C15" s="72">
        <v>0.1650679361862407</v>
      </c>
      <c r="D15" s="71">
        <v>0</v>
      </c>
      <c r="E15" s="73">
        <v>0</v>
      </c>
      <c r="F15" s="71">
        <v>12561.10499489282</v>
      </c>
      <c r="G15" s="74">
        <v>0.12658315038942447</v>
      </c>
      <c r="H15" s="71">
        <v>13478.801834473692</v>
      </c>
      <c r="I15" s="74">
        <v>0.13583113908976543</v>
      </c>
      <c r="J15" s="71">
        <v>54537.34290364151</v>
      </c>
      <c r="K15" s="74">
        <v>0.549594058915847</v>
      </c>
      <c r="L15" s="71">
        <v>2274.767</v>
      </c>
      <c r="M15" s="74">
        <v>0.02292371541872241</v>
      </c>
      <c r="N15" s="75">
        <v>99232.04576014829</v>
      </c>
    </row>
    <row r="16" spans="1:14" ht="12">
      <c r="A16" s="76" t="s">
        <v>6</v>
      </c>
      <c r="B16" s="77">
        <v>12486.967107724764</v>
      </c>
      <c r="C16" s="78">
        <v>0.17192755081489977</v>
      </c>
      <c r="D16" s="77">
        <v>104.994965578545</v>
      </c>
      <c r="E16" s="79">
        <v>0.0014456294410070802</v>
      </c>
      <c r="F16" s="77">
        <v>16987.457565468405</v>
      </c>
      <c r="G16" s="80">
        <v>0.2338928219003841</v>
      </c>
      <c r="H16" s="77">
        <v>26066.098018302895</v>
      </c>
      <c r="I16" s="80">
        <v>0.3588926240396331</v>
      </c>
      <c r="J16" s="77">
        <v>15383.853271010961</v>
      </c>
      <c r="K16" s="80">
        <v>0.21181350060131812</v>
      </c>
      <c r="L16" s="77">
        <v>1599.868</v>
      </c>
      <c r="M16" s="80">
        <v>0.02202787320275784</v>
      </c>
      <c r="N16" s="81">
        <v>72629.23892808557</v>
      </c>
    </row>
    <row r="17" spans="1:13" ht="12">
      <c r="A17" s="61" t="s">
        <v>31</v>
      </c>
      <c r="B17" s="82"/>
      <c r="C17" s="82"/>
      <c r="D17" s="82"/>
      <c r="E17" s="82"/>
      <c r="F17" s="83"/>
      <c r="G17" s="83"/>
      <c r="H17" s="83"/>
      <c r="I17" s="83"/>
      <c r="J17" s="83"/>
      <c r="K17" s="83"/>
      <c r="L17" s="83"/>
      <c r="M17" s="83"/>
    </row>
    <row r="18" spans="2:13" ht="12">
      <c r="B18" s="82"/>
      <c r="C18" s="82"/>
      <c r="D18" s="82"/>
      <c r="E18" s="82"/>
      <c r="F18" s="83"/>
      <c r="G18" s="83"/>
      <c r="H18" s="83"/>
      <c r="I18" s="83"/>
      <c r="J18" s="83"/>
      <c r="K18" s="83"/>
      <c r="L18" s="83"/>
      <c r="M18" s="83"/>
    </row>
    <row r="19" spans="1:14" ht="12" customHeight="1">
      <c r="A19" s="243" t="s">
        <v>15</v>
      </c>
      <c r="B19" s="233" t="s">
        <v>134</v>
      </c>
      <c r="C19" s="234"/>
      <c r="D19" s="233" t="s">
        <v>135</v>
      </c>
      <c r="E19" s="234"/>
      <c r="F19" s="255" t="s">
        <v>136</v>
      </c>
      <c r="G19" s="256"/>
      <c r="H19" s="255" t="s">
        <v>137</v>
      </c>
      <c r="I19" s="256"/>
      <c r="J19" s="255" t="s">
        <v>138</v>
      </c>
      <c r="K19" s="256"/>
      <c r="L19" s="255" t="s">
        <v>139</v>
      </c>
      <c r="M19" s="256"/>
      <c r="N19" s="235" t="s">
        <v>12</v>
      </c>
    </row>
    <row r="20" spans="1:14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63" t="s">
        <v>126</v>
      </c>
      <c r="I20" s="64" t="s">
        <v>13</v>
      </c>
      <c r="J20" s="63" t="s">
        <v>126</v>
      </c>
      <c r="K20" s="64" t="s">
        <v>13</v>
      </c>
      <c r="L20" s="63" t="s">
        <v>126</v>
      </c>
      <c r="M20" s="64" t="s">
        <v>13</v>
      </c>
      <c r="N20" s="235"/>
    </row>
    <row r="21" spans="1:14" ht="12">
      <c r="A21" s="84" t="s">
        <v>16</v>
      </c>
      <c r="B21" s="85">
        <v>1091.924373341566</v>
      </c>
      <c r="C21" s="86">
        <v>0.1472671830913272</v>
      </c>
      <c r="D21" s="85">
        <v>0</v>
      </c>
      <c r="E21" s="86">
        <v>0</v>
      </c>
      <c r="F21" s="85">
        <v>593.297930818984</v>
      </c>
      <c r="G21" s="87">
        <v>0.08001773487136325</v>
      </c>
      <c r="H21" s="85">
        <v>0</v>
      </c>
      <c r="I21" s="87">
        <v>0</v>
      </c>
      <c r="J21" s="85">
        <v>5729.358123200603</v>
      </c>
      <c r="K21" s="87">
        <v>0.7727150820373095</v>
      </c>
      <c r="L21" s="85">
        <v>0</v>
      </c>
      <c r="M21" s="87">
        <v>0</v>
      </c>
      <c r="N21" s="88">
        <v>7414.580427361153</v>
      </c>
    </row>
    <row r="22" spans="1:14" ht="12">
      <c r="A22" s="70" t="s">
        <v>17</v>
      </c>
      <c r="B22" s="71">
        <v>23758.336101659275</v>
      </c>
      <c r="C22" s="72">
        <v>0.1860786100980809</v>
      </c>
      <c r="D22" s="71">
        <v>104.994965578545</v>
      </c>
      <c r="E22" s="72">
        <v>0.0008223352501855979</v>
      </c>
      <c r="F22" s="71">
        <v>24888.715235895506</v>
      </c>
      <c r="G22" s="72">
        <v>0.19493189752033688</v>
      </c>
      <c r="H22" s="71">
        <v>23695.87363940343</v>
      </c>
      <c r="I22" s="72">
        <v>0.1855893953605615</v>
      </c>
      <c r="J22" s="71">
        <v>51713.800483393505</v>
      </c>
      <c r="K22" s="72">
        <v>0.4050297157033346</v>
      </c>
      <c r="L22" s="71">
        <v>3517.308</v>
      </c>
      <c r="M22" s="72">
        <v>0.02754804606750057</v>
      </c>
      <c r="N22" s="75">
        <v>127679.02842593026</v>
      </c>
    </row>
    <row r="23" spans="1:14" ht="12">
      <c r="A23" s="76" t="s">
        <v>18</v>
      </c>
      <c r="B23" s="77">
        <v>4016.7356598642136</v>
      </c>
      <c r="C23" s="78">
        <v>0.1092463844620187</v>
      </c>
      <c r="D23" s="77">
        <v>0</v>
      </c>
      <c r="E23" s="78">
        <v>0</v>
      </c>
      <c r="F23" s="77">
        <v>4066.5493936467337</v>
      </c>
      <c r="G23" s="78">
        <v>0.11060120857122528</v>
      </c>
      <c r="H23" s="77">
        <v>15849.026213373161</v>
      </c>
      <c r="I23" s="78">
        <v>0.43105868985994183</v>
      </c>
      <c r="J23" s="77">
        <v>12478.037568058367</v>
      </c>
      <c r="K23" s="78">
        <v>0.3393752053720408</v>
      </c>
      <c r="L23" s="77">
        <v>357.327</v>
      </c>
      <c r="M23" s="78">
        <v>0.00971851173477341</v>
      </c>
      <c r="N23" s="81">
        <v>36767.67583494247</v>
      </c>
    </row>
    <row r="24" ht="12">
      <c r="A24" s="61" t="s">
        <v>31</v>
      </c>
    </row>
    <row r="26" spans="1:14" ht="12" customHeight="1">
      <c r="A26" s="243" t="s">
        <v>19</v>
      </c>
      <c r="B26" s="233" t="s">
        <v>134</v>
      </c>
      <c r="C26" s="234"/>
      <c r="D26" s="233" t="s">
        <v>135</v>
      </c>
      <c r="E26" s="234"/>
      <c r="F26" s="255" t="s">
        <v>136</v>
      </c>
      <c r="G26" s="256"/>
      <c r="H26" s="255" t="s">
        <v>137</v>
      </c>
      <c r="I26" s="256"/>
      <c r="J26" s="255" t="s">
        <v>138</v>
      </c>
      <c r="K26" s="256"/>
      <c r="L26" s="255" t="s">
        <v>139</v>
      </c>
      <c r="M26" s="256"/>
      <c r="N26" s="235" t="s">
        <v>12</v>
      </c>
    </row>
    <row r="27" spans="1:14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63" t="s">
        <v>126</v>
      </c>
      <c r="I27" s="64" t="s">
        <v>13</v>
      </c>
      <c r="J27" s="63" t="s">
        <v>126</v>
      </c>
      <c r="K27" s="64" t="s">
        <v>13</v>
      </c>
      <c r="L27" s="63" t="s">
        <v>126</v>
      </c>
      <c r="M27" s="64" t="s">
        <v>13</v>
      </c>
      <c r="N27" s="235"/>
    </row>
    <row r="28" spans="1:14" ht="12">
      <c r="A28" s="84" t="s">
        <v>20</v>
      </c>
      <c r="B28" s="85">
        <v>2094.1651879579526</v>
      </c>
      <c r="C28" s="86">
        <v>0.11743592972934841</v>
      </c>
      <c r="D28" s="85">
        <v>0</v>
      </c>
      <c r="E28" s="86">
        <v>0</v>
      </c>
      <c r="F28" s="85">
        <v>8271.270961342016</v>
      </c>
      <c r="G28" s="87">
        <v>0.4638337037469959</v>
      </c>
      <c r="H28" s="85">
        <v>5779.916975716801</v>
      </c>
      <c r="I28" s="87">
        <v>0.32412434687811015</v>
      </c>
      <c r="J28" s="85">
        <v>1687.0529604489138</v>
      </c>
      <c r="K28" s="87">
        <v>0.09460601964554563</v>
      </c>
      <c r="L28" s="85">
        <v>0</v>
      </c>
      <c r="M28" s="87">
        <v>0</v>
      </c>
      <c r="N28" s="88">
        <v>17832.406085465682</v>
      </c>
    </row>
    <row r="29" spans="1:14" ht="12">
      <c r="A29" s="70" t="s">
        <v>21</v>
      </c>
      <c r="B29" s="71">
        <v>15393.979416066379</v>
      </c>
      <c r="C29" s="72">
        <v>0.25559928076671057</v>
      </c>
      <c r="D29" s="71">
        <v>0</v>
      </c>
      <c r="E29" s="72">
        <v>0</v>
      </c>
      <c r="F29" s="71">
        <v>11409.653985992249</v>
      </c>
      <c r="G29" s="72">
        <v>0.18944415045618224</v>
      </c>
      <c r="H29" s="71">
        <v>7835.637779846687</v>
      </c>
      <c r="I29" s="72">
        <v>0.1301017317709945</v>
      </c>
      <c r="J29" s="71">
        <v>24961.93692766386</v>
      </c>
      <c r="K29" s="72">
        <v>0.4144641845237195</v>
      </c>
      <c r="L29" s="71">
        <v>625.7978</v>
      </c>
      <c r="M29" s="72">
        <v>0.010390652482393195</v>
      </c>
      <c r="N29" s="75">
        <v>60227.005909569176</v>
      </c>
    </row>
    <row r="30" spans="1:14" ht="12">
      <c r="A30" s="89" t="s">
        <v>22</v>
      </c>
      <c r="B30" s="90">
        <v>8715.13427993161</v>
      </c>
      <c r="C30" s="91">
        <v>0.17727399604913655</v>
      </c>
      <c r="D30" s="90">
        <v>104.994965578545</v>
      </c>
      <c r="E30" s="91">
        <v>0.0021356959646634697</v>
      </c>
      <c r="F30" s="90">
        <v>5418.291684043985</v>
      </c>
      <c r="G30" s="91">
        <v>0.1102131289935581</v>
      </c>
      <c r="H30" s="90">
        <v>16139.893555081719</v>
      </c>
      <c r="I30" s="91">
        <v>0.32830055560996974</v>
      </c>
      <c r="J30" s="90">
        <v>16175.011619005776</v>
      </c>
      <c r="K30" s="91">
        <v>0.329014889930631</v>
      </c>
      <c r="L30" s="90">
        <v>2608.618</v>
      </c>
      <c r="M30" s="91">
        <v>0.05306173345204119</v>
      </c>
      <c r="N30" s="92">
        <v>49161.94410364164</v>
      </c>
    </row>
    <row r="31" spans="1:14" ht="12">
      <c r="A31" s="70" t="s">
        <v>23</v>
      </c>
      <c r="B31" s="71">
        <v>2488.345881149743</v>
      </c>
      <c r="C31" s="72">
        <v>0.1047483713483857</v>
      </c>
      <c r="D31" s="71">
        <v>0</v>
      </c>
      <c r="E31" s="72">
        <v>0</v>
      </c>
      <c r="F31" s="71">
        <v>2697.159032019532</v>
      </c>
      <c r="G31" s="72">
        <v>0.11353848273741364</v>
      </c>
      <c r="H31" s="71">
        <v>2649.474691352545</v>
      </c>
      <c r="I31" s="72">
        <v>0.1115311826022007</v>
      </c>
      <c r="J31" s="71">
        <v>15726.59156482233</v>
      </c>
      <c r="K31" s="72">
        <v>0.6620200454268226</v>
      </c>
      <c r="L31" s="71">
        <v>193.89</v>
      </c>
      <c r="M31" s="72">
        <v>0.008161917885177351</v>
      </c>
      <c r="N31" s="75">
        <v>23755.46116934415</v>
      </c>
    </row>
    <row r="32" spans="1:14" ht="12">
      <c r="A32" s="76" t="s">
        <v>24</v>
      </c>
      <c r="B32" s="77">
        <v>175.3713697593668</v>
      </c>
      <c r="C32" s="78">
        <v>0.008397215458707712</v>
      </c>
      <c r="D32" s="77">
        <v>0</v>
      </c>
      <c r="E32" s="78">
        <v>0</v>
      </c>
      <c r="F32" s="77">
        <v>1752.18689696344</v>
      </c>
      <c r="G32" s="78">
        <v>0.08389904759206358</v>
      </c>
      <c r="H32" s="77">
        <v>7139.9768507788285</v>
      </c>
      <c r="I32" s="78">
        <v>0.34187977244200585</v>
      </c>
      <c r="J32" s="77">
        <v>11370.603102711597</v>
      </c>
      <c r="K32" s="78">
        <v>0.5444526337447959</v>
      </c>
      <c r="L32" s="77">
        <v>446.32885</v>
      </c>
      <c r="M32" s="78">
        <v>0.021371330762427004</v>
      </c>
      <c r="N32" s="81">
        <v>20884.46707021323</v>
      </c>
    </row>
    <row r="33" ht="12">
      <c r="A33" s="61" t="s">
        <v>31</v>
      </c>
    </row>
    <row r="35" spans="1:14" ht="12" customHeight="1">
      <c r="A35" s="243" t="s">
        <v>25</v>
      </c>
      <c r="B35" s="233" t="s">
        <v>134</v>
      </c>
      <c r="C35" s="234"/>
      <c r="D35" s="233" t="s">
        <v>135</v>
      </c>
      <c r="E35" s="234"/>
      <c r="F35" s="255" t="s">
        <v>136</v>
      </c>
      <c r="G35" s="256"/>
      <c r="H35" s="255" t="s">
        <v>137</v>
      </c>
      <c r="I35" s="256"/>
      <c r="J35" s="255" t="s">
        <v>138</v>
      </c>
      <c r="K35" s="256"/>
      <c r="L35" s="255" t="s">
        <v>139</v>
      </c>
      <c r="M35" s="256"/>
      <c r="N35" s="235" t="s">
        <v>12</v>
      </c>
    </row>
    <row r="36" spans="1:14" ht="12">
      <c r="A36" s="243"/>
      <c r="B36" s="63" t="s">
        <v>126</v>
      </c>
      <c r="C36" s="64" t="s">
        <v>13</v>
      </c>
      <c r="D36" s="63" t="s">
        <v>126</v>
      </c>
      <c r="E36" s="64" t="s">
        <v>13</v>
      </c>
      <c r="F36" s="63" t="s">
        <v>126</v>
      </c>
      <c r="G36" s="64" t="s">
        <v>13</v>
      </c>
      <c r="H36" s="63" t="s">
        <v>126</v>
      </c>
      <c r="I36" s="64" t="s">
        <v>13</v>
      </c>
      <c r="J36" s="63" t="s">
        <v>126</v>
      </c>
      <c r="K36" s="64" t="s">
        <v>13</v>
      </c>
      <c r="L36" s="63" t="s">
        <v>126</v>
      </c>
      <c r="M36" s="64" t="s">
        <v>13</v>
      </c>
      <c r="N36" s="235"/>
    </row>
    <row r="37" spans="1:14" ht="12">
      <c r="A37" s="84" t="s">
        <v>27</v>
      </c>
      <c r="B37" s="85">
        <v>1905.355929472767</v>
      </c>
      <c r="C37" s="86">
        <v>0.08061448843232494</v>
      </c>
      <c r="D37" s="85">
        <v>0</v>
      </c>
      <c r="E37" s="86">
        <v>0</v>
      </c>
      <c r="F37" s="85">
        <v>2064.163796407108</v>
      </c>
      <c r="G37" s="87">
        <v>0.08733355585375056</v>
      </c>
      <c r="H37" s="85">
        <v>6712.6367320759855</v>
      </c>
      <c r="I37" s="87">
        <v>0.28400771100971</v>
      </c>
      <c r="J37" s="85">
        <v>10549.723036041853</v>
      </c>
      <c r="K37" s="87">
        <v>0.4463525751267689</v>
      </c>
      <c r="L37" s="85">
        <v>2403.52</v>
      </c>
      <c r="M37" s="87">
        <v>0.10169166957744569</v>
      </c>
      <c r="N37" s="88">
        <v>23635.399493997713</v>
      </c>
    </row>
    <row r="38" spans="1:14" ht="12">
      <c r="A38" s="70" t="s">
        <v>28</v>
      </c>
      <c r="B38" s="71">
        <v>7786.713385843846</v>
      </c>
      <c r="C38" s="72">
        <v>0.26421084550480434</v>
      </c>
      <c r="D38" s="71">
        <v>104.994965578545</v>
      </c>
      <c r="E38" s="72">
        <v>0.0035625824728167947</v>
      </c>
      <c r="F38" s="71">
        <v>4172.790929415474</v>
      </c>
      <c r="G38" s="72">
        <v>0.14158690129521997</v>
      </c>
      <c r="H38" s="71">
        <v>1940.3442084156084</v>
      </c>
      <c r="I38" s="72">
        <v>0.06583778784099696</v>
      </c>
      <c r="J38" s="71">
        <v>15466.745275267</v>
      </c>
      <c r="K38" s="72">
        <v>0.524801882886162</v>
      </c>
      <c r="L38" s="71">
        <v>0</v>
      </c>
      <c r="M38" s="72">
        <v>0</v>
      </c>
      <c r="N38" s="75">
        <v>29471.58876452047</v>
      </c>
    </row>
    <row r="39" spans="1:14" ht="12">
      <c r="A39" s="152" t="s">
        <v>127</v>
      </c>
      <c r="B39" s="153">
        <v>19174.926819548436</v>
      </c>
      <c r="C39" s="154">
        <v>0.1614672311105304</v>
      </c>
      <c r="D39" s="153">
        <v>0</v>
      </c>
      <c r="E39" s="154">
        <v>0</v>
      </c>
      <c r="F39" s="153">
        <v>23311.60783453864</v>
      </c>
      <c r="G39" s="154">
        <v>0.1963011804530133</v>
      </c>
      <c r="H39" s="153">
        <v>30891.918912284993</v>
      </c>
      <c r="I39" s="154">
        <v>0.2601330715574096</v>
      </c>
      <c r="J39" s="153">
        <v>43904.72786334362</v>
      </c>
      <c r="K39" s="154">
        <v>0.36971065952273585</v>
      </c>
      <c r="L39" s="153">
        <v>1471.11</v>
      </c>
      <c r="M39" s="154">
        <v>0.012387857356310742</v>
      </c>
      <c r="N39" s="155">
        <v>118754.2914297157</v>
      </c>
    </row>
    <row r="40" ht="12">
      <c r="A40" s="61" t="s">
        <v>31</v>
      </c>
    </row>
  </sheetData>
  <sheetProtection/>
  <mergeCells count="34">
    <mergeCell ref="L35:M35"/>
    <mergeCell ref="N35:N36"/>
    <mergeCell ref="A35:A36"/>
    <mergeCell ref="B35:C35"/>
    <mergeCell ref="D35:E35"/>
    <mergeCell ref="F35:G35"/>
    <mergeCell ref="H35:I35"/>
    <mergeCell ref="J35:K35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J19:K19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</mergeCells>
  <printOptions/>
  <pageMargins left="0.75" right="0.75" top="1" bottom="1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3"/>
  <sheetViews>
    <sheetView showGridLines="0" zoomScale="90" zoomScaleNormal="90" zoomScalePageLayoutView="0" workbookViewId="0" topLeftCell="A1">
      <selection activeCell="K16" activeCellId="4" sqref="C16 E16 G16 I16 K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32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396469.8</v>
      </c>
      <c r="C14" s="17">
        <v>0.03256261512254044</v>
      </c>
      <c r="D14" s="27">
        <v>4587384.6</v>
      </c>
      <c r="E14" s="17">
        <v>0.3767682662055701</v>
      </c>
      <c r="F14" s="27">
        <v>4942743.8</v>
      </c>
      <c r="G14" s="17">
        <v>0.40595441067320387</v>
      </c>
      <c r="H14" s="27">
        <v>1985865.1</v>
      </c>
      <c r="I14" s="17">
        <v>0.16310185778736563</v>
      </c>
      <c r="J14" s="27">
        <v>263149.8</v>
      </c>
      <c r="K14" s="17">
        <v>0.021612858424458793</v>
      </c>
      <c r="L14" s="30">
        <v>12175613</v>
      </c>
    </row>
    <row r="15" spans="1:12" ht="12">
      <c r="A15" s="21" t="s">
        <v>5</v>
      </c>
      <c r="B15" s="28">
        <v>119841</v>
      </c>
      <c r="C15" s="18">
        <v>0.025559318708224383</v>
      </c>
      <c r="D15" s="28">
        <v>1729765.8</v>
      </c>
      <c r="E15" s="18">
        <v>0.3689191125974142</v>
      </c>
      <c r="F15" s="28">
        <v>1933422.7</v>
      </c>
      <c r="G15" s="18">
        <v>0.41235442784202153</v>
      </c>
      <c r="H15" s="28">
        <v>843480.5</v>
      </c>
      <c r="I15" s="18">
        <v>0.17989491846423558</v>
      </c>
      <c r="J15" s="28">
        <v>62229.95</v>
      </c>
      <c r="K15" s="18">
        <v>0.013272211724258543</v>
      </c>
      <c r="L15" s="31">
        <v>4688740</v>
      </c>
    </row>
    <row r="16" spans="1:12" ht="12">
      <c r="A16" s="22" t="s">
        <v>6</v>
      </c>
      <c r="B16" s="29">
        <v>276628.7</v>
      </c>
      <c r="C16" s="19">
        <v>0.03694849589476814</v>
      </c>
      <c r="D16" s="29">
        <v>2857618.8</v>
      </c>
      <c r="E16" s="19">
        <v>0.38168388348935683</v>
      </c>
      <c r="F16" s="29">
        <v>3009321.1</v>
      </c>
      <c r="G16" s="19">
        <v>0.401946321221873</v>
      </c>
      <c r="H16" s="29">
        <v>1142384.6</v>
      </c>
      <c r="I16" s="19">
        <v>0.15258500908743866</v>
      </c>
      <c r="J16" s="29">
        <v>200919.9</v>
      </c>
      <c r="K16" s="19">
        <v>0.026836290306563364</v>
      </c>
      <c r="L16" s="32">
        <v>7486873.1</v>
      </c>
    </row>
    <row r="17" spans="1:8" ht="12">
      <c r="A17" s="4" t="s">
        <v>31</v>
      </c>
      <c r="B17" s="13"/>
      <c r="C17" s="13"/>
      <c r="D17" s="13"/>
      <c r="E17" s="13"/>
      <c r="F17" s="10"/>
      <c r="G17" s="10"/>
      <c r="H17" s="10"/>
    </row>
    <row r="18" spans="2:8" ht="12">
      <c r="B18" s="13"/>
      <c r="C18" s="13"/>
      <c r="D18" s="13"/>
      <c r="E18" s="13"/>
      <c r="F18" s="10"/>
      <c r="G18" s="10"/>
      <c r="H18" s="10"/>
    </row>
    <row r="19" spans="1:12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46243.44</v>
      </c>
      <c r="C21" s="38">
        <v>0.06462195683479377</v>
      </c>
      <c r="D21" s="37">
        <v>321308.5</v>
      </c>
      <c r="E21" s="38">
        <v>0.4490060431847703</v>
      </c>
      <c r="F21" s="37">
        <v>271443.07</v>
      </c>
      <c r="G21" s="38">
        <v>0.3793226099235676</v>
      </c>
      <c r="H21" s="37">
        <v>66259.43</v>
      </c>
      <c r="I21" s="38">
        <v>0.09259289588659578</v>
      </c>
      <c r="J21" s="37">
        <v>10345.1</v>
      </c>
      <c r="K21" s="38">
        <v>0.014456550067460919</v>
      </c>
      <c r="L21" s="39">
        <v>715599.5</v>
      </c>
    </row>
    <row r="22" spans="1:12" ht="12">
      <c r="A22" s="21" t="s">
        <v>17</v>
      </c>
      <c r="B22" s="28">
        <v>274644</v>
      </c>
      <c r="C22" s="18">
        <v>0.03814674203455291</v>
      </c>
      <c r="D22" s="28">
        <v>2944462.1</v>
      </c>
      <c r="E22" s="18">
        <v>0.40897174582083695</v>
      </c>
      <c r="F22" s="28">
        <v>2693240.5</v>
      </c>
      <c r="G22" s="18">
        <v>0.37407826346292034</v>
      </c>
      <c r="H22" s="28">
        <v>1132019</v>
      </c>
      <c r="I22" s="18">
        <v>0.15723204137433386</v>
      </c>
      <c r="J22" s="28">
        <v>155305.6</v>
      </c>
      <c r="K22" s="18">
        <v>0.021571207307355924</v>
      </c>
      <c r="L22" s="31">
        <v>7199671.2</v>
      </c>
    </row>
    <row r="23" spans="1:12" ht="12">
      <c r="A23" s="22" t="s">
        <v>18</v>
      </c>
      <c r="B23" s="29">
        <v>75582.29</v>
      </c>
      <c r="C23" s="19">
        <v>0.017740895661344024</v>
      </c>
      <c r="D23" s="29">
        <v>1321614</v>
      </c>
      <c r="E23" s="19">
        <v>0.3102130946094849</v>
      </c>
      <c r="F23" s="29">
        <v>1978060.2</v>
      </c>
      <c r="G23" s="19">
        <v>0.4642960622132155</v>
      </c>
      <c r="H23" s="29">
        <v>787586.7</v>
      </c>
      <c r="I23" s="19">
        <v>0.18486464843764666</v>
      </c>
      <c r="J23" s="29">
        <v>97499.15</v>
      </c>
      <c r="K23" s="19">
        <v>0.02288528499493374</v>
      </c>
      <c r="L23" s="32">
        <v>4260342.4</v>
      </c>
    </row>
    <row r="24" ht="12">
      <c r="A24" s="4" t="s">
        <v>31</v>
      </c>
    </row>
    <row r="25" spans="15:20" ht="12">
      <c r="O25" s="42"/>
      <c r="S25" s="42"/>
      <c r="T25" s="43"/>
    </row>
    <row r="26" spans="1:12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39972.3</v>
      </c>
      <c r="C28" s="38">
        <v>0.027908686523959107</v>
      </c>
      <c r="D28" s="37">
        <v>443677.1</v>
      </c>
      <c r="E28" s="38">
        <v>0.3097756471796533</v>
      </c>
      <c r="F28" s="37">
        <v>570382.6</v>
      </c>
      <c r="G28" s="38">
        <v>0.3982415117999404</v>
      </c>
      <c r="H28" s="37">
        <v>339322.9</v>
      </c>
      <c r="I28" s="38">
        <v>0.23691547512904496</v>
      </c>
      <c r="J28" s="37">
        <v>38898.11</v>
      </c>
      <c r="K28" s="38">
        <v>0.027158686349408937</v>
      </c>
      <c r="L28" s="45">
        <v>1432253</v>
      </c>
    </row>
    <row r="29" spans="1:12" ht="12">
      <c r="A29" s="21" t="s">
        <v>21</v>
      </c>
      <c r="B29" s="28">
        <v>86807.73</v>
      </c>
      <c r="C29" s="18">
        <v>0.026117072591023655</v>
      </c>
      <c r="D29" s="28">
        <v>1247704.1</v>
      </c>
      <c r="E29" s="18">
        <v>0.37538567765587055</v>
      </c>
      <c r="F29" s="28">
        <v>1353747.7</v>
      </c>
      <c r="G29" s="18">
        <v>0.4072900760200885</v>
      </c>
      <c r="H29" s="28">
        <v>575753.8</v>
      </c>
      <c r="I29" s="18">
        <v>0.17322194451067568</v>
      </c>
      <c r="J29" s="28">
        <v>59779.26</v>
      </c>
      <c r="K29" s="18">
        <v>0.01798525629984423</v>
      </c>
      <c r="L29" s="46">
        <v>3323792.5</v>
      </c>
    </row>
    <row r="30" spans="1:12" ht="12">
      <c r="A30" s="23" t="s">
        <v>22</v>
      </c>
      <c r="B30" s="34">
        <v>113832.7</v>
      </c>
      <c r="C30" s="24">
        <v>0.027594251417205003</v>
      </c>
      <c r="D30" s="34">
        <v>1674438</v>
      </c>
      <c r="E30" s="24">
        <v>0.4059014953921142</v>
      </c>
      <c r="F30" s="34">
        <v>1624108.9</v>
      </c>
      <c r="G30" s="24">
        <v>0.3937011888105989</v>
      </c>
      <c r="H30" s="34">
        <v>620284.3</v>
      </c>
      <c r="I30" s="24">
        <v>0.1503634801278105</v>
      </c>
      <c r="J30" s="34">
        <v>92568.44</v>
      </c>
      <c r="K30" s="24">
        <v>0.022439569707636352</v>
      </c>
      <c r="L30" s="45">
        <v>4125232.4</v>
      </c>
    </row>
    <row r="31" spans="1:12" ht="12">
      <c r="A31" s="21" t="s">
        <v>23</v>
      </c>
      <c r="B31" s="28">
        <v>83634.14</v>
      </c>
      <c r="C31" s="18">
        <v>0.055569616518860436</v>
      </c>
      <c r="D31" s="28">
        <v>575940.5</v>
      </c>
      <c r="E31" s="18">
        <v>0.38267617413989957</v>
      </c>
      <c r="F31" s="28">
        <v>595061.1</v>
      </c>
      <c r="G31" s="18">
        <v>0.3953806081139982</v>
      </c>
      <c r="H31" s="28">
        <v>209719.4</v>
      </c>
      <c r="I31" s="18">
        <v>0.13934532757275317</v>
      </c>
      <c r="J31" s="28">
        <v>40678.46</v>
      </c>
      <c r="K31" s="18">
        <v>0.02702827365448851</v>
      </c>
      <c r="L31" s="46">
        <v>1505033.6</v>
      </c>
    </row>
    <row r="32" spans="1:12" ht="12">
      <c r="A32" s="22" t="s">
        <v>24</v>
      </c>
      <c r="B32" s="29">
        <v>72222.94</v>
      </c>
      <c r="C32" s="19">
        <v>0.04036375980438401</v>
      </c>
      <c r="D32" s="29">
        <v>645624.8</v>
      </c>
      <c r="E32" s="19">
        <v>0.3608250280444616</v>
      </c>
      <c r="F32" s="29">
        <v>799443.6</v>
      </c>
      <c r="G32" s="19">
        <v>0.4467908596292542</v>
      </c>
      <c r="H32" s="29">
        <v>240784.8</v>
      </c>
      <c r="I32" s="19">
        <v>0.13456915256768337</v>
      </c>
      <c r="J32" s="29">
        <v>31225.541</v>
      </c>
      <c r="K32" s="19">
        <v>0.01745124522327594</v>
      </c>
      <c r="L32" s="32">
        <v>1789301.6</v>
      </c>
    </row>
    <row r="33" ht="12">
      <c r="A33" s="4" t="s">
        <v>31</v>
      </c>
    </row>
    <row r="34" spans="15:20" ht="12">
      <c r="O34" s="42"/>
      <c r="S34" s="42"/>
      <c r="T34" s="43"/>
    </row>
    <row r="35" spans="1:12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29011.1</v>
      </c>
      <c r="C37" s="38">
        <v>0.02294365501896556</v>
      </c>
      <c r="D37" s="37">
        <v>351673.9</v>
      </c>
      <c r="E37" s="38">
        <v>0.2781240504763416</v>
      </c>
      <c r="F37" s="37">
        <v>647033.8</v>
      </c>
      <c r="G37" s="38">
        <v>0.5117117342262224</v>
      </c>
      <c r="H37" s="37">
        <v>191746</v>
      </c>
      <c r="I37" s="38">
        <v>0.15164382168434049</v>
      </c>
      <c r="J37" s="37">
        <v>44984.95</v>
      </c>
      <c r="K37" s="38">
        <v>0.035576699051239516</v>
      </c>
      <c r="L37" s="45">
        <v>1264449.8</v>
      </c>
    </row>
    <row r="38" spans="1:12" ht="12">
      <c r="A38" s="21" t="s">
        <v>27</v>
      </c>
      <c r="B38" s="28">
        <v>82105.993</v>
      </c>
      <c r="C38" s="18">
        <v>0.03281042016450767</v>
      </c>
      <c r="D38" s="28">
        <v>846712.9</v>
      </c>
      <c r="E38" s="18">
        <v>0.33835539882830196</v>
      </c>
      <c r="F38" s="28">
        <v>1172842.4</v>
      </c>
      <c r="G38" s="18">
        <v>0.4686801842923886</v>
      </c>
      <c r="H38" s="28">
        <v>348121.8</v>
      </c>
      <c r="I38" s="18">
        <v>0.13911314033343103</v>
      </c>
      <c r="J38" s="28">
        <v>52653.33</v>
      </c>
      <c r="K38" s="18">
        <v>0.02104082561135917</v>
      </c>
      <c r="L38" s="46">
        <v>2502436.5</v>
      </c>
    </row>
    <row r="39" spans="1:12" ht="12">
      <c r="A39" s="23" t="s">
        <v>28</v>
      </c>
      <c r="B39" s="34">
        <v>131127</v>
      </c>
      <c r="C39" s="24">
        <v>0.044713671484587186</v>
      </c>
      <c r="D39" s="34">
        <v>1068703.5</v>
      </c>
      <c r="E39" s="24">
        <v>0.3644227139599665</v>
      </c>
      <c r="F39" s="34">
        <v>1182016.8</v>
      </c>
      <c r="G39" s="24">
        <v>0.40306200007979287</v>
      </c>
      <c r="H39" s="34">
        <v>501611.4</v>
      </c>
      <c r="I39" s="24">
        <v>0.1710470563081887</v>
      </c>
      <c r="J39" s="34">
        <v>49134.21</v>
      </c>
      <c r="K39" s="24">
        <v>0.016754527477900957</v>
      </c>
      <c r="L39" s="45">
        <v>2932593</v>
      </c>
    </row>
    <row r="40" spans="1:12" ht="12">
      <c r="A40" s="25" t="s">
        <v>29</v>
      </c>
      <c r="B40" s="40">
        <v>154225.67</v>
      </c>
      <c r="C40" s="26">
        <v>0.028163239912070814</v>
      </c>
      <c r="D40" s="40">
        <v>2320294.2</v>
      </c>
      <c r="E40" s="26">
        <v>0.4237102826085075</v>
      </c>
      <c r="F40" s="40">
        <v>1940850.7</v>
      </c>
      <c r="G40" s="26">
        <v>0.3544198828743009</v>
      </c>
      <c r="H40" s="40">
        <v>944385.91</v>
      </c>
      <c r="I40" s="26">
        <v>0.17245486405025387</v>
      </c>
      <c r="J40" s="40">
        <v>116377.3</v>
      </c>
      <c r="K40" s="26">
        <v>0.021251726902655303</v>
      </c>
      <c r="L40" s="33">
        <v>5476133.8</v>
      </c>
    </row>
    <row r="41" ht="12">
      <c r="A41" s="4" t="s">
        <v>31</v>
      </c>
    </row>
    <row r="43" spans="15:20" ht="12">
      <c r="O43" s="42"/>
      <c r="S43" s="42"/>
      <c r="T43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6:L40"/>
  <sheetViews>
    <sheetView showGridLines="0" zoomScale="90" zoomScaleNormal="90" zoomScalePageLayoutView="0" workbookViewId="0" topLeftCell="A1">
      <selection activeCell="I30" sqref="I30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2.8515625" style="61" customWidth="1"/>
    <col min="9" max="9" width="14.421875" style="61" customWidth="1"/>
    <col min="10" max="16384" width="11.421875" style="61" customWidth="1"/>
  </cols>
  <sheetData>
    <row r="1" ht="12"/>
    <row r="2" ht="12"/>
    <row r="3" ht="12"/>
    <row r="4" ht="12"/>
    <row r="5" ht="12"/>
    <row r="6" spans="1:10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" customHeight="1">
      <c r="A7" s="60" t="s">
        <v>141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>
      <c r="A8" s="60" t="s">
        <v>125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2"/>
      <c r="J10" s="60"/>
    </row>
    <row r="11" spans="1:10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0.25" customHeight="1">
      <c r="A12" s="238"/>
      <c r="B12" s="233" t="s">
        <v>142</v>
      </c>
      <c r="C12" s="234"/>
      <c r="D12" s="233" t="s">
        <v>143</v>
      </c>
      <c r="E12" s="234"/>
      <c r="F12" s="255" t="s">
        <v>144</v>
      </c>
      <c r="G12" s="256"/>
      <c r="H12" s="255" t="s">
        <v>145</v>
      </c>
      <c r="I12" s="256"/>
      <c r="J12" s="241" t="s">
        <v>12</v>
      </c>
    </row>
    <row r="13" spans="1:10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63" t="s">
        <v>126</v>
      </c>
      <c r="I13" s="64" t="s">
        <v>13</v>
      </c>
      <c r="J13" s="242"/>
    </row>
    <row r="14" spans="1:10" ht="24">
      <c r="A14" s="65" t="s">
        <v>3</v>
      </c>
      <c r="B14" s="66">
        <v>619.470541664415</v>
      </c>
      <c r="C14" s="68">
        <v>7.799527017456944E-05</v>
      </c>
      <c r="D14" s="66">
        <v>51469.878471122036</v>
      </c>
      <c r="E14" s="67">
        <v>0.006480384146147401</v>
      </c>
      <c r="F14" s="66">
        <v>931827.2855172527</v>
      </c>
      <c r="G14" s="68">
        <v>0.11732296534178958</v>
      </c>
      <c r="H14" s="66">
        <v>6958495.005020829</v>
      </c>
      <c r="I14" s="68">
        <v>0.8761186552418884</v>
      </c>
      <c r="J14" s="69">
        <v>7942411.639550868</v>
      </c>
    </row>
    <row r="15" spans="1:10" ht="12">
      <c r="A15" s="70" t="s">
        <v>5</v>
      </c>
      <c r="B15" s="71">
        <v>0</v>
      </c>
      <c r="C15" s="74">
        <v>0</v>
      </c>
      <c r="D15" s="71">
        <v>29253.940717127447</v>
      </c>
      <c r="E15" s="72">
        <v>0.00739418497194185</v>
      </c>
      <c r="F15" s="71">
        <v>393398.5555519607</v>
      </c>
      <c r="G15" s="73">
        <v>0.09943486641930854</v>
      </c>
      <c r="H15" s="71">
        <v>3533691.688808124</v>
      </c>
      <c r="I15" s="74">
        <v>0.8931709486087496</v>
      </c>
      <c r="J15" s="75">
        <v>3956344.1850772123</v>
      </c>
    </row>
    <row r="16" spans="1:10" ht="12">
      <c r="A16" s="76" t="s">
        <v>6</v>
      </c>
      <c r="B16" s="77">
        <v>619.470541664415</v>
      </c>
      <c r="C16" s="80">
        <v>0.0001554089459698352</v>
      </c>
      <c r="D16" s="77">
        <v>22215.937753994593</v>
      </c>
      <c r="E16" s="78">
        <v>0.005573397341548028</v>
      </c>
      <c r="F16" s="77">
        <v>538428.729965292</v>
      </c>
      <c r="G16" s="79">
        <v>0.1350776764605428</v>
      </c>
      <c r="H16" s="77">
        <v>3424803.3162127053</v>
      </c>
      <c r="I16" s="80">
        <v>0.8591935172519393</v>
      </c>
      <c r="J16" s="81">
        <v>3986067.4544736566</v>
      </c>
    </row>
    <row r="17" spans="1:9" ht="12">
      <c r="A17" s="61" t="s">
        <v>31</v>
      </c>
      <c r="B17" s="82"/>
      <c r="C17" s="82"/>
      <c r="D17" s="82"/>
      <c r="E17" s="82"/>
      <c r="F17" s="83"/>
      <c r="G17" s="83"/>
      <c r="H17" s="83"/>
      <c r="I17" s="83"/>
    </row>
    <row r="18" spans="2:9" ht="12">
      <c r="B18" s="82"/>
      <c r="C18" s="82"/>
      <c r="D18" s="82"/>
      <c r="E18" s="82"/>
      <c r="F18" s="83"/>
      <c r="G18" s="83"/>
      <c r="H18" s="83"/>
      <c r="I18" s="83"/>
    </row>
    <row r="19" spans="1:10" ht="12" customHeight="1">
      <c r="A19" s="243" t="s">
        <v>15</v>
      </c>
      <c r="B19" s="233" t="s">
        <v>142</v>
      </c>
      <c r="C19" s="234"/>
      <c r="D19" s="233" t="s">
        <v>143</v>
      </c>
      <c r="E19" s="234"/>
      <c r="F19" s="255" t="s">
        <v>144</v>
      </c>
      <c r="G19" s="256"/>
      <c r="H19" s="255" t="s">
        <v>145</v>
      </c>
      <c r="I19" s="256"/>
      <c r="J19" s="235" t="s">
        <v>12</v>
      </c>
    </row>
    <row r="20" spans="1:10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63" t="s">
        <v>126</v>
      </c>
      <c r="I20" s="64" t="s">
        <v>13</v>
      </c>
      <c r="J20" s="235"/>
    </row>
    <row r="21" spans="1:10" ht="12">
      <c r="A21" s="84" t="s">
        <v>16</v>
      </c>
      <c r="B21" s="85">
        <v>0</v>
      </c>
      <c r="C21" s="86">
        <v>0</v>
      </c>
      <c r="D21" s="85">
        <v>0</v>
      </c>
      <c r="E21" s="86">
        <v>0</v>
      </c>
      <c r="F21" s="85">
        <v>44025.64663175673</v>
      </c>
      <c r="G21" s="87">
        <v>0.10161202242311443</v>
      </c>
      <c r="H21" s="85">
        <v>389246.3775036658</v>
      </c>
      <c r="I21" s="87">
        <v>0.8983879775768856</v>
      </c>
      <c r="J21" s="88">
        <v>433272.02413542254</v>
      </c>
    </row>
    <row r="22" spans="1:10" ht="12">
      <c r="A22" s="70" t="s">
        <v>17</v>
      </c>
      <c r="B22" s="71">
        <v>619.470541664415</v>
      </c>
      <c r="C22" s="72">
        <v>0.00014317559542208923</v>
      </c>
      <c r="D22" s="71">
        <v>34993.69252708613</v>
      </c>
      <c r="E22" s="72">
        <v>0.008087943536623027</v>
      </c>
      <c r="F22" s="71">
        <v>380959.91840433754</v>
      </c>
      <c r="G22" s="72">
        <v>0.08804964801544946</v>
      </c>
      <c r="H22" s="71">
        <v>3910075.882955403</v>
      </c>
      <c r="I22" s="72">
        <v>0.9037192328525054</v>
      </c>
      <c r="J22" s="75">
        <v>4326648.964428491</v>
      </c>
    </row>
    <row r="23" spans="1:10" ht="12">
      <c r="A23" s="76" t="s">
        <v>18</v>
      </c>
      <c r="B23" s="77">
        <v>0</v>
      </c>
      <c r="C23" s="78">
        <v>0</v>
      </c>
      <c r="D23" s="77">
        <v>16476.18594403592</v>
      </c>
      <c r="E23" s="78">
        <v>0.005177135693682673</v>
      </c>
      <c r="F23" s="77">
        <v>506841.72048115876</v>
      </c>
      <c r="G23" s="78">
        <v>0.15925945307144215</v>
      </c>
      <c r="H23" s="77">
        <v>2659172.74456175</v>
      </c>
      <c r="I23" s="78">
        <v>0.8355634112348751</v>
      </c>
      <c r="J23" s="81">
        <v>3182490.650986945</v>
      </c>
    </row>
    <row r="24" ht="12">
      <c r="A24" s="61" t="s">
        <v>31</v>
      </c>
    </row>
    <row r="26" spans="1:10" ht="12" customHeight="1">
      <c r="A26" s="243" t="s">
        <v>19</v>
      </c>
      <c r="B26" s="233" t="s">
        <v>142</v>
      </c>
      <c r="C26" s="234"/>
      <c r="D26" s="233" t="s">
        <v>143</v>
      </c>
      <c r="E26" s="234"/>
      <c r="F26" s="255" t="s">
        <v>144</v>
      </c>
      <c r="G26" s="256"/>
      <c r="H26" s="255" t="s">
        <v>145</v>
      </c>
      <c r="I26" s="256"/>
      <c r="J26" s="235" t="s">
        <v>12</v>
      </c>
    </row>
    <row r="27" spans="1:10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63" t="s">
        <v>126</v>
      </c>
      <c r="I27" s="64" t="s">
        <v>13</v>
      </c>
      <c r="J27" s="235"/>
    </row>
    <row r="28" spans="1:10" ht="12">
      <c r="A28" s="84" t="s">
        <v>20</v>
      </c>
      <c r="B28" s="85">
        <v>0</v>
      </c>
      <c r="C28" s="86">
        <v>0</v>
      </c>
      <c r="D28" s="85">
        <v>12881.937982093323</v>
      </c>
      <c r="E28" s="86">
        <v>0.005064682564993257</v>
      </c>
      <c r="F28" s="85">
        <v>229873.81898243556</v>
      </c>
      <c r="G28" s="87">
        <v>0.09037754449424605</v>
      </c>
      <c r="H28" s="85">
        <v>2300728.028402871</v>
      </c>
      <c r="I28" s="87">
        <v>0.9045577729407607</v>
      </c>
      <c r="J28" s="88">
        <v>2543483.7853674</v>
      </c>
    </row>
    <row r="29" spans="1:10" ht="12">
      <c r="A29" s="70" t="s">
        <v>21</v>
      </c>
      <c r="B29" s="71">
        <v>0</v>
      </c>
      <c r="C29" s="72">
        <v>0</v>
      </c>
      <c r="D29" s="71">
        <v>764.90218564088</v>
      </c>
      <c r="E29" s="72">
        <v>0.0007141352552981755</v>
      </c>
      <c r="F29" s="71">
        <v>212597.2329447058</v>
      </c>
      <c r="G29" s="72">
        <v>0.1984870511220291</v>
      </c>
      <c r="H29" s="71">
        <v>857726.5416519075</v>
      </c>
      <c r="I29" s="72">
        <v>0.8007988136226728</v>
      </c>
      <c r="J29" s="75">
        <v>1071088.6767822541</v>
      </c>
    </row>
    <row r="30" spans="1:10" ht="12">
      <c r="A30" s="89" t="s">
        <v>22</v>
      </c>
      <c r="B30" s="90">
        <v>619.470541664415</v>
      </c>
      <c r="C30" s="91">
        <v>0.0002855559013018233</v>
      </c>
      <c r="D30" s="90">
        <v>12511.597152417153</v>
      </c>
      <c r="E30" s="91">
        <v>0.005767441970661574</v>
      </c>
      <c r="F30" s="90">
        <v>299380.4404147291</v>
      </c>
      <c r="G30" s="91">
        <v>0.13800470844839155</v>
      </c>
      <c r="H30" s="90">
        <v>1856837.956708079</v>
      </c>
      <c r="I30" s="91">
        <v>0.855942293679645</v>
      </c>
      <c r="J30" s="92">
        <v>2169349.4648168897</v>
      </c>
    </row>
    <row r="31" spans="1:10" ht="12">
      <c r="A31" s="70" t="s">
        <v>23</v>
      </c>
      <c r="B31" s="71">
        <v>0</v>
      </c>
      <c r="C31" s="72">
        <v>0</v>
      </c>
      <c r="D31" s="71">
        <v>23697.984547568343</v>
      </c>
      <c r="E31" s="72">
        <v>0.020008280870729284</v>
      </c>
      <c r="F31" s="71">
        <v>89799.64393146079</v>
      </c>
      <c r="G31" s="72">
        <v>0.07581811416348955</v>
      </c>
      <c r="H31" s="71">
        <v>1070911.2020785646</v>
      </c>
      <c r="I31" s="72">
        <v>0.9041736049657813</v>
      </c>
      <c r="J31" s="75">
        <v>1184408.8305575936</v>
      </c>
    </row>
    <row r="32" spans="1:10" ht="12">
      <c r="A32" s="76" t="s">
        <v>24</v>
      </c>
      <c r="B32" s="77">
        <v>0</v>
      </c>
      <c r="C32" s="78">
        <v>0</v>
      </c>
      <c r="D32" s="77">
        <v>1613.45660340235</v>
      </c>
      <c r="E32" s="78">
        <v>0.0016563887385258181</v>
      </c>
      <c r="F32" s="77">
        <v>100176.1492439213</v>
      </c>
      <c r="G32" s="78">
        <v>0.10284171580853764</v>
      </c>
      <c r="H32" s="77">
        <v>872291.2761793933</v>
      </c>
      <c r="I32" s="78">
        <v>0.8955018954529366</v>
      </c>
      <c r="J32" s="81">
        <v>974080.882026717</v>
      </c>
    </row>
    <row r="33" ht="12">
      <c r="A33" s="61" t="s">
        <v>31</v>
      </c>
    </row>
    <row r="35" spans="1:12" ht="12" customHeight="1">
      <c r="A35" s="243" t="s">
        <v>25</v>
      </c>
      <c r="B35" s="233" t="s">
        <v>142</v>
      </c>
      <c r="C35" s="234"/>
      <c r="D35" s="233" t="s">
        <v>143</v>
      </c>
      <c r="E35" s="234"/>
      <c r="F35" s="255" t="s">
        <v>144</v>
      </c>
      <c r="G35" s="256"/>
      <c r="H35" s="255" t="s">
        <v>145</v>
      </c>
      <c r="I35" s="256"/>
      <c r="J35" s="261" t="s">
        <v>12</v>
      </c>
      <c r="K35" s="259"/>
      <c r="L35" s="260"/>
    </row>
    <row r="36" spans="1:12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261"/>
      <c r="K36" s="259"/>
      <c r="L36" s="260"/>
    </row>
    <row r="37" spans="1:12" ht="12">
      <c r="A37" s="84" t="s">
        <v>26</v>
      </c>
      <c r="B37" s="85">
        <v>0</v>
      </c>
      <c r="C37" s="86">
        <v>0</v>
      </c>
      <c r="D37" s="85">
        <v>13025.947472969992</v>
      </c>
      <c r="E37" s="86">
        <v>0.010659323576964926</v>
      </c>
      <c r="F37" s="85">
        <v>176503.54086690908</v>
      </c>
      <c r="G37" s="87">
        <v>0.14443543231573192</v>
      </c>
      <c r="H37" s="85">
        <v>1032494.3463731792</v>
      </c>
      <c r="I37" s="86">
        <v>0.8449052441073032</v>
      </c>
      <c r="J37" s="161">
        <v>1222023.8347130583</v>
      </c>
      <c r="K37" s="162"/>
      <c r="L37" s="163"/>
    </row>
    <row r="38" spans="1:12" ht="12">
      <c r="A38" s="70" t="s">
        <v>27</v>
      </c>
      <c r="B38" s="71">
        <v>0</v>
      </c>
      <c r="C38" s="72">
        <v>0</v>
      </c>
      <c r="D38" s="71">
        <v>22278.684429081975</v>
      </c>
      <c r="E38" s="72">
        <v>0.012677043469508141</v>
      </c>
      <c r="F38" s="71">
        <v>238985.0018834515</v>
      </c>
      <c r="G38" s="72">
        <v>0.13598752956355958</v>
      </c>
      <c r="H38" s="71">
        <v>1496140.1186573307</v>
      </c>
      <c r="I38" s="72">
        <v>0.8513354269669323</v>
      </c>
      <c r="J38" s="164">
        <v>1757403.8049698642</v>
      </c>
      <c r="K38" s="165"/>
      <c r="L38" s="166"/>
    </row>
    <row r="39" spans="1:12" ht="12">
      <c r="A39" s="89" t="s">
        <v>28</v>
      </c>
      <c r="B39" s="90">
        <v>0</v>
      </c>
      <c r="C39" s="91">
        <v>0</v>
      </c>
      <c r="D39" s="90">
        <v>11397.32039194085</v>
      </c>
      <c r="E39" s="91">
        <v>0.0060074307825471645</v>
      </c>
      <c r="F39" s="90">
        <v>206045.56863551107</v>
      </c>
      <c r="G39" s="91">
        <v>0.1086048693080232</v>
      </c>
      <c r="H39" s="90">
        <v>1679760.8915058896</v>
      </c>
      <c r="I39" s="91">
        <v>0.8853876999094297</v>
      </c>
      <c r="J39" s="145">
        <v>1897203.7805333415</v>
      </c>
      <c r="K39" s="165"/>
      <c r="L39" s="166"/>
    </row>
    <row r="40" spans="1:12" ht="12">
      <c r="A40" s="93" t="s">
        <v>29</v>
      </c>
      <c r="B40" s="94">
        <v>619.470541664415</v>
      </c>
      <c r="C40" s="95">
        <v>0.00020205967073493177</v>
      </c>
      <c r="D40" s="94">
        <v>4767.926177129229</v>
      </c>
      <c r="E40" s="95">
        <v>0.0015552080827777254</v>
      </c>
      <c r="F40" s="94">
        <v>310293.174131381</v>
      </c>
      <c r="G40" s="95">
        <v>0.10121181295857141</v>
      </c>
      <c r="H40" s="94">
        <v>2750099.6484844196</v>
      </c>
      <c r="I40" s="95">
        <v>0.897030919287916</v>
      </c>
      <c r="J40" s="167">
        <v>3065780.219334594</v>
      </c>
      <c r="K40" s="165"/>
      <c r="L40" s="166"/>
    </row>
  </sheetData>
  <sheetProtection/>
  <mergeCells count="28">
    <mergeCell ref="K35:K36"/>
    <mergeCell ref="L35:L36"/>
    <mergeCell ref="A35:A36"/>
    <mergeCell ref="B35:C35"/>
    <mergeCell ref="D35:E35"/>
    <mergeCell ref="F35:G35"/>
    <mergeCell ref="H35:I35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D19:E19"/>
    <mergeCell ref="F19:G19"/>
    <mergeCell ref="H19:I19"/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</mergeCells>
  <printOptions/>
  <pageMargins left="0.75" right="0.75" top="1" bottom="1" header="0" footer="0"/>
  <pageSetup horizontalDpi="600" verticalDpi="600" orientation="portrait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6:L40"/>
  <sheetViews>
    <sheetView showGridLines="0" zoomScale="90" zoomScaleNormal="90" zoomScalePageLayoutView="0" workbookViewId="0" topLeftCell="A1">
      <selection activeCell="D39" sqref="D39"/>
    </sheetView>
  </sheetViews>
  <sheetFormatPr defaultColWidth="11.421875" defaultRowHeight="12.75"/>
  <cols>
    <col min="1" max="1" width="24.00390625" style="61" customWidth="1"/>
    <col min="2" max="2" width="19.421875" style="61" customWidth="1"/>
    <col min="3" max="3" width="6.421875" style="61" customWidth="1"/>
    <col min="4" max="4" width="14.140625" style="61" customWidth="1"/>
    <col min="5" max="5" width="12.140625" style="61" customWidth="1"/>
    <col min="6" max="6" width="12.8515625" style="61" customWidth="1"/>
    <col min="7" max="7" width="14.421875" style="61" customWidth="1"/>
    <col min="8" max="8" width="12.8515625" style="61" customWidth="1"/>
    <col min="9" max="9" width="14.421875" style="61" customWidth="1"/>
    <col min="10" max="16384" width="11.421875" style="61" customWidth="1"/>
  </cols>
  <sheetData>
    <row r="1" ht="12"/>
    <row r="2" ht="12"/>
    <row r="3" ht="12"/>
    <row r="4" ht="12"/>
    <row r="5" ht="12"/>
    <row r="6" spans="1:10" s="59" customFormat="1" ht="16.5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5" customHeight="1">
      <c r="A7" s="60" t="s">
        <v>146</v>
      </c>
      <c r="B7" s="60"/>
      <c r="C7" s="60"/>
      <c r="D7" s="60"/>
      <c r="E7" s="60"/>
      <c r="F7" s="60"/>
      <c r="G7" s="60"/>
      <c r="H7" s="60"/>
      <c r="I7" s="60"/>
      <c r="J7" s="60"/>
    </row>
    <row r="8" spans="1:10" ht="15" customHeight="1">
      <c r="A8" s="60" t="s">
        <v>125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" customHeight="1">
      <c r="A9" s="60" t="s">
        <v>3</v>
      </c>
      <c r="B9" s="60"/>
      <c r="C9" s="60"/>
      <c r="D9" s="60"/>
      <c r="E9" s="60"/>
      <c r="F9" s="60"/>
      <c r="G9" s="60"/>
      <c r="H9" s="60"/>
      <c r="I9" s="60"/>
      <c r="J9" s="60"/>
    </row>
    <row r="10" spans="1:10" ht="15" customHeight="1">
      <c r="A10" s="62" t="s">
        <v>202</v>
      </c>
      <c r="B10" s="62"/>
      <c r="C10" s="62"/>
      <c r="D10" s="62"/>
      <c r="E10" s="62"/>
      <c r="F10" s="62"/>
      <c r="G10" s="62"/>
      <c r="H10" s="62"/>
      <c r="I10" s="62"/>
      <c r="J10" s="60"/>
    </row>
    <row r="11" spans="1:10" ht="14.25">
      <c r="A11" s="237" t="s">
        <v>14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0.25" customHeight="1">
      <c r="A12" s="238"/>
      <c r="B12" s="233" t="s">
        <v>142</v>
      </c>
      <c r="C12" s="234"/>
      <c r="D12" s="233" t="s">
        <v>143</v>
      </c>
      <c r="E12" s="234"/>
      <c r="F12" s="255" t="s">
        <v>144</v>
      </c>
      <c r="G12" s="256"/>
      <c r="H12" s="255" t="s">
        <v>145</v>
      </c>
      <c r="I12" s="256"/>
      <c r="J12" s="241" t="s">
        <v>12</v>
      </c>
    </row>
    <row r="13" spans="1:10" ht="17.25" customHeight="1">
      <c r="A13" s="239"/>
      <c r="B13" s="63" t="s">
        <v>126</v>
      </c>
      <c r="C13" s="64" t="s">
        <v>13</v>
      </c>
      <c r="D13" s="63" t="s">
        <v>126</v>
      </c>
      <c r="E13" s="64" t="s">
        <v>13</v>
      </c>
      <c r="F13" s="63" t="s">
        <v>126</v>
      </c>
      <c r="G13" s="64" t="s">
        <v>13</v>
      </c>
      <c r="H13" s="63" t="s">
        <v>126</v>
      </c>
      <c r="I13" s="64" t="s">
        <v>13</v>
      </c>
      <c r="J13" s="242"/>
    </row>
    <row r="14" spans="1:10" ht="24">
      <c r="A14" s="65" t="s">
        <v>3</v>
      </c>
      <c r="B14" s="66">
        <v>619.470541664415</v>
      </c>
      <c r="C14" s="67">
        <v>7.799527017456944E-05</v>
      </c>
      <c r="D14" s="66">
        <v>51469.878471122036</v>
      </c>
      <c r="E14" s="68">
        <v>0.006480384146147401</v>
      </c>
      <c r="F14" s="66">
        <v>931827.2855172527</v>
      </c>
      <c r="G14" s="68">
        <v>0.11732296534178958</v>
      </c>
      <c r="H14" s="66">
        <v>6958495.005020829</v>
      </c>
      <c r="I14" s="68">
        <v>0.8761186552418884</v>
      </c>
      <c r="J14" s="69">
        <v>7942411.639550868</v>
      </c>
    </row>
    <row r="15" spans="1:10" ht="12">
      <c r="A15" s="70" t="s">
        <v>5</v>
      </c>
      <c r="B15" s="71">
        <v>0</v>
      </c>
      <c r="C15" s="72">
        <v>0.0036061945873425974</v>
      </c>
      <c r="D15" s="71">
        <v>29253.940717127447</v>
      </c>
      <c r="E15" s="73">
        <v>0.02419965122476304</v>
      </c>
      <c r="F15" s="71">
        <v>393398.5555519607</v>
      </c>
      <c r="G15" s="74">
        <v>0.2444309552982656</v>
      </c>
      <c r="H15" s="71">
        <v>3533691.688808124</v>
      </c>
      <c r="I15" s="74">
        <v>0.7277631988896288</v>
      </c>
      <c r="J15" s="75">
        <v>3956344.1850772123</v>
      </c>
    </row>
    <row r="16" spans="1:10" ht="12">
      <c r="A16" s="76" t="s">
        <v>6</v>
      </c>
      <c r="B16" s="77">
        <v>619.470541664415</v>
      </c>
      <c r="C16" s="78">
        <v>0.0029262037160135835</v>
      </c>
      <c r="D16" s="77">
        <v>22215.937753994593</v>
      </c>
      <c r="E16" s="79">
        <v>0.028087981084895103</v>
      </c>
      <c r="F16" s="77">
        <v>538428.729965292</v>
      </c>
      <c r="G16" s="80">
        <v>0.2739652374991582</v>
      </c>
      <c r="H16" s="77">
        <v>3424803.3162127053</v>
      </c>
      <c r="I16" s="80">
        <v>0.6950205776999332</v>
      </c>
      <c r="J16" s="81">
        <v>3986067.4544736566</v>
      </c>
    </row>
    <row r="17" spans="1:9" ht="12">
      <c r="A17" s="61" t="s">
        <v>31</v>
      </c>
      <c r="B17" s="82"/>
      <c r="C17" s="82"/>
      <c r="D17" s="82"/>
      <c r="E17" s="82"/>
      <c r="F17" s="83"/>
      <c r="G17" s="83"/>
      <c r="H17" s="83"/>
      <c r="I17" s="83"/>
    </row>
    <row r="18" spans="2:9" ht="12">
      <c r="B18" s="82"/>
      <c r="C18" s="82"/>
      <c r="D18" s="82"/>
      <c r="E18" s="82"/>
      <c r="F18" s="83"/>
      <c r="G18" s="83"/>
      <c r="H18" s="83"/>
      <c r="I18" s="83"/>
    </row>
    <row r="19" spans="1:10" ht="12" customHeight="1">
      <c r="A19" s="243" t="s">
        <v>15</v>
      </c>
      <c r="B19" s="233" t="s">
        <v>142</v>
      </c>
      <c r="C19" s="234"/>
      <c r="D19" s="233" t="s">
        <v>143</v>
      </c>
      <c r="E19" s="234"/>
      <c r="F19" s="255" t="s">
        <v>144</v>
      </c>
      <c r="G19" s="256"/>
      <c r="H19" s="255" t="s">
        <v>145</v>
      </c>
      <c r="I19" s="256"/>
      <c r="J19" s="235" t="s">
        <v>12</v>
      </c>
    </row>
    <row r="20" spans="1:10" ht="12">
      <c r="A20" s="243"/>
      <c r="B20" s="63" t="s">
        <v>126</v>
      </c>
      <c r="C20" s="64" t="s">
        <v>13</v>
      </c>
      <c r="D20" s="63" t="s">
        <v>126</v>
      </c>
      <c r="E20" s="64" t="s">
        <v>13</v>
      </c>
      <c r="F20" s="63" t="s">
        <v>126</v>
      </c>
      <c r="G20" s="64" t="s">
        <v>13</v>
      </c>
      <c r="H20" s="63" t="s">
        <v>126</v>
      </c>
      <c r="I20" s="64" t="s">
        <v>13</v>
      </c>
      <c r="J20" s="235"/>
    </row>
    <row r="21" spans="1:10" ht="12">
      <c r="A21" s="84" t="s">
        <v>16</v>
      </c>
      <c r="B21" s="85">
        <v>0</v>
      </c>
      <c r="C21" s="86">
        <v>0</v>
      </c>
      <c r="D21" s="85">
        <v>8847.500732609251</v>
      </c>
      <c r="E21" s="86">
        <v>0.020420198489076447</v>
      </c>
      <c r="F21" s="85">
        <v>79101.53507563747</v>
      </c>
      <c r="G21" s="87">
        <v>0.18256783422257988</v>
      </c>
      <c r="H21" s="85">
        <v>345322.9883271759</v>
      </c>
      <c r="I21" s="87">
        <v>0.7970119672883437</v>
      </c>
      <c r="J21" s="88">
        <v>433272.0241354226</v>
      </c>
    </row>
    <row r="22" spans="1:10" ht="12">
      <c r="A22" s="70" t="s">
        <v>17</v>
      </c>
      <c r="B22" s="71">
        <v>14125.901035352921</v>
      </c>
      <c r="C22" s="72">
        <v>0.0032648595140231883</v>
      </c>
      <c r="D22" s="71">
        <v>111938.62124031887</v>
      </c>
      <c r="E22" s="72">
        <v>0.025871898127308553</v>
      </c>
      <c r="F22" s="71">
        <v>1074603.2711643537</v>
      </c>
      <c r="G22" s="72">
        <v>0.2483684902563616</v>
      </c>
      <c r="H22" s="71">
        <v>3125981.170988462</v>
      </c>
      <c r="I22" s="72">
        <v>0.7224947521023067</v>
      </c>
      <c r="J22" s="75">
        <v>4326648.964428487</v>
      </c>
    </row>
    <row r="23" spans="1:10" ht="12">
      <c r="A23" s="76" t="s">
        <v>18</v>
      </c>
      <c r="B23" s="77">
        <v>11805.491348098469</v>
      </c>
      <c r="C23" s="78">
        <v>0.003709513284646222</v>
      </c>
      <c r="D23" s="77">
        <v>86916.61469543152</v>
      </c>
      <c r="E23" s="78">
        <v>0.027310878248291866</v>
      </c>
      <c r="F23" s="77">
        <v>905392.0992597066</v>
      </c>
      <c r="G23" s="78">
        <v>0.2844916760333387</v>
      </c>
      <c r="H23" s="77">
        <v>2178376.4456837066</v>
      </c>
      <c r="I23" s="78">
        <v>0.6844879324337233</v>
      </c>
      <c r="J23" s="81">
        <v>3182490.650986943</v>
      </c>
    </row>
    <row r="24" ht="12">
      <c r="A24" s="61" t="s">
        <v>31</v>
      </c>
    </row>
    <row r="26" spans="1:10" ht="12" customHeight="1">
      <c r="A26" s="243" t="s">
        <v>19</v>
      </c>
      <c r="B26" s="233" t="s">
        <v>142</v>
      </c>
      <c r="C26" s="234"/>
      <c r="D26" s="233" t="s">
        <v>143</v>
      </c>
      <c r="E26" s="234"/>
      <c r="F26" s="255" t="s">
        <v>144</v>
      </c>
      <c r="G26" s="256"/>
      <c r="H26" s="255" t="s">
        <v>145</v>
      </c>
      <c r="I26" s="256"/>
      <c r="J26" s="235" t="s">
        <v>12</v>
      </c>
    </row>
    <row r="27" spans="1:10" ht="12">
      <c r="A27" s="243"/>
      <c r="B27" s="63" t="s">
        <v>126</v>
      </c>
      <c r="C27" s="64" t="s">
        <v>13</v>
      </c>
      <c r="D27" s="63" t="s">
        <v>126</v>
      </c>
      <c r="E27" s="64" t="s">
        <v>13</v>
      </c>
      <c r="F27" s="63" t="s">
        <v>126</v>
      </c>
      <c r="G27" s="64" t="s">
        <v>13</v>
      </c>
      <c r="H27" s="63" t="s">
        <v>126</v>
      </c>
      <c r="I27" s="64" t="s">
        <v>13</v>
      </c>
      <c r="J27" s="235"/>
    </row>
    <row r="28" spans="1:10" ht="12">
      <c r="A28" s="84" t="s">
        <v>20</v>
      </c>
      <c r="B28" s="85">
        <v>7484.128470175121</v>
      </c>
      <c r="C28" s="86">
        <v>0.006987403221046842</v>
      </c>
      <c r="D28" s="85">
        <v>47670.81976373555</v>
      </c>
      <c r="E28" s="86">
        <v>0.044506884254390026</v>
      </c>
      <c r="F28" s="85">
        <v>392575.8739058657</v>
      </c>
      <c r="G28" s="87">
        <v>0.3665204220860922</v>
      </c>
      <c r="H28" s="85">
        <v>623357.8546424776</v>
      </c>
      <c r="I28" s="87">
        <v>0.5819852904384709</v>
      </c>
      <c r="J28" s="88">
        <v>1071088.676782254</v>
      </c>
    </row>
    <row r="29" spans="1:10" ht="12">
      <c r="A29" s="70" t="s">
        <v>21</v>
      </c>
      <c r="B29" s="71">
        <v>9058.964463592949</v>
      </c>
      <c r="C29" s="72">
        <v>0.00417588987413681</v>
      </c>
      <c r="D29" s="71">
        <v>82875.35812692124</v>
      </c>
      <c r="E29" s="72">
        <v>0.03820286195056022</v>
      </c>
      <c r="F29" s="71">
        <v>695536.5388649456</v>
      </c>
      <c r="G29" s="72">
        <v>0.32061986791217856</v>
      </c>
      <c r="H29" s="71">
        <v>1381878.6033614273</v>
      </c>
      <c r="I29" s="72">
        <v>0.6370013802631244</v>
      </c>
      <c r="J29" s="75">
        <v>2169349.4648168874</v>
      </c>
    </row>
    <row r="30" spans="1:10" ht="12">
      <c r="A30" s="89" t="s">
        <v>22</v>
      </c>
      <c r="B30" s="90">
        <v>4817.61432911122</v>
      </c>
      <c r="C30" s="91">
        <v>0.0018941006649332095</v>
      </c>
      <c r="D30" s="90">
        <v>45116.814638486154</v>
      </c>
      <c r="E30" s="91">
        <v>0.01773819628732928</v>
      </c>
      <c r="F30" s="90">
        <v>630308.8389177962</v>
      </c>
      <c r="G30" s="91">
        <v>0.24781319328393153</v>
      </c>
      <c r="H30" s="90">
        <v>1863240.5174820016</v>
      </c>
      <c r="I30" s="91">
        <v>0.7325545097638059</v>
      </c>
      <c r="J30" s="92">
        <v>2543483.7853673953</v>
      </c>
    </row>
    <row r="31" spans="1:10" ht="12">
      <c r="A31" s="70" t="s">
        <v>23</v>
      </c>
      <c r="B31" s="71">
        <v>3561.16613397346</v>
      </c>
      <c r="C31" s="72">
        <v>0.0036559244716557154</v>
      </c>
      <c r="D31" s="71">
        <v>19786.095915651942</v>
      </c>
      <c r="E31" s="72">
        <v>0.02031258007495649</v>
      </c>
      <c r="F31" s="71">
        <v>209376.82032620272</v>
      </c>
      <c r="G31" s="72">
        <v>0.21494808510209512</v>
      </c>
      <c r="H31" s="71">
        <v>741356.7996508892</v>
      </c>
      <c r="I31" s="72">
        <v>0.7610834103512927</v>
      </c>
      <c r="J31" s="75">
        <v>974080.8820267174</v>
      </c>
    </row>
    <row r="32" spans="1:10" ht="12">
      <c r="A32" s="76" t="s">
        <v>24</v>
      </c>
      <c r="B32" s="77">
        <v>1009.51898659864</v>
      </c>
      <c r="C32" s="78">
        <v>0.000852339969572315</v>
      </c>
      <c r="D32" s="77">
        <v>12253.648223564762</v>
      </c>
      <c r="E32" s="78">
        <v>0.01034579269203525</v>
      </c>
      <c r="F32" s="77">
        <v>131298.83348488848</v>
      </c>
      <c r="G32" s="78">
        <v>0.11085600689339335</v>
      </c>
      <c r="H32" s="77">
        <v>1039846.8298625412</v>
      </c>
      <c r="I32" s="78">
        <v>0.8779458604449992</v>
      </c>
      <c r="J32" s="81">
        <v>1184408.830557593</v>
      </c>
    </row>
    <row r="33" ht="12">
      <c r="A33" s="61" t="s">
        <v>31</v>
      </c>
    </row>
    <row r="35" spans="1:12" ht="12" customHeight="1">
      <c r="A35" s="243" t="s">
        <v>25</v>
      </c>
      <c r="B35" s="233" t="s">
        <v>142</v>
      </c>
      <c r="C35" s="234"/>
      <c r="D35" s="233" t="s">
        <v>143</v>
      </c>
      <c r="E35" s="234"/>
      <c r="F35" s="255" t="s">
        <v>144</v>
      </c>
      <c r="G35" s="256"/>
      <c r="H35" s="255" t="s">
        <v>145</v>
      </c>
      <c r="I35" s="256"/>
      <c r="J35" s="261" t="s">
        <v>12</v>
      </c>
      <c r="K35" s="259"/>
      <c r="L35" s="260"/>
    </row>
    <row r="36" spans="1:12" ht="12">
      <c r="A36" s="243"/>
      <c r="B36" s="63" t="s">
        <v>30</v>
      </c>
      <c r="C36" s="64" t="s">
        <v>13</v>
      </c>
      <c r="D36" s="63" t="s">
        <v>30</v>
      </c>
      <c r="E36" s="64" t="s">
        <v>13</v>
      </c>
      <c r="F36" s="63" t="s">
        <v>30</v>
      </c>
      <c r="G36" s="64" t="s">
        <v>13</v>
      </c>
      <c r="H36" s="63" t="s">
        <v>30</v>
      </c>
      <c r="I36" s="64" t="s">
        <v>13</v>
      </c>
      <c r="J36" s="261"/>
      <c r="K36" s="259"/>
      <c r="L36" s="260"/>
    </row>
    <row r="37" spans="1:12" ht="12">
      <c r="A37" s="84" t="s">
        <v>26</v>
      </c>
      <c r="B37" s="85">
        <v>6882.196029176971</v>
      </c>
      <c r="C37" s="86">
        <v>0.005631801797706321</v>
      </c>
      <c r="D37" s="85">
        <v>52278.35771338992</v>
      </c>
      <c r="E37" s="86">
        <v>0.04278014571267781</v>
      </c>
      <c r="F37" s="85">
        <v>306902.84515235946</v>
      </c>
      <c r="G37" s="87">
        <v>0.25114309265860024</v>
      </c>
      <c r="H37" s="85">
        <v>855960.4358181315</v>
      </c>
      <c r="I37" s="86">
        <v>0.7004449598310156</v>
      </c>
      <c r="J37" s="161">
        <v>1222023.8347130578</v>
      </c>
      <c r="K37" s="162"/>
      <c r="L37" s="163"/>
    </row>
    <row r="38" spans="1:12" ht="12">
      <c r="A38" s="70" t="s">
        <v>27</v>
      </c>
      <c r="B38" s="71">
        <v>7638.16624024857</v>
      </c>
      <c r="C38" s="72">
        <v>0.004346278424257504</v>
      </c>
      <c r="D38" s="71">
        <v>40336.09310545104</v>
      </c>
      <c r="E38" s="72">
        <v>0.022952091597492976</v>
      </c>
      <c r="F38" s="71">
        <v>418555.38073353993</v>
      </c>
      <c r="G38" s="72">
        <v>0.23816687977451884</v>
      </c>
      <c r="H38" s="71">
        <v>1290874.164890626</v>
      </c>
      <c r="I38" s="72">
        <v>0.7345347502037306</v>
      </c>
      <c r="J38" s="164">
        <v>1757403.8049698656</v>
      </c>
      <c r="K38" s="165"/>
      <c r="L38" s="166"/>
    </row>
    <row r="39" spans="1:12" ht="12">
      <c r="A39" s="89" t="s">
        <v>28</v>
      </c>
      <c r="B39" s="90">
        <v>4339.8878410983525</v>
      </c>
      <c r="C39" s="91">
        <v>0.0022875180229075475</v>
      </c>
      <c r="D39" s="90">
        <v>26728.78790559453</v>
      </c>
      <c r="E39" s="91">
        <v>0.01408851710071996</v>
      </c>
      <c r="F39" s="90">
        <v>439661.86933126335</v>
      </c>
      <c r="G39" s="91">
        <v>0.23174203733015222</v>
      </c>
      <c r="H39" s="90">
        <v>1426473.2354553847</v>
      </c>
      <c r="I39" s="91">
        <v>0.7518819275462204</v>
      </c>
      <c r="J39" s="145">
        <v>1897203.7805333408</v>
      </c>
      <c r="K39" s="165"/>
      <c r="L39" s="166"/>
    </row>
    <row r="40" spans="1:12" ht="12">
      <c r="A40" s="93" t="s">
        <v>29</v>
      </c>
      <c r="B40" s="94">
        <v>7071.142272927496</v>
      </c>
      <c r="C40" s="95">
        <v>0.0023064739697688645</v>
      </c>
      <c r="D40" s="94">
        <v>88359.49794392416</v>
      </c>
      <c r="E40" s="95">
        <v>0.02882121079217553</v>
      </c>
      <c r="F40" s="94">
        <v>893976.8102825355</v>
      </c>
      <c r="G40" s="95">
        <v>0.29159846640166853</v>
      </c>
      <c r="H40" s="94">
        <v>2076372.768835196</v>
      </c>
      <c r="I40" s="95">
        <v>0.6772738488363871</v>
      </c>
      <c r="J40" s="167">
        <v>3065780.2193345833</v>
      </c>
      <c r="K40" s="165"/>
      <c r="L40" s="166"/>
    </row>
  </sheetData>
  <sheetProtection/>
  <mergeCells count="28">
    <mergeCell ref="K35:K36"/>
    <mergeCell ref="L35:L36"/>
    <mergeCell ref="A35:A36"/>
    <mergeCell ref="B35:C35"/>
    <mergeCell ref="D35:E35"/>
    <mergeCell ref="F35:G35"/>
    <mergeCell ref="H35:I35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D19:E19"/>
    <mergeCell ref="F19:G19"/>
    <mergeCell ref="H19:I19"/>
    <mergeCell ref="J19:J20"/>
    <mergeCell ref="A6:J6"/>
    <mergeCell ref="A11:A13"/>
    <mergeCell ref="B11:J11"/>
    <mergeCell ref="B12:C12"/>
    <mergeCell ref="D12:E12"/>
    <mergeCell ref="F12:G12"/>
    <mergeCell ref="H12:I12"/>
    <mergeCell ref="J12:J13"/>
  </mergeCells>
  <printOptions/>
  <pageMargins left="0.75" right="0.75" top="1" bottom="1" header="0" footer="0"/>
  <pageSetup horizontalDpi="600" verticalDpi="600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4:V41"/>
  <sheetViews>
    <sheetView showGridLines="0" zoomScale="90" zoomScaleNormal="90" zoomScalePageLayoutView="0" workbookViewId="0" topLeftCell="A1">
      <selection activeCell="E21" sqref="E21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8.14062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2.8515625" style="4" customWidth="1"/>
    <col min="9" max="9" width="14.421875" style="4" customWidth="1"/>
    <col min="10" max="10" width="12.8515625" style="4" customWidth="1"/>
    <col min="11" max="11" width="14.421875" style="4" customWidth="1"/>
    <col min="12" max="12" width="12.8515625" style="4" customWidth="1"/>
    <col min="13" max="13" width="14.421875" style="4" customWidth="1"/>
    <col min="14" max="14" width="12.8515625" style="4" customWidth="1"/>
    <col min="15" max="15" width="14.421875" style="4" customWidth="1"/>
    <col min="16" max="16" width="12.8515625" style="4" customWidth="1"/>
    <col min="17" max="17" width="14.421875" style="4" customWidth="1"/>
    <col min="18" max="18" width="12.8515625" style="4" customWidth="1"/>
    <col min="19" max="19" width="14.421875" style="4" customWidth="1"/>
    <col min="20" max="16384" width="11.421875" style="4" customWidth="1"/>
  </cols>
  <sheetData>
    <row r="1" ht="12"/>
    <row r="2" ht="12"/>
    <row r="3" ht="12"/>
    <row r="4" ht="12">
      <c r="G4" s="4" t="s">
        <v>0</v>
      </c>
    </row>
    <row r="5" ht="12"/>
    <row r="6" spans="1:20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</row>
    <row r="7" spans="1:20" ht="15" customHeight="1">
      <c r="A7" s="168" t="s">
        <v>147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1:20" ht="15" customHeight="1">
      <c r="A8" s="168" t="s">
        <v>125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1:20" ht="15" customHeight="1">
      <c r="A9" s="168" t="s">
        <v>3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1:20" ht="15" customHeight="1">
      <c r="A10" s="169" t="s">
        <v>202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8"/>
    </row>
    <row r="11" spans="1:20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</row>
    <row r="12" spans="1:20" s="5" customFormat="1" ht="33.75" customHeight="1">
      <c r="A12" s="229"/>
      <c r="B12" s="231" t="s">
        <v>148</v>
      </c>
      <c r="C12" s="232"/>
      <c r="D12" s="220" t="s">
        <v>149</v>
      </c>
      <c r="E12" s="221"/>
      <c r="F12" s="220" t="s">
        <v>150</v>
      </c>
      <c r="G12" s="221"/>
      <c r="H12" s="220" t="s">
        <v>151</v>
      </c>
      <c r="I12" s="221"/>
      <c r="J12" s="220" t="s">
        <v>152</v>
      </c>
      <c r="K12" s="221"/>
      <c r="L12" s="220" t="s">
        <v>153</v>
      </c>
      <c r="M12" s="221"/>
      <c r="N12" s="220" t="s">
        <v>154</v>
      </c>
      <c r="O12" s="221"/>
      <c r="P12" s="220" t="s">
        <v>155</v>
      </c>
      <c r="Q12" s="221"/>
      <c r="R12" s="220" t="s">
        <v>115</v>
      </c>
      <c r="S12" s="221"/>
      <c r="T12" s="223" t="s">
        <v>12</v>
      </c>
    </row>
    <row r="13" spans="1:20" ht="17.25" customHeight="1">
      <c r="A13" s="230"/>
      <c r="B13" s="15" t="s">
        <v>126</v>
      </c>
      <c r="C13" s="16" t="s">
        <v>13</v>
      </c>
      <c r="D13" s="15" t="s">
        <v>126</v>
      </c>
      <c r="E13" s="16" t="s">
        <v>13</v>
      </c>
      <c r="F13" s="15" t="s">
        <v>126</v>
      </c>
      <c r="G13" s="16" t="s">
        <v>13</v>
      </c>
      <c r="H13" s="15" t="s">
        <v>126</v>
      </c>
      <c r="I13" s="16" t="s">
        <v>13</v>
      </c>
      <c r="J13" s="15" t="s">
        <v>126</v>
      </c>
      <c r="K13" s="16" t="s">
        <v>13</v>
      </c>
      <c r="L13" s="15" t="s">
        <v>126</v>
      </c>
      <c r="M13" s="16" t="s">
        <v>13</v>
      </c>
      <c r="N13" s="15" t="s">
        <v>126</v>
      </c>
      <c r="O13" s="16" t="s">
        <v>13</v>
      </c>
      <c r="P13" s="15" t="s">
        <v>126</v>
      </c>
      <c r="Q13" s="16" t="s">
        <v>13</v>
      </c>
      <c r="R13" s="15" t="s">
        <v>126</v>
      </c>
      <c r="S13" s="16" t="s">
        <v>13</v>
      </c>
      <c r="T13" s="224"/>
    </row>
    <row r="14" spans="1:20" ht="24">
      <c r="A14" s="170" t="s">
        <v>3</v>
      </c>
      <c r="B14" s="171">
        <v>3176738.11475618</v>
      </c>
      <c r="C14" s="172">
        <v>0.39997147704318997</v>
      </c>
      <c r="D14" s="171">
        <v>782591.389954421</v>
      </c>
      <c r="E14" s="172">
        <v>0.09853321956486716</v>
      </c>
      <c r="F14" s="171">
        <v>498143.4614365295</v>
      </c>
      <c r="G14" s="172">
        <v>0.06271942125939718</v>
      </c>
      <c r="H14" s="171">
        <v>878695.9820673233</v>
      </c>
      <c r="I14" s="172">
        <f>(H14/T14)</f>
        <v>0.11063339725325716</v>
      </c>
      <c r="J14" s="171">
        <v>1016881.228967391</v>
      </c>
      <c r="K14" s="172">
        <f>(J14/T14)</f>
        <v>0.1280317962750286</v>
      </c>
      <c r="L14" s="171">
        <v>266518.14039005135</v>
      </c>
      <c r="M14" s="172">
        <f>(L14/T14)</f>
        <v>0.03355632426086681</v>
      </c>
      <c r="N14" s="171">
        <v>1751255.3302860118</v>
      </c>
      <c r="O14" s="172">
        <f>(N14/T14)</f>
        <v>0.2204941533834987</v>
      </c>
      <c r="P14" s="171">
        <v>1029230.6638593564</v>
      </c>
      <c r="Q14" s="172">
        <f>(P14/T14)</f>
        <v>0.12958666845396086</v>
      </c>
      <c r="R14" s="171">
        <v>3529721.184340995</v>
      </c>
      <c r="S14" s="172">
        <f>(R14/T14)</f>
        <v>0.44441428429169166</v>
      </c>
      <c r="T14" s="173">
        <v>7942411.639550855</v>
      </c>
    </row>
    <row r="15" spans="1:20" ht="12">
      <c r="A15" s="21" t="s">
        <v>5</v>
      </c>
      <c r="B15" s="28">
        <v>1559939.109788248</v>
      </c>
      <c r="C15" s="174">
        <f>(B15/T15)</f>
        <v>0.39428801863905794</v>
      </c>
      <c r="D15" s="28">
        <v>374085.2297034462</v>
      </c>
      <c r="E15" s="174">
        <f>(D15/T15)</f>
        <v>0.09455325730113305</v>
      </c>
      <c r="F15" s="28">
        <v>221191.88459327922</v>
      </c>
      <c r="G15" s="174">
        <f>(F15/T15)</f>
        <v>0.05590815011180909</v>
      </c>
      <c r="H15" s="28">
        <v>394912.02350044285</v>
      </c>
      <c r="I15" s="174">
        <f>(H15/T15)</f>
        <v>0.09981740845247941</v>
      </c>
      <c r="J15" s="28">
        <v>514026.56597963755</v>
      </c>
      <c r="K15" s="174">
        <f>(J15/T15)</f>
        <v>0.12992463292715448</v>
      </c>
      <c r="L15" s="28">
        <v>141060.77006338778</v>
      </c>
      <c r="M15" s="174">
        <f>(L15/T15)</f>
        <v>0.035654322137960104</v>
      </c>
      <c r="N15" s="28">
        <v>880579.5096493795</v>
      </c>
      <c r="O15" s="174">
        <f>(N15/T15)</f>
        <v>0.22257404018861834</v>
      </c>
      <c r="P15" s="28">
        <v>488288.81708332984</v>
      </c>
      <c r="Q15" s="174">
        <f>(P15/T15)</f>
        <v>0.12341919566176512</v>
      </c>
      <c r="R15" s="28">
        <v>1811182.9821939326</v>
      </c>
      <c r="S15" s="174">
        <f>(R15/T15)</f>
        <v>0.457792066985848</v>
      </c>
      <c r="T15" s="31">
        <v>3956344.1850772016</v>
      </c>
    </row>
    <row r="16" spans="1:20" ht="12">
      <c r="A16" s="175" t="s">
        <v>6</v>
      </c>
      <c r="B16" s="176">
        <v>1616799.0049679317</v>
      </c>
      <c r="C16" s="177">
        <f>(B16/T16)</f>
        <v>0.4056125550894432</v>
      </c>
      <c r="D16" s="176">
        <v>408506.1602509747</v>
      </c>
      <c r="E16" s="177">
        <f>(D16/T16)</f>
        <v>0.10248350408433228</v>
      </c>
      <c r="F16" s="176">
        <v>276951.5768432503</v>
      </c>
      <c r="G16" s="177">
        <f>(F16/T16)</f>
        <v>0.06947990218590538</v>
      </c>
      <c r="H16" s="176">
        <v>483783.9585668805</v>
      </c>
      <c r="I16" s="177">
        <f>(H16/T16)</f>
        <v>0.12136873349293645</v>
      </c>
      <c r="J16" s="176">
        <v>502854.66298775334</v>
      </c>
      <c r="K16" s="177">
        <f>(J16/T16)</f>
        <v>0.12615307410901644</v>
      </c>
      <c r="L16" s="176">
        <v>125457.37032666357</v>
      </c>
      <c r="M16" s="177">
        <f>(L16/T16)</f>
        <v>0.03147397071413328</v>
      </c>
      <c r="N16" s="176">
        <v>870675.8206366323</v>
      </c>
      <c r="O16" s="177">
        <f>(N16/T16)</f>
        <v>0.2184297758582718</v>
      </c>
      <c r="P16" s="176">
        <v>540941.8467760265</v>
      </c>
      <c r="Q16" s="177">
        <f>(P16/T16)</f>
        <v>0.13570815169445144</v>
      </c>
      <c r="R16" s="176">
        <v>1718538.2021470622</v>
      </c>
      <c r="S16" s="177">
        <f>(R16/T16)</f>
        <v>0.43113625691866</v>
      </c>
      <c r="T16" s="178">
        <v>3986067.454473654</v>
      </c>
    </row>
    <row r="17" spans="1:19" ht="12">
      <c r="A17" s="4" t="s">
        <v>31</v>
      </c>
      <c r="B17" s="13"/>
      <c r="C17" s="13"/>
      <c r="D17" s="13"/>
      <c r="E17" s="13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2:19" ht="12">
      <c r="B18" s="13"/>
      <c r="C18" s="13"/>
      <c r="D18" s="13"/>
      <c r="E18" s="13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20" ht="12" customHeight="1">
      <c r="A19" s="222" t="s">
        <v>15</v>
      </c>
      <c r="B19" s="220" t="s">
        <v>148</v>
      </c>
      <c r="C19" s="221"/>
      <c r="D19" s="220" t="s">
        <v>149</v>
      </c>
      <c r="E19" s="221"/>
      <c r="F19" s="231" t="s">
        <v>150</v>
      </c>
      <c r="G19" s="232"/>
      <c r="H19" s="231" t="s">
        <v>151</v>
      </c>
      <c r="I19" s="232"/>
      <c r="J19" s="231" t="s">
        <v>152</v>
      </c>
      <c r="K19" s="232"/>
      <c r="L19" s="231" t="s">
        <v>153</v>
      </c>
      <c r="M19" s="232"/>
      <c r="N19" s="231" t="s">
        <v>154</v>
      </c>
      <c r="O19" s="232"/>
      <c r="P19" s="231" t="s">
        <v>155</v>
      </c>
      <c r="Q19" s="232"/>
      <c r="R19" s="231" t="s">
        <v>115</v>
      </c>
      <c r="S19" s="232"/>
      <c r="T19" s="225" t="s">
        <v>12</v>
      </c>
    </row>
    <row r="20" spans="1:20" ht="12">
      <c r="A20" s="222"/>
      <c r="B20" s="15" t="s">
        <v>126</v>
      </c>
      <c r="C20" s="16" t="s">
        <v>13</v>
      </c>
      <c r="D20" s="15" t="s">
        <v>126</v>
      </c>
      <c r="E20" s="16" t="s">
        <v>13</v>
      </c>
      <c r="F20" s="15" t="s">
        <v>126</v>
      </c>
      <c r="G20" s="16" t="s">
        <v>13</v>
      </c>
      <c r="H20" s="15" t="s">
        <v>126</v>
      </c>
      <c r="I20" s="16" t="s">
        <v>13</v>
      </c>
      <c r="J20" s="15" t="s">
        <v>126</v>
      </c>
      <c r="K20" s="16" t="s">
        <v>13</v>
      </c>
      <c r="L20" s="15" t="s">
        <v>126</v>
      </c>
      <c r="M20" s="16" t="s">
        <v>13</v>
      </c>
      <c r="N20" s="15" t="s">
        <v>126</v>
      </c>
      <c r="O20" s="16" t="s">
        <v>13</v>
      </c>
      <c r="P20" s="15" t="s">
        <v>126</v>
      </c>
      <c r="Q20" s="16" t="s">
        <v>13</v>
      </c>
      <c r="R20" s="15" t="s">
        <v>126</v>
      </c>
      <c r="S20" s="16" t="s">
        <v>13</v>
      </c>
      <c r="T20" s="225"/>
    </row>
    <row r="21" spans="1:20" ht="12">
      <c r="A21" s="179" t="s">
        <v>16</v>
      </c>
      <c r="B21" s="180">
        <v>112263.32817845365</v>
      </c>
      <c r="C21" s="172">
        <f>(B21/T21)</f>
        <v>0.2591058778892332</v>
      </c>
      <c r="D21" s="180">
        <v>17217.713308364706</v>
      </c>
      <c r="E21" s="172">
        <f>(D21/T21)</f>
        <v>0.039738806914021256</v>
      </c>
      <c r="F21" s="180">
        <v>20661.096707975732</v>
      </c>
      <c r="G21" s="172">
        <f>(F21/T21)</f>
        <v>0.0476862007169841</v>
      </c>
      <c r="H21" s="180">
        <v>21011.644193174467</v>
      </c>
      <c r="I21" s="172">
        <f>(H21/T21)</f>
        <v>0.04849527092154725</v>
      </c>
      <c r="J21" s="180">
        <v>34196.42567231398</v>
      </c>
      <c r="K21" s="172">
        <f>(J21/T21)</f>
        <v>0.07892599514254729</v>
      </c>
      <c r="L21" s="180">
        <v>18766.68293455828</v>
      </c>
      <c r="M21" s="172">
        <f>(L21/T21)</f>
        <v>0.04331385801334964</v>
      </c>
      <c r="N21" s="180">
        <v>88310.81496138903</v>
      </c>
      <c r="O21" s="172">
        <f>(N21/T21)</f>
        <v>0.20382302581757927</v>
      </c>
      <c r="P21" s="180">
        <v>34866.289128337325</v>
      </c>
      <c r="Q21" s="172">
        <f>(P21/T21)</f>
        <v>0.08047205262770349</v>
      </c>
      <c r="R21" s="180">
        <v>253838.21102911592</v>
      </c>
      <c r="S21" s="172">
        <f>(R21/T21)</f>
        <v>0.5858633765603498</v>
      </c>
      <c r="T21" s="181">
        <v>433272.02413542237</v>
      </c>
    </row>
    <row r="22" spans="1:20" ht="12">
      <c r="A22" s="21" t="s">
        <v>17</v>
      </c>
      <c r="B22" s="28">
        <v>1837630.7630497566</v>
      </c>
      <c r="C22" s="174">
        <f>(B22/T22)</f>
        <v>0.4247237939009669</v>
      </c>
      <c r="D22" s="28">
        <v>445693.5810693685</v>
      </c>
      <c r="E22" s="174">
        <f>(D22/T22)</f>
        <v>0.10301126454529476</v>
      </c>
      <c r="F22" s="28">
        <v>291353.9364469816</v>
      </c>
      <c r="G22" s="174">
        <f>(F22/T22)</f>
        <v>0.06733939795956313</v>
      </c>
      <c r="H22" s="28">
        <v>527463.6833559793</v>
      </c>
      <c r="I22" s="174">
        <f>(H22/T22)</f>
        <v>0.12191044101162772</v>
      </c>
      <c r="J22" s="28">
        <v>546487.0971237181</v>
      </c>
      <c r="K22" s="174">
        <f>(J22/T22)</f>
        <v>0.1263072418438976</v>
      </c>
      <c r="L22" s="28">
        <v>152024.8712042896</v>
      </c>
      <c r="M22" s="174">
        <f>(L22/T22)</f>
        <v>0.03513686283638007</v>
      </c>
      <c r="N22" s="28">
        <v>1149539.564253802</v>
      </c>
      <c r="O22" s="174">
        <f>(N22/T22)</f>
        <v>0.265688197425937</v>
      </c>
      <c r="P22" s="28">
        <v>560536.0483597222</v>
      </c>
      <c r="Q22" s="174">
        <f>(P22/T22)</f>
        <v>0.1295543162776008</v>
      </c>
      <c r="R22" s="28">
        <v>1804721.8860839189</v>
      </c>
      <c r="S22" s="174">
        <f>(R22/T22)</f>
        <v>0.41711770493086603</v>
      </c>
      <c r="T22" s="31">
        <v>4326648.964428487</v>
      </c>
    </row>
    <row r="23" spans="1:20" ht="12">
      <c r="A23" s="175" t="s">
        <v>18</v>
      </c>
      <c r="B23" s="176">
        <v>1226844.023527969</v>
      </c>
      <c r="C23" s="177">
        <f>(B23/T23)</f>
        <v>0.3854980762150876</v>
      </c>
      <c r="D23" s="176">
        <v>319680.0955766878</v>
      </c>
      <c r="E23" s="177">
        <f>(D23/T23)</f>
        <v>0.1004496574019941</v>
      </c>
      <c r="F23" s="176">
        <v>186128.4282815723</v>
      </c>
      <c r="G23" s="177">
        <f>(F23/T23)</f>
        <v>0.058485145344842</v>
      </c>
      <c r="H23" s="176">
        <v>330220.6545181694</v>
      </c>
      <c r="I23" s="177">
        <f>(H23/T23)</f>
        <v>0.10376170450516872</v>
      </c>
      <c r="J23" s="176">
        <v>436197.7061713588</v>
      </c>
      <c r="K23" s="177">
        <f>(J23/T23)</f>
        <v>0.13706174000419655</v>
      </c>
      <c r="L23" s="176">
        <v>95726.58625120348</v>
      </c>
      <c r="M23" s="177">
        <f>(L23/T23)</f>
        <v>0.030079141386170932</v>
      </c>
      <c r="N23" s="176">
        <v>513404.95107082033</v>
      </c>
      <c r="O23" s="177">
        <f>(N23/T23)</f>
        <v>0.1613217468248036</v>
      </c>
      <c r="P23" s="176">
        <v>433828.32637129666</v>
      </c>
      <c r="Q23" s="177">
        <f>(P23/T23)</f>
        <v>0.13631723513052868</v>
      </c>
      <c r="R23" s="176">
        <v>1471161.0872279608</v>
      </c>
      <c r="S23" s="177">
        <f>(R23/T23)</f>
        <v>0.4622672141304574</v>
      </c>
      <c r="T23" s="178">
        <v>3182490.650986945</v>
      </c>
    </row>
    <row r="24" ht="12">
      <c r="A24" s="4" t="s">
        <v>31</v>
      </c>
    </row>
    <row r="26" spans="1:20" ht="12" customHeight="1">
      <c r="A26" s="222" t="s">
        <v>19</v>
      </c>
      <c r="B26" s="220" t="s">
        <v>148</v>
      </c>
      <c r="C26" s="221"/>
      <c r="D26" s="220" t="s">
        <v>149</v>
      </c>
      <c r="E26" s="221"/>
      <c r="F26" s="231" t="s">
        <v>150</v>
      </c>
      <c r="G26" s="232"/>
      <c r="H26" s="231" t="s">
        <v>151</v>
      </c>
      <c r="I26" s="232"/>
      <c r="J26" s="231" t="s">
        <v>152</v>
      </c>
      <c r="K26" s="232"/>
      <c r="L26" s="231" t="s">
        <v>153</v>
      </c>
      <c r="M26" s="232"/>
      <c r="N26" s="231" t="s">
        <v>154</v>
      </c>
      <c r="O26" s="232"/>
      <c r="P26" s="231" t="s">
        <v>155</v>
      </c>
      <c r="Q26" s="232"/>
      <c r="R26" s="231" t="s">
        <v>115</v>
      </c>
      <c r="S26" s="232"/>
      <c r="T26" s="225" t="s">
        <v>12</v>
      </c>
    </row>
    <row r="27" spans="1:20" ht="12">
      <c r="A27" s="222"/>
      <c r="B27" s="15" t="s">
        <v>126</v>
      </c>
      <c r="C27" s="16" t="s">
        <v>13</v>
      </c>
      <c r="D27" s="15" t="s">
        <v>126</v>
      </c>
      <c r="E27" s="16" t="s">
        <v>13</v>
      </c>
      <c r="F27" s="15" t="s">
        <v>126</v>
      </c>
      <c r="G27" s="16" t="s">
        <v>13</v>
      </c>
      <c r="H27" s="15" t="s">
        <v>126</v>
      </c>
      <c r="I27" s="16" t="s">
        <v>13</v>
      </c>
      <c r="J27" s="15" t="s">
        <v>126</v>
      </c>
      <c r="K27" s="16" t="s">
        <v>13</v>
      </c>
      <c r="L27" s="15" t="s">
        <v>126</v>
      </c>
      <c r="M27" s="16" t="s">
        <v>13</v>
      </c>
      <c r="N27" s="15" t="s">
        <v>126</v>
      </c>
      <c r="O27" s="16" t="s">
        <v>13</v>
      </c>
      <c r="P27" s="15" t="s">
        <v>126</v>
      </c>
      <c r="Q27" s="16" t="s">
        <v>13</v>
      </c>
      <c r="R27" s="15" t="s">
        <v>126</v>
      </c>
      <c r="S27" s="16" t="s">
        <v>13</v>
      </c>
      <c r="T27" s="225"/>
    </row>
    <row r="28" spans="1:20" ht="12">
      <c r="A28" s="179" t="s">
        <v>20</v>
      </c>
      <c r="B28" s="180">
        <v>440301.0180437276</v>
      </c>
      <c r="C28" s="182">
        <f>(B28/T28)</f>
        <v>0.41107802517945774</v>
      </c>
      <c r="D28" s="180">
        <v>39979.06531350995</v>
      </c>
      <c r="E28" s="182">
        <f>(D28/T28)</f>
        <v>0.03732563529064125</v>
      </c>
      <c r="F28" s="180">
        <v>52048.012620684705</v>
      </c>
      <c r="G28" s="182">
        <f>(F28/T28)</f>
        <v>0.048593560691021796</v>
      </c>
      <c r="H28" s="180">
        <v>122074.49633764137</v>
      </c>
      <c r="I28" s="182">
        <f>(H28/T28)</f>
        <v>0.11397235260144417</v>
      </c>
      <c r="J28" s="180">
        <v>151895.32133963215</v>
      </c>
      <c r="K28" s="182">
        <f>(J28/T28)</f>
        <v>0.14181395493410814</v>
      </c>
      <c r="L28" s="180">
        <v>53307.66422550719</v>
      </c>
      <c r="M28" s="182">
        <f>(L28/T28)</f>
        <v>0.04976960860575348</v>
      </c>
      <c r="N28" s="180">
        <v>126353.49253791459</v>
      </c>
      <c r="O28" s="182">
        <f>(N28/T28)</f>
        <v>0.11796734974129641</v>
      </c>
      <c r="P28" s="180">
        <v>135863.80954447118</v>
      </c>
      <c r="Q28" s="182">
        <f>(P28/T28)</f>
        <v>0.126846462379409</v>
      </c>
      <c r="R28" s="180">
        <v>508043.5191383261</v>
      </c>
      <c r="S28" s="182">
        <f>(R28/T28)</f>
        <v>0.4743244235057936</v>
      </c>
      <c r="T28" s="183">
        <v>1071088.6767822544</v>
      </c>
    </row>
    <row r="29" spans="1:20" ht="12">
      <c r="A29" s="21" t="s">
        <v>21</v>
      </c>
      <c r="B29" s="28">
        <v>829614.4665370402</v>
      </c>
      <c r="C29" s="174">
        <f>(B29/T29)</f>
        <v>0.38242545979426446</v>
      </c>
      <c r="D29" s="28">
        <v>190827.7605128021</v>
      </c>
      <c r="E29" s="174">
        <f>(D29/T29)</f>
        <v>0.08796543093111536</v>
      </c>
      <c r="F29" s="28">
        <v>104225.41483616905</v>
      </c>
      <c r="G29" s="174">
        <f>(F29/T29)</f>
        <v>0.04804454815903372</v>
      </c>
      <c r="H29" s="28">
        <v>165106.51822517338</v>
      </c>
      <c r="I29" s="174">
        <f>(H29/T29)</f>
        <v>0.07610876942738673</v>
      </c>
      <c r="J29" s="28">
        <v>213175.37055052575</v>
      </c>
      <c r="K29" s="174">
        <f>(J29/T29)</f>
        <v>0.09826695698773436</v>
      </c>
      <c r="L29" s="28">
        <v>48615.88002253888</v>
      </c>
      <c r="M29" s="174">
        <f>(L29/T29)</f>
        <v>0.022410349651360788</v>
      </c>
      <c r="N29" s="28">
        <v>340488.04895037797</v>
      </c>
      <c r="O29" s="174">
        <f>(N29/T29)</f>
        <v>0.1569539875766941</v>
      </c>
      <c r="P29" s="28">
        <v>260645.30386302838</v>
      </c>
      <c r="Q29" s="174">
        <f>(P29/T29)</f>
        <v>0.12014906223743395</v>
      </c>
      <c r="R29" s="28">
        <v>1014323.4523315004</v>
      </c>
      <c r="S29" s="174">
        <f>(R29/T29)</f>
        <v>0.46757033331055203</v>
      </c>
      <c r="T29" s="46">
        <v>2169349.464816889</v>
      </c>
    </row>
    <row r="30" spans="1:20" ht="12">
      <c r="A30" s="184" t="s">
        <v>22</v>
      </c>
      <c r="B30" s="185">
        <v>1017110.040445439</v>
      </c>
      <c r="C30" s="186">
        <f>(B30/T30)</f>
        <v>0.39988854904318627</v>
      </c>
      <c r="D30" s="185">
        <v>261939.29807207052</v>
      </c>
      <c r="E30" s="186">
        <f>(D30/T30)</f>
        <v>0.10298445760849795</v>
      </c>
      <c r="F30" s="185">
        <v>177228.48842294622</v>
      </c>
      <c r="G30" s="186">
        <f>(F30/T30)</f>
        <v>0.06967942529948004</v>
      </c>
      <c r="H30" s="185">
        <v>291678.9340898709</v>
      </c>
      <c r="I30" s="186">
        <f>(H30/T30)</f>
        <v>0.11467693868067613</v>
      </c>
      <c r="J30" s="185">
        <v>310027.07491962187</v>
      </c>
      <c r="K30" s="186">
        <f>(J30/T30)</f>
        <v>0.12189072197086552</v>
      </c>
      <c r="L30" s="185">
        <v>83498.42454463113</v>
      </c>
      <c r="M30" s="186">
        <f>(L30/T30)</f>
        <v>0.03282836911522521</v>
      </c>
      <c r="N30" s="185">
        <v>656108.826859701</v>
      </c>
      <c r="O30" s="186">
        <f>(N30/T30)</f>
        <v>0.2579567562546614</v>
      </c>
      <c r="P30" s="185">
        <v>330152.9593088219</v>
      </c>
      <c r="Q30" s="186">
        <f>(P30/T30)</f>
        <v>0.12980344565520105</v>
      </c>
      <c r="R30" s="185">
        <v>1134896.1951757127</v>
      </c>
      <c r="S30" s="186">
        <f>(R30/T30)</f>
        <v>0.4461975349340713</v>
      </c>
      <c r="T30" s="183">
        <v>2543483.785367396</v>
      </c>
    </row>
    <row r="31" spans="1:20" ht="12">
      <c r="A31" s="21" t="s">
        <v>23</v>
      </c>
      <c r="B31" s="28">
        <v>426592.4715688895</v>
      </c>
      <c r="C31" s="174">
        <f>(B31/T31)</f>
        <v>0.43794358296130564</v>
      </c>
      <c r="D31" s="28">
        <v>148148.48409933218</v>
      </c>
      <c r="E31" s="174">
        <f>(D31/T31)</f>
        <v>0.1520905366616863</v>
      </c>
      <c r="F31" s="28">
        <v>62183.188123807784</v>
      </c>
      <c r="G31" s="174">
        <f>(F31/T31)</f>
        <v>0.06383780779520751</v>
      </c>
      <c r="H31" s="28">
        <v>115019.37547907935</v>
      </c>
      <c r="I31" s="174">
        <f>(H31/T31)</f>
        <v>0.11807990239964955</v>
      </c>
      <c r="J31" s="28">
        <v>153141.53122140808</v>
      </c>
      <c r="K31" s="174">
        <f>(J31/T31)</f>
        <v>0.15721644274834218</v>
      </c>
      <c r="L31" s="28">
        <v>51699.40246015055</v>
      </c>
      <c r="M31" s="174">
        <f>(L31/T31)</f>
        <v>0.05307506123370618</v>
      </c>
      <c r="N31" s="28">
        <v>283764.4655820177</v>
      </c>
      <c r="O31" s="174">
        <f>(N31/T31)</f>
        <v>0.2913150959205814</v>
      </c>
      <c r="P31" s="28">
        <v>175086.72778656727</v>
      </c>
      <c r="Q31" s="174">
        <f>(P31/T31)</f>
        <v>0.17974557453819828</v>
      </c>
      <c r="R31" s="28">
        <v>358193.9541083127</v>
      </c>
      <c r="S31" s="174">
        <f>(R31/T31)</f>
        <v>0.3677250634085313</v>
      </c>
      <c r="T31" s="46">
        <v>974080.8820267174</v>
      </c>
    </row>
    <row r="32" spans="1:20" ht="12">
      <c r="A32" s="175" t="s">
        <v>24</v>
      </c>
      <c r="B32" s="176">
        <v>463120.1181610784</v>
      </c>
      <c r="C32" s="177">
        <f>(B32/T32)</f>
        <v>0.391013732938019</v>
      </c>
      <c r="D32" s="176">
        <v>141696.7819567061</v>
      </c>
      <c r="E32" s="177">
        <f>(D32/T32)</f>
        <v>0.11963502660647873</v>
      </c>
      <c r="F32" s="176">
        <v>102458.35743292172</v>
      </c>
      <c r="G32" s="177">
        <f>(F32/T32)</f>
        <v>0.08650590470917593</v>
      </c>
      <c r="H32" s="176">
        <v>184816.6579355582</v>
      </c>
      <c r="I32" s="177">
        <f>(H32/T32)</f>
        <v>0.15604126984476344</v>
      </c>
      <c r="J32" s="176">
        <v>188641.93093620293</v>
      </c>
      <c r="K32" s="177">
        <f>(J32/T32)</f>
        <v>0.15927095954476667</v>
      </c>
      <c r="L32" s="176">
        <v>29396.769137223597</v>
      </c>
      <c r="M32" s="177">
        <f>(L32/T32)</f>
        <v>0.02481978213838902</v>
      </c>
      <c r="N32" s="176">
        <v>344540.4963560016</v>
      </c>
      <c r="O32" s="177">
        <f>(N32/T32)</f>
        <v>0.29089659538742163</v>
      </c>
      <c r="P32" s="176">
        <v>127481.86335646735</v>
      </c>
      <c r="Q32" s="177">
        <f>(P32/T32)</f>
        <v>0.1076333273338157</v>
      </c>
      <c r="R32" s="176">
        <v>514264.06358714274</v>
      </c>
      <c r="S32" s="177">
        <f>(R32/T32)</f>
        <v>0.4341947225647063</v>
      </c>
      <c r="T32" s="178">
        <v>1184408.8305575938</v>
      </c>
    </row>
    <row r="33" ht="12">
      <c r="A33" s="4" t="s">
        <v>31</v>
      </c>
    </row>
    <row r="35" spans="1:22" ht="12" customHeight="1">
      <c r="A35" s="222" t="s">
        <v>25</v>
      </c>
      <c r="B35" s="220" t="s">
        <v>148</v>
      </c>
      <c r="C35" s="221"/>
      <c r="D35" s="220" t="s">
        <v>149</v>
      </c>
      <c r="E35" s="221"/>
      <c r="F35" s="231" t="s">
        <v>150</v>
      </c>
      <c r="G35" s="232"/>
      <c r="H35" s="231" t="s">
        <v>151</v>
      </c>
      <c r="I35" s="232"/>
      <c r="J35" s="231" t="s">
        <v>152</v>
      </c>
      <c r="K35" s="232"/>
      <c r="L35" s="231" t="s">
        <v>153</v>
      </c>
      <c r="M35" s="232"/>
      <c r="N35" s="231" t="s">
        <v>154</v>
      </c>
      <c r="O35" s="232"/>
      <c r="P35" s="231" t="s">
        <v>155</v>
      </c>
      <c r="Q35" s="232"/>
      <c r="R35" s="231" t="s">
        <v>115</v>
      </c>
      <c r="S35" s="232"/>
      <c r="T35" s="225" t="s">
        <v>12</v>
      </c>
      <c r="U35" s="262"/>
      <c r="V35" s="263"/>
    </row>
    <row r="36" spans="1:2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15" t="s">
        <v>30</v>
      </c>
      <c r="M36" s="16" t="s">
        <v>13</v>
      </c>
      <c r="N36" s="15" t="s">
        <v>30</v>
      </c>
      <c r="O36" s="16" t="s">
        <v>13</v>
      </c>
      <c r="P36" s="15" t="s">
        <v>30</v>
      </c>
      <c r="Q36" s="16" t="s">
        <v>13</v>
      </c>
      <c r="R36" s="15" t="s">
        <v>30</v>
      </c>
      <c r="S36" s="16" t="s">
        <v>13</v>
      </c>
      <c r="T36" s="225"/>
      <c r="U36" s="262"/>
      <c r="V36" s="263"/>
    </row>
    <row r="37" spans="1:22" ht="12">
      <c r="A37" s="179" t="s">
        <v>26</v>
      </c>
      <c r="B37" s="180">
        <v>403986.91089392704</v>
      </c>
      <c r="C37" s="182">
        <f>(B37/T37)</f>
        <v>0.33058840541255613</v>
      </c>
      <c r="D37" s="180">
        <v>110711.39997967606</v>
      </c>
      <c r="E37" s="182">
        <f>(D37/T37)</f>
        <v>0.09059675992790439</v>
      </c>
      <c r="F37" s="180">
        <v>79674.76681776354</v>
      </c>
      <c r="G37" s="182">
        <f>(F37/T37)</f>
        <v>0.06519902849233039</v>
      </c>
      <c r="H37" s="180">
        <v>121644.93608751215</v>
      </c>
      <c r="I37" s="182">
        <f>(H37/T37)</f>
        <v>0.09954383264224582</v>
      </c>
      <c r="J37" s="180">
        <v>104368.58008802233</v>
      </c>
      <c r="K37" s="182">
        <f>(J37/T37)</f>
        <v>0.0854063375224829</v>
      </c>
      <c r="L37" s="180">
        <v>24631.92308598245</v>
      </c>
      <c r="M37" s="182">
        <f>(L37/T37)</f>
        <v>0.02015666338600199</v>
      </c>
      <c r="N37" s="180">
        <v>240117.52129294386</v>
      </c>
      <c r="O37" s="182">
        <f>(N37/T37)</f>
        <v>0.19649168409986498</v>
      </c>
      <c r="P37" s="180">
        <v>118712.78666330212</v>
      </c>
      <c r="Q37" s="182">
        <f>(P37/T37)</f>
        <v>0.09714441182824957</v>
      </c>
      <c r="R37" s="180">
        <v>649024.2532037097</v>
      </c>
      <c r="S37" s="182">
        <f>(R37/T37)</f>
        <v>0.5311060510993275</v>
      </c>
      <c r="T37" s="183">
        <v>1222023.8347130583</v>
      </c>
      <c r="U37" s="187"/>
      <c r="V37" s="188"/>
    </row>
    <row r="38" spans="1:22" ht="12">
      <c r="A38" s="21" t="s">
        <v>27</v>
      </c>
      <c r="B38" s="28">
        <v>651381.9561252807</v>
      </c>
      <c r="C38" s="174">
        <f>(B38/T38)</f>
        <v>0.37065013418270715</v>
      </c>
      <c r="D38" s="28">
        <v>182872.86635351062</v>
      </c>
      <c r="E38" s="174">
        <f>(D38/T38)</f>
        <v>0.10405853557182118</v>
      </c>
      <c r="F38" s="28">
        <v>114285.26765019709</v>
      </c>
      <c r="G38" s="174">
        <f>(F38/T38)</f>
        <v>0.0650307387107067</v>
      </c>
      <c r="H38" s="28">
        <v>204393.20312099447</v>
      </c>
      <c r="I38" s="174">
        <f>(H38/T38)</f>
        <v>0.11630406315439794</v>
      </c>
      <c r="J38" s="28">
        <v>270504.1925118553</v>
      </c>
      <c r="K38" s="174">
        <f>(J38/T38)</f>
        <v>0.15392261684359657</v>
      </c>
      <c r="L38" s="28">
        <v>42101.232529611276</v>
      </c>
      <c r="M38" s="174">
        <f>(L38/T38)</f>
        <v>0.02395649332871064</v>
      </c>
      <c r="N38" s="28">
        <v>359443.398553152</v>
      </c>
      <c r="O38" s="174">
        <f>(N38/T38)</f>
        <v>0.20453090947946106</v>
      </c>
      <c r="P38" s="28">
        <v>258481.45854206552</v>
      </c>
      <c r="Q38" s="174">
        <f>(P38/T38)</f>
        <v>0.14708142648325367</v>
      </c>
      <c r="R38" s="28">
        <v>794834.9231586033</v>
      </c>
      <c r="S38" s="174">
        <f>(R38/T38)</f>
        <v>0.4522779118326949</v>
      </c>
      <c r="T38" s="46">
        <v>1757403.8049698654</v>
      </c>
      <c r="U38" s="189"/>
      <c r="V38" s="190"/>
    </row>
    <row r="39" spans="1:22" ht="12">
      <c r="A39" s="184" t="s">
        <v>28</v>
      </c>
      <c r="B39" s="185">
        <v>758921.3106956849</v>
      </c>
      <c r="C39" s="186">
        <f>(B39/T39)</f>
        <v>0.40002097744204246</v>
      </c>
      <c r="D39" s="185">
        <v>219660.46070474366</v>
      </c>
      <c r="E39" s="186">
        <f>(D39/T39)</f>
        <v>0.11578116328810652</v>
      </c>
      <c r="F39" s="185">
        <v>112608.93043400682</v>
      </c>
      <c r="G39" s="186">
        <f>(F39/T39)</f>
        <v>0.059355210857923925</v>
      </c>
      <c r="H39" s="185">
        <v>207069.24959282344</v>
      </c>
      <c r="I39" s="186">
        <f>(H39/T39)</f>
        <v>0.10914444284662575</v>
      </c>
      <c r="J39" s="185">
        <v>265699.11829183734</v>
      </c>
      <c r="K39" s="186">
        <f>(J39/T39)</f>
        <v>0.14004774870158876</v>
      </c>
      <c r="L39" s="185">
        <v>99511.24450990379</v>
      </c>
      <c r="M39" s="186">
        <f>(L39/T39)</f>
        <v>0.052451531844370076</v>
      </c>
      <c r="N39" s="185">
        <v>442290.0578926178</v>
      </c>
      <c r="O39" s="186">
        <f>(N39/T39)</f>
        <v>0.23312733319995899</v>
      </c>
      <c r="P39" s="185">
        <v>277758.65281643945</v>
      </c>
      <c r="Q39" s="186">
        <f>(P39/T39)</f>
        <v>0.14640422692935823</v>
      </c>
      <c r="R39" s="185">
        <v>842554.5721793056</v>
      </c>
      <c r="S39" s="186">
        <f>(R39/T39)</f>
        <v>0.444103359283022</v>
      </c>
      <c r="T39" s="183">
        <v>1897203.78053334</v>
      </c>
      <c r="U39" s="191"/>
      <c r="V39" s="192"/>
    </row>
    <row r="40" spans="1:22" ht="12">
      <c r="A40" s="25" t="s">
        <v>29</v>
      </c>
      <c r="B40" s="40">
        <v>1362447.9370412847</v>
      </c>
      <c r="C40" s="193">
        <f>(B40/T40)</f>
        <v>0.4444049604237446</v>
      </c>
      <c r="D40" s="40">
        <v>269346.66291649046</v>
      </c>
      <c r="E40" s="193">
        <f>(D40/T40)</f>
        <v>0.08785582907014487</v>
      </c>
      <c r="F40" s="40">
        <v>191574.49653456197</v>
      </c>
      <c r="G40" s="193">
        <f>(F40/T40)</f>
        <v>0.06248800723756464</v>
      </c>
      <c r="H40" s="40">
        <v>345588.59326599305</v>
      </c>
      <c r="I40" s="193">
        <f>(H40/T40)</f>
        <v>0.11272451661293639</v>
      </c>
      <c r="J40" s="40">
        <v>376309.33807567577</v>
      </c>
      <c r="K40" s="193">
        <f>(J40/T40)</f>
        <v>0.12274504731371524</v>
      </c>
      <c r="L40" s="40">
        <v>100273.74026455382</v>
      </c>
      <c r="M40" s="193">
        <f>(L40/T40)</f>
        <v>0.03270741315120034</v>
      </c>
      <c r="N40" s="40">
        <v>709404.3525472984</v>
      </c>
      <c r="O40" s="193">
        <f>(N40/T40)</f>
        <v>0.23139439287701843</v>
      </c>
      <c r="P40" s="40">
        <v>374277.76583754935</v>
      </c>
      <c r="Q40" s="193">
        <f>(P40/T40)</f>
        <v>0.12208238655763294</v>
      </c>
      <c r="R40" s="40">
        <v>1243307.4357993775</v>
      </c>
      <c r="S40" s="193">
        <f>(R40/T40)</f>
        <v>0.40554356374222833</v>
      </c>
      <c r="T40" s="33">
        <v>3065780.2193345837</v>
      </c>
      <c r="U40" s="189"/>
      <c r="V40" s="190"/>
    </row>
    <row r="41" ht="12">
      <c r="T41" s="58"/>
    </row>
  </sheetData>
  <sheetProtection/>
  <mergeCells count="48">
    <mergeCell ref="A6:T6"/>
    <mergeCell ref="A11:A13"/>
    <mergeCell ref="B11:T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T13"/>
    <mergeCell ref="A19:A20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T19:T20"/>
    <mergeCell ref="A26:A2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T27"/>
    <mergeCell ref="A35:A36"/>
    <mergeCell ref="B35:C35"/>
    <mergeCell ref="D35:E35"/>
    <mergeCell ref="F35:G35"/>
    <mergeCell ref="H35:I35"/>
    <mergeCell ref="U35:U36"/>
    <mergeCell ref="V35:V36"/>
    <mergeCell ref="J35:K35"/>
    <mergeCell ref="L35:M35"/>
    <mergeCell ref="N35:O35"/>
    <mergeCell ref="P35:Q35"/>
    <mergeCell ref="R35:S35"/>
    <mergeCell ref="T35:T36"/>
  </mergeCells>
  <printOptions/>
  <pageMargins left="0.75" right="0.75" top="1" bottom="1" header="0" footer="0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T43"/>
  <sheetViews>
    <sheetView showGridLines="0" zoomScale="90" zoomScaleNormal="90" zoomScalePageLayoutView="0" workbookViewId="0" topLeftCell="A1">
      <selection activeCell="K16" activeCellId="4" sqref="C16 E16 G16 I16 K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34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2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10529.17</v>
      </c>
      <c r="C14" s="17">
        <f>B14/$L$14</f>
        <v>0.0008647753505306058</v>
      </c>
      <c r="D14" s="27">
        <v>102288.7</v>
      </c>
      <c r="E14" s="17">
        <f>D14/$L$14</f>
        <v>0.008401112946017584</v>
      </c>
      <c r="F14" s="27">
        <v>770635.1</v>
      </c>
      <c r="G14" s="17">
        <f>F14/$L$14</f>
        <v>0.06329333069308296</v>
      </c>
      <c r="H14" s="27">
        <v>8124937.1</v>
      </c>
      <c r="I14" s="17">
        <f>H14/$L$14</f>
        <v>0.667312364478076</v>
      </c>
      <c r="J14" s="27">
        <v>3167223</v>
      </c>
      <c r="K14" s="17">
        <f>J14/$L$14</f>
        <v>0.2601284222814901</v>
      </c>
      <c r="L14" s="30">
        <v>12175613</v>
      </c>
    </row>
    <row r="15" spans="1:12" ht="12">
      <c r="A15" s="21" t="s">
        <v>5</v>
      </c>
      <c r="B15" s="28">
        <v>300.07992</v>
      </c>
      <c r="C15" s="18">
        <f>B15/$L$15</f>
        <v>6.400011943507211E-05</v>
      </c>
      <c r="D15" s="28">
        <v>49023.18</v>
      </c>
      <c r="E15" s="18">
        <f>D15/$L$15</f>
        <v>0.01045551256840857</v>
      </c>
      <c r="F15" s="28">
        <v>313456.1</v>
      </c>
      <c r="G15" s="18">
        <f>F15/$L$15</f>
        <v>0.06685294983300417</v>
      </c>
      <c r="H15" s="28">
        <v>3181354.1</v>
      </c>
      <c r="I15" s="18">
        <f>H15/$L$15</f>
        <v>0.6785093863170063</v>
      </c>
      <c r="J15" s="28">
        <v>1144606.5</v>
      </c>
      <c r="K15" s="18">
        <f>J15/$L$15</f>
        <v>0.24411814261400716</v>
      </c>
      <c r="L15" s="31">
        <v>4688740</v>
      </c>
    </row>
    <row r="16" spans="1:12" ht="12">
      <c r="A16" s="22" t="s">
        <v>6</v>
      </c>
      <c r="B16" s="29">
        <v>10229.09</v>
      </c>
      <c r="C16" s="19">
        <f>B16/$L$16</f>
        <v>0.001366269985262606</v>
      </c>
      <c r="D16" s="29">
        <v>53265.54</v>
      </c>
      <c r="E16" s="19">
        <f>D16/$L$16</f>
        <v>0.007114524219730665</v>
      </c>
      <c r="F16" s="29">
        <v>457179</v>
      </c>
      <c r="G16" s="19">
        <f>F16/$L$16</f>
        <v>0.06106407760537574</v>
      </c>
      <c r="H16" s="29">
        <v>4943582.9</v>
      </c>
      <c r="I16" s="19">
        <f>H16/$L$16</f>
        <v>0.6603000790810787</v>
      </c>
      <c r="J16" s="29">
        <v>2022616.5</v>
      </c>
      <c r="K16" s="19">
        <f>J16/$L$16</f>
        <v>0.27015503975885474</v>
      </c>
      <c r="L16" s="32">
        <v>7486873.1</v>
      </c>
    </row>
    <row r="17" spans="1:8" ht="12">
      <c r="A17" s="4" t="s">
        <v>31</v>
      </c>
      <c r="B17" s="13"/>
      <c r="C17" s="13"/>
      <c r="D17" s="13"/>
      <c r="E17" s="13"/>
      <c r="F17" s="10"/>
      <c r="G17" s="10"/>
      <c r="H17" s="10"/>
    </row>
    <row r="18" spans="2:8" ht="12">
      <c r="B18" s="13"/>
      <c r="C18" s="13"/>
      <c r="D18" s="13"/>
      <c r="E18" s="13"/>
      <c r="F18" s="10"/>
      <c r="G18" s="10"/>
      <c r="H18" s="10"/>
    </row>
    <row r="19" spans="1:12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</row>
    <row r="20" spans="1:12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</row>
    <row r="21" spans="1:12" ht="12">
      <c r="A21" s="36" t="s">
        <v>16</v>
      </c>
      <c r="B21" s="37">
        <v>3249.855</v>
      </c>
      <c r="C21" s="38">
        <f>B21/$L$21</f>
        <v>0.004541443922193909</v>
      </c>
      <c r="D21" s="37">
        <v>991.33108</v>
      </c>
      <c r="E21" s="38">
        <f>D21/$L$21</f>
        <v>0.0013853155011986453</v>
      </c>
      <c r="F21" s="37">
        <v>59867.01</v>
      </c>
      <c r="G21" s="38">
        <f>F21/$L$21</f>
        <v>0.08365993827552982</v>
      </c>
      <c r="H21" s="37">
        <v>450707.4</v>
      </c>
      <c r="I21" s="38">
        <f>H21/$L$21</f>
        <v>0.6298319101676287</v>
      </c>
      <c r="J21" s="37">
        <v>200783.9</v>
      </c>
      <c r="K21" s="38">
        <f>J21/$L$21</f>
        <v>0.2805813866555245</v>
      </c>
      <c r="L21" s="39">
        <v>715599.5</v>
      </c>
    </row>
    <row r="22" spans="1:12" ht="12">
      <c r="A22" s="21" t="s">
        <v>17</v>
      </c>
      <c r="B22" s="28">
        <v>5864.07</v>
      </c>
      <c r="C22" s="18">
        <f>B22/$L$22</f>
        <v>0.0008144913617721875</v>
      </c>
      <c r="D22" s="28">
        <v>70489.52</v>
      </c>
      <c r="E22" s="18">
        <f>D22/$L$22</f>
        <v>0.009790658217836392</v>
      </c>
      <c r="F22" s="28">
        <v>443187.34</v>
      </c>
      <c r="G22" s="18">
        <f>F22/$L$22</f>
        <v>0.06155660830733493</v>
      </c>
      <c r="H22" s="28">
        <v>4709920.6</v>
      </c>
      <c r="I22" s="18">
        <f>H22/$L$22</f>
        <v>0.6541855133606657</v>
      </c>
      <c r="J22" s="28">
        <v>1970209.6</v>
      </c>
      <c r="K22" s="18">
        <f>J22/$L$22</f>
        <v>0.2736527190297246</v>
      </c>
      <c r="L22" s="31">
        <v>7199671.2</v>
      </c>
    </row>
    <row r="23" spans="1:12" ht="12">
      <c r="A23" s="22" t="s">
        <v>18</v>
      </c>
      <c r="B23" s="29">
        <v>1415.245</v>
      </c>
      <c r="C23" s="19">
        <f>B23/$L$23</f>
        <v>0.0003321904361489818</v>
      </c>
      <c r="D23" s="29">
        <v>30807.87</v>
      </c>
      <c r="E23" s="19">
        <f>D23/$L$23</f>
        <v>0.007231313145159412</v>
      </c>
      <c r="F23" s="29">
        <v>267580.7</v>
      </c>
      <c r="G23" s="19">
        <f>F23/$L$23</f>
        <v>0.06280732271659667</v>
      </c>
      <c r="H23" s="29">
        <v>2964309</v>
      </c>
      <c r="I23" s="19">
        <f>H23/$L$23</f>
        <v>0.6957912584678639</v>
      </c>
      <c r="J23" s="29">
        <v>996229.5</v>
      </c>
      <c r="K23" s="19">
        <f>J23/$L$23</f>
        <v>0.2338378952827829</v>
      </c>
      <c r="L23" s="32">
        <v>4260342.4</v>
      </c>
    </row>
    <row r="24" ht="12">
      <c r="A24" s="4" t="s">
        <v>31</v>
      </c>
    </row>
    <row r="26" spans="1:20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  <c r="O26" s="42"/>
      <c r="P26" s="42"/>
      <c r="Q26" s="42"/>
      <c r="S26" s="43"/>
      <c r="T26" s="43"/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2" ht="12">
      <c r="A28" s="36" t="s">
        <v>20</v>
      </c>
      <c r="B28" s="37">
        <v>444.97177</v>
      </c>
      <c r="C28" s="38">
        <f>B28/$L$28</f>
        <v>0.00031067958663727707</v>
      </c>
      <c r="D28" s="37">
        <v>13074.85</v>
      </c>
      <c r="E28" s="38">
        <f>D28/$L$28</f>
        <v>0.009128868991721434</v>
      </c>
      <c r="F28" s="37">
        <v>81869.78</v>
      </c>
      <c r="G28" s="38">
        <f>F28/$L$28</f>
        <v>0.057161535008130544</v>
      </c>
      <c r="H28" s="37">
        <v>1016305</v>
      </c>
      <c r="I28" s="38">
        <f>H28/$L$28</f>
        <v>0.7095848289373455</v>
      </c>
      <c r="J28" s="37">
        <v>320558.4</v>
      </c>
      <c r="K28" s="38">
        <f>J28/$L$28</f>
        <v>0.22381408871198036</v>
      </c>
      <c r="L28" s="45">
        <v>1432253</v>
      </c>
    </row>
    <row r="29" spans="1:12" ht="12">
      <c r="A29" s="21" t="s">
        <v>21</v>
      </c>
      <c r="B29" s="28">
        <v>1415.245</v>
      </c>
      <c r="C29" s="18">
        <f>B29/$L$29</f>
        <v>0.00042579222379255017</v>
      </c>
      <c r="D29" s="28">
        <v>31765.26</v>
      </c>
      <c r="E29" s="18">
        <f>D29/$L$29</f>
        <v>0.009556932329560284</v>
      </c>
      <c r="F29" s="28">
        <v>205930.7</v>
      </c>
      <c r="G29" s="18">
        <f>F29/$L$29</f>
        <v>0.06195654512127337</v>
      </c>
      <c r="H29" s="28">
        <v>2253492.8</v>
      </c>
      <c r="I29" s="18">
        <f>H29/$L$29</f>
        <v>0.6779884123332006</v>
      </c>
      <c r="J29" s="28">
        <v>831188.5</v>
      </c>
      <c r="K29" s="18">
        <f>J29/$L$29</f>
        <v>0.2500723194964788</v>
      </c>
      <c r="L29" s="46">
        <v>3323792.5</v>
      </c>
    </row>
    <row r="30" spans="1:12" ht="12">
      <c r="A30" s="23" t="s">
        <v>22</v>
      </c>
      <c r="B30" s="34">
        <v>1050.231</v>
      </c>
      <c r="C30" s="24">
        <f>B30/$L$30</f>
        <v>0.0002545871112619013</v>
      </c>
      <c r="D30" s="34">
        <v>20368.641</v>
      </c>
      <c r="E30" s="24">
        <f>D30/$L$30</f>
        <v>0.004937574183699323</v>
      </c>
      <c r="F30" s="34">
        <v>281919</v>
      </c>
      <c r="G30" s="24">
        <f>F30/$L$30</f>
        <v>0.06834014975738094</v>
      </c>
      <c r="H30" s="34">
        <v>2730729.4</v>
      </c>
      <c r="I30" s="24">
        <f>H30/$L$30</f>
        <v>0.6619577117643117</v>
      </c>
      <c r="J30" s="34">
        <v>1091165.1</v>
      </c>
      <c r="K30" s="24">
        <f>J30/$L$30</f>
        <v>0.2645099703958497</v>
      </c>
      <c r="L30" s="45">
        <v>4125232.4</v>
      </c>
    </row>
    <row r="31" spans="1:12" ht="12">
      <c r="A31" s="21" t="s">
        <v>23</v>
      </c>
      <c r="B31" s="28">
        <v>2541.185</v>
      </c>
      <c r="C31" s="18">
        <f>B31/$L$31</f>
        <v>0.001688457320819947</v>
      </c>
      <c r="D31" s="28">
        <v>22425.54</v>
      </c>
      <c r="E31" s="18">
        <f>D31/$L$31</f>
        <v>0.014900358370736706</v>
      </c>
      <c r="F31" s="28">
        <v>92293.93</v>
      </c>
      <c r="G31" s="18">
        <f>F31/$L$31</f>
        <v>0.06132350134907286</v>
      </c>
      <c r="H31" s="28">
        <v>983439.7</v>
      </c>
      <c r="I31" s="18">
        <f>H31/$L$31</f>
        <v>0.6534337173601971</v>
      </c>
      <c r="J31" s="28">
        <v>404333.2</v>
      </c>
      <c r="K31" s="18">
        <f>J31/$L$31</f>
        <v>0.26865393569950863</v>
      </c>
      <c r="L31" s="46">
        <v>1505033.6</v>
      </c>
    </row>
    <row r="32" spans="1:12" ht="12">
      <c r="A32" s="22" t="s">
        <v>24</v>
      </c>
      <c r="B32" s="29">
        <v>5077.537</v>
      </c>
      <c r="C32" s="19">
        <f>B32/$L$32</f>
        <v>0.0028377200355714205</v>
      </c>
      <c r="D32" s="29">
        <v>14654.43</v>
      </c>
      <c r="E32" s="19">
        <f>D32/$L$32</f>
        <v>0.008190027885740447</v>
      </c>
      <c r="F32" s="29">
        <v>108621.6</v>
      </c>
      <c r="G32" s="19">
        <f>F32/$L$32</f>
        <v>0.0607061436708043</v>
      </c>
      <c r="H32" s="29">
        <v>1140970.2</v>
      </c>
      <c r="I32" s="19">
        <f>H32/$L$32</f>
        <v>0.637662314726595</v>
      </c>
      <c r="J32" s="29">
        <v>519977.9</v>
      </c>
      <c r="K32" s="19">
        <f>J32/$L$32</f>
        <v>0.2906038311260662</v>
      </c>
      <c r="L32" s="32">
        <v>1789301.6</v>
      </c>
    </row>
    <row r="33" ht="12">
      <c r="A33" s="4" t="s">
        <v>31</v>
      </c>
    </row>
    <row r="35" spans="1:20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  <c r="O35" s="42"/>
      <c r="P35" s="42"/>
      <c r="Q35" s="42"/>
      <c r="S35" s="43"/>
      <c r="T35" s="43"/>
    </row>
    <row r="36" spans="1:12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</row>
    <row r="37" spans="1:12" ht="12">
      <c r="A37" s="36" t="s">
        <v>26</v>
      </c>
      <c r="B37" s="37">
        <v>0</v>
      </c>
      <c r="C37" s="38">
        <f>B37/$L$37</f>
        <v>0</v>
      </c>
      <c r="D37" s="37">
        <v>24327.87</v>
      </c>
      <c r="E37" s="38">
        <f>D37/$L$37</f>
        <v>0.019239885996264937</v>
      </c>
      <c r="F37" s="37">
        <v>71921.49</v>
      </c>
      <c r="G37" s="38">
        <f>F37/$L$37</f>
        <v>0.056879672091371285</v>
      </c>
      <c r="H37" s="37">
        <v>832032.46</v>
      </c>
      <c r="I37" s="38">
        <f>H37/$L$37</f>
        <v>0.6580193693731455</v>
      </c>
      <c r="J37" s="37">
        <v>336167.98</v>
      </c>
      <c r="K37" s="38">
        <f>J37/$L$37</f>
        <v>0.2658610725392182</v>
      </c>
      <c r="L37" s="45">
        <v>1264449.8</v>
      </c>
    </row>
    <row r="38" spans="1:12" ht="12">
      <c r="A38" s="21" t="s">
        <v>27</v>
      </c>
      <c r="B38" s="28">
        <v>178.66494</v>
      </c>
      <c r="C38" s="18">
        <f>B38/$L$38</f>
        <v>7.13963930753088E-05</v>
      </c>
      <c r="D38" s="28">
        <v>16055.82</v>
      </c>
      <c r="E38" s="18">
        <f>D38/$L$38</f>
        <v>0.006416074893408883</v>
      </c>
      <c r="F38" s="28">
        <v>213827.8</v>
      </c>
      <c r="G38" s="18">
        <f>F38/$L$38</f>
        <v>0.08544784253266766</v>
      </c>
      <c r="H38" s="28">
        <v>1711472.4</v>
      </c>
      <c r="I38" s="18">
        <f>H38/$L$38</f>
        <v>0.6839224092199742</v>
      </c>
      <c r="J38" s="28">
        <v>560901.8</v>
      </c>
      <c r="K38" s="18">
        <f>J38/$L$38</f>
        <v>0.22414227094273922</v>
      </c>
      <c r="L38" s="46">
        <v>2502436.5</v>
      </c>
    </row>
    <row r="39" spans="1:12" ht="12">
      <c r="A39" s="23" t="s">
        <v>28</v>
      </c>
      <c r="B39" s="34">
        <v>8490.288</v>
      </c>
      <c r="C39" s="24">
        <f>B39/$L$39</f>
        <v>0.0028951470592748466</v>
      </c>
      <c r="D39" s="34">
        <v>15601.29</v>
      </c>
      <c r="E39" s="24">
        <f>D39/$L$39</f>
        <v>0.005319964277347726</v>
      </c>
      <c r="F39" s="34">
        <v>162024.5</v>
      </c>
      <c r="G39" s="24">
        <f>F39/$L$39</f>
        <v>0.05524956923787242</v>
      </c>
      <c r="H39" s="34">
        <v>2037865.9</v>
      </c>
      <c r="I39" s="24">
        <f>H39/$L$39</f>
        <v>0.6949023952522563</v>
      </c>
      <c r="J39" s="34">
        <v>708611.1</v>
      </c>
      <c r="K39" s="24">
        <f>J39/$L$39</f>
        <v>0.24163295077087069</v>
      </c>
      <c r="L39" s="45">
        <v>2932593</v>
      </c>
    </row>
    <row r="40" spans="1:12" ht="12">
      <c r="A40" s="25" t="s">
        <v>29</v>
      </c>
      <c r="B40" s="40">
        <v>1860.217</v>
      </c>
      <c r="C40" s="26">
        <f>B40/$L$40</f>
        <v>0.0003396953156988239</v>
      </c>
      <c r="D40" s="40">
        <v>46303.74</v>
      </c>
      <c r="E40" s="26">
        <f>D40/$L$40</f>
        <v>0.008455553076515406</v>
      </c>
      <c r="F40" s="40">
        <v>322861.3</v>
      </c>
      <c r="G40" s="26">
        <f>F40/$L$40</f>
        <v>0.058957891058103805</v>
      </c>
      <c r="H40" s="40">
        <v>3543566.3</v>
      </c>
      <c r="I40" s="26">
        <f>H40/$L$40</f>
        <v>0.6470927171282777</v>
      </c>
      <c r="J40" s="40">
        <v>1561542.2</v>
      </c>
      <c r="K40" s="26">
        <f>J40/$L$40</f>
        <v>0.28515413556914915</v>
      </c>
      <c r="L40" s="33">
        <v>5476133.8</v>
      </c>
    </row>
    <row r="41" ht="12">
      <c r="A41" s="4" t="s">
        <v>31</v>
      </c>
    </row>
    <row r="43" spans="15:20" ht="12">
      <c r="O43" s="42"/>
      <c r="P43" s="42"/>
      <c r="Q43" s="42"/>
      <c r="S43" s="43"/>
      <c r="T43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U42"/>
  <sheetViews>
    <sheetView showGridLines="0" zoomScale="80" zoomScaleNormal="80" zoomScalePageLayoutView="0" workbookViewId="0" topLeftCell="A1">
      <selection activeCell="K16" activeCellId="4" sqref="C16 E16 G16 I16 K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8" width="13.140625" style="4" customWidth="1"/>
    <col min="9" max="16384" width="11.421875" style="4" customWidth="1"/>
  </cols>
  <sheetData>
    <row r="1" ht="12"/>
    <row r="2" ht="12"/>
    <row r="3" ht="12"/>
    <row r="4" ht="12"/>
    <row r="5" ht="12"/>
    <row r="6" spans="1:12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15" customHeight="1">
      <c r="A7" s="11" t="s">
        <v>35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5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>
      <c r="A9" s="11" t="s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" customHeight="1">
      <c r="A10" s="12" t="s">
        <v>202</v>
      </c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4.25">
      <c r="A11" s="228" t="s">
        <v>14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  <row r="12" spans="1:15" ht="20.25" customHeight="1">
      <c r="A12" s="229"/>
      <c r="B12" s="220" t="s">
        <v>7</v>
      </c>
      <c r="C12" s="221"/>
      <c r="D12" s="220" t="s">
        <v>8</v>
      </c>
      <c r="E12" s="221"/>
      <c r="F12" s="220" t="s">
        <v>9</v>
      </c>
      <c r="G12" s="221"/>
      <c r="H12" s="220" t="s">
        <v>10</v>
      </c>
      <c r="I12" s="221"/>
      <c r="J12" s="220" t="s">
        <v>11</v>
      </c>
      <c r="K12" s="221"/>
      <c r="L12" s="223" t="s">
        <v>12</v>
      </c>
      <c r="O12" s="47"/>
    </row>
    <row r="13" spans="1:12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15" t="s">
        <v>30</v>
      </c>
      <c r="I13" s="16" t="s">
        <v>13</v>
      </c>
      <c r="J13" s="15" t="s">
        <v>30</v>
      </c>
      <c r="K13" s="16" t="s">
        <v>13</v>
      </c>
      <c r="L13" s="224"/>
    </row>
    <row r="14" spans="1:12" ht="24">
      <c r="A14" s="20" t="s">
        <v>3</v>
      </c>
      <c r="B14" s="27">
        <v>303571.4</v>
      </c>
      <c r="C14" s="17">
        <f>B14/$L$14</f>
        <v>0.024932740552775456</v>
      </c>
      <c r="D14" s="27">
        <v>3943852.9</v>
      </c>
      <c r="E14" s="17">
        <f>D14/$L$14</f>
        <v>0.32391411422160016</v>
      </c>
      <c r="F14" s="27">
        <v>3599921</v>
      </c>
      <c r="G14" s="17">
        <f>F14/$L$14</f>
        <v>0.29566650976833775</v>
      </c>
      <c r="H14" s="27">
        <v>3396583.3</v>
      </c>
      <c r="I14" s="17">
        <f>H14/$L$14</f>
        <v>0.27896610215847034</v>
      </c>
      <c r="J14" s="27">
        <v>930841.1</v>
      </c>
      <c r="K14" s="17">
        <f>J14/$L$14</f>
        <v>0.07645127189900007</v>
      </c>
      <c r="L14" s="30">
        <v>12175613</v>
      </c>
    </row>
    <row r="15" spans="1:12" ht="12">
      <c r="A15" s="21" t="s">
        <v>5</v>
      </c>
      <c r="B15" s="28">
        <v>101282.7</v>
      </c>
      <c r="C15" s="18">
        <f>B15/$L$15</f>
        <v>0.021601261746226064</v>
      </c>
      <c r="D15" s="28">
        <v>1460537.9</v>
      </c>
      <c r="E15" s="18">
        <f>D15/$L$15</f>
        <v>0.31149901679342423</v>
      </c>
      <c r="F15" s="28">
        <v>1430387.6</v>
      </c>
      <c r="G15" s="18">
        <f>F15/$L$15</f>
        <v>0.3050686538387712</v>
      </c>
      <c r="H15" s="28">
        <v>1361142.6</v>
      </c>
      <c r="I15" s="18">
        <f>H15/$L$15</f>
        <v>0.29030029389558815</v>
      </c>
      <c r="J15" s="28">
        <v>335389.2</v>
      </c>
      <c r="K15" s="18">
        <f>J15/$L$15</f>
        <v>0.07153077372599036</v>
      </c>
      <c r="L15" s="31">
        <v>4688740</v>
      </c>
    </row>
    <row r="16" spans="1:12" ht="12">
      <c r="A16" s="22" t="s">
        <v>6</v>
      </c>
      <c r="B16" s="29">
        <v>202288.7</v>
      </c>
      <c r="C16" s="19">
        <f>B16/$L$16</f>
        <v>0.027019116966200483</v>
      </c>
      <c r="D16" s="29">
        <v>2483315.1</v>
      </c>
      <c r="E16" s="19">
        <f>D16/$L$16</f>
        <v>0.33168922016322144</v>
      </c>
      <c r="F16" s="29">
        <v>2169533.4</v>
      </c>
      <c r="G16" s="19">
        <f>F16/$L$16</f>
        <v>0.28977830544503286</v>
      </c>
      <c r="H16" s="29">
        <v>2035440.7</v>
      </c>
      <c r="I16" s="19">
        <f>H16/$L$16</f>
        <v>0.2718679310859429</v>
      </c>
      <c r="J16" s="29">
        <v>595451.9</v>
      </c>
      <c r="K16" s="19">
        <f>J16/$L$16</f>
        <v>0.07953278919606639</v>
      </c>
      <c r="L16" s="32">
        <v>7486873.1</v>
      </c>
    </row>
    <row r="17" spans="1:8" ht="12">
      <c r="A17" s="4" t="s">
        <v>31</v>
      </c>
      <c r="B17" s="13"/>
      <c r="C17" s="13"/>
      <c r="D17" s="13"/>
      <c r="E17" s="13"/>
      <c r="F17" s="10"/>
      <c r="G17" s="10"/>
      <c r="H17" s="10"/>
    </row>
    <row r="18" spans="2:8" ht="12">
      <c r="B18" s="13"/>
      <c r="C18" s="13"/>
      <c r="D18" s="13"/>
      <c r="E18" s="13"/>
      <c r="F18" s="10"/>
      <c r="G18" s="10"/>
      <c r="H18" s="10"/>
    </row>
    <row r="19" spans="1:12" ht="12">
      <c r="A19" s="222" t="s">
        <v>15</v>
      </c>
      <c r="B19" s="220" t="s">
        <v>7</v>
      </c>
      <c r="C19" s="221"/>
      <c r="D19" s="220" t="s">
        <v>8</v>
      </c>
      <c r="E19" s="221"/>
      <c r="F19" s="220" t="s">
        <v>9</v>
      </c>
      <c r="G19" s="221"/>
      <c r="H19" s="220" t="s">
        <v>10</v>
      </c>
      <c r="I19" s="221"/>
      <c r="J19" s="220" t="s">
        <v>11</v>
      </c>
      <c r="K19" s="221"/>
      <c r="L19" s="225" t="s">
        <v>12</v>
      </c>
    </row>
    <row r="20" spans="1:15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15" t="s">
        <v>30</v>
      </c>
      <c r="I20" s="16" t="s">
        <v>13</v>
      </c>
      <c r="J20" s="15" t="s">
        <v>30</v>
      </c>
      <c r="K20" s="16" t="s">
        <v>13</v>
      </c>
      <c r="L20" s="225"/>
      <c r="O20" s="47"/>
    </row>
    <row r="21" spans="1:12" ht="12">
      <c r="A21" s="36" t="s">
        <v>16</v>
      </c>
      <c r="B21" s="37">
        <v>12300.55</v>
      </c>
      <c r="C21" s="38">
        <f>B21/$L$21</f>
        <v>0.017189153989067906</v>
      </c>
      <c r="D21" s="37">
        <v>265852.6</v>
      </c>
      <c r="E21" s="38">
        <f>D21/$L$21</f>
        <v>0.3715103210664624</v>
      </c>
      <c r="F21" s="37">
        <v>243857.3</v>
      </c>
      <c r="G21" s="38">
        <f>F21/$L$21</f>
        <v>0.34077343542023153</v>
      </c>
      <c r="H21" s="37">
        <v>156811.7</v>
      </c>
      <c r="I21" s="38">
        <f>H21/$L$21</f>
        <v>0.21913332806968144</v>
      </c>
      <c r="J21" s="37">
        <v>36777.4</v>
      </c>
      <c r="K21" s="38">
        <f>J21/$L$21</f>
        <v>0.051393831326042014</v>
      </c>
      <c r="L21" s="39">
        <v>715599.5</v>
      </c>
    </row>
    <row r="22" spans="1:12" ht="12">
      <c r="A22" s="21" t="s">
        <v>17</v>
      </c>
      <c r="B22" s="28">
        <v>219242.5</v>
      </c>
      <c r="C22" s="18">
        <f>B22/$L$22</f>
        <v>0.030451737851584112</v>
      </c>
      <c r="D22" s="28">
        <v>2297262.2</v>
      </c>
      <c r="E22" s="18">
        <f>D22/$L$22</f>
        <v>0.31907876570807847</v>
      </c>
      <c r="F22" s="28">
        <v>2063717.4</v>
      </c>
      <c r="G22" s="18">
        <f>F22/$L$22</f>
        <v>0.28664050658313395</v>
      </c>
      <c r="H22" s="28">
        <v>2051398.1</v>
      </c>
      <c r="I22" s="18">
        <f>H22/$L$22</f>
        <v>0.28492941455437576</v>
      </c>
      <c r="J22" s="28">
        <v>567207.7</v>
      </c>
      <c r="K22" s="18">
        <f>J22/$L$22</f>
        <v>0.07878244495387511</v>
      </c>
      <c r="L22" s="31">
        <v>7199671.2</v>
      </c>
    </row>
    <row r="23" spans="1:12" ht="12">
      <c r="A23" s="22" t="s">
        <v>18</v>
      </c>
      <c r="B23" s="29">
        <v>72028.355</v>
      </c>
      <c r="C23" s="19">
        <f>B23/$L$23</f>
        <v>0.0169067056676008</v>
      </c>
      <c r="D23" s="29">
        <v>1380738.1</v>
      </c>
      <c r="E23" s="19">
        <f>D23/$L$23</f>
        <v>0.3240908758882854</v>
      </c>
      <c r="F23" s="29">
        <v>1292346.3</v>
      </c>
      <c r="G23" s="19">
        <f>F23/$L$23</f>
        <v>0.3033432946610113</v>
      </c>
      <c r="H23" s="29">
        <v>1188373.5</v>
      </c>
      <c r="I23" s="19">
        <f>H23/$L$23</f>
        <v>0.27893849564767376</v>
      </c>
      <c r="J23" s="29">
        <v>326856</v>
      </c>
      <c r="K23" s="19">
        <f>J23/$L$23</f>
        <v>0.07672059410060561</v>
      </c>
      <c r="L23" s="32">
        <v>4260342.4</v>
      </c>
    </row>
    <row r="24" ht="12">
      <c r="A24" s="4" t="s">
        <v>31</v>
      </c>
    </row>
    <row r="26" spans="1:21" ht="12">
      <c r="A26" s="222" t="s">
        <v>19</v>
      </c>
      <c r="B26" s="220" t="s">
        <v>7</v>
      </c>
      <c r="C26" s="221"/>
      <c r="D26" s="220" t="s">
        <v>8</v>
      </c>
      <c r="E26" s="221"/>
      <c r="F26" s="220" t="s">
        <v>9</v>
      </c>
      <c r="G26" s="221"/>
      <c r="H26" s="220" t="s">
        <v>10</v>
      </c>
      <c r="I26" s="221"/>
      <c r="J26" s="220" t="s">
        <v>11</v>
      </c>
      <c r="K26" s="221"/>
      <c r="L26" s="225" t="s">
        <v>12</v>
      </c>
      <c r="P26" s="42"/>
      <c r="R26" s="43"/>
      <c r="T26" s="42"/>
      <c r="U26" s="43"/>
    </row>
    <row r="27" spans="1:12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15" t="s">
        <v>30</v>
      </c>
      <c r="I27" s="16" t="s">
        <v>13</v>
      </c>
      <c r="J27" s="15" t="s">
        <v>30</v>
      </c>
      <c r="K27" s="16" t="s">
        <v>13</v>
      </c>
      <c r="L27" s="225"/>
    </row>
    <row r="28" spans="1:15" ht="12">
      <c r="A28" s="36" t="s">
        <v>20</v>
      </c>
      <c r="B28" s="37">
        <v>25921.14</v>
      </c>
      <c r="C28" s="38">
        <f>B28/$L$28</f>
        <v>0.018098157238979427</v>
      </c>
      <c r="D28" s="37">
        <v>455694.98</v>
      </c>
      <c r="E28" s="38">
        <f>D28/$L$28</f>
        <v>0.31816653901231134</v>
      </c>
      <c r="F28" s="37">
        <v>391815.6</v>
      </c>
      <c r="G28" s="38">
        <f>F28/$L$28</f>
        <v>0.27356591328487356</v>
      </c>
      <c r="H28" s="37">
        <v>473580.48</v>
      </c>
      <c r="I28" s="38">
        <f>H28/$L$28</f>
        <v>0.3306542070430294</v>
      </c>
      <c r="J28" s="37">
        <v>85240.76</v>
      </c>
      <c r="K28" s="38">
        <f>J28/$L$28</f>
        <v>0.05951515549277955</v>
      </c>
      <c r="L28" s="45">
        <v>1432253</v>
      </c>
      <c r="O28" s="47"/>
    </row>
    <row r="29" spans="1:12" ht="12">
      <c r="A29" s="21" t="s">
        <v>21</v>
      </c>
      <c r="B29" s="28">
        <v>47950.32</v>
      </c>
      <c r="C29" s="18">
        <f>B29/$L$29</f>
        <v>0.014426387928849349</v>
      </c>
      <c r="D29" s="28">
        <v>1131528.7</v>
      </c>
      <c r="E29" s="18">
        <f>D29/$L$29</f>
        <v>0.34043301439545337</v>
      </c>
      <c r="F29" s="28">
        <v>1013954</v>
      </c>
      <c r="G29" s="18">
        <f>F29/$L$29</f>
        <v>0.30505935614211777</v>
      </c>
      <c r="H29" s="28">
        <v>888753.1</v>
      </c>
      <c r="I29" s="18">
        <f>H29/$L$29</f>
        <v>0.26739127066445934</v>
      </c>
      <c r="J29" s="28">
        <v>240763.1</v>
      </c>
      <c r="K29" s="18">
        <f>J29/$L$29</f>
        <v>0.0724362606871518</v>
      </c>
      <c r="L29" s="46">
        <v>3323792.5</v>
      </c>
    </row>
    <row r="30" spans="1:12" ht="12">
      <c r="A30" s="23" t="s">
        <v>22</v>
      </c>
      <c r="B30" s="34">
        <v>130665.6</v>
      </c>
      <c r="C30" s="24">
        <f>B30/$L$30</f>
        <v>0.031674724556124405</v>
      </c>
      <c r="D30" s="34">
        <v>1381079</v>
      </c>
      <c r="E30" s="24">
        <f>D30/$L$30</f>
        <v>0.3347881685405167</v>
      </c>
      <c r="F30" s="34">
        <v>1224027</v>
      </c>
      <c r="G30" s="24">
        <f>F30/$L$30</f>
        <v>0.2967171013201584</v>
      </c>
      <c r="H30" s="34">
        <v>1117537.6</v>
      </c>
      <c r="I30" s="24">
        <f>H30/$L$30</f>
        <v>0.2709029435529499</v>
      </c>
      <c r="J30" s="34">
        <v>271923.3</v>
      </c>
      <c r="K30" s="24">
        <f>J30/$L$30</f>
        <v>0.06591708627130922</v>
      </c>
      <c r="L30" s="45">
        <v>4125232.4</v>
      </c>
    </row>
    <row r="31" spans="1:12" ht="12">
      <c r="A31" s="21" t="s">
        <v>23</v>
      </c>
      <c r="B31" s="28">
        <v>39181.98</v>
      </c>
      <c r="C31" s="18">
        <f>B31/$L$31</f>
        <v>0.026033956982754406</v>
      </c>
      <c r="D31" s="28">
        <v>458381.1</v>
      </c>
      <c r="E31" s="18">
        <f>D31/$L$31</f>
        <v>0.3045653598697065</v>
      </c>
      <c r="F31" s="28">
        <v>536087.7</v>
      </c>
      <c r="G31" s="18">
        <f>F31/$L$31</f>
        <v>0.3561964995332994</v>
      </c>
      <c r="H31" s="28">
        <v>337587.9</v>
      </c>
      <c r="I31" s="18">
        <f>H31/$L$31</f>
        <v>0.22430588925057887</v>
      </c>
      <c r="J31" s="28">
        <v>133794.9</v>
      </c>
      <c r="K31" s="18">
        <f>J31/$L$31</f>
        <v>0.08889828107492084</v>
      </c>
      <c r="L31" s="46">
        <v>1505033.6</v>
      </c>
    </row>
    <row r="32" spans="1:12" ht="12">
      <c r="A32" s="22" t="s">
        <v>24</v>
      </c>
      <c r="B32" s="29">
        <v>59852.4</v>
      </c>
      <c r="C32" s="19">
        <f>B32/$L$32</f>
        <v>0.03345014613522952</v>
      </c>
      <c r="D32" s="29">
        <v>517169.2</v>
      </c>
      <c r="E32" s="19">
        <f>D32/$L$32</f>
        <v>0.28903411252748</v>
      </c>
      <c r="F32" s="29">
        <v>434036.8</v>
      </c>
      <c r="G32" s="19">
        <f>F32/$L$32</f>
        <v>0.24257330346097045</v>
      </c>
      <c r="H32" s="29">
        <v>579124.1</v>
      </c>
      <c r="I32" s="19">
        <f>H32/$L$32</f>
        <v>0.32365929813062255</v>
      </c>
      <c r="J32" s="29">
        <v>199119.1</v>
      </c>
      <c r="K32" s="19">
        <f>J32/$L$32</f>
        <v>0.11128313974569742</v>
      </c>
      <c r="L32" s="32">
        <v>1789301.6</v>
      </c>
    </row>
    <row r="33" ht="12">
      <c r="A33" s="4" t="s">
        <v>31</v>
      </c>
    </row>
    <row r="35" spans="1:15" ht="12">
      <c r="A35" s="222" t="s">
        <v>25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10</v>
      </c>
      <c r="I35" s="221"/>
      <c r="J35" s="220" t="s">
        <v>11</v>
      </c>
      <c r="K35" s="221"/>
      <c r="L35" s="225" t="s">
        <v>12</v>
      </c>
      <c r="O35" s="47"/>
    </row>
    <row r="36" spans="1:21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15" t="s">
        <v>30</v>
      </c>
      <c r="I36" s="16" t="s">
        <v>13</v>
      </c>
      <c r="J36" s="15" t="s">
        <v>30</v>
      </c>
      <c r="K36" s="16" t="s">
        <v>13</v>
      </c>
      <c r="L36" s="225"/>
      <c r="P36" s="42"/>
      <c r="R36" s="43"/>
      <c r="T36" s="42"/>
      <c r="U36" s="43"/>
    </row>
    <row r="37" spans="1:12" ht="12">
      <c r="A37" s="36" t="s">
        <v>26</v>
      </c>
      <c r="B37" s="37">
        <v>48110.07</v>
      </c>
      <c r="C37" s="38">
        <f>B37/$L$37</f>
        <v>0.038048224611210345</v>
      </c>
      <c r="D37" s="37">
        <v>403618</v>
      </c>
      <c r="E37" s="38">
        <f>D37/$L$37</f>
        <v>0.3192044476577876</v>
      </c>
      <c r="F37" s="37">
        <v>398343</v>
      </c>
      <c r="G37" s="38">
        <f>F37/$L$37</f>
        <v>0.3150326727087149</v>
      </c>
      <c r="H37" s="37">
        <v>302272.6</v>
      </c>
      <c r="I37" s="38">
        <f>H37/$L$37</f>
        <v>0.23905464653480113</v>
      </c>
      <c r="J37" s="37">
        <v>112106.1</v>
      </c>
      <c r="K37" s="38">
        <f>J37/$L$37</f>
        <v>0.08865998476175171</v>
      </c>
      <c r="L37" s="45">
        <v>1264449.8</v>
      </c>
    </row>
    <row r="38" spans="1:12" ht="12">
      <c r="A38" s="21" t="s">
        <v>27</v>
      </c>
      <c r="B38" s="28">
        <v>41318.48</v>
      </c>
      <c r="C38" s="18">
        <f>B38/$L$38</f>
        <v>0.016511300086935275</v>
      </c>
      <c r="D38" s="28">
        <v>806716</v>
      </c>
      <c r="E38" s="18">
        <f>D38/$L$38</f>
        <v>0.3223722160382491</v>
      </c>
      <c r="F38" s="28">
        <v>778946</v>
      </c>
      <c r="G38" s="18">
        <f>F38/$L$38</f>
        <v>0.31127503135444196</v>
      </c>
      <c r="H38" s="28">
        <v>661808.5</v>
      </c>
      <c r="I38" s="18">
        <f>H38/$L$38</f>
        <v>0.2644656517757793</v>
      </c>
      <c r="J38" s="28">
        <v>213647.52</v>
      </c>
      <c r="K38" s="18">
        <f>J38/$L$38</f>
        <v>0.08537580074459432</v>
      </c>
      <c r="L38" s="46">
        <v>2502436.5</v>
      </c>
    </row>
    <row r="39" spans="1:12" ht="12">
      <c r="A39" s="23" t="s">
        <v>28</v>
      </c>
      <c r="B39" s="34">
        <v>66039.58</v>
      </c>
      <c r="C39" s="24">
        <f>B39/$L$39</f>
        <v>0.02251917671494135</v>
      </c>
      <c r="D39" s="34">
        <v>916112.4</v>
      </c>
      <c r="E39" s="24">
        <f>D39/$L$39</f>
        <v>0.31238988840251614</v>
      </c>
      <c r="F39" s="34">
        <v>864337</v>
      </c>
      <c r="G39" s="24">
        <f>F39/$L$39</f>
        <v>0.29473472793531186</v>
      </c>
      <c r="H39" s="34">
        <v>898978.4</v>
      </c>
      <c r="I39" s="24">
        <f>H39/$L$39</f>
        <v>0.3065472774435457</v>
      </c>
      <c r="J39" s="34">
        <v>187125.5</v>
      </c>
      <c r="K39" s="24">
        <f>J39/$L$39</f>
        <v>0.06380888858426655</v>
      </c>
      <c r="L39" s="45">
        <v>2932593</v>
      </c>
    </row>
    <row r="40" spans="1:12" ht="12">
      <c r="A40" s="25" t="s">
        <v>29</v>
      </c>
      <c r="B40" s="40">
        <v>148103.3</v>
      </c>
      <c r="C40" s="26">
        <f>B40/$L$40</f>
        <v>0.02704523034115784</v>
      </c>
      <c r="D40" s="40">
        <v>1817406.5</v>
      </c>
      <c r="E40" s="26">
        <f>D40/$L$40</f>
        <v>0.33187766522432305</v>
      </c>
      <c r="F40" s="40">
        <v>1558295</v>
      </c>
      <c r="G40" s="26">
        <f>F40/$L$40</f>
        <v>0.28456116247561375</v>
      </c>
      <c r="H40" s="40">
        <v>1533523.8</v>
      </c>
      <c r="I40" s="26">
        <f>H40/$L$40</f>
        <v>0.2800376791377888</v>
      </c>
      <c r="J40" s="40">
        <v>417962</v>
      </c>
      <c r="K40" s="26">
        <f>J40/$L$40</f>
        <v>0.07632428557534515</v>
      </c>
      <c r="L40" s="33">
        <v>5476133.8</v>
      </c>
    </row>
    <row r="41" ht="12">
      <c r="A41" s="4" t="s">
        <v>31</v>
      </c>
    </row>
    <row r="42" spans="16:21" ht="12">
      <c r="P42" s="42"/>
      <c r="R42" s="43"/>
      <c r="T42" s="42"/>
      <c r="U42" s="43"/>
    </row>
  </sheetData>
  <sheetProtection/>
  <mergeCells count="30">
    <mergeCell ref="L26:L27"/>
    <mergeCell ref="A19:A20"/>
    <mergeCell ref="B19:C19"/>
    <mergeCell ref="L35:L36"/>
    <mergeCell ref="A35:A36"/>
    <mergeCell ref="B35:C35"/>
    <mergeCell ref="D35:E35"/>
    <mergeCell ref="F35:G35"/>
    <mergeCell ref="H35:I35"/>
    <mergeCell ref="J35:K35"/>
    <mergeCell ref="F12:G12"/>
    <mergeCell ref="H12:I12"/>
    <mergeCell ref="J12:K12"/>
    <mergeCell ref="L12:L13"/>
    <mergeCell ref="A26:A27"/>
    <mergeCell ref="B26:C26"/>
    <mergeCell ref="D26:E26"/>
    <mergeCell ref="F26:G26"/>
    <mergeCell ref="H26:I26"/>
    <mergeCell ref="J26:K26"/>
    <mergeCell ref="D19:E19"/>
    <mergeCell ref="F19:G19"/>
    <mergeCell ref="H19:I19"/>
    <mergeCell ref="J19:K19"/>
    <mergeCell ref="L19:L20"/>
    <mergeCell ref="A6:L6"/>
    <mergeCell ref="A11:A13"/>
    <mergeCell ref="B11:L11"/>
    <mergeCell ref="B12:C12"/>
    <mergeCell ref="D12:E12"/>
  </mergeCells>
  <printOptions/>
  <pageMargins left="0.75" right="0.75" top="1" bottom="1" header="0" footer="0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1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11" t="s">
        <v>46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ht="14.25">
      <c r="A11" s="228" t="s">
        <v>14</v>
      </c>
      <c r="B11" s="226"/>
      <c r="C11" s="226"/>
      <c r="D11" s="226"/>
      <c r="E11" s="226"/>
      <c r="F11" s="226"/>
      <c r="G11" s="226"/>
      <c r="H11" s="226"/>
    </row>
    <row r="12" spans="1:8" ht="20.25" customHeight="1">
      <c r="A12" s="229"/>
      <c r="B12" s="220" t="s">
        <v>45</v>
      </c>
      <c r="C12" s="221"/>
      <c r="D12" s="220" t="s">
        <v>43</v>
      </c>
      <c r="E12" s="221"/>
      <c r="F12" s="220" t="s">
        <v>44</v>
      </c>
      <c r="G12" s="221"/>
      <c r="H12" s="223" t="s">
        <v>12</v>
      </c>
    </row>
    <row r="13" spans="1:8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224"/>
    </row>
    <row r="14" spans="1:8" ht="24">
      <c r="A14" s="20" t="s">
        <v>3</v>
      </c>
      <c r="B14" s="27">
        <v>518319.3</v>
      </c>
      <c r="C14" s="17">
        <f>B14/$H$14</f>
        <v>0.042573231362892275</v>
      </c>
      <c r="D14" s="27">
        <v>1603577.4</v>
      </c>
      <c r="E14" s="17">
        <f>D14/$H$14</f>
        <v>0.1317131576202261</v>
      </c>
      <c r="F14" s="27">
        <v>10052873</v>
      </c>
      <c r="G14" s="17">
        <f>F14/$H$14</f>
        <v>0.8257135863757591</v>
      </c>
      <c r="H14" s="30">
        <v>12174770</v>
      </c>
    </row>
    <row r="15" spans="1:8" ht="12">
      <c r="A15" s="21" t="s">
        <v>5</v>
      </c>
      <c r="B15" s="28">
        <v>248591.3</v>
      </c>
      <c r="C15" s="18">
        <f>B15/$H$15</f>
        <v>0.053018785430627415</v>
      </c>
      <c r="D15" s="28">
        <v>774209.6</v>
      </c>
      <c r="E15" s="18">
        <f>D15/$H$15</f>
        <v>0.16512103464896752</v>
      </c>
      <c r="F15" s="28">
        <v>3665939.2</v>
      </c>
      <c r="G15" s="18">
        <f>F15/$H$15</f>
        <v>0.7818602012480965</v>
      </c>
      <c r="H15" s="31">
        <v>4688740</v>
      </c>
    </row>
    <row r="16" spans="1:8" ht="12">
      <c r="A16" s="22" t="s">
        <v>6</v>
      </c>
      <c r="B16" s="29">
        <v>269728</v>
      </c>
      <c r="C16" s="19">
        <f>B16/$H$16</f>
        <v>0.03603084823454548</v>
      </c>
      <c r="D16" s="29">
        <v>829367.8</v>
      </c>
      <c r="E16" s="19">
        <f>D16/$H$16</f>
        <v>0.11078874025840427</v>
      </c>
      <c r="F16" s="29">
        <v>6386933.9</v>
      </c>
      <c r="G16" s="19">
        <f>F16/$H$16</f>
        <v>0.8531804115070503</v>
      </c>
      <c r="H16" s="32">
        <v>7486029.7</v>
      </c>
    </row>
    <row r="17" spans="1:7" ht="12">
      <c r="A17" s="4" t="s">
        <v>31</v>
      </c>
      <c r="B17" s="13"/>
      <c r="C17" s="13"/>
      <c r="D17" s="13"/>
      <c r="E17" s="13"/>
      <c r="F17" s="13"/>
      <c r="G17" s="13"/>
    </row>
    <row r="18" spans="2:7" ht="12">
      <c r="B18" s="13"/>
      <c r="C18" s="13"/>
      <c r="D18" s="13"/>
      <c r="E18" s="13"/>
      <c r="F18" s="13"/>
      <c r="G18" s="13"/>
    </row>
    <row r="19" spans="1:8" ht="12">
      <c r="A19" s="222" t="s">
        <v>15</v>
      </c>
      <c r="B19" s="220" t="s">
        <v>45</v>
      </c>
      <c r="C19" s="221"/>
      <c r="D19" s="220" t="s">
        <v>43</v>
      </c>
      <c r="E19" s="221"/>
      <c r="F19" s="220" t="s">
        <v>44</v>
      </c>
      <c r="G19" s="221"/>
      <c r="H19" s="225" t="s">
        <v>12</v>
      </c>
    </row>
    <row r="20" spans="1:8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225"/>
    </row>
    <row r="21" spans="1:8" ht="12">
      <c r="A21" s="36" t="s">
        <v>16</v>
      </c>
      <c r="B21" s="37">
        <v>42148.295</v>
      </c>
      <c r="C21" s="38">
        <f>B21/$H$21</f>
        <v>0.05889927955511427</v>
      </c>
      <c r="D21" s="37">
        <v>94268.11</v>
      </c>
      <c r="E21" s="38">
        <f>D21/$H$21</f>
        <v>0.1317330573875471</v>
      </c>
      <c r="F21" s="37">
        <v>579183.1</v>
      </c>
      <c r="G21" s="38">
        <f>F21/$H$21</f>
        <v>0.8093676700444872</v>
      </c>
      <c r="H21" s="39">
        <v>715599.5</v>
      </c>
    </row>
    <row r="22" spans="1:8" ht="12">
      <c r="A22" s="21" t="s">
        <v>17</v>
      </c>
      <c r="B22" s="28">
        <v>267580.7</v>
      </c>
      <c r="C22" s="18">
        <f>B22/$H$22</f>
        <v>0.03717003759973256</v>
      </c>
      <c r="D22" s="28">
        <v>887886.5</v>
      </c>
      <c r="E22" s="18">
        <f>D22/$H$22</f>
        <v>0.12333764949899205</v>
      </c>
      <c r="F22" s="28">
        <v>6043360.7</v>
      </c>
      <c r="G22" s="18">
        <f>F22/$H$22</f>
        <v>0.8394923267924259</v>
      </c>
      <c r="H22" s="31">
        <v>7198827.8</v>
      </c>
    </row>
    <row r="23" spans="1:8" ht="12">
      <c r="A23" s="22" t="s">
        <v>18</v>
      </c>
      <c r="B23" s="29">
        <v>208590.4</v>
      </c>
      <c r="C23" s="19">
        <f>B23/$H$23</f>
        <v>0.04896094736423062</v>
      </c>
      <c r="D23" s="29">
        <v>621422.7</v>
      </c>
      <c r="E23" s="19">
        <f>D23/$H$23</f>
        <v>0.145862149483572</v>
      </c>
      <c r="F23" s="29">
        <v>3430329.2</v>
      </c>
      <c r="G23" s="19">
        <f>F23/$H$23</f>
        <v>0.8051768796799055</v>
      </c>
      <c r="H23" s="32">
        <v>4260342.4</v>
      </c>
    </row>
    <row r="24" spans="1:14" ht="12">
      <c r="A24" s="4" t="s">
        <v>31</v>
      </c>
      <c r="F24" s="5"/>
      <c r="G24" s="5"/>
      <c r="K24" s="42"/>
      <c r="M24" s="43"/>
      <c r="N24" s="43"/>
    </row>
    <row r="25" spans="6:7" ht="12">
      <c r="F25" s="5"/>
      <c r="G25" s="5"/>
    </row>
    <row r="26" spans="1:8" ht="12">
      <c r="A26" s="222" t="s">
        <v>19</v>
      </c>
      <c r="B26" s="220" t="s">
        <v>45</v>
      </c>
      <c r="C26" s="221"/>
      <c r="D26" s="220" t="s">
        <v>43</v>
      </c>
      <c r="E26" s="221"/>
      <c r="F26" s="220" t="s">
        <v>44</v>
      </c>
      <c r="G26" s="221"/>
      <c r="H26" s="225" t="s">
        <v>12</v>
      </c>
    </row>
    <row r="27" spans="1:8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225"/>
    </row>
    <row r="28" spans="1:8" ht="12">
      <c r="A28" s="36" t="s">
        <v>20</v>
      </c>
      <c r="B28" s="37">
        <v>37818.9</v>
      </c>
      <c r="C28" s="38">
        <f>B28/$H$28</f>
        <v>0.026405181207510127</v>
      </c>
      <c r="D28" s="37">
        <v>89265.152</v>
      </c>
      <c r="E28" s="38">
        <f>D28/$H$28</f>
        <v>0.06232498867169418</v>
      </c>
      <c r="F28" s="37">
        <v>1305168.9</v>
      </c>
      <c r="G28" s="38">
        <f>F28/$H$28</f>
        <v>0.9112697966071636</v>
      </c>
      <c r="H28" s="45">
        <v>1432253</v>
      </c>
    </row>
    <row r="29" spans="1:8" ht="12">
      <c r="A29" s="21" t="s">
        <v>21</v>
      </c>
      <c r="B29" s="28">
        <v>99533.17</v>
      </c>
      <c r="C29" s="18">
        <f>B29/$H$29</f>
        <v>0.02995326260178759</v>
      </c>
      <c r="D29" s="28">
        <v>289031.3</v>
      </c>
      <c r="E29" s="18">
        <f>D29/$H$29</f>
        <v>0.08698035468011367</v>
      </c>
      <c r="F29" s="28">
        <v>2934384.7</v>
      </c>
      <c r="G29" s="18">
        <f>F29/$H$29</f>
        <v>0.883066373689974</v>
      </c>
      <c r="H29" s="46">
        <v>3322949.2</v>
      </c>
    </row>
    <row r="30" spans="1:8" ht="12">
      <c r="A30" s="23" t="s">
        <v>22</v>
      </c>
      <c r="B30" s="34">
        <v>166014.2</v>
      </c>
      <c r="C30" s="24">
        <f>B30/$H$30</f>
        <v>0.040243599366668416</v>
      </c>
      <c r="D30" s="34">
        <v>440275.77</v>
      </c>
      <c r="E30" s="24">
        <f>D30/$H$30</f>
        <v>0.10672750703693688</v>
      </c>
      <c r="F30" s="34">
        <v>3518942.4</v>
      </c>
      <c r="G30" s="24">
        <f>F30/$H$30</f>
        <v>0.8530288863240771</v>
      </c>
      <c r="H30" s="45">
        <v>4125232.4</v>
      </c>
    </row>
    <row r="31" spans="1:8" ht="12">
      <c r="A31" s="21" t="s">
        <v>23</v>
      </c>
      <c r="B31" s="28">
        <v>101336.8</v>
      </c>
      <c r="C31" s="18">
        <f>B31/$H$31</f>
        <v>0.0673319187026788</v>
      </c>
      <c r="D31" s="28">
        <v>237360</v>
      </c>
      <c r="E31" s="18">
        <f>D31/$H$31</f>
        <v>0.1577107647297708</v>
      </c>
      <c r="F31" s="28">
        <v>1166336.8</v>
      </c>
      <c r="G31" s="18">
        <f>F31/$H$31</f>
        <v>0.7749573165675504</v>
      </c>
      <c r="H31" s="46">
        <v>1505033.6</v>
      </c>
    </row>
    <row r="32" spans="1:8" ht="12">
      <c r="A32" s="22" t="s">
        <v>24</v>
      </c>
      <c r="B32" s="29">
        <v>113616.3</v>
      </c>
      <c r="C32" s="19">
        <f>B32/$H$32</f>
        <v>0.06349756798965585</v>
      </c>
      <c r="D32" s="29">
        <v>547645.1</v>
      </c>
      <c r="E32" s="19">
        <f>D32/$H$32</f>
        <v>0.3060664004324368</v>
      </c>
      <c r="F32" s="29">
        <v>1128040.2</v>
      </c>
      <c r="G32" s="19">
        <f>F32/$H$32</f>
        <v>0.6304360315779072</v>
      </c>
      <c r="H32" s="32">
        <v>1789301.6</v>
      </c>
    </row>
    <row r="33" spans="1:14" ht="12">
      <c r="A33" s="4" t="s">
        <v>31</v>
      </c>
      <c r="F33" s="5"/>
      <c r="G33" s="5"/>
      <c r="K33" s="42"/>
      <c r="M33" s="43"/>
      <c r="N33" s="43"/>
    </row>
    <row r="34" spans="6:7" ht="12">
      <c r="F34" s="5"/>
      <c r="G34" s="5"/>
    </row>
    <row r="35" spans="1:8" ht="12">
      <c r="A35" s="222" t="s">
        <v>25</v>
      </c>
      <c r="B35" s="220" t="s">
        <v>45</v>
      </c>
      <c r="C35" s="221"/>
      <c r="D35" s="220" t="s">
        <v>43</v>
      </c>
      <c r="E35" s="221"/>
      <c r="F35" s="220" t="s">
        <v>44</v>
      </c>
      <c r="G35" s="221"/>
      <c r="H35" s="225" t="s">
        <v>12</v>
      </c>
    </row>
    <row r="36" spans="1:8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225"/>
    </row>
    <row r="37" spans="1:8" ht="12">
      <c r="A37" s="36" t="s">
        <v>26</v>
      </c>
      <c r="B37" s="37">
        <v>98087.36</v>
      </c>
      <c r="C37" s="38">
        <f>B37/$H$37</f>
        <v>0.0775731547428771</v>
      </c>
      <c r="D37" s="37">
        <v>260440.6</v>
      </c>
      <c r="E37" s="38">
        <f>D37/$H$37</f>
        <v>0.20597148261639173</v>
      </c>
      <c r="F37" s="37">
        <v>905921.9</v>
      </c>
      <c r="G37" s="38">
        <f>F37/$H$37</f>
        <v>0.7164554100921998</v>
      </c>
      <c r="H37" s="45">
        <v>1264449.8</v>
      </c>
    </row>
    <row r="38" spans="1:8" ht="12">
      <c r="A38" s="21" t="s">
        <v>27</v>
      </c>
      <c r="B38" s="28">
        <v>119846</v>
      </c>
      <c r="C38" s="18">
        <f>B38/$H$38</f>
        <v>0.047891724725082935</v>
      </c>
      <c r="D38" s="28">
        <v>492080.1</v>
      </c>
      <c r="E38" s="18">
        <f>D38/$H$38</f>
        <v>0.19664039427174276</v>
      </c>
      <c r="F38" s="28">
        <v>1890510.4</v>
      </c>
      <c r="G38" s="18">
        <f>F38/$H$38</f>
        <v>0.7554678810031743</v>
      </c>
      <c r="H38" s="46">
        <v>2502436.5</v>
      </c>
    </row>
    <row r="39" spans="1:8" ht="12">
      <c r="A39" s="23" t="s">
        <v>28</v>
      </c>
      <c r="B39" s="34">
        <v>135661</v>
      </c>
      <c r="C39" s="24">
        <f>B39/$H$39</f>
        <v>0.04625974351026549</v>
      </c>
      <c r="D39" s="34">
        <v>352623.5</v>
      </c>
      <c r="E39" s="24">
        <f>D39/$H$39</f>
        <v>0.12024290448759851</v>
      </c>
      <c r="F39" s="34">
        <v>2444308.5</v>
      </c>
      <c r="G39" s="24">
        <f>F39/$H$39</f>
        <v>0.833497352002136</v>
      </c>
      <c r="H39" s="45">
        <v>2932593</v>
      </c>
    </row>
    <row r="40" spans="1:8" ht="12">
      <c r="A40" s="25" t="s">
        <v>29</v>
      </c>
      <c r="B40" s="40">
        <v>164725</v>
      </c>
      <c r="C40" s="26">
        <f>B40/$H$40</f>
        <v>0.030085161691420757</v>
      </c>
      <c r="D40" s="40">
        <v>498433.2</v>
      </c>
      <c r="E40" s="26">
        <f>D40/$H$40</f>
        <v>0.09103319723400978</v>
      </c>
      <c r="F40" s="40">
        <v>4812132.3</v>
      </c>
      <c r="G40" s="26">
        <f>F40/$H$40</f>
        <v>0.8788816410745695</v>
      </c>
      <c r="H40" s="33">
        <v>5475290.5</v>
      </c>
    </row>
    <row r="41" spans="1:14" ht="12">
      <c r="A41" s="4" t="s">
        <v>31</v>
      </c>
      <c r="K41" s="42"/>
      <c r="M41" s="43"/>
      <c r="N41" s="43"/>
    </row>
  </sheetData>
  <sheetProtection/>
  <mergeCells count="22">
    <mergeCell ref="A6:H6"/>
    <mergeCell ref="A11:A13"/>
    <mergeCell ref="B11:H11"/>
    <mergeCell ref="B12:C12"/>
    <mergeCell ref="D12:E12"/>
    <mergeCell ref="D19:E19"/>
    <mergeCell ref="F19:G19"/>
    <mergeCell ref="H19:H20"/>
    <mergeCell ref="F12:G12"/>
    <mergeCell ref="H12:H13"/>
    <mergeCell ref="A19:A20"/>
    <mergeCell ref="B19:C19"/>
    <mergeCell ref="D26:E26"/>
    <mergeCell ref="F26:G26"/>
    <mergeCell ref="A26:A27"/>
    <mergeCell ref="B26:C26"/>
    <mergeCell ref="H35:H36"/>
    <mergeCell ref="A35:A36"/>
    <mergeCell ref="B35:C35"/>
    <mergeCell ref="D35:E35"/>
    <mergeCell ref="F35:G35"/>
    <mergeCell ref="H26:H27"/>
  </mergeCells>
  <printOptions/>
  <pageMargins left="0.75" right="0.75" top="1" bottom="1" header="0" footer="0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N42"/>
  <sheetViews>
    <sheetView showGridLines="0" zoomScale="90" zoomScaleNormal="90" zoomScalePageLayoutView="0" workbookViewId="0" topLeftCell="A1">
      <selection activeCell="G16" activeCellId="2" sqref="C16 E16 G16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6" width="12.8515625" style="4" customWidth="1"/>
    <col min="7" max="7" width="14.421875" style="4" customWidth="1"/>
    <col min="8" max="16384" width="11.421875" style="4" customWidth="1"/>
  </cols>
  <sheetData>
    <row r="1" ht="12"/>
    <row r="2" ht="12"/>
    <row r="3" ht="12"/>
    <row r="4" ht="12"/>
    <row r="5" ht="12"/>
    <row r="6" spans="1:8" s="8" customFormat="1" ht="16.5">
      <c r="A6" s="227" t="s">
        <v>1</v>
      </c>
      <c r="B6" s="227"/>
      <c r="C6" s="227"/>
      <c r="D6" s="227"/>
      <c r="E6" s="227"/>
      <c r="F6" s="227"/>
      <c r="G6" s="227"/>
      <c r="H6" s="227"/>
    </row>
    <row r="7" spans="1:8" ht="15" customHeight="1">
      <c r="A7" s="11" t="s">
        <v>47</v>
      </c>
      <c r="B7" s="11"/>
      <c r="C7" s="11"/>
      <c r="D7" s="11"/>
      <c r="E7" s="11"/>
      <c r="F7" s="11"/>
      <c r="G7" s="11"/>
      <c r="H7" s="11"/>
    </row>
    <row r="8" spans="1:8" ht="15" customHeight="1">
      <c r="A8" s="11" t="s">
        <v>33</v>
      </c>
      <c r="B8" s="11"/>
      <c r="C8" s="11"/>
      <c r="D8" s="11"/>
      <c r="E8" s="11"/>
      <c r="F8" s="11"/>
      <c r="G8" s="11"/>
      <c r="H8" s="11"/>
    </row>
    <row r="9" spans="1:8" ht="15" customHeight="1">
      <c r="A9" s="11" t="s">
        <v>3</v>
      </c>
      <c r="B9" s="11"/>
      <c r="C9" s="11"/>
      <c r="D9" s="11"/>
      <c r="E9" s="11"/>
      <c r="F9" s="11"/>
      <c r="G9" s="11"/>
      <c r="H9" s="11"/>
    </row>
    <row r="10" spans="1:8" ht="15" customHeight="1">
      <c r="A10" s="12" t="s">
        <v>202</v>
      </c>
      <c r="B10" s="12"/>
      <c r="C10" s="12"/>
      <c r="D10" s="12"/>
      <c r="E10" s="12"/>
      <c r="F10" s="12"/>
      <c r="G10" s="12"/>
      <c r="H10" s="11"/>
    </row>
    <row r="11" spans="1:8" ht="14.25">
      <c r="A11" s="228" t="s">
        <v>14</v>
      </c>
      <c r="B11" s="226"/>
      <c r="C11" s="226"/>
      <c r="D11" s="226"/>
      <c r="E11" s="226"/>
      <c r="F11" s="226"/>
      <c r="G11" s="226"/>
      <c r="H11" s="226"/>
    </row>
    <row r="12" spans="1:8" ht="20.25" customHeight="1">
      <c r="A12" s="229"/>
      <c r="B12" s="220" t="s">
        <v>48</v>
      </c>
      <c r="C12" s="221"/>
      <c r="D12" s="220" t="s">
        <v>49</v>
      </c>
      <c r="E12" s="221"/>
      <c r="F12" s="220" t="s">
        <v>50</v>
      </c>
      <c r="G12" s="221"/>
      <c r="H12" s="223" t="s">
        <v>12</v>
      </c>
    </row>
    <row r="13" spans="1:8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15" t="s">
        <v>30</v>
      </c>
      <c r="G13" s="16" t="s">
        <v>13</v>
      </c>
      <c r="H13" s="224"/>
    </row>
    <row r="14" spans="1:8" ht="24">
      <c r="A14" s="20" t="s">
        <v>3</v>
      </c>
      <c r="B14" s="27">
        <v>73523.03</v>
      </c>
      <c r="C14" s="17">
        <f>B14/$H$14</f>
        <v>0.006038966649883324</v>
      </c>
      <c r="D14" s="27">
        <v>1396067.5</v>
      </c>
      <c r="E14" s="17">
        <f>D14/$H$14</f>
        <v>0.11466890134269477</v>
      </c>
      <c r="F14" s="27">
        <v>10705179</v>
      </c>
      <c r="G14" s="17">
        <f>F14/$H$14</f>
        <v>0.8792920934029965</v>
      </c>
      <c r="H14" s="30">
        <v>12174770</v>
      </c>
    </row>
    <row r="15" spans="1:8" ht="12">
      <c r="A15" s="21" t="s">
        <v>5</v>
      </c>
      <c r="B15" s="28">
        <v>50337.02</v>
      </c>
      <c r="C15" s="18">
        <f>B15/$H$15</f>
        <v>0.010735724309729265</v>
      </c>
      <c r="D15" s="28">
        <v>685664.8</v>
      </c>
      <c r="E15" s="18">
        <f>D15/$H$15</f>
        <v>0.1462364729116991</v>
      </c>
      <c r="F15" s="28">
        <v>3952738.2</v>
      </c>
      <c r="G15" s="18">
        <f>F15/$H$15</f>
        <v>0.84302780704411</v>
      </c>
      <c r="H15" s="31">
        <v>4688740</v>
      </c>
    </row>
    <row r="16" spans="1:8" ht="12">
      <c r="A16" s="22" t="s">
        <v>6</v>
      </c>
      <c r="B16" s="29">
        <v>23186.01</v>
      </c>
      <c r="C16" s="19">
        <f>B16/$H$16</f>
        <v>0.0030972372444635103</v>
      </c>
      <c r="D16" s="29">
        <v>710402.6</v>
      </c>
      <c r="E16" s="19">
        <f>D16/$H$16</f>
        <v>0.09489711215011609</v>
      </c>
      <c r="F16" s="29">
        <v>6752441.1</v>
      </c>
      <c r="G16" s="19">
        <f>F16/$H$16</f>
        <v>0.9020056519412419</v>
      </c>
      <c r="H16" s="32">
        <v>7486029.7</v>
      </c>
    </row>
    <row r="17" spans="1:7" ht="12">
      <c r="A17" s="4" t="s">
        <v>31</v>
      </c>
      <c r="B17" s="13"/>
      <c r="C17" s="13"/>
      <c r="D17" s="13"/>
      <c r="E17" s="13"/>
      <c r="F17" s="13"/>
      <c r="G17" s="13"/>
    </row>
    <row r="18" spans="2:7" ht="12">
      <c r="B18" s="13"/>
      <c r="C18" s="13"/>
      <c r="D18" s="13"/>
      <c r="E18" s="13"/>
      <c r="F18" s="13"/>
      <c r="G18" s="13"/>
    </row>
    <row r="19" spans="1:8" ht="12">
      <c r="A19" s="222" t="s">
        <v>15</v>
      </c>
      <c r="B19" s="220" t="s">
        <v>48</v>
      </c>
      <c r="C19" s="221"/>
      <c r="D19" s="220" t="s">
        <v>49</v>
      </c>
      <c r="E19" s="221"/>
      <c r="F19" s="220" t="s">
        <v>50</v>
      </c>
      <c r="G19" s="221"/>
      <c r="H19" s="225" t="s">
        <v>12</v>
      </c>
    </row>
    <row r="20" spans="1:8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15" t="s">
        <v>30</v>
      </c>
      <c r="G20" s="16" t="s">
        <v>13</v>
      </c>
      <c r="H20" s="225"/>
    </row>
    <row r="21" spans="1:8" ht="12">
      <c r="A21" s="36" t="s">
        <v>16</v>
      </c>
      <c r="B21" s="37">
        <v>17790.24</v>
      </c>
      <c r="C21" s="38">
        <f>B21/$H$21</f>
        <v>0.024860609880247263</v>
      </c>
      <c r="D21" s="37">
        <v>87511.35</v>
      </c>
      <c r="E21" s="38">
        <f>D21/$H$21</f>
        <v>0.1222909602368364</v>
      </c>
      <c r="F21" s="37">
        <v>610298</v>
      </c>
      <c r="G21" s="38">
        <f>F21/$H$21</f>
        <v>0.85284855565159</v>
      </c>
      <c r="H21" s="39">
        <v>715599.5</v>
      </c>
    </row>
    <row r="22" spans="1:8" ht="12">
      <c r="A22" s="21" t="s">
        <v>17</v>
      </c>
      <c r="B22" s="28">
        <v>44445.05</v>
      </c>
      <c r="C22" s="18">
        <f>B22/$H$22</f>
        <v>0.006173928761013009</v>
      </c>
      <c r="D22" s="28">
        <v>778538.7</v>
      </c>
      <c r="E22" s="18">
        <f>D22/$H$22</f>
        <v>0.10814798209230675</v>
      </c>
      <c r="F22" s="28">
        <v>6375844.1</v>
      </c>
      <c r="G22" s="18">
        <f>F22/$H$22</f>
        <v>0.8856780960922555</v>
      </c>
      <c r="H22" s="31">
        <v>7198827.8</v>
      </c>
    </row>
    <row r="23" spans="1:8" ht="12">
      <c r="A23" s="22" t="s">
        <v>18</v>
      </c>
      <c r="B23" s="29">
        <v>11287.74</v>
      </c>
      <c r="C23" s="19">
        <f>B23/$H$23</f>
        <v>0.0026494912709363453</v>
      </c>
      <c r="D23" s="29">
        <v>530017.5</v>
      </c>
      <c r="E23" s="19">
        <f>D23/$H$23</f>
        <v>0.12440725421506026</v>
      </c>
      <c r="F23" s="29">
        <v>3719037.2</v>
      </c>
      <c r="G23" s="19">
        <f>F23/$H$23</f>
        <v>0.8729432639029201</v>
      </c>
      <c r="H23" s="32">
        <v>4260342.4</v>
      </c>
    </row>
    <row r="24" spans="1:7" ht="12">
      <c r="A24" s="4" t="s">
        <v>31</v>
      </c>
      <c r="F24" s="5"/>
      <c r="G24" s="5"/>
    </row>
    <row r="25" spans="6:14" ht="12">
      <c r="F25" s="5"/>
      <c r="G25" s="5"/>
      <c r="K25" s="42"/>
      <c r="M25" s="43"/>
      <c r="N25" s="43"/>
    </row>
    <row r="26" spans="1:8" ht="12">
      <c r="A26" s="222" t="s">
        <v>19</v>
      </c>
      <c r="B26" s="220" t="s">
        <v>48</v>
      </c>
      <c r="C26" s="221"/>
      <c r="D26" s="220" t="s">
        <v>49</v>
      </c>
      <c r="E26" s="221"/>
      <c r="F26" s="220" t="s">
        <v>50</v>
      </c>
      <c r="G26" s="221"/>
      <c r="H26" s="225" t="s">
        <v>12</v>
      </c>
    </row>
    <row r="27" spans="1:8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15" t="s">
        <v>30</v>
      </c>
      <c r="G27" s="16" t="s">
        <v>13</v>
      </c>
      <c r="H27" s="225"/>
    </row>
    <row r="28" spans="1:8" ht="12">
      <c r="A28" s="36" t="s">
        <v>20</v>
      </c>
      <c r="B28" s="37">
        <v>694.45303</v>
      </c>
      <c r="C28" s="38">
        <f>B28/$H$28</f>
        <v>0.00048486756878847524</v>
      </c>
      <c r="D28" s="37">
        <v>55014.99</v>
      </c>
      <c r="E28" s="38">
        <f>D28/$H$28</f>
        <v>0.038411502716349695</v>
      </c>
      <c r="F28" s="37">
        <v>1376543.5</v>
      </c>
      <c r="G28" s="38">
        <f>F28/$H$28</f>
        <v>0.9611035899383699</v>
      </c>
      <c r="H28" s="45">
        <v>1432253</v>
      </c>
    </row>
    <row r="29" spans="1:8" ht="12">
      <c r="A29" s="21" t="s">
        <v>21</v>
      </c>
      <c r="B29" s="28">
        <v>4527.007</v>
      </c>
      <c r="C29" s="18">
        <f>B29/$H$29</f>
        <v>0.0013623461351741396</v>
      </c>
      <c r="D29" s="28">
        <v>253018.3</v>
      </c>
      <c r="E29" s="18">
        <f>D29/$H$29</f>
        <v>0.07614269276220051</v>
      </c>
      <c r="F29" s="28">
        <v>3065403.9</v>
      </c>
      <c r="G29" s="18">
        <f>F29/$H$29</f>
        <v>0.9224949632091877</v>
      </c>
      <c r="H29" s="46">
        <v>3322949.2</v>
      </c>
    </row>
    <row r="30" spans="1:8" ht="12">
      <c r="A30" s="23" t="s">
        <v>22</v>
      </c>
      <c r="B30" s="34">
        <v>35969.33</v>
      </c>
      <c r="C30" s="24">
        <f>B30/$H$30</f>
        <v>0.008719346333069623</v>
      </c>
      <c r="D30" s="34">
        <v>352550.4</v>
      </c>
      <c r="E30" s="24">
        <f>D30/$H$30</f>
        <v>0.08546194876196551</v>
      </c>
      <c r="F30" s="34">
        <v>3736712.6</v>
      </c>
      <c r="G30" s="24">
        <f>F30/$H$30</f>
        <v>0.905818687936224</v>
      </c>
      <c r="H30" s="45">
        <v>4125232.4</v>
      </c>
    </row>
    <row r="31" spans="1:8" ht="12">
      <c r="A31" s="21" t="s">
        <v>23</v>
      </c>
      <c r="B31" s="28">
        <v>10836.785</v>
      </c>
      <c r="C31" s="18">
        <f>B31/$H$31</f>
        <v>0.007200360842442321</v>
      </c>
      <c r="D31" s="28">
        <v>221264.7</v>
      </c>
      <c r="E31" s="18">
        <f>D31/$H$31</f>
        <v>0.1470164519915037</v>
      </c>
      <c r="F31" s="28">
        <v>1272932.1</v>
      </c>
      <c r="G31" s="18">
        <f>F31/$H$31</f>
        <v>0.845783177199499</v>
      </c>
      <c r="H31" s="46">
        <v>1505033.6</v>
      </c>
    </row>
    <row r="32" spans="1:8" ht="12">
      <c r="A32" s="22" t="s">
        <v>24</v>
      </c>
      <c r="B32" s="29">
        <v>21495.46</v>
      </c>
      <c r="C32" s="19">
        <f>B32/$H$32</f>
        <v>0.012013324081306358</v>
      </c>
      <c r="D32" s="29">
        <v>514219.1</v>
      </c>
      <c r="E32" s="19">
        <f>D32/$H$32</f>
        <v>0.2873853686823954</v>
      </c>
      <c r="F32" s="29">
        <v>1253587.1</v>
      </c>
      <c r="G32" s="19">
        <f>F32/$H$32</f>
        <v>0.7006013407689347</v>
      </c>
      <c r="H32" s="32">
        <v>1789301.6</v>
      </c>
    </row>
    <row r="33" spans="1:7" ht="12">
      <c r="A33" s="4" t="s">
        <v>31</v>
      </c>
      <c r="F33" s="5"/>
      <c r="G33" s="5"/>
    </row>
    <row r="34" spans="6:14" ht="12">
      <c r="F34" s="5"/>
      <c r="G34" s="5"/>
      <c r="K34" s="42"/>
      <c r="M34" s="43"/>
      <c r="N34" s="43"/>
    </row>
    <row r="35" spans="1:8" ht="12">
      <c r="A35" s="222" t="s">
        <v>25</v>
      </c>
      <c r="B35" s="220" t="s">
        <v>48</v>
      </c>
      <c r="C35" s="221"/>
      <c r="D35" s="220" t="s">
        <v>49</v>
      </c>
      <c r="E35" s="221"/>
      <c r="F35" s="220" t="s">
        <v>50</v>
      </c>
      <c r="G35" s="221"/>
      <c r="H35" s="225" t="s">
        <v>12</v>
      </c>
    </row>
    <row r="36" spans="1:8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15" t="s">
        <v>30</v>
      </c>
      <c r="G36" s="16" t="s">
        <v>13</v>
      </c>
      <c r="H36" s="225"/>
    </row>
    <row r="37" spans="1:8" ht="12">
      <c r="A37" s="36" t="s">
        <v>26</v>
      </c>
      <c r="B37" s="37">
        <v>5109.16</v>
      </c>
      <c r="C37" s="38">
        <f>B37/$H$37</f>
        <v>0.004040619089820727</v>
      </c>
      <c r="D37" s="37">
        <v>257144.2</v>
      </c>
      <c r="E37" s="38">
        <f>D37/$H$37</f>
        <v>0.20336449893068115</v>
      </c>
      <c r="F37" s="37">
        <v>1002196.4</v>
      </c>
      <c r="G37" s="38">
        <f>F37/$H$37</f>
        <v>0.7925948503451857</v>
      </c>
      <c r="H37" s="45">
        <v>1264449.8</v>
      </c>
    </row>
    <row r="38" spans="1:8" ht="12">
      <c r="A38" s="21" t="s">
        <v>27</v>
      </c>
      <c r="B38" s="28">
        <v>14996.09</v>
      </c>
      <c r="C38" s="18">
        <f>B38/$H$38</f>
        <v>0.005992595616312342</v>
      </c>
      <c r="D38" s="28">
        <v>435030.4</v>
      </c>
      <c r="E38" s="18">
        <f>D38/$H$38</f>
        <v>0.17384273287254243</v>
      </c>
      <c r="F38" s="28">
        <v>2052410</v>
      </c>
      <c r="G38" s="18">
        <f>F38/$H$38</f>
        <v>0.8201646675150398</v>
      </c>
      <c r="H38" s="46">
        <v>2502436.5</v>
      </c>
    </row>
    <row r="39" spans="1:8" ht="12">
      <c r="A39" s="23" t="s">
        <v>28</v>
      </c>
      <c r="B39" s="34">
        <v>26553.36</v>
      </c>
      <c r="C39" s="24">
        <f>B39/$H$39</f>
        <v>0.009054567067438271</v>
      </c>
      <c r="D39" s="34">
        <v>313754.4</v>
      </c>
      <c r="E39" s="24">
        <f>D39/$H$39</f>
        <v>0.1069887297691838</v>
      </c>
      <c r="F39" s="34">
        <v>2592285.2</v>
      </c>
      <c r="G39" s="24">
        <f>F39/$H$39</f>
        <v>0.8839566895235719</v>
      </c>
      <c r="H39" s="45">
        <v>2932593</v>
      </c>
    </row>
    <row r="40" spans="1:8" ht="12">
      <c r="A40" s="25" t="s">
        <v>29</v>
      </c>
      <c r="B40" s="40">
        <v>26864.42</v>
      </c>
      <c r="C40" s="26">
        <f>B40/$H$40</f>
        <v>0.004906483044141676</v>
      </c>
      <c r="D40" s="40">
        <v>390138.5</v>
      </c>
      <c r="E40" s="26">
        <f>D40/$H$40</f>
        <v>0.07125439280345033</v>
      </c>
      <c r="F40" s="40">
        <v>5058287.6</v>
      </c>
      <c r="G40" s="26">
        <f>F40/$H$40</f>
        <v>0.9238391278051822</v>
      </c>
      <c r="H40" s="33">
        <v>5475290.5</v>
      </c>
    </row>
    <row r="41" ht="12">
      <c r="A41" s="4" t="s">
        <v>31</v>
      </c>
    </row>
    <row r="42" spans="11:14" ht="12">
      <c r="K42" s="42"/>
      <c r="M42" s="43"/>
      <c r="N42" s="43"/>
    </row>
  </sheetData>
  <sheetProtection/>
  <mergeCells count="22">
    <mergeCell ref="A6:H6"/>
    <mergeCell ref="A11:A13"/>
    <mergeCell ref="B11:H11"/>
    <mergeCell ref="B12:C12"/>
    <mergeCell ref="D12:E12"/>
    <mergeCell ref="F12:G12"/>
    <mergeCell ref="H12:H13"/>
    <mergeCell ref="F19:G19"/>
    <mergeCell ref="H19:H20"/>
    <mergeCell ref="F26:G26"/>
    <mergeCell ref="H26:H27"/>
    <mergeCell ref="A19:A20"/>
    <mergeCell ref="B19:C19"/>
    <mergeCell ref="D19:E19"/>
    <mergeCell ref="A35:A36"/>
    <mergeCell ref="B35:C35"/>
    <mergeCell ref="D35:E35"/>
    <mergeCell ref="F35:G35"/>
    <mergeCell ref="H35:H36"/>
    <mergeCell ref="A26:A27"/>
    <mergeCell ref="B26:C26"/>
    <mergeCell ref="D26:E26"/>
  </mergeCells>
  <printOptions/>
  <pageMargins left="0.75" right="0.75" top="1" bottom="1" header="0" footer="0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6:K42"/>
  <sheetViews>
    <sheetView showGridLines="0" zoomScale="90" zoomScaleNormal="90" zoomScalePageLayoutView="0" workbookViewId="0" topLeftCell="A1">
      <selection activeCell="I30" sqref="I30"/>
    </sheetView>
  </sheetViews>
  <sheetFormatPr defaultColWidth="11.421875" defaultRowHeight="12.75"/>
  <cols>
    <col min="1" max="1" width="24.00390625" style="4" customWidth="1"/>
    <col min="2" max="2" width="19.421875" style="5" customWidth="1"/>
    <col min="3" max="3" width="6.421875" style="5" customWidth="1"/>
    <col min="4" max="4" width="14.140625" style="5" customWidth="1"/>
    <col min="5" max="5" width="12.140625" style="5" customWidth="1"/>
    <col min="6" max="16384" width="11.421875" style="4" customWidth="1"/>
  </cols>
  <sheetData>
    <row r="1" ht="12"/>
    <row r="2" ht="12"/>
    <row r="3" ht="12"/>
    <row r="4" ht="12"/>
    <row r="5" ht="12"/>
    <row r="6" spans="1:6" s="8" customFormat="1" ht="16.5">
      <c r="A6" s="227" t="s">
        <v>1</v>
      </c>
      <c r="B6" s="227"/>
      <c r="C6" s="227"/>
      <c r="D6" s="227"/>
      <c r="E6" s="227"/>
      <c r="F6" s="227"/>
    </row>
    <row r="7" spans="1:6" ht="15" customHeight="1">
      <c r="A7" s="11" t="s">
        <v>56</v>
      </c>
      <c r="B7" s="11"/>
      <c r="C7" s="11"/>
      <c r="D7" s="11"/>
      <c r="E7" s="11"/>
      <c r="F7" s="11"/>
    </row>
    <row r="8" spans="1:6" ht="15" customHeight="1">
      <c r="A8" s="11" t="s">
        <v>33</v>
      </c>
      <c r="B8" s="11"/>
      <c r="C8" s="11"/>
      <c r="D8" s="11"/>
      <c r="E8" s="11"/>
      <c r="F8" s="11"/>
    </row>
    <row r="9" spans="1:6" ht="15" customHeight="1">
      <c r="A9" s="11" t="s">
        <v>3</v>
      </c>
      <c r="B9" s="11"/>
      <c r="C9" s="11"/>
      <c r="D9" s="11"/>
      <c r="E9" s="11"/>
      <c r="F9" s="11"/>
    </row>
    <row r="10" spans="1:6" ht="15" customHeight="1">
      <c r="A10" s="12" t="s">
        <v>202</v>
      </c>
      <c r="B10" s="12"/>
      <c r="C10" s="12"/>
      <c r="D10" s="12"/>
      <c r="E10" s="12"/>
      <c r="F10" s="11"/>
    </row>
    <row r="11" spans="1:6" ht="14.25">
      <c r="A11" s="228" t="s">
        <v>14</v>
      </c>
      <c r="B11" s="226"/>
      <c r="C11" s="226"/>
      <c r="D11" s="226"/>
      <c r="E11" s="226"/>
      <c r="F11" s="226"/>
    </row>
    <row r="12" spans="1:6" ht="20.25" customHeight="1">
      <c r="A12" s="229"/>
      <c r="B12" s="220" t="s">
        <v>45</v>
      </c>
      <c r="C12" s="221"/>
      <c r="D12" s="220" t="s">
        <v>44</v>
      </c>
      <c r="E12" s="221"/>
      <c r="F12" s="223" t="s">
        <v>12</v>
      </c>
    </row>
    <row r="13" spans="1:6" ht="17.25" customHeight="1">
      <c r="A13" s="230"/>
      <c r="B13" s="15" t="s">
        <v>30</v>
      </c>
      <c r="C13" s="16" t="s">
        <v>13</v>
      </c>
      <c r="D13" s="15" t="s">
        <v>30</v>
      </c>
      <c r="E13" s="16" t="s">
        <v>13</v>
      </c>
      <c r="F13" s="224"/>
    </row>
    <row r="14" spans="1:6" ht="24">
      <c r="A14" s="20" t="s">
        <v>3</v>
      </c>
      <c r="B14" s="27">
        <v>1222196.8</v>
      </c>
      <c r="C14" s="17">
        <f>B14/$F$14</f>
        <v>0.10038767056790396</v>
      </c>
      <c r="D14" s="27">
        <v>10952573</v>
      </c>
      <c r="E14" s="17">
        <f>D14/$F$14</f>
        <v>0.899612313004681</v>
      </c>
      <c r="F14" s="30">
        <v>12174770</v>
      </c>
    </row>
    <row r="15" spans="1:6" ht="12">
      <c r="A15" s="21" t="s">
        <v>5</v>
      </c>
      <c r="B15" s="28">
        <v>614867.6</v>
      </c>
      <c r="C15" s="18">
        <f>B15/$F$15</f>
        <v>0.13113706454185986</v>
      </c>
      <c r="D15" s="28">
        <v>4073872.4</v>
      </c>
      <c r="E15" s="18">
        <f>D15/$F$15</f>
        <v>0.8688629354581401</v>
      </c>
      <c r="F15" s="31">
        <v>4688740</v>
      </c>
    </row>
    <row r="16" spans="1:6" ht="12">
      <c r="A16" s="22" t="s">
        <v>6</v>
      </c>
      <c r="B16" s="29">
        <v>607329.2</v>
      </c>
      <c r="C16" s="19">
        <f>B16/$F$16</f>
        <v>0.08112834497570855</v>
      </c>
      <c r="D16" s="29">
        <v>6878700.5</v>
      </c>
      <c r="E16" s="19">
        <f>D16/$F$16</f>
        <v>0.9188716550242915</v>
      </c>
      <c r="F16" s="32">
        <v>7486029.7</v>
      </c>
    </row>
    <row r="17" spans="1:5" ht="12">
      <c r="A17" s="4" t="s">
        <v>31</v>
      </c>
      <c r="B17" s="13"/>
      <c r="C17" s="13"/>
      <c r="D17" s="13"/>
      <c r="E17" s="13"/>
    </row>
    <row r="18" spans="2:5" ht="12">
      <c r="B18" s="13"/>
      <c r="C18" s="13"/>
      <c r="D18" s="13"/>
      <c r="E18" s="13"/>
    </row>
    <row r="19" spans="1:6" ht="12">
      <c r="A19" s="222" t="s">
        <v>15</v>
      </c>
      <c r="B19" s="220" t="s">
        <v>45</v>
      </c>
      <c r="C19" s="221"/>
      <c r="D19" s="220" t="s">
        <v>44</v>
      </c>
      <c r="E19" s="221"/>
      <c r="F19" s="225" t="s">
        <v>12</v>
      </c>
    </row>
    <row r="20" spans="1:6" ht="12">
      <c r="A20" s="222"/>
      <c r="B20" s="15" t="s">
        <v>30</v>
      </c>
      <c r="C20" s="16" t="s">
        <v>13</v>
      </c>
      <c r="D20" s="15" t="s">
        <v>30</v>
      </c>
      <c r="E20" s="16" t="s">
        <v>13</v>
      </c>
      <c r="F20" s="225"/>
    </row>
    <row r="21" spans="1:6" ht="12">
      <c r="A21" s="36" t="s">
        <v>16</v>
      </c>
      <c r="B21" s="37">
        <v>98565.29</v>
      </c>
      <c r="C21" s="17">
        <f>B21/$F$21</f>
        <v>0.1377380643781892</v>
      </c>
      <c r="D21" s="37">
        <v>617034.3</v>
      </c>
      <c r="E21" s="17">
        <f>D21/$F$21</f>
        <v>0.8622620613904846</v>
      </c>
      <c r="F21" s="39">
        <v>715599.5</v>
      </c>
    </row>
    <row r="22" spans="1:6" ht="12">
      <c r="A22" s="21" t="s">
        <v>17</v>
      </c>
      <c r="B22" s="28">
        <v>755240</v>
      </c>
      <c r="C22" s="18">
        <f>B22/$F$22</f>
        <v>0.10491152462349496</v>
      </c>
      <c r="D22" s="28">
        <v>6443587.8</v>
      </c>
      <c r="E22" s="18">
        <f>D22/$F$22</f>
        <v>0.895088475376505</v>
      </c>
      <c r="F22" s="31">
        <v>7198827.8</v>
      </c>
    </row>
    <row r="23" spans="1:6" ht="12">
      <c r="A23" s="22" t="s">
        <v>18</v>
      </c>
      <c r="B23" s="29">
        <v>368391.5</v>
      </c>
      <c r="C23" s="19">
        <f>B23/$F$23</f>
        <v>0.08646992786307503</v>
      </c>
      <c r="D23" s="29">
        <v>3891950.9</v>
      </c>
      <c r="E23" s="19">
        <f>D23/$F$23</f>
        <v>0.9135300721369248</v>
      </c>
      <c r="F23" s="32">
        <v>4260342.4</v>
      </c>
    </row>
    <row r="24" ht="12">
      <c r="A24" s="4" t="s">
        <v>31</v>
      </c>
    </row>
    <row r="25" spans="10:11" ht="12">
      <c r="J25" s="43"/>
      <c r="K25" s="43"/>
    </row>
    <row r="26" spans="1:6" ht="12">
      <c r="A26" s="222" t="s">
        <v>19</v>
      </c>
      <c r="B26" s="220" t="s">
        <v>45</v>
      </c>
      <c r="C26" s="221"/>
      <c r="D26" s="220" t="s">
        <v>44</v>
      </c>
      <c r="E26" s="221"/>
      <c r="F26" s="225" t="s">
        <v>12</v>
      </c>
    </row>
    <row r="27" spans="1:6" ht="12">
      <c r="A27" s="222"/>
      <c r="B27" s="15" t="s">
        <v>30</v>
      </c>
      <c r="C27" s="16" t="s">
        <v>13</v>
      </c>
      <c r="D27" s="15" t="s">
        <v>30</v>
      </c>
      <c r="E27" s="16" t="s">
        <v>13</v>
      </c>
      <c r="F27" s="225"/>
    </row>
    <row r="28" spans="1:6" ht="12">
      <c r="A28" s="36" t="s">
        <v>20</v>
      </c>
      <c r="B28" s="37">
        <v>62923.67</v>
      </c>
      <c r="C28" s="38">
        <f>B28/$F$28</f>
        <v>0.04393334836792103</v>
      </c>
      <c r="D28" s="37">
        <v>1369329.3</v>
      </c>
      <c r="E28" s="38">
        <f>D28/$F$28</f>
        <v>0.956066630686059</v>
      </c>
      <c r="F28" s="45">
        <v>1432253</v>
      </c>
    </row>
    <row r="29" spans="1:6" ht="12">
      <c r="A29" s="21" t="s">
        <v>21</v>
      </c>
      <c r="B29" s="28">
        <v>220351.4</v>
      </c>
      <c r="C29" s="18">
        <f>B29/$F$29</f>
        <v>0.06631199778798905</v>
      </c>
      <c r="D29" s="28">
        <v>3102597.8</v>
      </c>
      <c r="E29" s="18">
        <f>D29/$F$29</f>
        <v>0.9336880022120109</v>
      </c>
      <c r="F29" s="46">
        <v>3322949.2</v>
      </c>
    </row>
    <row r="30" spans="1:6" ht="12">
      <c r="A30" s="23" t="s">
        <v>22</v>
      </c>
      <c r="B30" s="34">
        <v>304306.6</v>
      </c>
      <c r="C30" s="24">
        <f>B30/$F$30</f>
        <v>0.07376714097368187</v>
      </c>
      <c r="D30" s="34">
        <v>3820925.7</v>
      </c>
      <c r="E30" s="24">
        <f>D30/$F$30</f>
        <v>0.9262328347852596</v>
      </c>
      <c r="F30" s="45">
        <v>4125232.4</v>
      </c>
    </row>
    <row r="31" spans="1:6" ht="12">
      <c r="A31" s="21" t="s">
        <v>23</v>
      </c>
      <c r="B31" s="28">
        <v>205129.5</v>
      </c>
      <c r="C31" s="18">
        <f>B31/$F$31</f>
        <v>0.13629562821720392</v>
      </c>
      <c r="D31" s="28">
        <v>1299904.1</v>
      </c>
      <c r="E31" s="18">
        <f>D31/$F$31</f>
        <v>0.8637043717827961</v>
      </c>
      <c r="F31" s="46">
        <v>1505033.6</v>
      </c>
    </row>
    <row r="32" spans="1:6" ht="12">
      <c r="A32" s="22" t="s">
        <v>24</v>
      </c>
      <c r="B32" s="29">
        <v>429485.5</v>
      </c>
      <c r="C32" s="19">
        <f>B32/$F$32</f>
        <v>0.2400296853252688</v>
      </c>
      <c r="D32" s="29">
        <v>1359816.1</v>
      </c>
      <c r="E32" s="19">
        <f>D32/$F$32</f>
        <v>0.7599703146747312</v>
      </c>
      <c r="F32" s="32">
        <v>1789301.6</v>
      </c>
    </row>
    <row r="33" ht="12">
      <c r="A33" s="4" t="s">
        <v>31</v>
      </c>
    </row>
    <row r="34" spans="10:11" ht="12">
      <c r="J34" s="43"/>
      <c r="K34" s="43"/>
    </row>
    <row r="35" spans="1:6" ht="12">
      <c r="A35" s="222" t="s">
        <v>25</v>
      </c>
      <c r="B35" s="220" t="s">
        <v>45</v>
      </c>
      <c r="C35" s="221"/>
      <c r="D35" s="220" t="s">
        <v>44</v>
      </c>
      <c r="E35" s="221"/>
      <c r="F35" s="225" t="s">
        <v>12</v>
      </c>
    </row>
    <row r="36" spans="1:6" ht="12">
      <c r="A36" s="222"/>
      <c r="B36" s="15" t="s">
        <v>30</v>
      </c>
      <c r="C36" s="16" t="s">
        <v>13</v>
      </c>
      <c r="D36" s="15" t="s">
        <v>30</v>
      </c>
      <c r="E36" s="16" t="s">
        <v>13</v>
      </c>
      <c r="F36" s="225"/>
    </row>
    <row r="37" spans="1:6" ht="12">
      <c r="A37" s="36" t="s">
        <v>26</v>
      </c>
      <c r="B37" s="37">
        <v>159772.2</v>
      </c>
      <c r="C37" s="38">
        <f>B37/$F$37</f>
        <v>0.12635709223094505</v>
      </c>
      <c r="D37" s="37">
        <v>1104677.6</v>
      </c>
      <c r="E37" s="38">
        <f>D37/$F$37</f>
        <v>0.873642907769055</v>
      </c>
      <c r="F37" s="45">
        <v>1264449.8</v>
      </c>
    </row>
    <row r="38" spans="1:6" ht="12">
      <c r="A38" s="21" t="s">
        <v>27</v>
      </c>
      <c r="B38" s="28">
        <v>319168.1</v>
      </c>
      <c r="C38" s="18">
        <f>B38/$F$38</f>
        <v>0.12754293665393707</v>
      </c>
      <c r="D38" s="28">
        <v>2183268.4</v>
      </c>
      <c r="E38" s="18">
        <f>D38/$F$38</f>
        <v>0.8724570633460629</v>
      </c>
      <c r="F38" s="46">
        <v>2502436.5</v>
      </c>
    </row>
    <row r="39" spans="1:6" ht="12">
      <c r="A39" s="23" t="s">
        <v>28</v>
      </c>
      <c r="B39" s="34">
        <v>344364</v>
      </c>
      <c r="C39" s="24">
        <f>B39/$F$39</f>
        <v>0.11742645501779483</v>
      </c>
      <c r="D39" s="34">
        <v>2588228.9</v>
      </c>
      <c r="E39" s="24">
        <f>D39/$F$39</f>
        <v>0.8825735108826898</v>
      </c>
      <c r="F39" s="45">
        <v>2932593</v>
      </c>
    </row>
    <row r="40" spans="1:6" ht="12">
      <c r="A40" s="25" t="s">
        <v>29</v>
      </c>
      <c r="B40" s="40">
        <v>398892.41</v>
      </c>
      <c r="C40" s="26">
        <f>B40/$F$40</f>
        <v>0.07285319564322659</v>
      </c>
      <c r="D40" s="40">
        <v>5076398.1</v>
      </c>
      <c r="E40" s="26">
        <f>D40/$F$40</f>
        <v>0.9271468061831605</v>
      </c>
      <c r="F40" s="33">
        <v>5475290.5</v>
      </c>
    </row>
    <row r="41" ht="12">
      <c r="A41" s="4" t="s">
        <v>31</v>
      </c>
    </row>
    <row r="42" spans="10:11" ht="12">
      <c r="J42" s="43"/>
      <c r="K42" s="43"/>
    </row>
  </sheetData>
  <sheetProtection/>
  <mergeCells count="18">
    <mergeCell ref="A35:A36"/>
    <mergeCell ref="B35:C35"/>
    <mergeCell ref="D35:E35"/>
    <mergeCell ref="F35:F36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Horacio Coral Diaz</cp:lastModifiedBy>
  <dcterms:created xsi:type="dcterms:W3CDTF">2008-05-07T20:44:14Z</dcterms:created>
  <dcterms:modified xsi:type="dcterms:W3CDTF">2020-09-24T03:24:56Z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